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tables/table3.xml" ContentType="application/vnd.openxmlformats-officedocument.spreadsheetml.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ataSource\Citelum-MIP\"/>
    </mc:Choice>
  </mc:AlternateContent>
  <xr:revisionPtr revIDLastSave="0" documentId="13_ncr:1_{12E6F8B9-E4A8-45BE-A5DA-10ED131620D6}" xr6:coauthVersionLast="32" xr6:coauthVersionMax="32" xr10:uidLastSave="{00000000-0000-0000-0000-000000000000}"/>
  <bookViews>
    <workbookView xWindow="0" yWindow="0" windowWidth="20370" windowHeight="6885" activeTab="1" xr2:uid="{B5C43BAD-5E16-4914-A810-ED0A290FCCEB}"/>
  </bookViews>
  <sheets>
    <sheet name="MIP" sheetId="1" r:id="rId1"/>
    <sheet name="Sheet2" sheetId="2" r:id="rId2"/>
  </sheets>
  <externalReferences>
    <externalReference r:id="rId3"/>
  </externalReferences>
  <definedNames>
    <definedName name="_xlnm._FilterDatabase" localSheetId="0" hidden="1">MIP!$A$1:$A$3</definedName>
    <definedName name="EQUIPE">[1]!Equipes[Equipe]</definedName>
    <definedName name="EquipeGraf">'[1]Análise Equipe'!$B$8</definedName>
    <definedName name="MacroSitrack">[1]!SitrackONOFF[Sitrack]</definedName>
    <definedName name="SitrackVBA">'[1]Inf Gerais'!#REF!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L920" i="2" l="1"/>
  <c r="AM920" i="2" s="1"/>
  <c r="AK920" i="2"/>
  <c r="AJ920" i="2"/>
  <c r="AE920" i="2"/>
  <c r="AD920" i="2"/>
  <c r="AC920" i="2"/>
  <c r="W920" i="2"/>
  <c r="Y920" i="2" s="1"/>
  <c r="AB920" i="2" s="1"/>
  <c r="T920" i="2"/>
  <c r="S920" i="2"/>
  <c r="V920" i="2" s="1"/>
  <c r="R920" i="2"/>
  <c r="A920" i="2"/>
  <c r="AL919" i="2"/>
  <c r="AM919" i="2" s="1"/>
  <c r="AK919" i="2"/>
  <c r="AJ919" i="2"/>
  <c r="AE919" i="2"/>
  <c r="AD919" i="2"/>
  <c r="AC919" i="2"/>
  <c r="W919" i="2"/>
  <c r="Y919" i="2" s="1"/>
  <c r="AB919" i="2" s="1"/>
  <c r="V919" i="2"/>
  <c r="AP919" i="2" s="1"/>
  <c r="T919" i="2"/>
  <c r="S919" i="2"/>
  <c r="R919" i="2"/>
  <c r="A919" i="2"/>
  <c r="AM918" i="2"/>
  <c r="AL918" i="2"/>
  <c r="AK918" i="2"/>
  <c r="AJ918" i="2"/>
  <c r="AE918" i="2"/>
  <c r="AD918" i="2"/>
  <c r="AC918" i="2"/>
  <c r="W918" i="2"/>
  <c r="Y918" i="2" s="1"/>
  <c r="AB918" i="2" s="1"/>
  <c r="T918" i="2"/>
  <c r="S918" i="2"/>
  <c r="V918" i="2" s="1"/>
  <c r="R918" i="2"/>
  <c r="A918" i="2"/>
  <c r="AL917" i="2"/>
  <c r="AM917" i="2" s="1"/>
  <c r="AK917" i="2"/>
  <c r="AJ917" i="2"/>
  <c r="AE917" i="2"/>
  <c r="AD917" i="2"/>
  <c r="AC917" i="2"/>
  <c r="W917" i="2"/>
  <c r="Y917" i="2" s="1"/>
  <c r="AB917" i="2" s="1"/>
  <c r="T917" i="2"/>
  <c r="S917" i="2"/>
  <c r="V917" i="2" s="1"/>
  <c r="R917" i="2"/>
  <c r="A917" i="2"/>
  <c r="AM916" i="2"/>
  <c r="AL916" i="2"/>
  <c r="AK916" i="2"/>
  <c r="AJ916" i="2"/>
  <c r="AE916" i="2"/>
  <c r="AD916" i="2"/>
  <c r="AC916" i="2"/>
  <c r="W916" i="2"/>
  <c r="Y916" i="2" s="1"/>
  <c r="AB916" i="2" s="1"/>
  <c r="T916" i="2"/>
  <c r="S916" i="2"/>
  <c r="V916" i="2" s="1"/>
  <c r="R916" i="2"/>
  <c r="A916" i="2"/>
  <c r="AL915" i="2"/>
  <c r="AM915" i="2" s="1"/>
  <c r="AK915" i="2"/>
  <c r="AJ915" i="2"/>
  <c r="AE915" i="2"/>
  <c r="AD915" i="2"/>
  <c r="AC915" i="2"/>
  <c r="AB915" i="2"/>
  <c r="Y915" i="2"/>
  <c r="W915" i="2"/>
  <c r="T915" i="2"/>
  <c r="S915" i="2"/>
  <c r="V915" i="2" s="1"/>
  <c r="R915" i="2"/>
  <c r="A915" i="2"/>
  <c r="AL914" i="2"/>
  <c r="AM914" i="2" s="1"/>
  <c r="AK914" i="2"/>
  <c r="AJ914" i="2"/>
  <c r="AE914" i="2"/>
  <c r="AD914" i="2"/>
  <c r="AC914" i="2"/>
  <c r="W914" i="2"/>
  <c r="Y914" i="2" s="1"/>
  <c r="AB914" i="2" s="1"/>
  <c r="T914" i="2"/>
  <c r="S914" i="2"/>
  <c r="V914" i="2" s="1"/>
  <c r="R914" i="2"/>
  <c r="A914" i="2"/>
  <c r="AL913" i="2"/>
  <c r="AM913" i="2" s="1"/>
  <c r="AK913" i="2"/>
  <c r="AJ913" i="2"/>
  <c r="AE913" i="2"/>
  <c r="AD913" i="2"/>
  <c r="AC913" i="2"/>
  <c r="W913" i="2"/>
  <c r="Y913" i="2" s="1"/>
  <c r="AB913" i="2" s="1"/>
  <c r="T913" i="2"/>
  <c r="S913" i="2"/>
  <c r="V913" i="2" s="1"/>
  <c r="R913" i="2"/>
  <c r="A913" i="2"/>
  <c r="AM912" i="2"/>
  <c r="AL912" i="2"/>
  <c r="AK912" i="2"/>
  <c r="AJ912" i="2"/>
  <c r="AE912" i="2"/>
  <c r="AD912" i="2"/>
  <c r="AC912" i="2"/>
  <c r="W912" i="2"/>
  <c r="Y912" i="2" s="1"/>
  <c r="AB912" i="2" s="1"/>
  <c r="T912" i="2"/>
  <c r="S912" i="2"/>
  <c r="V912" i="2" s="1"/>
  <c r="R912" i="2"/>
  <c r="A912" i="2"/>
  <c r="AL911" i="2"/>
  <c r="AM911" i="2" s="1"/>
  <c r="AK911" i="2"/>
  <c r="AJ911" i="2"/>
  <c r="AE911" i="2"/>
  <c r="AD911" i="2"/>
  <c r="AC911" i="2"/>
  <c r="AB911" i="2"/>
  <c r="Y911" i="2"/>
  <c r="W911" i="2"/>
  <c r="T911" i="2"/>
  <c r="S911" i="2"/>
  <c r="V911" i="2" s="1"/>
  <c r="R911" i="2"/>
  <c r="A911" i="2"/>
  <c r="AL910" i="2"/>
  <c r="AM910" i="2" s="1"/>
  <c r="AK910" i="2"/>
  <c r="AJ910" i="2"/>
  <c r="AE910" i="2"/>
  <c r="AD910" i="2"/>
  <c r="AC910" i="2"/>
  <c r="W910" i="2"/>
  <c r="Y910" i="2" s="1"/>
  <c r="AB910" i="2" s="1"/>
  <c r="T910" i="2"/>
  <c r="S910" i="2"/>
  <c r="V910" i="2" s="1"/>
  <c r="R910" i="2"/>
  <c r="A910" i="2"/>
  <c r="AL909" i="2"/>
  <c r="AM909" i="2" s="1"/>
  <c r="AK909" i="2"/>
  <c r="AJ909" i="2"/>
  <c r="AE909" i="2"/>
  <c r="AD909" i="2"/>
  <c r="AC909" i="2"/>
  <c r="W909" i="2"/>
  <c r="Y909" i="2" s="1"/>
  <c r="AB909" i="2" s="1"/>
  <c r="T909" i="2"/>
  <c r="S909" i="2"/>
  <c r="V909" i="2" s="1"/>
  <c r="R909" i="2"/>
  <c r="A909" i="2"/>
  <c r="AM908" i="2"/>
  <c r="AL908" i="2"/>
  <c r="AK908" i="2"/>
  <c r="AJ908" i="2"/>
  <c r="AE908" i="2"/>
  <c r="AD908" i="2"/>
  <c r="AC908" i="2"/>
  <c r="W908" i="2"/>
  <c r="Y908" i="2" s="1"/>
  <c r="AB908" i="2" s="1"/>
  <c r="T908" i="2"/>
  <c r="S908" i="2"/>
  <c r="V908" i="2" s="1"/>
  <c r="R908" i="2"/>
  <c r="A908" i="2"/>
  <c r="AL907" i="2"/>
  <c r="AM907" i="2" s="1"/>
  <c r="AK907" i="2"/>
  <c r="AJ907" i="2"/>
  <c r="AE907" i="2"/>
  <c r="AD907" i="2"/>
  <c r="AC907" i="2"/>
  <c r="AB907" i="2"/>
  <c r="Y907" i="2"/>
  <c r="W907" i="2"/>
  <c r="T907" i="2"/>
  <c r="S907" i="2"/>
  <c r="V907" i="2" s="1"/>
  <c r="R907" i="2"/>
  <c r="A907" i="2"/>
  <c r="AL906" i="2"/>
  <c r="AM906" i="2" s="1"/>
  <c r="AK906" i="2"/>
  <c r="AJ906" i="2"/>
  <c r="AE906" i="2"/>
  <c r="AD906" i="2"/>
  <c r="AC906" i="2"/>
  <c r="W906" i="2"/>
  <c r="Y906" i="2" s="1"/>
  <c r="AB906" i="2" s="1"/>
  <c r="T906" i="2"/>
  <c r="S906" i="2"/>
  <c r="V906" i="2" s="1"/>
  <c r="R906" i="2"/>
  <c r="A906" i="2"/>
  <c r="AL905" i="2"/>
  <c r="AM905" i="2" s="1"/>
  <c r="AK905" i="2"/>
  <c r="AJ905" i="2"/>
  <c r="AE905" i="2"/>
  <c r="AD905" i="2"/>
  <c r="AC905" i="2"/>
  <c r="W905" i="2"/>
  <c r="Y905" i="2" s="1"/>
  <c r="AB905" i="2" s="1"/>
  <c r="T905" i="2"/>
  <c r="S905" i="2"/>
  <c r="V905" i="2" s="1"/>
  <c r="R905" i="2"/>
  <c r="A905" i="2"/>
  <c r="AM904" i="2"/>
  <c r="AL904" i="2"/>
  <c r="AK904" i="2"/>
  <c r="AJ904" i="2"/>
  <c r="AE904" i="2"/>
  <c r="AD904" i="2"/>
  <c r="AC904" i="2"/>
  <c r="W904" i="2"/>
  <c r="Y904" i="2" s="1"/>
  <c r="AB904" i="2" s="1"/>
  <c r="T904" i="2"/>
  <c r="S904" i="2"/>
  <c r="V904" i="2" s="1"/>
  <c r="R904" i="2"/>
  <c r="A904" i="2"/>
  <c r="AL903" i="2"/>
  <c r="AM903" i="2" s="1"/>
  <c r="AK903" i="2"/>
  <c r="AJ903" i="2"/>
  <c r="AE903" i="2"/>
  <c r="AD903" i="2"/>
  <c r="AC903" i="2"/>
  <c r="AB903" i="2"/>
  <c r="Y903" i="2"/>
  <c r="W903" i="2"/>
  <c r="T903" i="2"/>
  <c r="S903" i="2"/>
  <c r="V903" i="2" s="1"/>
  <c r="R903" i="2"/>
  <c r="A903" i="2"/>
  <c r="AL902" i="2"/>
  <c r="AM902" i="2" s="1"/>
  <c r="AK902" i="2"/>
  <c r="AJ902" i="2"/>
  <c r="AE902" i="2"/>
  <c r="AD902" i="2"/>
  <c r="AC902" i="2"/>
  <c r="W902" i="2"/>
  <c r="Y902" i="2" s="1"/>
  <c r="AB902" i="2" s="1"/>
  <c r="T902" i="2"/>
  <c r="S902" i="2"/>
  <c r="V902" i="2" s="1"/>
  <c r="R902" i="2"/>
  <c r="A902" i="2"/>
  <c r="AL901" i="2"/>
  <c r="AM901" i="2" s="1"/>
  <c r="AK901" i="2"/>
  <c r="AJ901" i="2"/>
  <c r="AE901" i="2"/>
  <c r="AD901" i="2"/>
  <c r="AC901" i="2"/>
  <c r="W901" i="2"/>
  <c r="Y901" i="2" s="1"/>
  <c r="AB901" i="2" s="1"/>
  <c r="T901" i="2"/>
  <c r="S901" i="2"/>
  <c r="V901" i="2" s="1"/>
  <c r="R901" i="2"/>
  <c r="A901" i="2"/>
  <c r="AM900" i="2"/>
  <c r="AL900" i="2"/>
  <c r="AK900" i="2"/>
  <c r="AJ900" i="2"/>
  <c r="AE900" i="2"/>
  <c r="AD900" i="2"/>
  <c r="AC900" i="2"/>
  <c r="W900" i="2"/>
  <c r="Y900" i="2" s="1"/>
  <c r="AB900" i="2" s="1"/>
  <c r="T900" i="2"/>
  <c r="S900" i="2"/>
  <c r="V900" i="2" s="1"/>
  <c r="R900" i="2"/>
  <c r="A900" i="2"/>
  <c r="AL899" i="2"/>
  <c r="AM899" i="2" s="1"/>
  <c r="AK899" i="2"/>
  <c r="AJ899" i="2"/>
  <c r="AE899" i="2"/>
  <c r="AD899" i="2"/>
  <c r="AC899" i="2"/>
  <c r="AB899" i="2"/>
  <c r="Y899" i="2"/>
  <c r="W899" i="2"/>
  <c r="T899" i="2"/>
  <c r="S899" i="2"/>
  <c r="V899" i="2" s="1"/>
  <c r="R899" i="2"/>
  <c r="A899" i="2"/>
  <c r="AL898" i="2"/>
  <c r="AM898" i="2" s="1"/>
  <c r="AK898" i="2"/>
  <c r="AJ898" i="2"/>
  <c r="AE898" i="2"/>
  <c r="AD898" i="2"/>
  <c r="AC898" i="2"/>
  <c r="W898" i="2"/>
  <c r="Y898" i="2" s="1"/>
  <c r="AB898" i="2" s="1"/>
  <c r="T898" i="2"/>
  <c r="S898" i="2"/>
  <c r="V898" i="2" s="1"/>
  <c r="R898" i="2"/>
  <c r="A898" i="2"/>
  <c r="AL897" i="2"/>
  <c r="AM897" i="2" s="1"/>
  <c r="AK897" i="2"/>
  <c r="AJ897" i="2"/>
  <c r="AE897" i="2"/>
  <c r="AD897" i="2"/>
  <c r="AC897" i="2"/>
  <c r="W897" i="2"/>
  <c r="Y897" i="2" s="1"/>
  <c r="AB897" i="2" s="1"/>
  <c r="T897" i="2"/>
  <c r="S897" i="2"/>
  <c r="V897" i="2" s="1"/>
  <c r="R897" i="2"/>
  <c r="A897" i="2"/>
  <c r="AM896" i="2"/>
  <c r="AL896" i="2"/>
  <c r="AK896" i="2"/>
  <c r="AJ896" i="2"/>
  <c r="AE896" i="2"/>
  <c r="AD896" i="2"/>
  <c r="AC896" i="2"/>
  <c r="W896" i="2"/>
  <c r="Y896" i="2" s="1"/>
  <c r="AB896" i="2" s="1"/>
  <c r="T896" i="2"/>
  <c r="S896" i="2"/>
  <c r="V896" i="2" s="1"/>
  <c r="R896" i="2"/>
  <c r="A896" i="2"/>
  <c r="AL895" i="2"/>
  <c r="AM895" i="2" s="1"/>
  <c r="AK895" i="2"/>
  <c r="AJ895" i="2"/>
  <c r="AE895" i="2"/>
  <c r="AD895" i="2"/>
  <c r="AC895" i="2"/>
  <c r="AB895" i="2"/>
  <c r="Y895" i="2"/>
  <c r="W895" i="2"/>
  <c r="T895" i="2"/>
  <c r="S895" i="2"/>
  <c r="V895" i="2" s="1"/>
  <c r="R895" i="2"/>
  <c r="A895" i="2"/>
  <c r="AL894" i="2"/>
  <c r="AM894" i="2" s="1"/>
  <c r="AK894" i="2"/>
  <c r="AJ894" i="2"/>
  <c r="AE894" i="2"/>
  <c r="AD894" i="2"/>
  <c r="AC894" i="2"/>
  <c r="W894" i="2"/>
  <c r="Y894" i="2" s="1"/>
  <c r="AB894" i="2" s="1"/>
  <c r="T894" i="2"/>
  <c r="S894" i="2"/>
  <c r="V894" i="2" s="1"/>
  <c r="R894" i="2"/>
  <c r="A894" i="2"/>
  <c r="AL893" i="2"/>
  <c r="AM893" i="2" s="1"/>
  <c r="AK893" i="2"/>
  <c r="AJ893" i="2"/>
  <c r="AE893" i="2"/>
  <c r="AD893" i="2"/>
  <c r="AC893" i="2"/>
  <c r="W893" i="2"/>
  <c r="Y893" i="2" s="1"/>
  <c r="AB893" i="2" s="1"/>
  <c r="T893" i="2"/>
  <c r="S893" i="2"/>
  <c r="V893" i="2" s="1"/>
  <c r="R893" i="2"/>
  <c r="A893" i="2"/>
  <c r="AM892" i="2"/>
  <c r="AL892" i="2"/>
  <c r="AK892" i="2"/>
  <c r="AJ892" i="2"/>
  <c r="AE892" i="2"/>
  <c r="AD892" i="2"/>
  <c r="AC892" i="2"/>
  <c r="W892" i="2"/>
  <c r="Y892" i="2" s="1"/>
  <c r="AB892" i="2" s="1"/>
  <c r="T892" i="2"/>
  <c r="S892" i="2"/>
  <c r="V892" i="2" s="1"/>
  <c r="R892" i="2"/>
  <c r="A892" i="2"/>
  <c r="AL891" i="2"/>
  <c r="AM891" i="2" s="1"/>
  <c r="AK891" i="2"/>
  <c r="AJ891" i="2"/>
  <c r="AE891" i="2"/>
  <c r="AD891" i="2"/>
  <c r="AC891" i="2"/>
  <c r="AB891" i="2"/>
  <c r="Y891" i="2"/>
  <c r="W891" i="2"/>
  <c r="T891" i="2"/>
  <c r="S891" i="2"/>
  <c r="V891" i="2" s="1"/>
  <c r="R891" i="2"/>
  <c r="A891" i="2"/>
  <c r="AL890" i="2"/>
  <c r="AM890" i="2" s="1"/>
  <c r="AK890" i="2"/>
  <c r="AJ890" i="2"/>
  <c r="AE890" i="2"/>
  <c r="AD890" i="2"/>
  <c r="AC890" i="2"/>
  <c r="W890" i="2"/>
  <c r="Y890" i="2" s="1"/>
  <c r="AB890" i="2" s="1"/>
  <c r="T890" i="2"/>
  <c r="S890" i="2"/>
  <c r="V890" i="2" s="1"/>
  <c r="R890" i="2"/>
  <c r="A890" i="2"/>
  <c r="AL889" i="2"/>
  <c r="AM889" i="2" s="1"/>
  <c r="AK889" i="2"/>
  <c r="AJ889" i="2"/>
  <c r="AE889" i="2"/>
  <c r="AD889" i="2"/>
  <c r="AC889" i="2"/>
  <c r="W889" i="2"/>
  <c r="Y889" i="2" s="1"/>
  <c r="AB889" i="2" s="1"/>
  <c r="T889" i="2"/>
  <c r="S889" i="2"/>
  <c r="V889" i="2" s="1"/>
  <c r="R889" i="2"/>
  <c r="A889" i="2"/>
  <c r="AM888" i="2"/>
  <c r="AL888" i="2"/>
  <c r="AK888" i="2"/>
  <c r="AJ888" i="2"/>
  <c r="AE888" i="2"/>
  <c r="AD888" i="2"/>
  <c r="AC888" i="2"/>
  <c r="W888" i="2"/>
  <c r="Y888" i="2" s="1"/>
  <c r="AB888" i="2" s="1"/>
  <c r="T888" i="2"/>
  <c r="S888" i="2"/>
  <c r="V888" i="2" s="1"/>
  <c r="AP888" i="2" s="1"/>
  <c r="R888" i="2"/>
  <c r="A888" i="2"/>
  <c r="AL887" i="2"/>
  <c r="AM887" i="2" s="1"/>
  <c r="AK887" i="2"/>
  <c r="AJ887" i="2"/>
  <c r="AE887" i="2"/>
  <c r="AD887" i="2"/>
  <c r="AC887" i="2"/>
  <c r="Y887" i="2"/>
  <c r="AB887" i="2" s="1"/>
  <c r="W887" i="2"/>
  <c r="T887" i="2"/>
  <c r="S887" i="2"/>
  <c r="V887" i="2" s="1"/>
  <c r="AP887" i="2" s="1"/>
  <c r="R887" i="2"/>
  <c r="A887" i="2"/>
  <c r="AL886" i="2"/>
  <c r="AM886" i="2" s="1"/>
  <c r="AK886" i="2"/>
  <c r="AJ886" i="2"/>
  <c r="AE886" i="2"/>
  <c r="AD886" i="2"/>
  <c r="AC886" i="2"/>
  <c r="AB886" i="2"/>
  <c r="Y886" i="2"/>
  <c r="W886" i="2"/>
  <c r="V886" i="2"/>
  <c r="T886" i="2"/>
  <c r="S886" i="2"/>
  <c r="R886" i="2"/>
  <c r="A886" i="2"/>
  <c r="AL885" i="2"/>
  <c r="AM885" i="2" s="1"/>
  <c r="AK885" i="2"/>
  <c r="AJ885" i="2"/>
  <c r="AE885" i="2"/>
  <c r="AD885" i="2"/>
  <c r="AC885" i="2"/>
  <c r="W885" i="2"/>
  <c r="Y885" i="2" s="1"/>
  <c r="AB885" i="2" s="1"/>
  <c r="T885" i="2"/>
  <c r="S885" i="2"/>
  <c r="V885" i="2" s="1"/>
  <c r="R885" i="2"/>
  <c r="A885" i="2"/>
  <c r="AL884" i="2"/>
  <c r="AM884" i="2" s="1"/>
  <c r="AK884" i="2"/>
  <c r="AJ884" i="2"/>
  <c r="AE884" i="2"/>
  <c r="AD884" i="2"/>
  <c r="AC884" i="2"/>
  <c r="W884" i="2"/>
  <c r="Y884" i="2" s="1"/>
  <c r="AB884" i="2" s="1"/>
  <c r="T884" i="2"/>
  <c r="S884" i="2"/>
  <c r="V884" i="2" s="1"/>
  <c r="R884" i="2"/>
  <c r="A884" i="2"/>
  <c r="AM883" i="2"/>
  <c r="AL883" i="2"/>
  <c r="AK883" i="2"/>
  <c r="AJ883" i="2"/>
  <c r="AE883" i="2"/>
  <c r="AD883" i="2"/>
  <c r="AC883" i="2"/>
  <c r="W883" i="2"/>
  <c r="Y883" i="2" s="1"/>
  <c r="AB883" i="2" s="1"/>
  <c r="T883" i="2"/>
  <c r="S883" i="2"/>
  <c r="V883" i="2" s="1"/>
  <c r="R883" i="2"/>
  <c r="A883" i="2"/>
  <c r="AL882" i="2"/>
  <c r="AM882" i="2" s="1"/>
  <c r="AK882" i="2"/>
  <c r="AJ882" i="2"/>
  <c r="AE882" i="2"/>
  <c r="AD882" i="2"/>
  <c r="AC882" i="2"/>
  <c r="Y882" i="2"/>
  <c r="AB882" i="2" s="1"/>
  <c r="W882" i="2"/>
  <c r="V882" i="2"/>
  <c r="AO882" i="2" s="1"/>
  <c r="T882" i="2"/>
  <c r="S882" i="2"/>
  <c r="R882" i="2"/>
  <c r="A882" i="2"/>
  <c r="AM881" i="2"/>
  <c r="AL881" i="2"/>
  <c r="AK881" i="2"/>
  <c r="AJ881" i="2"/>
  <c r="AE881" i="2"/>
  <c r="AD881" i="2"/>
  <c r="AC881" i="2"/>
  <c r="W881" i="2"/>
  <c r="Y881" i="2" s="1"/>
  <c r="AB881" i="2" s="1"/>
  <c r="T881" i="2"/>
  <c r="S881" i="2"/>
  <c r="V881" i="2" s="1"/>
  <c r="R881" i="2"/>
  <c r="A881" i="2"/>
  <c r="AM880" i="2"/>
  <c r="AL880" i="2"/>
  <c r="AK880" i="2"/>
  <c r="AJ880" i="2"/>
  <c r="AE880" i="2"/>
  <c r="AD880" i="2"/>
  <c r="AC880" i="2"/>
  <c r="W880" i="2"/>
  <c r="Y880" i="2" s="1"/>
  <c r="AB880" i="2" s="1"/>
  <c r="T880" i="2"/>
  <c r="S880" i="2"/>
  <c r="V880" i="2" s="1"/>
  <c r="R880" i="2"/>
  <c r="A880" i="2"/>
  <c r="AM879" i="2"/>
  <c r="AL879" i="2"/>
  <c r="AK879" i="2"/>
  <c r="AJ879" i="2"/>
  <c r="AE879" i="2"/>
  <c r="AD879" i="2"/>
  <c r="AC879" i="2"/>
  <c r="Y879" i="2"/>
  <c r="AB879" i="2" s="1"/>
  <c r="W879" i="2"/>
  <c r="T879" i="2"/>
  <c r="S879" i="2"/>
  <c r="V879" i="2" s="1"/>
  <c r="R879" i="2"/>
  <c r="A879" i="2"/>
  <c r="AL878" i="2"/>
  <c r="AM878" i="2" s="1"/>
  <c r="AK878" i="2"/>
  <c r="AJ878" i="2"/>
  <c r="AE878" i="2"/>
  <c r="AD878" i="2"/>
  <c r="AC878" i="2"/>
  <c r="Y878" i="2"/>
  <c r="AB878" i="2" s="1"/>
  <c r="W878" i="2"/>
  <c r="V878" i="2"/>
  <c r="AO878" i="2" s="1"/>
  <c r="T878" i="2"/>
  <c r="S878" i="2"/>
  <c r="R878" i="2"/>
  <c r="A878" i="2"/>
  <c r="AL877" i="2"/>
  <c r="AM877" i="2" s="1"/>
  <c r="AK877" i="2"/>
  <c r="AJ877" i="2"/>
  <c r="AE877" i="2"/>
  <c r="AD877" i="2"/>
  <c r="AC877" i="2"/>
  <c r="W877" i="2"/>
  <c r="Y877" i="2" s="1"/>
  <c r="AB877" i="2" s="1"/>
  <c r="T877" i="2"/>
  <c r="S877" i="2"/>
  <c r="V877" i="2" s="1"/>
  <c r="R877" i="2"/>
  <c r="A877" i="2"/>
  <c r="AM876" i="2"/>
  <c r="AL876" i="2"/>
  <c r="AK876" i="2"/>
  <c r="AJ876" i="2"/>
  <c r="AE876" i="2"/>
  <c r="AD876" i="2"/>
  <c r="AC876" i="2"/>
  <c r="W876" i="2"/>
  <c r="Y876" i="2" s="1"/>
  <c r="AB876" i="2" s="1"/>
  <c r="T876" i="2"/>
  <c r="S876" i="2"/>
  <c r="V876" i="2" s="1"/>
  <c r="R876" i="2"/>
  <c r="A876" i="2"/>
  <c r="AL875" i="2"/>
  <c r="AM875" i="2" s="1"/>
  <c r="AK875" i="2"/>
  <c r="AJ875" i="2"/>
  <c r="AE875" i="2"/>
  <c r="AD875" i="2"/>
  <c r="AC875" i="2"/>
  <c r="Y875" i="2"/>
  <c r="AB875" i="2" s="1"/>
  <c r="W875" i="2"/>
  <c r="T875" i="2"/>
  <c r="S875" i="2"/>
  <c r="V875" i="2" s="1"/>
  <c r="R875" i="2"/>
  <c r="A875" i="2"/>
  <c r="AL874" i="2"/>
  <c r="AM874" i="2" s="1"/>
  <c r="AK874" i="2"/>
  <c r="AJ874" i="2"/>
  <c r="AE874" i="2"/>
  <c r="AD874" i="2"/>
  <c r="AC874" i="2"/>
  <c r="Y874" i="2"/>
  <c r="AB874" i="2" s="1"/>
  <c r="W874" i="2"/>
  <c r="V874" i="2"/>
  <c r="AO874" i="2" s="1"/>
  <c r="T874" i="2"/>
  <c r="S874" i="2"/>
  <c r="R874" i="2"/>
  <c r="A874" i="2"/>
  <c r="AM873" i="2"/>
  <c r="AL873" i="2"/>
  <c r="AK873" i="2"/>
  <c r="AJ873" i="2"/>
  <c r="AE873" i="2"/>
  <c r="AD873" i="2"/>
  <c r="AC873" i="2"/>
  <c r="W873" i="2"/>
  <c r="Y873" i="2" s="1"/>
  <c r="AB873" i="2" s="1"/>
  <c r="T873" i="2"/>
  <c r="S873" i="2"/>
  <c r="V873" i="2" s="1"/>
  <c r="R873" i="2"/>
  <c r="A873" i="2"/>
  <c r="AM872" i="2"/>
  <c r="AL872" i="2"/>
  <c r="AK872" i="2"/>
  <c r="AJ872" i="2"/>
  <c r="AE872" i="2"/>
  <c r="AD872" i="2"/>
  <c r="AC872" i="2"/>
  <c r="W872" i="2"/>
  <c r="Y872" i="2" s="1"/>
  <c r="AB872" i="2" s="1"/>
  <c r="T872" i="2"/>
  <c r="S872" i="2"/>
  <c r="V872" i="2" s="1"/>
  <c r="R872" i="2"/>
  <c r="A872" i="2"/>
  <c r="AL871" i="2"/>
  <c r="AM871" i="2" s="1"/>
  <c r="AK871" i="2"/>
  <c r="AJ871" i="2"/>
  <c r="AE871" i="2"/>
  <c r="AD871" i="2"/>
  <c r="AC871" i="2"/>
  <c r="Y871" i="2"/>
  <c r="AB871" i="2" s="1"/>
  <c r="W871" i="2"/>
  <c r="T871" i="2"/>
  <c r="S871" i="2"/>
  <c r="V871" i="2" s="1"/>
  <c r="R871" i="2"/>
  <c r="A871" i="2"/>
  <c r="AL870" i="2"/>
  <c r="AM870" i="2" s="1"/>
  <c r="AK870" i="2"/>
  <c r="AJ870" i="2"/>
  <c r="AE870" i="2"/>
  <c r="AD870" i="2"/>
  <c r="AC870" i="2"/>
  <c r="Y870" i="2"/>
  <c r="AB870" i="2" s="1"/>
  <c r="W870" i="2"/>
  <c r="V870" i="2"/>
  <c r="AO870" i="2" s="1"/>
  <c r="T870" i="2"/>
  <c r="S870" i="2"/>
  <c r="R870" i="2"/>
  <c r="A870" i="2"/>
  <c r="AM869" i="2"/>
  <c r="AL869" i="2"/>
  <c r="AK869" i="2"/>
  <c r="AJ869" i="2"/>
  <c r="AE869" i="2"/>
  <c r="AD869" i="2"/>
  <c r="AC869" i="2"/>
  <c r="W869" i="2"/>
  <c r="Y869" i="2" s="1"/>
  <c r="AB869" i="2" s="1"/>
  <c r="T869" i="2"/>
  <c r="S869" i="2"/>
  <c r="V869" i="2" s="1"/>
  <c r="R869" i="2"/>
  <c r="A869" i="2"/>
  <c r="AM868" i="2"/>
  <c r="AL868" i="2"/>
  <c r="AK868" i="2"/>
  <c r="AJ868" i="2"/>
  <c r="AE868" i="2"/>
  <c r="AD868" i="2"/>
  <c r="AC868" i="2"/>
  <c r="W868" i="2"/>
  <c r="Y868" i="2" s="1"/>
  <c r="AB868" i="2" s="1"/>
  <c r="T868" i="2"/>
  <c r="S868" i="2"/>
  <c r="V868" i="2" s="1"/>
  <c r="R868" i="2"/>
  <c r="A868" i="2"/>
  <c r="AL867" i="2"/>
  <c r="AM867" i="2" s="1"/>
  <c r="AK867" i="2"/>
  <c r="AJ867" i="2"/>
  <c r="AE867" i="2"/>
  <c r="AD867" i="2"/>
  <c r="AC867" i="2"/>
  <c r="Y867" i="2"/>
  <c r="AB867" i="2" s="1"/>
  <c r="W867" i="2"/>
  <c r="T867" i="2"/>
  <c r="S867" i="2"/>
  <c r="V867" i="2" s="1"/>
  <c r="R867" i="2"/>
  <c r="A867" i="2"/>
  <c r="AL866" i="2"/>
  <c r="AM866" i="2" s="1"/>
  <c r="AK866" i="2"/>
  <c r="AJ866" i="2"/>
  <c r="AE866" i="2"/>
  <c r="AD866" i="2"/>
  <c r="AC866" i="2"/>
  <c r="Y866" i="2"/>
  <c r="AB866" i="2" s="1"/>
  <c r="W866" i="2"/>
  <c r="V866" i="2"/>
  <c r="AO866" i="2" s="1"/>
  <c r="T866" i="2"/>
  <c r="S866" i="2"/>
  <c r="R866" i="2"/>
  <c r="A866" i="2"/>
  <c r="AM865" i="2"/>
  <c r="AL865" i="2"/>
  <c r="AK865" i="2"/>
  <c r="AJ865" i="2"/>
  <c r="AE865" i="2"/>
  <c r="AD865" i="2"/>
  <c r="AC865" i="2"/>
  <c r="W865" i="2"/>
  <c r="Y865" i="2" s="1"/>
  <c r="AB865" i="2" s="1"/>
  <c r="T865" i="2"/>
  <c r="S865" i="2"/>
  <c r="V865" i="2" s="1"/>
  <c r="R865" i="2"/>
  <c r="A865" i="2"/>
  <c r="AM864" i="2"/>
  <c r="AL864" i="2"/>
  <c r="AK864" i="2"/>
  <c r="AJ864" i="2"/>
  <c r="AE864" i="2"/>
  <c r="AD864" i="2"/>
  <c r="AC864" i="2"/>
  <c r="W864" i="2"/>
  <c r="Y864" i="2" s="1"/>
  <c r="AB864" i="2" s="1"/>
  <c r="T864" i="2"/>
  <c r="S864" i="2"/>
  <c r="V864" i="2" s="1"/>
  <c r="R864" i="2"/>
  <c r="A864" i="2"/>
  <c r="AL863" i="2"/>
  <c r="AM863" i="2" s="1"/>
  <c r="AK863" i="2"/>
  <c r="AJ863" i="2"/>
  <c r="AE863" i="2"/>
  <c r="AD863" i="2"/>
  <c r="AC863" i="2"/>
  <c r="Y863" i="2"/>
  <c r="AB863" i="2" s="1"/>
  <c r="W863" i="2"/>
  <c r="T863" i="2"/>
  <c r="S863" i="2"/>
  <c r="V863" i="2" s="1"/>
  <c r="R863" i="2"/>
  <c r="A863" i="2"/>
  <c r="AL862" i="2"/>
  <c r="AM862" i="2" s="1"/>
  <c r="AK862" i="2"/>
  <c r="AJ862" i="2"/>
  <c r="AE862" i="2"/>
  <c r="AD862" i="2"/>
  <c r="AC862" i="2"/>
  <c r="W862" i="2"/>
  <c r="Y862" i="2" s="1"/>
  <c r="AB862" i="2" s="1"/>
  <c r="V862" i="2"/>
  <c r="AO862" i="2" s="1"/>
  <c r="T862" i="2"/>
  <c r="S862" i="2"/>
  <c r="R862" i="2"/>
  <c r="A862" i="2"/>
  <c r="AM861" i="2"/>
  <c r="AL861" i="2"/>
  <c r="AK861" i="2"/>
  <c r="AJ861" i="2"/>
  <c r="AE861" i="2"/>
  <c r="AD861" i="2"/>
  <c r="AC861" i="2"/>
  <c r="W861" i="2"/>
  <c r="Y861" i="2" s="1"/>
  <c r="AB861" i="2" s="1"/>
  <c r="T861" i="2"/>
  <c r="S861" i="2"/>
  <c r="V861" i="2" s="1"/>
  <c r="R861" i="2"/>
  <c r="A861" i="2"/>
  <c r="AM860" i="2"/>
  <c r="AL860" i="2"/>
  <c r="AK860" i="2"/>
  <c r="AJ860" i="2"/>
  <c r="AE860" i="2"/>
  <c r="AD860" i="2"/>
  <c r="AC860" i="2"/>
  <c r="AB860" i="2"/>
  <c r="W860" i="2"/>
  <c r="Y860" i="2" s="1"/>
  <c r="T860" i="2"/>
  <c r="S860" i="2"/>
  <c r="V860" i="2" s="1"/>
  <c r="AP860" i="2" s="1"/>
  <c r="R860" i="2"/>
  <c r="A860" i="2"/>
  <c r="AP859" i="2"/>
  <c r="AL859" i="2"/>
  <c r="AM859" i="2" s="1"/>
  <c r="AK859" i="2"/>
  <c r="AJ859" i="2"/>
  <c r="AE859" i="2"/>
  <c r="AD859" i="2"/>
  <c r="AC859" i="2"/>
  <c r="Y859" i="2"/>
  <c r="AB859" i="2" s="1"/>
  <c r="W859" i="2"/>
  <c r="T859" i="2"/>
  <c r="S859" i="2"/>
  <c r="V859" i="2" s="1"/>
  <c r="AO859" i="2" s="1"/>
  <c r="R859" i="2"/>
  <c r="A859" i="2"/>
  <c r="AL858" i="2"/>
  <c r="AM858" i="2" s="1"/>
  <c r="AK858" i="2"/>
  <c r="AJ858" i="2"/>
  <c r="AE858" i="2"/>
  <c r="AD858" i="2"/>
  <c r="AC858" i="2"/>
  <c r="W858" i="2"/>
  <c r="Y858" i="2" s="1"/>
  <c r="AB858" i="2" s="1"/>
  <c r="V858" i="2"/>
  <c r="T858" i="2"/>
  <c r="S858" i="2"/>
  <c r="R858" i="2"/>
  <c r="A858" i="2"/>
  <c r="AM857" i="2"/>
  <c r="AL857" i="2"/>
  <c r="AK857" i="2"/>
  <c r="AJ857" i="2"/>
  <c r="AE857" i="2"/>
  <c r="AD857" i="2"/>
  <c r="AC857" i="2"/>
  <c r="W857" i="2"/>
  <c r="Y857" i="2" s="1"/>
  <c r="AB857" i="2" s="1"/>
  <c r="T857" i="2"/>
  <c r="S857" i="2"/>
  <c r="V857" i="2" s="1"/>
  <c r="R857" i="2"/>
  <c r="A857" i="2"/>
  <c r="AM856" i="2"/>
  <c r="AL856" i="2"/>
  <c r="AK856" i="2"/>
  <c r="AJ856" i="2"/>
  <c r="AE856" i="2"/>
  <c r="AD856" i="2"/>
  <c r="AC856" i="2"/>
  <c r="W856" i="2"/>
  <c r="Y856" i="2" s="1"/>
  <c r="AB856" i="2" s="1"/>
  <c r="T856" i="2"/>
  <c r="S856" i="2"/>
  <c r="V856" i="2" s="1"/>
  <c r="AP856" i="2" s="1"/>
  <c r="R856" i="2"/>
  <c r="A856" i="2"/>
  <c r="AL855" i="2"/>
  <c r="AM855" i="2" s="1"/>
  <c r="AK855" i="2"/>
  <c r="AJ855" i="2"/>
  <c r="AE855" i="2"/>
  <c r="AD855" i="2"/>
  <c r="AC855" i="2"/>
  <c r="W855" i="2"/>
  <c r="T855" i="2"/>
  <c r="S855" i="2"/>
  <c r="V855" i="2" s="1"/>
  <c r="AP855" i="2" s="1"/>
  <c r="R855" i="2"/>
  <c r="A855" i="2"/>
  <c r="AL854" i="2"/>
  <c r="AM854" i="2" s="1"/>
  <c r="AK854" i="2"/>
  <c r="AJ854" i="2"/>
  <c r="AE854" i="2"/>
  <c r="AD854" i="2"/>
  <c r="AC854" i="2"/>
  <c r="W854" i="2"/>
  <c r="Y854" i="2" s="1"/>
  <c r="AB854" i="2" s="1"/>
  <c r="T854" i="2"/>
  <c r="S854" i="2"/>
  <c r="V854" i="2" s="1"/>
  <c r="R854" i="2"/>
  <c r="A854" i="2"/>
  <c r="AL853" i="2"/>
  <c r="AM853" i="2" s="1"/>
  <c r="AK853" i="2"/>
  <c r="AJ853" i="2"/>
  <c r="AE853" i="2"/>
  <c r="AD853" i="2"/>
  <c r="AC853" i="2"/>
  <c r="W853" i="2"/>
  <c r="Y853" i="2" s="1"/>
  <c r="AB853" i="2" s="1"/>
  <c r="T853" i="2"/>
  <c r="S853" i="2"/>
  <c r="V853" i="2" s="1"/>
  <c r="R853" i="2"/>
  <c r="A853" i="2"/>
  <c r="AL852" i="2"/>
  <c r="AM852" i="2" s="1"/>
  <c r="AK852" i="2"/>
  <c r="AJ852" i="2"/>
  <c r="AE852" i="2"/>
  <c r="AD852" i="2"/>
  <c r="AC852" i="2"/>
  <c r="W852" i="2"/>
  <c r="Y852" i="2" s="1"/>
  <c r="AB852" i="2" s="1"/>
  <c r="T852" i="2"/>
  <c r="S852" i="2"/>
  <c r="V852" i="2" s="1"/>
  <c r="R852" i="2"/>
  <c r="A852" i="2"/>
  <c r="AM851" i="2"/>
  <c r="AL851" i="2"/>
  <c r="AK851" i="2"/>
  <c r="AJ851" i="2"/>
  <c r="AE851" i="2"/>
  <c r="AD851" i="2"/>
  <c r="AC851" i="2"/>
  <c r="W851" i="2"/>
  <c r="Y851" i="2" s="1"/>
  <c r="AB851" i="2" s="1"/>
  <c r="T851" i="2"/>
  <c r="S851" i="2"/>
  <c r="V851" i="2" s="1"/>
  <c r="R851" i="2"/>
  <c r="A851" i="2"/>
  <c r="AL850" i="2"/>
  <c r="AM850" i="2" s="1"/>
  <c r="AK850" i="2"/>
  <c r="AJ850" i="2"/>
  <c r="AE850" i="2"/>
  <c r="AD850" i="2"/>
  <c r="AC850" i="2"/>
  <c r="W850" i="2"/>
  <c r="Y850" i="2" s="1"/>
  <c r="AB850" i="2" s="1"/>
  <c r="T850" i="2"/>
  <c r="S850" i="2"/>
  <c r="V850" i="2" s="1"/>
  <c r="R850" i="2"/>
  <c r="A850" i="2"/>
  <c r="AL849" i="2"/>
  <c r="AM849" i="2" s="1"/>
  <c r="AK849" i="2"/>
  <c r="AJ849" i="2"/>
  <c r="AE849" i="2"/>
  <c r="AD849" i="2"/>
  <c r="AC849" i="2"/>
  <c r="W849" i="2"/>
  <c r="Y849" i="2" s="1"/>
  <c r="AB849" i="2" s="1"/>
  <c r="T849" i="2"/>
  <c r="S849" i="2"/>
  <c r="V849" i="2" s="1"/>
  <c r="R849" i="2"/>
  <c r="A849" i="2"/>
  <c r="AL848" i="2"/>
  <c r="AM848" i="2" s="1"/>
  <c r="AK848" i="2"/>
  <c r="AJ848" i="2"/>
  <c r="AE848" i="2"/>
  <c r="AD848" i="2"/>
  <c r="AC848" i="2"/>
  <c r="W848" i="2"/>
  <c r="Y848" i="2" s="1"/>
  <c r="AB848" i="2" s="1"/>
  <c r="T848" i="2"/>
  <c r="S848" i="2"/>
  <c r="V848" i="2" s="1"/>
  <c r="R848" i="2"/>
  <c r="A848" i="2"/>
  <c r="AM847" i="2"/>
  <c r="AL847" i="2"/>
  <c r="AK847" i="2"/>
  <c r="AJ847" i="2"/>
  <c r="AE847" i="2"/>
  <c r="AD847" i="2"/>
  <c r="AC847" i="2"/>
  <c r="W847" i="2"/>
  <c r="Y847" i="2" s="1"/>
  <c r="AB847" i="2" s="1"/>
  <c r="T847" i="2"/>
  <c r="S847" i="2"/>
  <c r="V847" i="2" s="1"/>
  <c r="R847" i="2"/>
  <c r="A847" i="2"/>
  <c r="AL846" i="2"/>
  <c r="AM846" i="2" s="1"/>
  <c r="AK846" i="2"/>
  <c r="AJ846" i="2"/>
  <c r="AE846" i="2"/>
  <c r="AD846" i="2"/>
  <c r="AC846" i="2"/>
  <c r="W846" i="2"/>
  <c r="Y846" i="2" s="1"/>
  <c r="AB846" i="2" s="1"/>
  <c r="T846" i="2"/>
  <c r="S846" i="2"/>
  <c r="V846" i="2" s="1"/>
  <c r="R846" i="2"/>
  <c r="A846" i="2"/>
  <c r="AL845" i="2"/>
  <c r="AM845" i="2" s="1"/>
  <c r="AK845" i="2"/>
  <c r="AJ845" i="2"/>
  <c r="AE845" i="2"/>
  <c r="AD845" i="2"/>
  <c r="AC845" i="2"/>
  <c r="W845" i="2"/>
  <c r="Y845" i="2" s="1"/>
  <c r="AB845" i="2" s="1"/>
  <c r="T845" i="2"/>
  <c r="S845" i="2"/>
  <c r="V845" i="2" s="1"/>
  <c r="R845" i="2"/>
  <c r="A845" i="2"/>
  <c r="AL844" i="2"/>
  <c r="AM844" i="2" s="1"/>
  <c r="AK844" i="2"/>
  <c r="AJ844" i="2"/>
  <c r="AE844" i="2"/>
  <c r="AD844" i="2"/>
  <c r="AC844" i="2"/>
  <c r="W844" i="2"/>
  <c r="Y844" i="2" s="1"/>
  <c r="AB844" i="2" s="1"/>
  <c r="T844" i="2"/>
  <c r="S844" i="2"/>
  <c r="V844" i="2" s="1"/>
  <c r="R844" i="2"/>
  <c r="A844" i="2"/>
  <c r="AM843" i="2"/>
  <c r="AL843" i="2"/>
  <c r="AK843" i="2"/>
  <c r="AJ843" i="2"/>
  <c r="AE843" i="2"/>
  <c r="AD843" i="2"/>
  <c r="AC843" i="2"/>
  <c r="W843" i="2"/>
  <c r="Y843" i="2" s="1"/>
  <c r="AB843" i="2" s="1"/>
  <c r="T843" i="2"/>
  <c r="S843" i="2"/>
  <c r="V843" i="2" s="1"/>
  <c r="R843" i="2"/>
  <c r="A843" i="2"/>
  <c r="AL842" i="2"/>
  <c r="AM842" i="2" s="1"/>
  <c r="AK842" i="2"/>
  <c r="AJ842" i="2"/>
  <c r="AE842" i="2"/>
  <c r="AD842" i="2"/>
  <c r="AC842" i="2"/>
  <c r="W842" i="2"/>
  <c r="Y842" i="2" s="1"/>
  <c r="AB842" i="2" s="1"/>
  <c r="T842" i="2"/>
  <c r="S842" i="2"/>
  <c r="V842" i="2" s="1"/>
  <c r="R842" i="2"/>
  <c r="A842" i="2"/>
  <c r="AL841" i="2"/>
  <c r="AM841" i="2" s="1"/>
  <c r="AK841" i="2"/>
  <c r="AJ841" i="2"/>
  <c r="AE841" i="2"/>
  <c r="AD841" i="2"/>
  <c r="AC841" i="2"/>
  <c r="W841" i="2"/>
  <c r="Y841" i="2" s="1"/>
  <c r="AB841" i="2" s="1"/>
  <c r="T841" i="2"/>
  <c r="S841" i="2"/>
  <c r="V841" i="2" s="1"/>
  <c r="R841" i="2"/>
  <c r="A841" i="2"/>
  <c r="AL840" i="2"/>
  <c r="AM840" i="2" s="1"/>
  <c r="AK840" i="2"/>
  <c r="AJ840" i="2"/>
  <c r="AE840" i="2"/>
  <c r="AD840" i="2"/>
  <c r="AC840" i="2"/>
  <c r="W840" i="2"/>
  <c r="Y840" i="2" s="1"/>
  <c r="AB840" i="2" s="1"/>
  <c r="T840" i="2"/>
  <c r="S840" i="2"/>
  <c r="V840" i="2" s="1"/>
  <c r="R840" i="2"/>
  <c r="A840" i="2"/>
  <c r="AM839" i="2"/>
  <c r="AL839" i="2"/>
  <c r="AK839" i="2"/>
  <c r="AJ839" i="2"/>
  <c r="AE839" i="2"/>
  <c r="AD839" i="2"/>
  <c r="AC839" i="2"/>
  <c r="W839" i="2"/>
  <c r="Y839" i="2" s="1"/>
  <c r="AB839" i="2" s="1"/>
  <c r="T839" i="2"/>
  <c r="S839" i="2"/>
  <c r="V839" i="2" s="1"/>
  <c r="R839" i="2"/>
  <c r="A839" i="2"/>
  <c r="AL838" i="2"/>
  <c r="AM838" i="2" s="1"/>
  <c r="AK838" i="2"/>
  <c r="AJ838" i="2"/>
  <c r="AE838" i="2"/>
  <c r="AD838" i="2"/>
  <c r="AC838" i="2"/>
  <c r="W838" i="2"/>
  <c r="Y838" i="2" s="1"/>
  <c r="AB838" i="2" s="1"/>
  <c r="T838" i="2"/>
  <c r="S838" i="2"/>
  <c r="V838" i="2" s="1"/>
  <c r="R838" i="2"/>
  <c r="A838" i="2"/>
  <c r="AL837" i="2"/>
  <c r="AM837" i="2" s="1"/>
  <c r="AK837" i="2"/>
  <c r="AJ837" i="2"/>
  <c r="AE837" i="2"/>
  <c r="AD837" i="2"/>
  <c r="AC837" i="2"/>
  <c r="W837" i="2"/>
  <c r="Y837" i="2" s="1"/>
  <c r="AB837" i="2" s="1"/>
  <c r="T837" i="2"/>
  <c r="S837" i="2"/>
  <c r="V837" i="2" s="1"/>
  <c r="R837" i="2"/>
  <c r="A837" i="2"/>
  <c r="AL836" i="2"/>
  <c r="AM836" i="2" s="1"/>
  <c r="AK836" i="2"/>
  <c r="AJ836" i="2"/>
  <c r="AE836" i="2"/>
  <c r="AD836" i="2"/>
  <c r="AC836" i="2"/>
  <c r="W836" i="2"/>
  <c r="Y836" i="2" s="1"/>
  <c r="AB836" i="2" s="1"/>
  <c r="T836" i="2"/>
  <c r="S836" i="2"/>
  <c r="V836" i="2" s="1"/>
  <c r="R836" i="2"/>
  <c r="A836" i="2"/>
  <c r="AM835" i="2"/>
  <c r="AL835" i="2"/>
  <c r="AK835" i="2"/>
  <c r="AJ835" i="2"/>
  <c r="AE835" i="2"/>
  <c r="AD835" i="2"/>
  <c r="AC835" i="2"/>
  <c r="W835" i="2"/>
  <c r="Y835" i="2" s="1"/>
  <c r="AB835" i="2" s="1"/>
  <c r="T835" i="2"/>
  <c r="S835" i="2"/>
  <c r="V835" i="2" s="1"/>
  <c r="R835" i="2"/>
  <c r="A835" i="2"/>
  <c r="AL834" i="2"/>
  <c r="AM834" i="2" s="1"/>
  <c r="AK834" i="2"/>
  <c r="AJ834" i="2"/>
  <c r="AE834" i="2"/>
  <c r="AD834" i="2"/>
  <c r="AC834" i="2"/>
  <c r="W834" i="2"/>
  <c r="Y834" i="2" s="1"/>
  <c r="AB834" i="2" s="1"/>
  <c r="T834" i="2"/>
  <c r="S834" i="2"/>
  <c r="V834" i="2" s="1"/>
  <c r="R834" i="2"/>
  <c r="A834" i="2"/>
  <c r="AL833" i="2"/>
  <c r="AM833" i="2" s="1"/>
  <c r="AK833" i="2"/>
  <c r="AJ833" i="2"/>
  <c r="AE833" i="2"/>
  <c r="AD833" i="2"/>
  <c r="AC833" i="2"/>
  <c r="W833" i="2"/>
  <c r="Y833" i="2" s="1"/>
  <c r="AB833" i="2" s="1"/>
  <c r="T833" i="2"/>
  <c r="S833" i="2"/>
  <c r="V833" i="2" s="1"/>
  <c r="R833" i="2"/>
  <c r="A833" i="2"/>
  <c r="AL832" i="2"/>
  <c r="AM832" i="2" s="1"/>
  <c r="AK832" i="2"/>
  <c r="AJ832" i="2"/>
  <c r="AE832" i="2"/>
  <c r="AD832" i="2"/>
  <c r="AC832" i="2"/>
  <c r="W832" i="2"/>
  <c r="Y832" i="2" s="1"/>
  <c r="AB832" i="2" s="1"/>
  <c r="T832" i="2"/>
  <c r="S832" i="2"/>
  <c r="V832" i="2" s="1"/>
  <c r="R832" i="2"/>
  <c r="A832" i="2"/>
  <c r="AM831" i="2"/>
  <c r="AL831" i="2"/>
  <c r="AK831" i="2"/>
  <c r="AJ831" i="2"/>
  <c r="AE831" i="2"/>
  <c r="AD831" i="2"/>
  <c r="AC831" i="2"/>
  <c r="W831" i="2"/>
  <c r="Y831" i="2" s="1"/>
  <c r="AB831" i="2" s="1"/>
  <c r="T831" i="2"/>
  <c r="S831" i="2"/>
  <c r="V831" i="2" s="1"/>
  <c r="R831" i="2"/>
  <c r="A831" i="2"/>
  <c r="AL830" i="2"/>
  <c r="AM830" i="2" s="1"/>
  <c r="AK830" i="2"/>
  <c r="AJ830" i="2"/>
  <c r="AE830" i="2"/>
  <c r="AD830" i="2"/>
  <c r="AC830" i="2"/>
  <c r="W830" i="2"/>
  <c r="Y830" i="2" s="1"/>
  <c r="AB830" i="2" s="1"/>
  <c r="T830" i="2"/>
  <c r="S830" i="2"/>
  <c r="V830" i="2" s="1"/>
  <c r="R830" i="2"/>
  <c r="A830" i="2"/>
  <c r="AL829" i="2"/>
  <c r="AM829" i="2" s="1"/>
  <c r="AK829" i="2"/>
  <c r="AJ829" i="2"/>
  <c r="AE829" i="2"/>
  <c r="AD829" i="2"/>
  <c r="AC829" i="2"/>
  <c r="W829" i="2"/>
  <c r="Y829" i="2" s="1"/>
  <c r="AB829" i="2" s="1"/>
  <c r="T829" i="2"/>
  <c r="S829" i="2"/>
  <c r="V829" i="2" s="1"/>
  <c r="R829" i="2"/>
  <c r="A829" i="2"/>
  <c r="AL828" i="2"/>
  <c r="AM828" i="2" s="1"/>
  <c r="AK828" i="2"/>
  <c r="AJ828" i="2"/>
  <c r="AE828" i="2"/>
  <c r="AD828" i="2"/>
  <c r="AC828" i="2"/>
  <c r="W828" i="2"/>
  <c r="Y828" i="2" s="1"/>
  <c r="AB828" i="2" s="1"/>
  <c r="T828" i="2"/>
  <c r="S828" i="2"/>
  <c r="V828" i="2" s="1"/>
  <c r="R828" i="2"/>
  <c r="A828" i="2"/>
  <c r="AM827" i="2"/>
  <c r="AL827" i="2"/>
  <c r="AK827" i="2"/>
  <c r="AJ827" i="2"/>
  <c r="AE827" i="2"/>
  <c r="AD827" i="2"/>
  <c r="AC827" i="2"/>
  <c r="W827" i="2"/>
  <c r="Y827" i="2" s="1"/>
  <c r="AB827" i="2" s="1"/>
  <c r="T827" i="2"/>
  <c r="S827" i="2"/>
  <c r="V827" i="2" s="1"/>
  <c r="R827" i="2"/>
  <c r="A827" i="2"/>
  <c r="AL826" i="2"/>
  <c r="AM826" i="2" s="1"/>
  <c r="AK826" i="2"/>
  <c r="AJ826" i="2"/>
  <c r="AE826" i="2"/>
  <c r="AD826" i="2"/>
  <c r="AC826" i="2"/>
  <c r="W826" i="2"/>
  <c r="Y826" i="2" s="1"/>
  <c r="AB826" i="2" s="1"/>
  <c r="T826" i="2"/>
  <c r="S826" i="2"/>
  <c r="V826" i="2" s="1"/>
  <c r="R826" i="2"/>
  <c r="A826" i="2"/>
  <c r="AL825" i="2"/>
  <c r="AM825" i="2" s="1"/>
  <c r="AK825" i="2"/>
  <c r="AJ825" i="2"/>
  <c r="AE825" i="2"/>
  <c r="AD825" i="2"/>
  <c r="AC825" i="2"/>
  <c r="W825" i="2"/>
  <c r="Y825" i="2" s="1"/>
  <c r="AB825" i="2" s="1"/>
  <c r="T825" i="2"/>
  <c r="S825" i="2"/>
  <c r="V825" i="2" s="1"/>
  <c r="R825" i="2"/>
  <c r="A825" i="2"/>
  <c r="AL824" i="2"/>
  <c r="AM824" i="2" s="1"/>
  <c r="AK824" i="2"/>
  <c r="AJ824" i="2"/>
  <c r="AE824" i="2"/>
  <c r="AD824" i="2"/>
  <c r="AC824" i="2"/>
  <c r="W824" i="2"/>
  <c r="Y824" i="2" s="1"/>
  <c r="AB824" i="2" s="1"/>
  <c r="T824" i="2"/>
  <c r="S824" i="2"/>
  <c r="V824" i="2" s="1"/>
  <c r="R824" i="2"/>
  <c r="A824" i="2"/>
  <c r="AL823" i="2"/>
  <c r="AM823" i="2" s="1"/>
  <c r="AK823" i="2"/>
  <c r="AJ823" i="2"/>
  <c r="AE823" i="2"/>
  <c r="AD823" i="2"/>
  <c r="AC823" i="2"/>
  <c r="W823" i="2"/>
  <c r="Y823" i="2" s="1"/>
  <c r="AB823" i="2" s="1"/>
  <c r="T823" i="2"/>
  <c r="S823" i="2"/>
  <c r="V823" i="2" s="1"/>
  <c r="R823" i="2"/>
  <c r="A823" i="2"/>
  <c r="AM822" i="2"/>
  <c r="AL822" i="2"/>
  <c r="AK822" i="2"/>
  <c r="AJ822" i="2"/>
  <c r="AE822" i="2"/>
  <c r="AD822" i="2"/>
  <c r="AC822" i="2"/>
  <c r="W822" i="2"/>
  <c r="Y822" i="2" s="1"/>
  <c r="AB822" i="2" s="1"/>
  <c r="T822" i="2"/>
  <c r="S822" i="2"/>
  <c r="V822" i="2" s="1"/>
  <c r="R822" i="2"/>
  <c r="A822" i="2"/>
  <c r="AL821" i="2"/>
  <c r="AM821" i="2" s="1"/>
  <c r="AK821" i="2"/>
  <c r="AJ821" i="2"/>
  <c r="AE821" i="2"/>
  <c r="AD821" i="2"/>
  <c r="AC821" i="2"/>
  <c r="W821" i="2"/>
  <c r="Y821" i="2" s="1"/>
  <c r="AB821" i="2" s="1"/>
  <c r="T821" i="2"/>
  <c r="S821" i="2"/>
  <c r="V821" i="2" s="1"/>
  <c r="R821" i="2"/>
  <c r="A821" i="2"/>
  <c r="AM820" i="2"/>
  <c r="AL820" i="2"/>
  <c r="AK820" i="2"/>
  <c r="AJ820" i="2"/>
  <c r="AE820" i="2"/>
  <c r="AD820" i="2"/>
  <c r="AC820" i="2"/>
  <c r="W820" i="2"/>
  <c r="Y820" i="2" s="1"/>
  <c r="AB820" i="2" s="1"/>
  <c r="T820" i="2"/>
  <c r="S820" i="2"/>
  <c r="V820" i="2" s="1"/>
  <c r="R820" i="2"/>
  <c r="A820" i="2"/>
  <c r="AO819" i="2"/>
  <c r="AL819" i="2"/>
  <c r="AM819" i="2" s="1"/>
  <c r="AK819" i="2"/>
  <c r="AJ819" i="2"/>
  <c r="AE819" i="2"/>
  <c r="AD819" i="2"/>
  <c r="AC819" i="2"/>
  <c r="W819" i="2"/>
  <c r="Y819" i="2" s="1"/>
  <c r="AB819" i="2" s="1"/>
  <c r="V819" i="2"/>
  <c r="AP819" i="2" s="1"/>
  <c r="T819" i="2"/>
  <c r="S819" i="2"/>
  <c r="R819" i="2"/>
  <c r="A819" i="2"/>
  <c r="AM818" i="2"/>
  <c r="AL818" i="2"/>
  <c r="AK818" i="2"/>
  <c r="AJ818" i="2"/>
  <c r="AE818" i="2"/>
  <c r="AD818" i="2"/>
  <c r="AC818" i="2"/>
  <c r="W818" i="2"/>
  <c r="Y818" i="2" s="1"/>
  <c r="AB818" i="2" s="1"/>
  <c r="T818" i="2"/>
  <c r="S818" i="2"/>
  <c r="V818" i="2" s="1"/>
  <c r="R818" i="2"/>
  <c r="A818" i="2"/>
  <c r="AL817" i="2"/>
  <c r="AM817" i="2" s="1"/>
  <c r="AK817" i="2"/>
  <c r="AJ817" i="2"/>
  <c r="AE817" i="2"/>
  <c r="AD817" i="2"/>
  <c r="AC817" i="2"/>
  <c r="W817" i="2"/>
  <c r="Y817" i="2" s="1"/>
  <c r="AB817" i="2" s="1"/>
  <c r="T817" i="2"/>
  <c r="S817" i="2"/>
  <c r="V817" i="2" s="1"/>
  <c r="R817" i="2"/>
  <c r="A817" i="2"/>
  <c r="AM816" i="2"/>
  <c r="AL816" i="2"/>
  <c r="AK816" i="2"/>
  <c r="AJ816" i="2"/>
  <c r="AE816" i="2"/>
  <c r="AD816" i="2"/>
  <c r="AC816" i="2"/>
  <c r="W816" i="2"/>
  <c r="Y816" i="2" s="1"/>
  <c r="AB816" i="2" s="1"/>
  <c r="T816" i="2"/>
  <c r="S816" i="2"/>
  <c r="V816" i="2" s="1"/>
  <c r="R816" i="2"/>
  <c r="A816" i="2"/>
  <c r="AO815" i="2"/>
  <c r="AL815" i="2"/>
  <c r="AM815" i="2" s="1"/>
  <c r="AK815" i="2"/>
  <c r="AJ815" i="2"/>
  <c r="AE815" i="2"/>
  <c r="AD815" i="2"/>
  <c r="AC815" i="2"/>
  <c r="W815" i="2"/>
  <c r="Y815" i="2" s="1"/>
  <c r="AB815" i="2" s="1"/>
  <c r="V815" i="2"/>
  <c r="AP815" i="2" s="1"/>
  <c r="T815" i="2"/>
  <c r="S815" i="2"/>
  <c r="R815" i="2"/>
  <c r="A815" i="2"/>
  <c r="AM814" i="2"/>
  <c r="AL814" i="2"/>
  <c r="AK814" i="2"/>
  <c r="AJ814" i="2"/>
  <c r="AE814" i="2"/>
  <c r="AD814" i="2"/>
  <c r="AC814" i="2"/>
  <c r="W814" i="2"/>
  <c r="Y814" i="2" s="1"/>
  <c r="AB814" i="2" s="1"/>
  <c r="T814" i="2"/>
  <c r="S814" i="2"/>
  <c r="V814" i="2" s="1"/>
  <c r="R814" i="2"/>
  <c r="A814" i="2"/>
  <c r="AL813" i="2"/>
  <c r="AM813" i="2" s="1"/>
  <c r="AK813" i="2"/>
  <c r="AJ813" i="2"/>
  <c r="AE813" i="2"/>
  <c r="AD813" i="2"/>
  <c r="AC813" i="2"/>
  <c r="W813" i="2"/>
  <c r="Y813" i="2" s="1"/>
  <c r="AB813" i="2" s="1"/>
  <c r="T813" i="2"/>
  <c r="S813" i="2"/>
  <c r="V813" i="2" s="1"/>
  <c r="R813" i="2"/>
  <c r="A813" i="2"/>
  <c r="AM812" i="2"/>
  <c r="AL812" i="2"/>
  <c r="AK812" i="2"/>
  <c r="AJ812" i="2"/>
  <c r="AE812" i="2"/>
  <c r="AD812" i="2"/>
  <c r="AC812" i="2"/>
  <c r="W812" i="2"/>
  <c r="Y812" i="2" s="1"/>
  <c r="AB812" i="2" s="1"/>
  <c r="T812" i="2"/>
  <c r="S812" i="2"/>
  <c r="V812" i="2" s="1"/>
  <c r="R812" i="2"/>
  <c r="A812" i="2"/>
  <c r="AO811" i="2"/>
  <c r="AL811" i="2"/>
  <c r="AM811" i="2" s="1"/>
  <c r="AK811" i="2"/>
  <c r="AJ811" i="2"/>
  <c r="AE811" i="2"/>
  <c r="AD811" i="2"/>
  <c r="AC811" i="2"/>
  <c r="W811" i="2"/>
  <c r="Y811" i="2" s="1"/>
  <c r="AB811" i="2" s="1"/>
  <c r="V811" i="2"/>
  <c r="AP811" i="2" s="1"/>
  <c r="T811" i="2"/>
  <c r="S811" i="2"/>
  <c r="R811" i="2"/>
  <c r="A811" i="2"/>
  <c r="AM810" i="2"/>
  <c r="AL810" i="2"/>
  <c r="AK810" i="2"/>
  <c r="AJ810" i="2"/>
  <c r="AE810" i="2"/>
  <c r="AD810" i="2"/>
  <c r="AC810" i="2"/>
  <c r="W810" i="2"/>
  <c r="Y810" i="2" s="1"/>
  <c r="AB810" i="2" s="1"/>
  <c r="T810" i="2"/>
  <c r="S810" i="2"/>
  <c r="V810" i="2" s="1"/>
  <c r="R810" i="2"/>
  <c r="A810" i="2"/>
  <c r="AL809" i="2"/>
  <c r="AM809" i="2" s="1"/>
  <c r="AK809" i="2"/>
  <c r="AJ809" i="2"/>
  <c r="AE809" i="2"/>
  <c r="AD809" i="2"/>
  <c r="AC809" i="2"/>
  <c r="W809" i="2"/>
  <c r="Y809" i="2" s="1"/>
  <c r="AB809" i="2" s="1"/>
  <c r="T809" i="2"/>
  <c r="S809" i="2"/>
  <c r="V809" i="2" s="1"/>
  <c r="R809" i="2"/>
  <c r="A809" i="2"/>
  <c r="AM808" i="2"/>
  <c r="AL808" i="2"/>
  <c r="AK808" i="2"/>
  <c r="AJ808" i="2"/>
  <c r="AE808" i="2"/>
  <c r="AD808" i="2"/>
  <c r="AC808" i="2"/>
  <c r="W808" i="2"/>
  <c r="Y808" i="2" s="1"/>
  <c r="AB808" i="2" s="1"/>
  <c r="T808" i="2"/>
  <c r="S808" i="2"/>
  <c r="V808" i="2" s="1"/>
  <c r="R808" i="2"/>
  <c r="A808" i="2"/>
  <c r="AO807" i="2"/>
  <c r="AL807" i="2"/>
  <c r="AM807" i="2" s="1"/>
  <c r="AK807" i="2"/>
  <c r="AJ807" i="2"/>
  <c r="AE807" i="2"/>
  <c r="AD807" i="2"/>
  <c r="AC807" i="2"/>
  <c r="W807" i="2"/>
  <c r="Y807" i="2" s="1"/>
  <c r="AB807" i="2" s="1"/>
  <c r="V807" i="2"/>
  <c r="AP807" i="2" s="1"/>
  <c r="T807" i="2"/>
  <c r="S807" i="2"/>
  <c r="R807" i="2"/>
  <c r="A807" i="2"/>
  <c r="AM806" i="2"/>
  <c r="AL806" i="2"/>
  <c r="AK806" i="2"/>
  <c r="AJ806" i="2"/>
  <c r="AE806" i="2"/>
  <c r="AD806" i="2"/>
  <c r="AC806" i="2"/>
  <c r="W806" i="2"/>
  <c r="Y806" i="2" s="1"/>
  <c r="AB806" i="2" s="1"/>
  <c r="T806" i="2"/>
  <c r="S806" i="2"/>
  <c r="V806" i="2" s="1"/>
  <c r="R806" i="2"/>
  <c r="A806" i="2"/>
  <c r="AL805" i="2"/>
  <c r="AM805" i="2" s="1"/>
  <c r="AK805" i="2"/>
  <c r="AJ805" i="2"/>
  <c r="AE805" i="2"/>
  <c r="AD805" i="2"/>
  <c r="AC805" i="2"/>
  <c r="W805" i="2"/>
  <c r="Y805" i="2" s="1"/>
  <c r="AB805" i="2" s="1"/>
  <c r="T805" i="2"/>
  <c r="S805" i="2"/>
  <c r="V805" i="2" s="1"/>
  <c r="R805" i="2"/>
  <c r="A805" i="2"/>
  <c r="AM804" i="2"/>
  <c r="AL804" i="2"/>
  <c r="AK804" i="2"/>
  <c r="AJ804" i="2"/>
  <c r="AE804" i="2"/>
  <c r="AD804" i="2"/>
  <c r="AC804" i="2"/>
  <c r="W804" i="2"/>
  <c r="Y804" i="2" s="1"/>
  <c r="AB804" i="2" s="1"/>
  <c r="T804" i="2"/>
  <c r="S804" i="2"/>
  <c r="V804" i="2" s="1"/>
  <c r="R804" i="2"/>
  <c r="A804" i="2"/>
  <c r="AO803" i="2"/>
  <c r="AL803" i="2"/>
  <c r="AM803" i="2" s="1"/>
  <c r="AK803" i="2"/>
  <c r="AJ803" i="2"/>
  <c r="AE803" i="2"/>
  <c r="AD803" i="2"/>
  <c r="AC803" i="2"/>
  <c r="W803" i="2"/>
  <c r="Y803" i="2" s="1"/>
  <c r="AB803" i="2" s="1"/>
  <c r="V803" i="2"/>
  <c r="AP803" i="2" s="1"/>
  <c r="T803" i="2"/>
  <c r="S803" i="2"/>
  <c r="R803" i="2"/>
  <c r="A803" i="2"/>
  <c r="AM802" i="2"/>
  <c r="AL802" i="2"/>
  <c r="AK802" i="2"/>
  <c r="AJ802" i="2"/>
  <c r="AE802" i="2"/>
  <c r="AD802" i="2"/>
  <c r="AC802" i="2"/>
  <c r="W802" i="2"/>
  <c r="Y802" i="2" s="1"/>
  <c r="AB802" i="2" s="1"/>
  <c r="T802" i="2"/>
  <c r="S802" i="2"/>
  <c r="V802" i="2" s="1"/>
  <c r="R802" i="2"/>
  <c r="A802" i="2"/>
  <c r="AL801" i="2"/>
  <c r="AM801" i="2" s="1"/>
  <c r="AK801" i="2"/>
  <c r="AJ801" i="2"/>
  <c r="AE801" i="2"/>
  <c r="AD801" i="2"/>
  <c r="AC801" i="2"/>
  <c r="W801" i="2"/>
  <c r="Y801" i="2" s="1"/>
  <c r="AB801" i="2" s="1"/>
  <c r="T801" i="2"/>
  <c r="S801" i="2"/>
  <c r="V801" i="2" s="1"/>
  <c r="R801" i="2"/>
  <c r="A801" i="2"/>
  <c r="AM800" i="2"/>
  <c r="AL800" i="2"/>
  <c r="AK800" i="2"/>
  <c r="AJ800" i="2"/>
  <c r="AE800" i="2"/>
  <c r="AD800" i="2"/>
  <c r="AC800" i="2"/>
  <c r="W800" i="2"/>
  <c r="Y800" i="2" s="1"/>
  <c r="AB800" i="2" s="1"/>
  <c r="T800" i="2"/>
  <c r="S800" i="2"/>
  <c r="V800" i="2" s="1"/>
  <c r="R800" i="2"/>
  <c r="A800" i="2"/>
  <c r="AO799" i="2"/>
  <c r="AL799" i="2"/>
  <c r="AM799" i="2" s="1"/>
  <c r="AK799" i="2"/>
  <c r="AJ799" i="2"/>
  <c r="AE799" i="2"/>
  <c r="AD799" i="2"/>
  <c r="AC799" i="2"/>
  <c r="W799" i="2"/>
  <c r="Y799" i="2" s="1"/>
  <c r="AB799" i="2" s="1"/>
  <c r="V799" i="2"/>
  <c r="AP799" i="2" s="1"/>
  <c r="T799" i="2"/>
  <c r="S799" i="2"/>
  <c r="R799" i="2"/>
  <c r="A799" i="2"/>
  <c r="AM798" i="2"/>
  <c r="AL798" i="2"/>
  <c r="AK798" i="2"/>
  <c r="AJ798" i="2"/>
  <c r="AE798" i="2"/>
  <c r="AD798" i="2"/>
  <c r="AC798" i="2"/>
  <c r="W798" i="2"/>
  <c r="Y798" i="2" s="1"/>
  <c r="AB798" i="2" s="1"/>
  <c r="T798" i="2"/>
  <c r="S798" i="2"/>
  <c r="V798" i="2" s="1"/>
  <c r="R798" i="2"/>
  <c r="A798" i="2"/>
  <c r="AL797" i="2"/>
  <c r="AM797" i="2" s="1"/>
  <c r="AK797" i="2"/>
  <c r="AJ797" i="2"/>
  <c r="AE797" i="2"/>
  <c r="AD797" i="2"/>
  <c r="AC797" i="2"/>
  <c r="W797" i="2"/>
  <c r="Y797" i="2" s="1"/>
  <c r="AB797" i="2" s="1"/>
  <c r="T797" i="2"/>
  <c r="S797" i="2"/>
  <c r="V797" i="2" s="1"/>
  <c r="R797" i="2"/>
  <c r="A797" i="2"/>
  <c r="AM796" i="2"/>
  <c r="AL796" i="2"/>
  <c r="AK796" i="2"/>
  <c r="AJ796" i="2"/>
  <c r="AE796" i="2"/>
  <c r="AD796" i="2"/>
  <c r="AC796" i="2"/>
  <c r="W796" i="2"/>
  <c r="Y796" i="2" s="1"/>
  <c r="AB796" i="2" s="1"/>
  <c r="T796" i="2"/>
  <c r="S796" i="2"/>
  <c r="V796" i="2" s="1"/>
  <c r="R796" i="2"/>
  <c r="A796" i="2"/>
  <c r="AO795" i="2"/>
  <c r="AL795" i="2"/>
  <c r="AM795" i="2" s="1"/>
  <c r="AK795" i="2"/>
  <c r="AJ795" i="2"/>
  <c r="AE795" i="2"/>
  <c r="AD795" i="2"/>
  <c r="AC795" i="2"/>
  <c r="W795" i="2"/>
  <c r="Y795" i="2" s="1"/>
  <c r="AB795" i="2" s="1"/>
  <c r="V795" i="2"/>
  <c r="AP795" i="2" s="1"/>
  <c r="T795" i="2"/>
  <c r="S795" i="2"/>
  <c r="R795" i="2"/>
  <c r="A795" i="2"/>
  <c r="AM794" i="2"/>
  <c r="AL794" i="2"/>
  <c r="AK794" i="2"/>
  <c r="AJ794" i="2"/>
  <c r="AE794" i="2"/>
  <c r="AD794" i="2"/>
  <c r="AC794" i="2"/>
  <c r="W794" i="2"/>
  <c r="Y794" i="2" s="1"/>
  <c r="AB794" i="2" s="1"/>
  <c r="T794" i="2"/>
  <c r="S794" i="2"/>
  <c r="V794" i="2" s="1"/>
  <c r="R794" i="2"/>
  <c r="A794" i="2"/>
  <c r="AL793" i="2"/>
  <c r="AM793" i="2" s="1"/>
  <c r="AK793" i="2"/>
  <c r="AJ793" i="2"/>
  <c r="AE793" i="2"/>
  <c r="AD793" i="2"/>
  <c r="AC793" i="2"/>
  <c r="AB793" i="2"/>
  <c r="W793" i="2"/>
  <c r="Y793" i="2" s="1"/>
  <c r="T793" i="2"/>
  <c r="S793" i="2"/>
  <c r="V793" i="2" s="1"/>
  <c r="AP793" i="2" s="1"/>
  <c r="R793" i="2"/>
  <c r="A793" i="2"/>
  <c r="AM792" i="2"/>
  <c r="AL792" i="2"/>
  <c r="AK792" i="2"/>
  <c r="AJ792" i="2"/>
  <c r="AE792" i="2"/>
  <c r="AD792" i="2"/>
  <c r="AC792" i="2"/>
  <c r="W792" i="2"/>
  <c r="T792" i="2"/>
  <c r="S792" i="2"/>
  <c r="V792" i="2" s="1"/>
  <c r="AP792" i="2" s="1"/>
  <c r="R792" i="2"/>
  <c r="A792" i="2"/>
  <c r="AL791" i="2"/>
  <c r="AM791" i="2" s="1"/>
  <c r="AK791" i="2"/>
  <c r="AJ791" i="2"/>
  <c r="AE791" i="2"/>
  <c r="AD791" i="2"/>
  <c r="AC791" i="2"/>
  <c r="W791" i="2"/>
  <c r="Y791" i="2" s="1"/>
  <c r="AB791" i="2" s="1"/>
  <c r="T791" i="2"/>
  <c r="S791" i="2"/>
  <c r="V791" i="2" s="1"/>
  <c r="R791" i="2"/>
  <c r="A791" i="2"/>
  <c r="AM790" i="2"/>
  <c r="AL790" i="2"/>
  <c r="AK790" i="2"/>
  <c r="AJ790" i="2"/>
  <c r="AE790" i="2"/>
  <c r="AD790" i="2"/>
  <c r="AC790" i="2"/>
  <c r="W790" i="2"/>
  <c r="Y790" i="2" s="1"/>
  <c r="AB790" i="2" s="1"/>
  <c r="T790" i="2"/>
  <c r="S790" i="2"/>
  <c r="V790" i="2" s="1"/>
  <c r="R790" i="2"/>
  <c r="A790" i="2"/>
  <c r="AL789" i="2"/>
  <c r="AM789" i="2" s="1"/>
  <c r="AK789" i="2"/>
  <c r="AJ789" i="2"/>
  <c r="AE789" i="2"/>
  <c r="AD789" i="2"/>
  <c r="AC789" i="2"/>
  <c r="W789" i="2"/>
  <c r="Y789" i="2" s="1"/>
  <c r="AB789" i="2" s="1"/>
  <c r="T789" i="2"/>
  <c r="S789" i="2"/>
  <c r="V789" i="2" s="1"/>
  <c r="R789" i="2"/>
  <c r="A789" i="2"/>
  <c r="AM788" i="2"/>
  <c r="AL788" i="2"/>
  <c r="AK788" i="2"/>
  <c r="AJ788" i="2"/>
  <c r="AE788" i="2"/>
  <c r="AD788" i="2"/>
  <c r="AC788" i="2"/>
  <c r="W788" i="2"/>
  <c r="Y788" i="2" s="1"/>
  <c r="AB788" i="2" s="1"/>
  <c r="T788" i="2"/>
  <c r="S788" i="2"/>
  <c r="V788" i="2" s="1"/>
  <c r="R788" i="2"/>
  <c r="A788" i="2"/>
  <c r="AL787" i="2"/>
  <c r="AM787" i="2" s="1"/>
  <c r="AK787" i="2"/>
  <c r="AJ787" i="2"/>
  <c r="AE787" i="2"/>
  <c r="AD787" i="2"/>
  <c r="AC787" i="2"/>
  <c r="W787" i="2"/>
  <c r="Y787" i="2" s="1"/>
  <c r="AB787" i="2" s="1"/>
  <c r="V787" i="2"/>
  <c r="AO787" i="2" s="1"/>
  <c r="T787" i="2"/>
  <c r="S787" i="2"/>
  <c r="R787" i="2"/>
  <c r="A787" i="2"/>
  <c r="AM786" i="2"/>
  <c r="AL786" i="2"/>
  <c r="AK786" i="2"/>
  <c r="AJ786" i="2"/>
  <c r="AE786" i="2"/>
  <c r="AD786" i="2"/>
  <c r="AC786" i="2"/>
  <c r="W786" i="2"/>
  <c r="Y786" i="2" s="1"/>
  <c r="AB786" i="2" s="1"/>
  <c r="T786" i="2"/>
  <c r="S786" i="2"/>
  <c r="V786" i="2" s="1"/>
  <c r="R786" i="2"/>
  <c r="A786" i="2"/>
  <c r="AL785" i="2"/>
  <c r="AM785" i="2" s="1"/>
  <c r="AK785" i="2"/>
  <c r="AJ785" i="2"/>
  <c r="AE785" i="2"/>
  <c r="AD785" i="2"/>
  <c r="AC785" i="2"/>
  <c r="W785" i="2"/>
  <c r="Y785" i="2" s="1"/>
  <c r="AB785" i="2" s="1"/>
  <c r="T785" i="2"/>
  <c r="S785" i="2"/>
  <c r="V785" i="2" s="1"/>
  <c r="R785" i="2"/>
  <c r="A785" i="2"/>
  <c r="AM784" i="2"/>
  <c r="AL784" i="2"/>
  <c r="AK784" i="2"/>
  <c r="AJ784" i="2"/>
  <c r="AE784" i="2"/>
  <c r="AD784" i="2"/>
  <c r="AC784" i="2"/>
  <c r="W784" i="2"/>
  <c r="Y784" i="2" s="1"/>
  <c r="AB784" i="2" s="1"/>
  <c r="T784" i="2"/>
  <c r="S784" i="2"/>
  <c r="V784" i="2" s="1"/>
  <c r="R784" i="2"/>
  <c r="A784" i="2"/>
  <c r="AL783" i="2"/>
  <c r="AM783" i="2" s="1"/>
  <c r="AK783" i="2"/>
  <c r="AJ783" i="2"/>
  <c r="AE783" i="2"/>
  <c r="AD783" i="2"/>
  <c r="AC783" i="2"/>
  <c r="W783" i="2"/>
  <c r="Y783" i="2" s="1"/>
  <c r="AB783" i="2" s="1"/>
  <c r="V783" i="2"/>
  <c r="AO783" i="2" s="1"/>
  <c r="T783" i="2"/>
  <c r="S783" i="2"/>
  <c r="R783" i="2"/>
  <c r="A783" i="2"/>
  <c r="AM782" i="2"/>
  <c r="AL782" i="2"/>
  <c r="AK782" i="2"/>
  <c r="AJ782" i="2"/>
  <c r="AE782" i="2"/>
  <c r="AD782" i="2"/>
  <c r="AC782" i="2"/>
  <c r="W782" i="2"/>
  <c r="T782" i="2"/>
  <c r="S782" i="2"/>
  <c r="V782" i="2" s="1"/>
  <c r="R782" i="2"/>
  <c r="A782" i="2"/>
  <c r="AO781" i="2"/>
  <c r="AL781" i="2"/>
  <c r="AM781" i="2" s="1"/>
  <c r="AK781" i="2"/>
  <c r="AJ781" i="2"/>
  <c r="AE781" i="2"/>
  <c r="AD781" i="2"/>
  <c r="AC781" i="2"/>
  <c r="W781" i="2"/>
  <c r="Y781" i="2" s="1"/>
  <c r="AB781" i="2" s="1"/>
  <c r="T781" i="2"/>
  <c r="S781" i="2"/>
  <c r="V781" i="2" s="1"/>
  <c r="AP781" i="2" s="1"/>
  <c r="R781" i="2"/>
  <c r="A781" i="2"/>
  <c r="AM780" i="2"/>
  <c r="AL780" i="2"/>
  <c r="AK780" i="2"/>
  <c r="AJ780" i="2"/>
  <c r="AE780" i="2"/>
  <c r="AD780" i="2"/>
  <c r="AC780" i="2"/>
  <c r="W780" i="2"/>
  <c r="Y780" i="2" s="1"/>
  <c r="AB780" i="2" s="1"/>
  <c r="T780" i="2"/>
  <c r="S780" i="2"/>
  <c r="V780" i="2" s="1"/>
  <c r="R780" i="2"/>
  <c r="A780" i="2"/>
  <c r="AL779" i="2"/>
  <c r="AM779" i="2" s="1"/>
  <c r="AK779" i="2"/>
  <c r="AJ779" i="2"/>
  <c r="AE779" i="2"/>
  <c r="AD779" i="2"/>
  <c r="AC779" i="2"/>
  <c r="AB779" i="2"/>
  <c r="W779" i="2"/>
  <c r="Y779" i="2" s="1"/>
  <c r="V779" i="2"/>
  <c r="AP779" i="2" s="1"/>
  <c r="T779" i="2"/>
  <c r="S779" i="2"/>
  <c r="R779" i="2"/>
  <c r="A779" i="2"/>
  <c r="AM778" i="2"/>
  <c r="AL778" i="2"/>
  <c r="AK778" i="2"/>
  <c r="AJ778" i="2"/>
  <c r="AE778" i="2"/>
  <c r="AD778" i="2"/>
  <c r="AC778" i="2"/>
  <c r="W778" i="2"/>
  <c r="T778" i="2"/>
  <c r="S778" i="2"/>
  <c r="V778" i="2" s="1"/>
  <c r="AO778" i="2" s="1"/>
  <c r="A778" i="2"/>
  <c r="AM777" i="2"/>
  <c r="AL777" i="2"/>
  <c r="AK777" i="2"/>
  <c r="AJ777" i="2"/>
  <c r="AE777" i="2"/>
  <c r="AD777" i="2"/>
  <c r="AC777" i="2"/>
  <c r="W777" i="2"/>
  <c r="Y777" i="2" s="1"/>
  <c r="AB777" i="2" s="1"/>
  <c r="T777" i="2"/>
  <c r="S777" i="2"/>
  <c r="V777" i="2" s="1"/>
  <c r="AO777" i="2" s="1"/>
  <c r="A777" i="2"/>
  <c r="AM776" i="2"/>
  <c r="AL776" i="2"/>
  <c r="AK776" i="2"/>
  <c r="AJ776" i="2"/>
  <c r="AE776" i="2"/>
  <c r="AD776" i="2"/>
  <c r="AC776" i="2"/>
  <c r="W776" i="2"/>
  <c r="Y776" i="2" s="1"/>
  <c r="AB776" i="2" s="1"/>
  <c r="T776" i="2"/>
  <c r="S776" i="2"/>
  <c r="V776" i="2" s="1"/>
  <c r="A776" i="2"/>
  <c r="AL775" i="2"/>
  <c r="AM775" i="2" s="1"/>
  <c r="AK775" i="2"/>
  <c r="AJ775" i="2"/>
  <c r="AE775" i="2"/>
  <c r="AD775" i="2"/>
  <c r="AC775" i="2"/>
  <c r="Y775" i="2"/>
  <c r="AB775" i="2" s="1"/>
  <c r="W775" i="2"/>
  <c r="V775" i="2"/>
  <c r="AO775" i="2" s="1"/>
  <c r="T775" i="2"/>
  <c r="S775" i="2"/>
  <c r="A775" i="2"/>
  <c r="AM774" i="2"/>
  <c r="AL774" i="2"/>
  <c r="AK774" i="2"/>
  <c r="AJ774" i="2"/>
  <c r="AE774" i="2"/>
  <c r="AD774" i="2"/>
  <c r="AC774" i="2"/>
  <c r="W774" i="2"/>
  <c r="Y774" i="2" s="1"/>
  <c r="AB774" i="2" s="1"/>
  <c r="V774" i="2"/>
  <c r="T774" i="2"/>
  <c r="S774" i="2"/>
  <c r="A774" i="2"/>
  <c r="AL773" i="2"/>
  <c r="AM773" i="2" s="1"/>
  <c r="AK773" i="2"/>
  <c r="AJ773" i="2"/>
  <c r="AE773" i="2"/>
  <c r="AD773" i="2"/>
  <c r="AC773" i="2"/>
  <c r="W773" i="2"/>
  <c r="Y773" i="2" s="1"/>
  <c r="AB773" i="2" s="1"/>
  <c r="V773" i="2"/>
  <c r="AO773" i="2" s="1"/>
  <c r="T773" i="2"/>
  <c r="S773" i="2"/>
  <c r="A773" i="2"/>
  <c r="AL772" i="2"/>
  <c r="AM772" i="2" s="1"/>
  <c r="AK772" i="2"/>
  <c r="AJ772" i="2"/>
  <c r="AE772" i="2"/>
  <c r="AD772" i="2"/>
  <c r="AC772" i="2"/>
  <c r="W772" i="2"/>
  <c r="Y772" i="2" s="1"/>
  <c r="AB772" i="2" s="1"/>
  <c r="T772" i="2"/>
  <c r="S772" i="2"/>
  <c r="V772" i="2" s="1"/>
  <c r="A772" i="2"/>
  <c r="AL771" i="2"/>
  <c r="AM771" i="2" s="1"/>
  <c r="AK771" i="2"/>
  <c r="AJ771" i="2"/>
  <c r="AE771" i="2"/>
  <c r="AD771" i="2"/>
  <c r="AC771" i="2"/>
  <c r="Y771" i="2"/>
  <c r="AB771" i="2" s="1"/>
  <c r="W771" i="2"/>
  <c r="V771" i="2"/>
  <c r="AO771" i="2" s="1"/>
  <c r="T771" i="2"/>
  <c r="S771" i="2"/>
  <c r="A771" i="2"/>
  <c r="AM770" i="2"/>
  <c r="AL770" i="2"/>
  <c r="AK770" i="2"/>
  <c r="AJ770" i="2"/>
  <c r="AE770" i="2"/>
  <c r="AD770" i="2"/>
  <c r="AC770" i="2"/>
  <c r="W770" i="2"/>
  <c r="Y770" i="2" s="1"/>
  <c r="AB770" i="2" s="1"/>
  <c r="V770" i="2"/>
  <c r="T770" i="2"/>
  <c r="S770" i="2"/>
  <c r="A770" i="2"/>
  <c r="AL769" i="2"/>
  <c r="AM769" i="2" s="1"/>
  <c r="AK769" i="2"/>
  <c r="AJ769" i="2"/>
  <c r="AE769" i="2"/>
  <c r="AD769" i="2"/>
  <c r="AC769" i="2"/>
  <c r="W769" i="2"/>
  <c r="Y769" i="2" s="1"/>
  <c r="AB769" i="2" s="1"/>
  <c r="V769" i="2"/>
  <c r="AO769" i="2" s="1"/>
  <c r="T769" i="2"/>
  <c r="S769" i="2"/>
  <c r="A769" i="2"/>
  <c r="AL768" i="2"/>
  <c r="AM768" i="2" s="1"/>
  <c r="AK768" i="2"/>
  <c r="AJ768" i="2"/>
  <c r="AE768" i="2"/>
  <c r="AD768" i="2"/>
  <c r="AC768" i="2"/>
  <c r="W768" i="2"/>
  <c r="Y768" i="2" s="1"/>
  <c r="AB768" i="2" s="1"/>
  <c r="T768" i="2"/>
  <c r="S768" i="2"/>
  <c r="V768" i="2" s="1"/>
  <c r="A768" i="2"/>
  <c r="AL767" i="2"/>
  <c r="AM767" i="2" s="1"/>
  <c r="AK767" i="2"/>
  <c r="AJ767" i="2"/>
  <c r="AE767" i="2"/>
  <c r="AD767" i="2"/>
  <c r="AC767" i="2"/>
  <c r="Y767" i="2"/>
  <c r="AB767" i="2" s="1"/>
  <c r="W767" i="2"/>
  <c r="V767" i="2"/>
  <c r="AO767" i="2" s="1"/>
  <c r="T767" i="2"/>
  <c r="S767" i="2"/>
  <c r="A767" i="2"/>
  <c r="AM766" i="2"/>
  <c r="AL766" i="2"/>
  <c r="AK766" i="2"/>
  <c r="AJ766" i="2"/>
  <c r="AE766" i="2"/>
  <c r="AD766" i="2"/>
  <c r="AC766" i="2"/>
  <c r="W766" i="2"/>
  <c r="Y766" i="2" s="1"/>
  <c r="AB766" i="2" s="1"/>
  <c r="V766" i="2"/>
  <c r="T766" i="2"/>
  <c r="S766" i="2"/>
  <c r="A766" i="2"/>
  <c r="AL765" i="2"/>
  <c r="AM765" i="2" s="1"/>
  <c r="AK765" i="2"/>
  <c r="AJ765" i="2"/>
  <c r="AE765" i="2"/>
  <c r="AD765" i="2"/>
  <c r="AC765" i="2"/>
  <c r="W765" i="2"/>
  <c r="Y765" i="2" s="1"/>
  <c r="AB765" i="2" s="1"/>
  <c r="V765" i="2"/>
  <c r="AO765" i="2" s="1"/>
  <c r="T765" i="2"/>
  <c r="S765" i="2"/>
  <c r="A765" i="2"/>
  <c r="AL764" i="2"/>
  <c r="AM764" i="2" s="1"/>
  <c r="AK764" i="2"/>
  <c r="AJ764" i="2"/>
  <c r="AE764" i="2"/>
  <c r="AD764" i="2"/>
  <c r="AC764" i="2"/>
  <c r="W764" i="2"/>
  <c r="Y764" i="2" s="1"/>
  <c r="AB764" i="2" s="1"/>
  <c r="T764" i="2"/>
  <c r="S764" i="2"/>
  <c r="V764" i="2" s="1"/>
  <c r="A764" i="2"/>
  <c r="AL763" i="2"/>
  <c r="AM763" i="2" s="1"/>
  <c r="AK763" i="2"/>
  <c r="AJ763" i="2"/>
  <c r="AE763" i="2"/>
  <c r="AD763" i="2"/>
  <c r="AC763" i="2"/>
  <c r="Y763" i="2"/>
  <c r="AB763" i="2" s="1"/>
  <c r="W763" i="2"/>
  <c r="V763" i="2"/>
  <c r="AO763" i="2" s="1"/>
  <c r="T763" i="2"/>
  <c r="S763" i="2"/>
  <c r="A763" i="2"/>
  <c r="AM762" i="2"/>
  <c r="AL762" i="2"/>
  <c r="AK762" i="2"/>
  <c r="AJ762" i="2"/>
  <c r="AE762" i="2"/>
  <c r="AD762" i="2"/>
  <c r="AC762" i="2"/>
  <c r="W762" i="2"/>
  <c r="Y762" i="2" s="1"/>
  <c r="AB762" i="2" s="1"/>
  <c r="V762" i="2"/>
  <c r="T762" i="2"/>
  <c r="S762" i="2"/>
  <c r="A762" i="2"/>
  <c r="AL761" i="2"/>
  <c r="AM761" i="2" s="1"/>
  <c r="AK761" i="2"/>
  <c r="AJ761" i="2"/>
  <c r="AE761" i="2"/>
  <c r="AD761" i="2"/>
  <c r="AC761" i="2"/>
  <c r="W761" i="2"/>
  <c r="Y761" i="2" s="1"/>
  <c r="AB761" i="2" s="1"/>
  <c r="V761" i="2"/>
  <c r="AO761" i="2" s="1"/>
  <c r="T761" i="2"/>
  <c r="S761" i="2"/>
  <c r="A761" i="2"/>
  <c r="AL760" i="2"/>
  <c r="AM760" i="2" s="1"/>
  <c r="AK760" i="2"/>
  <c r="AJ760" i="2"/>
  <c r="AE760" i="2"/>
  <c r="AD760" i="2"/>
  <c r="AC760" i="2"/>
  <c r="W760" i="2"/>
  <c r="Y760" i="2" s="1"/>
  <c r="AB760" i="2" s="1"/>
  <c r="T760" i="2"/>
  <c r="S760" i="2"/>
  <c r="V760" i="2" s="1"/>
  <c r="A760" i="2"/>
  <c r="AL759" i="2"/>
  <c r="AM759" i="2" s="1"/>
  <c r="AK759" i="2"/>
  <c r="AJ759" i="2"/>
  <c r="AE759" i="2"/>
  <c r="AD759" i="2"/>
  <c r="AC759" i="2"/>
  <c r="Y759" i="2"/>
  <c r="AB759" i="2" s="1"/>
  <c r="W759" i="2"/>
  <c r="V759" i="2"/>
  <c r="AO759" i="2" s="1"/>
  <c r="T759" i="2"/>
  <c r="S759" i="2"/>
  <c r="A759" i="2"/>
  <c r="AM758" i="2"/>
  <c r="AL758" i="2"/>
  <c r="AK758" i="2"/>
  <c r="AJ758" i="2"/>
  <c r="AE758" i="2"/>
  <c r="AD758" i="2"/>
  <c r="AC758" i="2"/>
  <c r="W758" i="2"/>
  <c r="Y758" i="2" s="1"/>
  <c r="AB758" i="2" s="1"/>
  <c r="V758" i="2"/>
  <c r="T758" i="2"/>
  <c r="S758" i="2"/>
  <c r="A758" i="2"/>
  <c r="AL757" i="2"/>
  <c r="AM757" i="2" s="1"/>
  <c r="AK757" i="2"/>
  <c r="AJ757" i="2"/>
  <c r="AE757" i="2"/>
  <c r="AD757" i="2"/>
  <c r="AC757" i="2"/>
  <c r="W757" i="2"/>
  <c r="Y757" i="2" s="1"/>
  <c r="AB757" i="2" s="1"/>
  <c r="V757" i="2"/>
  <c r="AO757" i="2" s="1"/>
  <c r="T757" i="2"/>
  <c r="S757" i="2"/>
  <c r="A757" i="2"/>
  <c r="AL756" i="2"/>
  <c r="AM756" i="2" s="1"/>
  <c r="AK756" i="2"/>
  <c r="AJ756" i="2"/>
  <c r="AE756" i="2"/>
  <c r="AD756" i="2"/>
  <c r="AC756" i="2"/>
  <c r="W756" i="2"/>
  <c r="Y756" i="2" s="1"/>
  <c r="AB756" i="2" s="1"/>
  <c r="T756" i="2"/>
  <c r="S756" i="2"/>
  <c r="V756" i="2" s="1"/>
  <c r="A756" i="2"/>
  <c r="AL755" i="2"/>
  <c r="AM755" i="2" s="1"/>
  <c r="AK755" i="2"/>
  <c r="AJ755" i="2"/>
  <c r="AE755" i="2"/>
  <c r="AD755" i="2"/>
  <c r="AC755" i="2"/>
  <c r="Y755" i="2"/>
  <c r="AB755" i="2" s="1"/>
  <c r="W755" i="2"/>
  <c r="V755" i="2"/>
  <c r="AO755" i="2" s="1"/>
  <c r="T755" i="2"/>
  <c r="S755" i="2"/>
  <c r="A755" i="2"/>
  <c r="AM754" i="2"/>
  <c r="AL754" i="2"/>
  <c r="AK754" i="2"/>
  <c r="AJ754" i="2"/>
  <c r="AE754" i="2"/>
  <c r="AD754" i="2"/>
  <c r="AC754" i="2"/>
  <c r="W754" i="2"/>
  <c r="Y754" i="2" s="1"/>
  <c r="AB754" i="2" s="1"/>
  <c r="V754" i="2"/>
  <c r="T754" i="2"/>
  <c r="S754" i="2"/>
  <c r="A754" i="2"/>
  <c r="AL753" i="2"/>
  <c r="AM753" i="2" s="1"/>
  <c r="AK753" i="2"/>
  <c r="AJ753" i="2"/>
  <c r="AE753" i="2"/>
  <c r="AD753" i="2"/>
  <c r="AC753" i="2"/>
  <c r="W753" i="2"/>
  <c r="Y753" i="2" s="1"/>
  <c r="AB753" i="2" s="1"/>
  <c r="V753" i="2"/>
  <c r="AO753" i="2" s="1"/>
  <c r="T753" i="2"/>
  <c r="S753" i="2"/>
  <c r="A753" i="2"/>
  <c r="AL752" i="2"/>
  <c r="AM752" i="2" s="1"/>
  <c r="AK752" i="2"/>
  <c r="AJ752" i="2"/>
  <c r="AE752" i="2"/>
  <c r="AD752" i="2"/>
  <c r="AC752" i="2"/>
  <c r="W752" i="2"/>
  <c r="Y752" i="2" s="1"/>
  <c r="AB752" i="2" s="1"/>
  <c r="T752" i="2"/>
  <c r="S752" i="2"/>
  <c r="V752" i="2" s="1"/>
  <c r="A752" i="2"/>
  <c r="AL751" i="2"/>
  <c r="AM751" i="2" s="1"/>
  <c r="AK751" i="2"/>
  <c r="AJ751" i="2"/>
  <c r="AE751" i="2"/>
  <c r="AD751" i="2"/>
  <c r="AC751" i="2"/>
  <c r="Y751" i="2"/>
  <c r="AB751" i="2" s="1"/>
  <c r="W751" i="2"/>
  <c r="V751" i="2"/>
  <c r="AO751" i="2" s="1"/>
  <c r="T751" i="2"/>
  <c r="S751" i="2"/>
  <c r="A751" i="2"/>
  <c r="AM750" i="2"/>
  <c r="AL750" i="2"/>
  <c r="AK750" i="2"/>
  <c r="AJ750" i="2"/>
  <c r="AE750" i="2"/>
  <c r="AD750" i="2"/>
  <c r="AC750" i="2"/>
  <c r="W750" i="2"/>
  <c r="Y750" i="2" s="1"/>
  <c r="AB750" i="2" s="1"/>
  <c r="V750" i="2"/>
  <c r="T750" i="2"/>
  <c r="S750" i="2"/>
  <c r="A750" i="2"/>
  <c r="AL749" i="2"/>
  <c r="AM749" i="2" s="1"/>
  <c r="AK749" i="2"/>
  <c r="AJ749" i="2"/>
  <c r="AE749" i="2"/>
  <c r="AD749" i="2"/>
  <c r="AC749" i="2"/>
  <c r="W749" i="2"/>
  <c r="Y749" i="2" s="1"/>
  <c r="AB749" i="2" s="1"/>
  <c r="V749" i="2"/>
  <c r="AO749" i="2" s="1"/>
  <c r="T749" i="2"/>
  <c r="S749" i="2"/>
  <c r="A749" i="2"/>
  <c r="AL748" i="2"/>
  <c r="AM748" i="2" s="1"/>
  <c r="AK748" i="2"/>
  <c r="AJ748" i="2"/>
  <c r="AE748" i="2"/>
  <c r="AD748" i="2"/>
  <c r="AC748" i="2"/>
  <c r="W748" i="2"/>
  <c r="Y748" i="2" s="1"/>
  <c r="AB748" i="2" s="1"/>
  <c r="T748" i="2"/>
  <c r="S748" i="2"/>
  <c r="V748" i="2" s="1"/>
  <c r="A748" i="2"/>
  <c r="AL747" i="2"/>
  <c r="AM747" i="2" s="1"/>
  <c r="AK747" i="2"/>
  <c r="AJ747" i="2"/>
  <c r="AE747" i="2"/>
  <c r="AD747" i="2"/>
  <c r="AC747" i="2"/>
  <c r="Y747" i="2"/>
  <c r="AB747" i="2" s="1"/>
  <c r="W747" i="2"/>
  <c r="V747" i="2"/>
  <c r="AO747" i="2" s="1"/>
  <c r="T747" i="2"/>
  <c r="S747" i="2"/>
  <c r="A747" i="2"/>
  <c r="AM746" i="2"/>
  <c r="AL746" i="2"/>
  <c r="AK746" i="2"/>
  <c r="AJ746" i="2"/>
  <c r="AE746" i="2"/>
  <c r="AD746" i="2"/>
  <c r="AC746" i="2"/>
  <c r="W746" i="2"/>
  <c r="Y746" i="2" s="1"/>
  <c r="AB746" i="2" s="1"/>
  <c r="V746" i="2"/>
  <c r="T746" i="2"/>
  <c r="S746" i="2"/>
  <c r="A746" i="2"/>
  <c r="AL745" i="2"/>
  <c r="AM745" i="2" s="1"/>
  <c r="AK745" i="2"/>
  <c r="AJ745" i="2"/>
  <c r="AE745" i="2"/>
  <c r="AD745" i="2"/>
  <c r="AC745" i="2"/>
  <c r="W745" i="2"/>
  <c r="Y745" i="2" s="1"/>
  <c r="AB745" i="2" s="1"/>
  <c r="V745" i="2"/>
  <c r="AO745" i="2" s="1"/>
  <c r="T745" i="2"/>
  <c r="S745" i="2"/>
  <c r="A745" i="2"/>
  <c r="AL744" i="2"/>
  <c r="AM744" i="2" s="1"/>
  <c r="AK744" i="2"/>
  <c r="AJ744" i="2"/>
  <c r="AE744" i="2"/>
  <c r="AD744" i="2"/>
  <c r="AC744" i="2"/>
  <c r="W744" i="2"/>
  <c r="Y744" i="2" s="1"/>
  <c r="AB744" i="2" s="1"/>
  <c r="T744" i="2"/>
  <c r="S744" i="2"/>
  <c r="V744" i="2" s="1"/>
  <c r="A744" i="2"/>
  <c r="AL743" i="2"/>
  <c r="AM743" i="2" s="1"/>
  <c r="AK743" i="2"/>
  <c r="AJ743" i="2"/>
  <c r="AE743" i="2"/>
  <c r="AD743" i="2"/>
  <c r="AC743" i="2"/>
  <c r="Y743" i="2"/>
  <c r="AB743" i="2" s="1"/>
  <c r="W743" i="2"/>
  <c r="V743" i="2"/>
  <c r="AO743" i="2" s="1"/>
  <c r="T743" i="2"/>
  <c r="S743" i="2"/>
  <c r="A743" i="2"/>
  <c r="AM742" i="2"/>
  <c r="AL742" i="2"/>
  <c r="AK742" i="2"/>
  <c r="AJ742" i="2"/>
  <c r="AE742" i="2"/>
  <c r="AD742" i="2"/>
  <c r="AC742" i="2"/>
  <c r="W742" i="2"/>
  <c r="Y742" i="2" s="1"/>
  <c r="AB742" i="2" s="1"/>
  <c r="V742" i="2"/>
  <c r="T742" i="2"/>
  <c r="S742" i="2"/>
  <c r="A742" i="2"/>
  <c r="AL741" i="2"/>
  <c r="AM741" i="2" s="1"/>
  <c r="AK741" i="2"/>
  <c r="AJ741" i="2"/>
  <c r="AE741" i="2"/>
  <c r="AD741" i="2"/>
  <c r="AC741" i="2"/>
  <c r="W741" i="2"/>
  <c r="Y741" i="2" s="1"/>
  <c r="AB741" i="2" s="1"/>
  <c r="V741" i="2"/>
  <c r="AO741" i="2" s="1"/>
  <c r="T741" i="2"/>
  <c r="S741" i="2"/>
  <c r="A741" i="2"/>
  <c r="AL740" i="2"/>
  <c r="AM740" i="2" s="1"/>
  <c r="AK740" i="2"/>
  <c r="AJ740" i="2"/>
  <c r="AE740" i="2"/>
  <c r="AD740" i="2"/>
  <c r="AC740" i="2"/>
  <c r="W740" i="2"/>
  <c r="Y740" i="2" s="1"/>
  <c r="AB740" i="2" s="1"/>
  <c r="T740" i="2"/>
  <c r="S740" i="2"/>
  <c r="V740" i="2" s="1"/>
  <c r="A740" i="2"/>
  <c r="AL739" i="2"/>
  <c r="AM739" i="2" s="1"/>
  <c r="AK739" i="2"/>
  <c r="AJ739" i="2"/>
  <c r="AE739" i="2"/>
  <c r="AD739" i="2"/>
  <c r="AC739" i="2"/>
  <c r="Y739" i="2"/>
  <c r="AB739" i="2" s="1"/>
  <c r="W739" i="2"/>
  <c r="V739" i="2"/>
  <c r="AO739" i="2" s="1"/>
  <c r="T739" i="2"/>
  <c r="S739" i="2"/>
  <c r="A739" i="2"/>
  <c r="AM738" i="2"/>
  <c r="AL738" i="2"/>
  <c r="AK738" i="2"/>
  <c r="AJ738" i="2"/>
  <c r="AE738" i="2"/>
  <c r="AD738" i="2"/>
  <c r="AC738" i="2"/>
  <c r="W738" i="2"/>
  <c r="V738" i="2"/>
  <c r="AP738" i="2" s="1"/>
  <c r="T738" i="2"/>
  <c r="S738" i="2"/>
  <c r="A738" i="2"/>
  <c r="AL737" i="2"/>
  <c r="AM737" i="2" s="1"/>
  <c r="AK737" i="2"/>
  <c r="AJ737" i="2"/>
  <c r="AE737" i="2"/>
  <c r="AD737" i="2"/>
  <c r="AC737" i="2"/>
  <c r="W737" i="2"/>
  <c r="Y737" i="2" s="1"/>
  <c r="AB737" i="2" s="1"/>
  <c r="V737" i="2"/>
  <c r="AO737" i="2" s="1"/>
  <c r="T737" i="2"/>
  <c r="S737" i="2"/>
  <c r="A737" i="2"/>
  <c r="AL736" i="2"/>
  <c r="AM736" i="2" s="1"/>
  <c r="AK736" i="2"/>
  <c r="AJ736" i="2"/>
  <c r="AE736" i="2"/>
  <c r="AD736" i="2"/>
  <c r="AC736" i="2"/>
  <c r="W736" i="2"/>
  <c r="T736" i="2"/>
  <c r="S736" i="2"/>
  <c r="V736" i="2" s="1"/>
  <c r="A736" i="2"/>
  <c r="AM735" i="2"/>
  <c r="AL735" i="2"/>
  <c r="AK735" i="2"/>
  <c r="AJ735" i="2"/>
  <c r="AE735" i="2"/>
  <c r="AD735" i="2"/>
  <c r="AC735" i="2"/>
  <c r="Y735" i="2"/>
  <c r="AB735" i="2" s="1"/>
  <c r="W735" i="2"/>
  <c r="V735" i="2"/>
  <c r="AO735" i="2" s="1"/>
  <c r="T735" i="2"/>
  <c r="S735" i="2"/>
  <c r="A735" i="2"/>
  <c r="AP734" i="2"/>
  <c r="AM734" i="2"/>
  <c r="AL734" i="2"/>
  <c r="AK734" i="2"/>
  <c r="AJ734" i="2"/>
  <c r="AE734" i="2"/>
  <c r="AD734" i="2"/>
  <c r="AC734" i="2"/>
  <c r="W734" i="2"/>
  <c r="V734" i="2"/>
  <c r="T734" i="2"/>
  <c r="S734" i="2"/>
  <c r="A734" i="2"/>
  <c r="AM733" i="2"/>
  <c r="AL733" i="2"/>
  <c r="AK733" i="2"/>
  <c r="AJ733" i="2"/>
  <c r="AE733" i="2"/>
  <c r="AD733" i="2"/>
  <c r="AC733" i="2"/>
  <c r="W733" i="2"/>
  <c r="Y733" i="2" s="1"/>
  <c r="AB733" i="2" s="1"/>
  <c r="V733" i="2"/>
  <c r="AO733" i="2" s="1"/>
  <c r="T733" i="2"/>
  <c r="S733" i="2"/>
  <c r="A733" i="2"/>
  <c r="AL732" i="2"/>
  <c r="AM732" i="2" s="1"/>
  <c r="AK732" i="2"/>
  <c r="AJ732" i="2"/>
  <c r="AE732" i="2"/>
  <c r="AD732" i="2"/>
  <c r="AC732" i="2"/>
  <c r="W732" i="2"/>
  <c r="Y732" i="2" s="1"/>
  <c r="AB732" i="2" s="1"/>
  <c r="V732" i="2"/>
  <c r="T732" i="2"/>
  <c r="S732" i="2"/>
  <c r="A732" i="2"/>
  <c r="AL731" i="2"/>
  <c r="AM731" i="2" s="1"/>
  <c r="AK731" i="2"/>
  <c r="AJ731" i="2"/>
  <c r="AE731" i="2"/>
  <c r="AD731" i="2"/>
  <c r="AC731" i="2"/>
  <c r="W731" i="2"/>
  <c r="Y731" i="2" s="1"/>
  <c r="AB731" i="2" s="1"/>
  <c r="T731" i="2"/>
  <c r="S731" i="2"/>
  <c r="V731" i="2" s="1"/>
  <c r="A731" i="2"/>
  <c r="AL730" i="2"/>
  <c r="AM730" i="2" s="1"/>
  <c r="AK730" i="2"/>
  <c r="AJ730" i="2"/>
  <c r="AE730" i="2"/>
  <c r="AD730" i="2"/>
  <c r="AC730" i="2"/>
  <c r="Y730" i="2"/>
  <c r="AB730" i="2" s="1"/>
  <c r="W730" i="2"/>
  <c r="V730" i="2"/>
  <c r="T730" i="2"/>
  <c r="S730" i="2"/>
  <c r="A730" i="2"/>
  <c r="AM729" i="2"/>
  <c r="AL729" i="2"/>
  <c r="AK729" i="2"/>
  <c r="AJ729" i="2"/>
  <c r="AE729" i="2"/>
  <c r="AD729" i="2"/>
  <c r="AC729" i="2"/>
  <c r="W729" i="2"/>
  <c r="Y729" i="2" s="1"/>
  <c r="AB729" i="2" s="1"/>
  <c r="V729" i="2"/>
  <c r="AO729" i="2" s="1"/>
  <c r="T729" i="2"/>
  <c r="S729" i="2"/>
  <c r="A729" i="2"/>
  <c r="AL728" i="2"/>
  <c r="AM728" i="2" s="1"/>
  <c r="AK728" i="2"/>
  <c r="AJ728" i="2"/>
  <c r="AE728" i="2"/>
  <c r="AD728" i="2"/>
  <c r="AC728" i="2"/>
  <c r="W728" i="2"/>
  <c r="Y728" i="2" s="1"/>
  <c r="AB728" i="2" s="1"/>
  <c r="V728" i="2"/>
  <c r="T728" i="2"/>
  <c r="S728" i="2"/>
  <c r="A728" i="2"/>
  <c r="AL727" i="2"/>
  <c r="AM727" i="2" s="1"/>
  <c r="AK727" i="2"/>
  <c r="AJ727" i="2"/>
  <c r="AE727" i="2"/>
  <c r="AD727" i="2"/>
  <c r="AC727" i="2"/>
  <c r="W727" i="2"/>
  <c r="Y727" i="2" s="1"/>
  <c r="AB727" i="2" s="1"/>
  <c r="T727" i="2"/>
  <c r="S727" i="2"/>
  <c r="V727" i="2" s="1"/>
  <c r="A727" i="2"/>
  <c r="AL726" i="2"/>
  <c r="AM726" i="2" s="1"/>
  <c r="AK726" i="2"/>
  <c r="AJ726" i="2"/>
  <c r="AE726" i="2"/>
  <c r="AD726" i="2"/>
  <c r="AC726" i="2"/>
  <c r="Y726" i="2"/>
  <c r="AB726" i="2" s="1"/>
  <c r="W726" i="2"/>
  <c r="T726" i="2"/>
  <c r="S726" i="2"/>
  <c r="V726" i="2" s="1"/>
  <c r="A726" i="2"/>
  <c r="AM725" i="2"/>
  <c r="AL725" i="2"/>
  <c r="AK725" i="2"/>
  <c r="AJ725" i="2"/>
  <c r="AE725" i="2"/>
  <c r="AD725" i="2"/>
  <c r="AC725" i="2"/>
  <c r="W725" i="2"/>
  <c r="Y725" i="2" s="1"/>
  <c r="AB725" i="2" s="1"/>
  <c r="V725" i="2"/>
  <c r="AO725" i="2" s="1"/>
  <c r="T725" i="2"/>
  <c r="S725" i="2"/>
  <c r="A725" i="2"/>
  <c r="AL724" i="2"/>
  <c r="AM724" i="2" s="1"/>
  <c r="AK724" i="2"/>
  <c r="AJ724" i="2"/>
  <c r="AE724" i="2"/>
  <c r="AD724" i="2"/>
  <c r="AC724" i="2"/>
  <c r="W724" i="2"/>
  <c r="Y724" i="2" s="1"/>
  <c r="AB724" i="2" s="1"/>
  <c r="V724" i="2"/>
  <c r="T724" i="2"/>
  <c r="S724" i="2"/>
  <c r="A724" i="2"/>
  <c r="AL723" i="2"/>
  <c r="AM723" i="2" s="1"/>
  <c r="AK723" i="2"/>
  <c r="AJ723" i="2"/>
  <c r="AE723" i="2"/>
  <c r="AD723" i="2"/>
  <c r="AC723" i="2"/>
  <c r="W723" i="2"/>
  <c r="Y723" i="2" s="1"/>
  <c r="AB723" i="2" s="1"/>
  <c r="T723" i="2"/>
  <c r="S723" i="2"/>
  <c r="V723" i="2" s="1"/>
  <c r="A723" i="2"/>
  <c r="AL722" i="2"/>
  <c r="AM722" i="2" s="1"/>
  <c r="AK722" i="2"/>
  <c r="AJ722" i="2"/>
  <c r="AE722" i="2"/>
  <c r="AD722" i="2"/>
  <c r="AC722" i="2"/>
  <c r="Y722" i="2"/>
  <c r="AB722" i="2" s="1"/>
  <c r="W722" i="2"/>
  <c r="V722" i="2"/>
  <c r="T722" i="2"/>
  <c r="S722" i="2"/>
  <c r="A722" i="2"/>
  <c r="AM721" i="2"/>
  <c r="AL721" i="2"/>
  <c r="AK721" i="2"/>
  <c r="AJ721" i="2"/>
  <c r="AE721" i="2"/>
  <c r="AD721" i="2"/>
  <c r="AC721" i="2"/>
  <c r="W721" i="2"/>
  <c r="Y721" i="2" s="1"/>
  <c r="AB721" i="2" s="1"/>
  <c r="V721" i="2"/>
  <c r="AO721" i="2" s="1"/>
  <c r="T721" i="2"/>
  <c r="S721" i="2"/>
  <c r="A721" i="2"/>
  <c r="AL720" i="2"/>
  <c r="AM720" i="2" s="1"/>
  <c r="AK720" i="2"/>
  <c r="AJ720" i="2"/>
  <c r="AE720" i="2"/>
  <c r="AD720" i="2"/>
  <c r="AC720" i="2"/>
  <c r="W720" i="2"/>
  <c r="Y720" i="2" s="1"/>
  <c r="AB720" i="2" s="1"/>
  <c r="V720" i="2"/>
  <c r="T720" i="2"/>
  <c r="S720" i="2"/>
  <c r="A720" i="2"/>
  <c r="AL719" i="2"/>
  <c r="AM719" i="2" s="1"/>
  <c r="AK719" i="2"/>
  <c r="AJ719" i="2"/>
  <c r="AE719" i="2"/>
  <c r="AD719" i="2"/>
  <c r="AC719" i="2"/>
  <c r="W719" i="2"/>
  <c r="Y719" i="2" s="1"/>
  <c r="AB719" i="2" s="1"/>
  <c r="T719" i="2"/>
  <c r="S719" i="2"/>
  <c r="V719" i="2" s="1"/>
  <c r="A719" i="2"/>
  <c r="AL718" i="2"/>
  <c r="AM718" i="2" s="1"/>
  <c r="AK718" i="2"/>
  <c r="AJ718" i="2"/>
  <c r="AE718" i="2"/>
  <c r="AD718" i="2"/>
  <c r="AC718" i="2"/>
  <c r="Y718" i="2"/>
  <c r="AB718" i="2" s="1"/>
  <c r="W718" i="2"/>
  <c r="V718" i="2"/>
  <c r="T718" i="2"/>
  <c r="S718" i="2"/>
  <c r="A718" i="2"/>
  <c r="AM717" i="2"/>
  <c r="AL717" i="2"/>
  <c r="AK717" i="2"/>
  <c r="AJ717" i="2"/>
  <c r="AE717" i="2"/>
  <c r="AD717" i="2"/>
  <c r="AC717" i="2"/>
  <c r="W717" i="2"/>
  <c r="Y717" i="2" s="1"/>
  <c r="AB717" i="2" s="1"/>
  <c r="V717" i="2"/>
  <c r="AO717" i="2" s="1"/>
  <c r="T717" i="2"/>
  <c r="S717" i="2"/>
  <c r="A717" i="2"/>
  <c r="AL716" i="2"/>
  <c r="AM716" i="2" s="1"/>
  <c r="AK716" i="2"/>
  <c r="AJ716" i="2"/>
  <c r="AE716" i="2"/>
  <c r="AD716" i="2"/>
  <c r="AC716" i="2"/>
  <c r="W716" i="2"/>
  <c r="Y716" i="2" s="1"/>
  <c r="AB716" i="2" s="1"/>
  <c r="V716" i="2"/>
  <c r="T716" i="2"/>
  <c r="S716" i="2"/>
  <c r="A716" i="2"/>
  <c r="AL715" i="2"/>
  <c r="AM715" i="2" s="1"/>
  <c r="AK715" i="2"/>
  <c r="AJ715" i="2"/>
  <c r="AE715" i="2"/>
  <c r="AD715" i="2"/>
  <c r="AC715" i="2"/>
  <c r="W715" i="2"/>
  <c r="Y715" i="2" s="1"/>
  <c r="AB715" i="2" s="1"/>
  <c r="T715" i="2"/>
  <c r="S715" i="2"/>
  <c r="V715" i="2" s="1"/>
  <c r="A715" i="2"/>
  <c r="AL714" i="2"/>
  <c r="AM714" i="2" s="1"/>
  <c r="AK714" i="2"/>
  <c r="AJ714" i="2"/>
  <c r="AE714" i="2"/>
  <c r="AD714" i="2"/>
  <c r="AC714" i="2"/>
  <c r="Y714" i="2"/>
  <c r="AB714" i="2" s="1"/>
  <c r="W714" i="2"/>
  <c r="V714" i="2"/>
  <c r="T714" i="2"/>
  <c r="S714" i="2"/>
  <c r="A714" i="2"/>
  <c r="AM713" i="2"/>
  <c r="AL713" i="2"/>
  <c r="AK713" i="2"/>
  <c r="AJ713" i="2"/>
  <c r="AE713" i="2"/>
  <c r="AD713" i="2"/>
  <c r="AC713" i="2"/>
  <c r="W713" i="2"/>
  <c r="Y713" i="2" s="1"/>
  <c r="AB713" i="2" s="1"/>
  <c r="V713" i="2"/>
  <c r="AO713" i="2" s="1"/>
  <c r="T713" i="2"/>
  <c r="S713" i="2"/>
  <c r="A713" i="2"/>
  <c r="AL712" i="2"/>
  <c r="AM712" i="2" s="1"/>
  <c r="AK712" i="2"/>
  <c r="AJ712" i="2"/>
  <c r="AE712" i="2"/>
  <c r="AD712" i="2"/>
  <c r="AC712" i="2"/>
  <c r="W712" i="2"/>
  <c r="Y712" i="2" s="1"/>
  <c r="AB712" i="2" s="1"/>
  <c r="V712" i="2"/>
  <c r="T712" i="2"/>
  <c r="S712" i="2"/>
  <c r="A712" i="2"/>
  <c r="AL711" i="2"/>
  <c r="AM711" i="2" s="1"/>
  <c r="AK711" i="2"/>
  <c r="AJ711" i="2"/>
  <c r="AE711" i="2"/>
  <c r="AD711" i="2"/>
  <c r="AC711" i="2"/>
  <c r="W711" i="2"/>
  <c r="Y711" i="2" s="1"/>
  <c r="AB711" i="2" s="1"/>
  <c r="T711" i="2"/>
  <c r="S711" i="2"/>
  <c r="V711" i="2" s="1"/>
  <c r="A711" i="2"/>
  <c r="AL710" i="2"/>
  <c r="AM710" i="2" s="1"/>
  <c r="AK710" i="2"/>
  <c r="AJ710" i="2"/>
  <c r="AE710" i="2"/>
  <c r="AD710" i="2"/>
  <c r="AC710" i="2"/>
  <c r="Y710" i="2"/>
  <c r="AB710" i="2" s="1"/>
  <c r="W710" i="2"/>
  <c r="V710" i="2"/>
  <c r="T710" i="2"/>
  <c r="S710" i="2"/>
  <c r="A710" i="2"/>
  <c r="AM709" i="2"/>
  <c r="AL709" i="2"/>
  <c r="AK709" i="2"/>
  <c r="AJ709" i="2"/>
  <c r="AE709" i="2"/>
  <c r="AD709" i="2"/>
  <c r="AC709" i="2"/>
  <c r="W709" i="2"/>
  <c r="Y709" i="2" s="1"/>
  <c r="AB709" i="2" s="1"/>
  <c r="V709" i="2"/>
  <c r="AO709" i="2" s="1"/>
  <c r="T709" i="2"/>
  <c r="S709" i="2"/>
  <c r="A709" i="2"/>
  <c r="AL708" i="2"/>
  <c r="AM708" i="2" s="1"/>
  <c r="AK708" i="2"/>
  <c r="AJ708" i="2"/>
  <c r="AE708" i="2"/>
  <c r="AD708" i="2"/>
  <c r="AC708" i="2"/>
  <c r="W708" i="2"/>
  <c r="Y708" i="2" s="1"/>
  <c r="AB708" i="2" s="1"/>
  <c r="V708" i="2"/>
  <c r="T708" i="2"/>
  <c r="S708" i="2"/>
  <c r="A708" i="2"/>
  <c r="AL707" i="2"/>
  <c r="AM707" i="2" s="1"/>
  <c r="AK707" i="2"/>
  <c r="AJ707" i="2"/>
  <c r="AE707" i="2"/>
  <c r="AD707" i="2"/>
  <c r="AC707" i="2"/>
  <c r="W707" i="2"/>
  <c r="Y707" i="2" s="1"/>
  <c r="AB707" i="2" s="1"/>
  <c r="T707" i="2"/>
  <c r="S707" i="2"/>
  <c r="V707" i="2" s="1"/>
  <c r="A707" i="2"/>
  <c r="AL706" i="2"/>
  <c r="AM706" i="2" s="1"/>
  <c r="AK706" i="2"/>
  <c r="AJ706" i="2"/>
  <c r="AE706" i="2"/>
  <c r="AD706" i="2"/>
  <c r="AC706" i="2"/>
  <c r="Y706" i="2"/>
  <c r="AB706" i="2" s="1"/>
  <c r="W706" i="2"/>
  <c r="V706" i="2"/>
  <c r="T706" i="2"/>
  <c r="S706" i="2"/>
  <c r="A706" i="2"/>
  <c r="AM705" i="2"/>
  <c r="AL705" i="2"/>
  <c r="AK705" i="2"/>
  <c r="AJ705" i="2"/>
  <c r="AE705" i="2"/>
  <c r="AD705" i="2"/>
  <c r="AC705" i="2"/>
  <c r="W705" i="2"/>
  <c r="Y705" i="2" s="1"/>
  <c r="AB705" i="2" s="1"/>
  <c r="V705" i="2"/>
  <c r="AO705" i="2" s="1"/>
  <c r="T705" i="2"/>
  <c r="S705" i="2"/>
  <c r="A705" i="2"/>
  <c r="AL704" i="2"/>
  <c r="AM704" i="2" s="1"/>
  <c r="AK704" i="2"/>
  <c r="AJ704" i="2"/>
  <c r="AE704" i="2"/>
  <c r="AD704" i="2"/>
  <c r="AC704" i="2"/>
  <c r="W704" i="2"/>
  <c r="Y704" i="2" s="1"/>
  <c r="AB704" i="2" s="1"/>
  <c r="V704" i="2"/>
  <c r="T704" i="2"/>
  <c r="S704" i="2"/>
  <c r="A704" i="2"/>
  <c r="AL703" i="2"/>
  <c r="AM703" i="2" s="1"/>
  <c r="AK703" i="2"/>
  <c r="AJ703" i="2"/>
  <c r="AE703" i="2"/>
  <c r="AD703" i="2"/>
  <c r="AC703" i="2"/>
  <c r="W703" i="2"/>
  <c r="Y703" i="2" s="1"/>
  <c r="AB703" i="2" s="1"/>
  <c r="T703" i="2"/>
  <c r="S703" i="2"/>
  <c r="V703" i="2" s="1"/>
  <c r="A703" i="2"/>
  <c r="AL702" i="2"/>
  <c r="AM702" i="2" s="1"/>
  <c r="AK702" i="2"/>
  <c r="AJ702" i="2"/>
  <c r="AE702" i="2"/>
  <c r="AD702" i="2"/>
  <c r="AC702" i="2"/>
  <c r="W702" i="2"/>
  <c r="Y702" i="2" s="1"/>
  <c r="AB702" i="2" s="1"/>
  <c r="T702" i="2"/>
  <c r="S702" i="2"/>
  <c r="V702" i="2" s="1"/>
  <c r="A702" i="2"/>
  <c r="AM701" i="2"/>
  <c r="AL701" i="2"/>
  <c r="AK701" i="2"/>
  <c r="AJ701" i="2"/>
  <c r="AE701" i="2"/>
  <c r="AD701" i="2"/>
  <c r="AC701" i="2"/>
  <c r="W701" i="2"/>
  <c r="T701" i="2"/>
  <c r="S701" i="2"/>
  <c r="V701" i="2" s="1"/>
  <c r="A701" i="2"/>
  <c r="AM700" i="2"/>
  <c r="AL700" i="2"/>
  <c r="AK700" i="2"/>
  <c r="AJ700" i="2"/>
  <c r="AE700" i="2"/>
  <c r="AD700" i="2"/>
  <c r="AC700" i="2"/>
  <c r="W700" i="2"/>
  <c r="Y700" i="2" s="1"/>
  <c r="AB700" i="2" s="1"/>
  <c r="T700" i="2"/>
  <c r="S700" i="2"/>
  <c r="V700" i="2" s="1"/>
  <c r="A700" i="2"/>
  <c r="AM699" i="2"/>
  <c r="AL699" i="2"/>
  <c r="AK699" i="2"/>
  <c r="AJ699" i="2"/>
  <c r="AE699" i="2"/>
  <c r="AD699" i="2"/>
  <c r="AC699" i="2"/>
  <c r="W699" i="2"/>
  <c r="Y699" i="2" s="1"/>
  <c r="AB699" i="2" s="1"/>
  <c r="T699" i="2"/>
  <c r="S699" i="2"/>
  <c r="V699" i="2" s="1"/>
  <c r="A699" i="2"/>
  <c r="AM698" i="2"/>
  <c r="AL698" i="2"/>
  <c r="AK698" i="2"/>
  <c r="AJ698" i="2"/>
  <c r="AE698" i="2"/>
  <c r="AD698" i="2"/>
  <c r="AC698" i="2"/>
  <c r="W698" i="2"/>
  <c r="Y698" i="2" s="1"/>
  <c r="AB698" i="2" s="1"/>
  <c r="T698" i="2"/>
  <c r="S698" i="2"/>
  <c r="V698" i="2" s="1"/>
  <c r="A698" i="2"/>
  <c r="AM697" i="2"/>
  <c r="AL697" i="2"/>
  <c r="AK697" i="2"/>
  <c r="AJ697" i="2"/>
  <c r="AE697" i="2"/>
  <c r="AD697" i="2"/>
  <c r="AC697" i="2"/>
  <c r="W697" i="2"/>
  <c r="Y697" i="2" s="1"/>
  <c r="AB697" i="2" s="1"/>
  <c r="T697" i="2"/>
  <c r="S697" i="2"/>
  <c r="V697" i="2" s="1"/>
  <c r="A697" i="2"/>
  <c r="AM696" i="2"/>
  <c r="AL696" i="2"/>
  <c r="AK696" i="2"/>
  <c r="AJ696" i="2"/>
  <c r="AE696" i="2"/>
  <c r="AD696" i="2"/>
  <c r="AC696" i="2"/>
  <c r="W696" i="2"/>
  <c r="Y696" i="2" s="1"/>
  <c r="AB696" i="2" s="1"/>
  <c r="T696" i="2"/>
  <c r="S696" i="2"/>
  <c r="V696" i="2" s="1"/>
  <c r="A696" i="2"/>
  <c r="AM695" i="2"/>
  <c r="AL695" i="2"/>
  <c r="AK695" i="2"/>
  <c r="AJ695" i="2"/>
  <c r="AE695" i="2"/>
  <c r="AD695" i="2"/>
  <c r="AC695" i="2"/>
  <c r="W695" i="2"/>
  <c r="Y695" i="2" s="1"/>
  <c r="AB695" i="2" s="1"/>
  <c r="T695" i="2"/>
  <c r="S695" i="2"/>
  <c r="V695" i="2" s="1"/>
  <c r="A695" i="2"/>
  <c r="AM694" i="2"/>
  <c r="AL694" i="2"/>
  <c r="AK694" i="2"/>
  <c r="AJ694" i="2"/>
  <c r="AE694" i="2"/>
  <c r="AD694" i="2"/>
  <c r="AC694" i="2"/>
  <c r="W694" i="2"/>
  <c r="Y694" i="2" s="1"/>
  <c r="AB694" i="2" s="1"/>
  <c r="T694" i="2"/>
  <c r="S694" i="2"/>
  <c r="V694" i="2" s="1"/>
  <c r="A694" i="2"/>
  <c r="AM693" i="2"/>
  <c r="AL693" i="2"/>
  <c r="AK693" i="2"/>
  <c r="AJ693" i="2"/>
  <c r="AE693" i="2"/>
  <c r="AD693" i="2"/>
  <c r="AC693" i="2"/>
  <c r="W693" i="2"/>
  <c r="Y693" i="2" s="1"/>
  <c r="AB693" i="2" s="1"/>
  <c r="T693" i="2"/>
  <c r="S693" i="2"/>
  <c r="V693" i="2" s="1"/>
  <c r="A693" i="2"/>
  <c r="AM692" i="2"/>
  <c r="AL692" i="2"/>
  <c r="AK692" i="2"/>
  <c r="AJ692" i="2"/>
  <c r="AE692" i="2"/>
  <c r="AD692" i="2"/>
  <c r="AC692" i="2"/>
  <c r="W692" i="2"/>
  <c r="Y692" i="2" s="1"/>
  <c r="AB692" i="2" s="1"/>
  <c r="T692" i="2"/>
  <c r="S692" i="2"/>
  <c r="V692" i="2" s="1"/>
  <c r="A692" i="2"/>
  <c r="AM691" i="2"/>
  <c r="AL691" i="2"/>
  <c r="AK691" i="2"/>
  <c r="AJ691" i="2"/>
  <c r="AE691" i="2"/>
  <c r="AD691" i="2"/>
  <c r="AC691" i="2"/>
  <c r="W691" i="2"/>
  <c r="Y691" i="2" s="1"/>
  <c r="AB691" i="2" s="1"/>
  <c r="T691" i="2"/>
  <c r="S691" i="2"/>
  <c r="V691" i="2" s="1"/>
  <c r="A691" i="2"/>
  <c r="AM690" i="2"/>
  <c r="AL690" i="2"/>
  <c r="AK690" i="2"/>
  <c r="AJ690" i="2"/>
  <c r="AE690" i="2"/>
  <c r="AD690" i="2"/>
  <c r="AC690" i="2"/>
  <c r="W690" i="2"/>
  <c r="Y690" i="2" s="1"/>
  <c r="AB690" i="2" s="1"/>
  <c r="T690" i="2"/>
  <c r="S690" i="2"/>
  <c r="V690" i="2" s="1"/>
  <c r="A690" i="2"/>
  <c r="AM689" i="2"/>
  <c r="AL689" i="2"/>
  <c r="AK689" i="2"/>
  <c r="AJ689" i="2"/>
  <c r="AE689" i="2"/>
  <c r="AD689" i="2"/>
  <c r="AC689" i="2"/>
  <c r="W689" i="2"/>
  <c r="Y689" i="2" s="1"/>
  <c r="AB689" i="2" s="1"/>
  <c r="T689" i="2"/>
  <c r="S689" i="2"/>
  <c r="V689" i="2" s="1"/>
  <c r="A689" i="2"/>
  <c r="AM688" i="2"/>
  <c r="AL688" i="2"/>
  <c r="AK688" i="2"/>
  <c r="AJ688" i="2"/>
  <c r="AE688" i="2"/>
  <c r="AD688" i="2"/>
  <c r="AC688" i="2"/>
  <c r="W688" i="2"/>
  <c r="Y688" i="2" s="1"/>
  <c r="AB688" i="2" s="1"/>
  <c r="T688" i="2"/>
  <c r="S688" i="2"/>
  <c r="V688" i="2" s="1"/>
  <c r="A688" i="2"/>
  <c r="AM687" i="2"/>
  <c r="AL687" i="2"/>
  <c r="AK687" i="2"/>
  <c r="AJ687" i="2"/>
  <c r="AE687" i="2"/>
  <c r="AD687" i="2"/>
  <c r="AC687" i="2"/>
  <c r="W687" i="2"/>
  <c r="Y687" i="2" s="1"/>
  <c r="AB687" i="2" s="1"/>
  <c r="T687" i="2"/>
  <c r="S687" i="2"/>
  <c r="V687" i="2" s="1"/>
  <c r="A687" i="2"/>
  <c r="AM686" i="2"/>
  <c r="AL686" i="2"/>
  <c r="AK686" i="2"/>
  <c r="AJ686" i="2"/>
  <c r="AE686" i="2"/>
  <c r="AD686" i="2"/>
  <c r="AC686" i="2"/>
  <c r="W686" i="2"/>
  <c r="Y686" i="2" s="1"/>
  <c r="AB686" i="2" s="1"/>
  <c r="T686" i="2"/>
  <c r="S686" i="2"/>
  <c r="V686" i="2" s="1"/>
  <c r="A686" i="2"/>
  <c r="AM685" i="2"/>
  <c r="AL685" i="2"/>
  <c r="AK685" i="2"/>
  <c r="AJ685" i="2"/>
  <c r="AE685" i="2"/>
  <c r="AD685" i="2"/>
  <c r="AC685" i="2"/>
  <c r="W685" i="2"/>
  <c r="Y685" i="2" s="1"/>
  <c r="AB685" i="2" s="1"/>
  <c r="T685" i="2"/>
  <c r="S685" i="2"/>
  <c r="V685" i="2" s="1"/>
  <c r="A685" i="2"/>
  <c r="AM684" i="2"/>
  <c r="AL684" i="2"/>
  <c r="AK684" i="2"/>
  <c r="AJ684" i="2"/>
  <c r="AE684" i="2"/>
  <c r="AD684" i="2"/>
  <c r="AC684" i="2"/>
  <c r="W684" i="2"/>
  <c r="Y684" i="2" s="1"/>
  <c r="AB684" i="2" s="1"/>
  <c r="T684" i="2"/>
  <c r="S684" i="2"/>
  <c r="V684" i="2" s="1"/>
  <c r="A684" i="2"/>
  <c r="AM683" i="2"/>
  <c r="AL683" i="2"/>
  <c r="AK683" i="2"/>
  <c r="AJ683" i="2"/>
  <c r="AE683" i="2"/>
  <c r="AD683" i="2"/>
  <c r="AC683" i="2"/>
  <c r="W683" i="2"/>
  <c r="Y683" i="2" s="1"/>
  <c r="AB683" i="2" s="1"/>
  <c r="T683" i="2"/>
  <c r="S683" i="2"/>
  <c r="V683" i="2" s="1"/>
  <c r="A683" i="2"/>
  <c r="AM682" i="2"/>
  <c r="AL682" i="2"/>
  <c r="AK682" i="2"/>
  <c r="AJ682" i="2"/>
  <c r="AE682" i="2"/>
  <c r="AD682" i="2"/>
  <c r="AC682" i="2"/>
  <c r="W682" i="2"/>
  <c r="Y682" i="2" s="1"/>
  <c r="AB682" i="2" s="1"/>
  <c r="T682" i="2"/>
  <c r="S682" i="2"/>
  <c r="V682" i="2" s="1"/>
  <c r="A682" i="2"/>
  <c r="AM681" i="2"/>
  <c r="AL681" i="2"/>
  <c r="AK681" i="2"/>
  <c r="AJ681" i="2"/>
  <c r="AE681" i="2"/>
  <c r="AD681" i="2"/>
  <c r="AC681" i="2"/>
  <c r="W681" i="2"/>
  <c r="Y681" i="2" s="1"/>
  <c r="AB681" i="2" s="1"/>
  <c r="T681" i="2"/>
  <c r="S681" i="2"/>
  <c r="V681" i="2" s="1"/>
  <c r="A681" i="2"/>
  <c r="AM680" i="2"/>
  <c r="AL680" i="2"/>
  <c r="AK680" i="2"/>
  <c r="AJ680" i="2"/>
  <c r="AE680" i="2"/>
  <c r="AD680" i="2"/>
  <c r="AC680" i="2"/>
  <c r="W680" i="2"/>
  <c r="Y680" i="2" s="1"/>
  <c r="AB680" i="2" s="1"/>
  <c r="T680" i="2"/>
  <c r="S680" i="2"/>
  <c r="V680" i="2" s="1"/>
  <c r="A680" i="2"/>
  <c r="AM679" i="2"/>
  <c r="AL679" i="2"/>
  <c r="AK679" i="2"/>
  <c r="AJ679" i="2"/>
  <c r="AE679" i="2"/>
  <c r="AD679" i="2"/>
  <c r="AC679" i="2"/>
  <c r="W679" i="2"/>
  <c r="Y679" i="2" s="1"/>
  <c r="AB679" i="2" s="1"/>
  <c r="T679" i="2"/>
  <c r="S679" i="2"/>
  <c r="V679" i="2" s="1"/>
  <c r="A679" i="2"/>
  <c r="AM678" i="2"/>
  <c r="AL678" i="2"/>
  <c r="AK678" i="2"/>
  <c r="AJ678" i="2"/>
  <c r="AE678" i="2"/>
  <c r="AD678" i="2"/>
  <c r="AC678" i="2"/>
  <c r="W678" i="2"/>
  <c r="Y678" i="2" s="1"/>
  <c r="AB678" i="2" s="1"/>
  <c r="T678" i="2"/>
  <c r="S678" i="2"/>
  <c r="V678" i="2" s="1"/>
  <c r="A678" i="2"/>
  <c r="AM677" i="2"/>
  <c r="AL677" i="2"/>
  <c r="AK677" i="2"/>
  <c r="AJ677" i="2"/>
  <c r="AE677" i="2"/>
  <c r="AD677" i="2"/>
  <c r="AC677" i="2"/>
  <c r="W677" i="2"/>
  <c r="Y677" i="2" s="1"/>
  <c r="AB677" i="2" s="1"/>
  <c r="T677" i="2"/>
  <c r="S677" i="2"/>
  <c r="V677" i="2" s="1"/>
  <c r="A677" i="2"/>
  <c r="AM676" i="2"/>
  <c r="AL676" i="2"/>
  <c r="AK676" i="2"/>
  <c r="AJ676" i="2"/>
  <c r="AE676" i="2"/>
  <c r="AD676" i="2"/>
  <c r="AC676" i="2"/>
  <c r="W676" i="2"/>
  <c r="Y676" i="2" s="1"/>
  <c r="AB676" i="2" s="1"/>
  <c r="T676" i="2"/>
  <c r="S676" i="2"/>
  <c r="V676" i="2" s="1"/>
  <c r="A676" i="2"/>
  <c r="AM675" i="2"/>
  <c r="AL675" i="2"/>
  <c r="AK675" i="2"/>
  <c r="AJ675" i="2"/>
  <c r="AE675" i="2"/>
  <c r="AD675" i="2"/>
  <c r="AC675" i="2"/>
  <c r="W675" i="2"/>
  <c r="Y675" i="2" s="1"/>
  <c r="AB675" i="2" s="1"/>
  <c r="T675" i="2"/>
  <c r="S675" i="2"/>
  <c r="V675" i="2" s="1"/>
  <c r="A675" i="2"/>
  <c r="AM674" i="2"/>
  <c r="AL674" i="2"/>
  <c r="AK674" i="2"/>
  <c r="AJ674" i="2"/>
  <c r="AE674" i="2"/>
  <c r="AD674" i="2"/>
  <c r="AC674" i="2"/>
  <c r="W674" i="2"/>
  <c r="Y674" i="2" s="1"/>
  <c r="AB674" i="2" s="1"/>
  <c r="T674" i="2"/>
  <c r="S674" i="2"/>
  <c r="V674" i="2" s="1"/>
  <c r="A674" i="2"/>
  <c r="AM673" i="2"/>
  <c r="AL673" i="2"/>
  <c r="AK673" i="2"/>
  <c r="AJ673" i="2"/>
  <c r="AE673" i="2"/>
  <c r="AD673" i="2"/>
  <c r="AC673" i="2"/>
  <c r="W673" i="2"/>
  <c r="Y673" i="2" s="1"/>
  <c r="AB673" i="2" s="1"/>
  <c r="T673" i="2"/>
  <c r="S673" i="2"/>
  <c r="V673" i="2" s="1"/>
  <c r="A673" i="2"/>
  <c r="AM672" i="2"/>
  <c r="AL672" i="2"/>
  <c r="AK672" i="2"/>
  <c r="AJ672" i="2"/>
  <c r="AE672" i="2"/>
  <c r="AD672" i="2"/>
  <c r="AC672" i="2"/>
  <c r="W672" i="2"/>
  <c r="Y672" i="2" s="1"/>
  <c r="AB672" i="2" s="1"/>
  <c r="T672" i="2"/>
  <c r="S672" i="2"/>
  <c r="V672" i="2" s="1"/>
  <c r="A672" i="2"/>
  <c r="AM671" i="2"/>
  <c r="AL671" i="2"/>
  <c r="AK671" i="2"/>
  <c r="AJ671" i="2"/>
  <c r="AE671" i="2"/>
  <c r="AD671" i="2"/>
  <c r="AC671" i="2"/>
  <c r="W671" i="2"/>
  <c r="Y671" i="2" s="1"/>
  <c r="AB671" i="2" s="1"/>
  <c r="T671" i="2"/>
  <c r="S671" i="2"/>
  <c r="V671" i="2" s="1"/>
  <c r="A671" i="2"/>
  <c r="AM670" i="2"/>
  <c r="AL670" i="2"/>
  <c r="AK670" i="2"/>
  <c r="AJ670" i="2"/>
  <c r="AE670" i="2"/>
  <c r="AD670" i="2"/>
  <c r="AC670" i="2"/>
  <c r="W670" i="2"/>
  <c r="Y670" i="2" s="1"/>
  <c r="AB670" i="2" s="1"/>
  <c r="T670" i="2"/>
  <c r="S670" i="2"/>
  <c r="V670" i="2" s="1"/>
  <c r="A670" i="2"/>
  <c r="AM669" i="2"/>
  <c r="AL669" i="2"/>
  <c r="AK669" i="2"/>
  <c r="AJ669" i="2"/>
  <c r="AE669" i="2"/>
  <c r="AD669" i="2"/>
  <c r="AC669" i="2"/>
  <c r="W669" i="2"/>
  <c r="Y669" i="2" s="1"/>
  <c r="AB669" i="2" s="1"/>
  <c r="T669" i="2"/>
  <c r="S669" i="2"/>
  <c r="V669" i="2" s="1"/>
  <c r="A669" i="2"/>
  <c r="AM668" i="2"/>
  <c r="AL668" i="2"/>
  <c r="AK668" i="2"/>
  <c r="AJ668" i="2"/>
  <c r="AE668" i="2"/>
  <c r="AD668" i="2"/>
  <c r="AC668" i="2"/>
  <c r="W668" i="2"/>
  <c r="Y668" i="2" s="1"/>
  <c r="AB668" i="2" s="1"/>
  <c r="T668" i="2"/>
  <c r="S668" i="2"/>
  <c r="V668" i="2" s="1"/>
  <c r="A668" i="2"/>
  <c r="AM667" i="2"/>
  <c r="AL667" i="2"/>
  <c r="AK667" i="2"/>
  <c r="AJ667" i="2"/>
  <c r="AE667" i="2"/>
  <c r="AD667" i="2"/>
  <c r="AC667" i="2"/>
  <c r="W667" i="2"/>
  <c r="Y667" i="2" s="1"/>
  <c r="AB667" i="2" s="1"/>
  <c r="T667" i="2"/>
  <c r="S667" i="2"/>
  <c r="V667" i="2" s="1"/>
  <c r="A667" i="2"/>
  <c r="AM666" i="2"/>
  <c r="AL666" i="2"/>
  <c r="AK666" i="2"/>
  <c r="AJ666" i="2"/>
  <c r="AE666" i="2"/>
  <c r="AD666" i="2"/>
  <c r="AC666" i="2"/>
  <c r="W666" i="2"/>
  <c r="Y666" i="2" s="1"/>
  <c r="AB666" i="2" s="1"/>
  <c r="T666" i="2"/>
  <c r="S666" i="2"/>
  <c r="V666" i="2" s="1"/>
  <c r="A666" i="2"/>
  <c r="AM665" i="2"/>
  <c r="AL665" i="2"/>
  <c r="AK665" i="2"/>
  <c r="AJ665" i="2"/>
  <c r="AE665" i="2"/>
  <c r="AD665" i="2"/>
  <c r="AC665" i="2"/>
  <c r="W665" i="2"/>
  <c r="Y665" i="2" s="1"/>
  <c r="AB665" i="2" s="1"/>
  <c r="T665" i="2"/>
  <c r="S665" i="2"/>
  <c r="V665" i="2" s="1"/>
  <c r="A665" i="2"/>
  <c r="AM664" i="2"/>
  <c r="AL664" i="2"/>
  <c r="AK664" i="2"/>
  <c r="AJ664" i="2"/>
  <c r="AE664" i="2"/>
  <c r="AD664" i="2"/>
  <c r="AC664" i="2"/>
  <c r="W664" i="2"/>
  <c r="Y664" i="2" s="1"/>
  <c r="AB664" i="2" s="1"/>
  <c r="T664" i="2"/>
  <c r="S664" i="2"/>
  <c r="V664" i="2" s="1"/>
  <c r="A664" i="2"/>
  <c r="AM663" i="2"/>
  <c r="AL663" i="2"/>
  <c r="AK663" i="2"/>
  <c r="AJ663" i="2"/>
  <c r="AE663" i="2"/>
  <c r="AD663" i="2"/>
  <c r="AC663" i="2"/>
  <c r="W663" i="2"/>
  <c r="Y663" i="2" s="1"/>
  <c r="AB663" i="2" s="1"/>
  <c r="T663" i="2"/>
  <c r="S663" i="2"/>
  <c r="V663" i="2" s="1"/>
  <c r="A663" i="2"/>
  <c r="AM662" i="2"/>
  <c r="AL662" i="2"/>
  <c r="AK662" i="2"/>
  <c r="AJ662" i="2"/>
  <c r="AE662" i="2"/>
  <c r="AD662" i="2"/>
  <c r="AC662" i="2"/>
  <c r="W662" i="2"/>
  <c r="Y662" i="2" s="1"/>
  <c r="AB662" i="2" s="1"/>
  <c r="T662" i="2"/>
  <c r="S662" i="2"/>
  <c r="V662" i="2" s="1"/>
  <c r="A662" i="2"/>
  <c r="AM661" i="2"/>
  <c r="AL661" i="2"/>
  <c r="AK661" i="2"/>
  <c r="AJ661" i="2"/>
  <c r="AE661" i="2"/>
  <c r="AD661" i="2"/>
  <c r="AC661" i="2"/>
  <c r="W661" i="2"/>
  <c r="Y661" i="2" s="1"/>
  <c r="AB661" i="2" s="1"/>
  <c r="T661" i="2"/>
  <c r="S661" i="2"/>
  <c r="V661" i="2" s="1"/>
  <c r="A661" i="2"/>
  <c r="AM660" i="2"/>
  <c r="AL660" i="2"/>
  <c r="AK660" i="2"/>
  <c r="AJ660" i="2"/>
  <c r="AE660" i="2"/>
  <c r="AD660" i="2"/>
  <c r="AC660" i="2"/>
  <c r="W660" i="2"/>
  <c r="Y660" i="2" s="1"/>
  <c r="AB660" i="2" s="1"/>
  <c r="T660" i="2"/>
  <c r="S660" i="2"/>
  <c r="V660" i="2" s="1"/>
  <c r="A660" i="2"/>
  <c r="AM659" i="2"/>
  <c r="AL659" i="2"/>
  <c r="AK659" i="2"/>
  <c r="AJ659" i="2"/>
  <c r="AE659" i="2"/>
  <c r="AD659" i="2"/>
  <c r="AC659" i="2"/>
  <c r="W659" i="2"/>
  <c r="Y659" i="2" s="1"/>
  <c r="AB659" i="2" s="1"/>
  <c r="T659" i="2"/>
  <c r="S659" i="2"/>
  <c r="V659" i="2" s="1"/>
  <c r="A659" i="2"/>
  <c r="AM658" i="2"/>
  <c r="AL658" i="2"/>
  <c r="AK658" i="2"/>
  <c r="AJ658" i="2"/>
  <c r="AE658" i="2"/>
  <c r="AD658" i="2"/>
  <c r="AC658" i="2"/>
  <c r="W658" i="2"/>
  <c r="Y658" i="2" s="1"/>
  <c r="AB658" i="2" s="1"/>
  <c r="T658" i="2"/>
  <c r="S658" i="2"/>
  <c r="V658" i="2" s="1"/>
  <c r="A658" i="2"/>
  <c r="AM657" i="2"/>
  <c r="AL657" i="2"/>
  <c r="AK657" i="2"/>
  <c r="AJ657" i="2"/>
  <c r="AE657" i="2"/>
  <c r="AD657" i="2"/>
  <c r="AC657" i="2"/>
  <c r="W657" i="2"/>
  <c r="Y657" i="2" s="1"/>
  <c r="AB657" i="2" s="1"/>
  <c r="T657" i="2"/>
  <c r="S657" i="2"/>
  <c r="V657" i="2" s="1"/>
  <c r="A657" i="2"/>
  <c r="AM656" i="2"/>
  <c r="AL656" i="2"/>
  <c r="AK656" i="2"/>
  <c r="AJ656" i="2"/>
  <c r="AE656" i="2"/>
  <c r="AD656" i="2"/>
  <c r="AC656" i="2"/>
  <c r="W656" i="2"/>
  <c r="Y656" i="2" s="1"/>
  <c r="AB656" i="2" s="1"/>
  <c r="T656" i="2"/>
  <c r="S656" i="2"/>
  <c r="V656" i="2" s="1"/>
  <c r="A656" i="2"/>
  <c r="AM655" i="2"/>
  <c r="AL655" i="2"/>
  <c r="AK655" i="2"/>
  <c r="AJ655" i="2"/>
  <c r="AE655" i="2"/>
  <c r="AD655" i="2"/>
  <c r="AC655" i="2"/>
  <c r="W655" i="2"/>
  <c r="Y655" i="2" s="1"/>
  <c r="AB655" i="2" s="1"/>
  <c r="T655" i="2"/>
  <c r="S655" i="2"/>
  <c r="V655" i="2" s="1"/>
  <c r="A655" i="2"/>
  <c r="AM654" i="2"/>
  <c r="AL654" i="2"/>
  <c r="AK654" i="2"/>
  <c r="AJ654" i="2"/>
  <c r="AE654" i="2"/>
  <c r="AD654" i="2"/>
  <c r="AC654" i="2"/>
  <c r="W654" i="2"/>
  <c r="Y654" i="2" s="1"/>
  <c r="AB654" i="2" s="1"/>
  <c r="T654" i="2"/>
  <c r="S654" i="2"/>
  <c r="V654" i="2" s="1"/>
  <c r="A654" i="2"/>
  <c r="AM653" i="2"/>
  <c r="AL653" i="2"/>
  <c r="AK653" i="2"/>
  <c r="AJ653" i="2"/>
  <c r="AE653" i="2"/>
  <c r="AD653" i="2"/>
  <c r="AC653" i="2"/>
  <c r="W653" i="2"/>
  <c r="Y653" i="2" s="1"/>
  <c r="AB653" i="2" s="1"/>
  <c r="T653" i="2"/>
  <c r="S653" i="2"/>
  <c r="V653" i="2" s="1"/>
  <c r="A653" i="2"/>
  <c r="AM652" i="2"/>
  <c r="AL652" i="2"/>
  <c r="AK652" i="2"/>
  <c r="AJ652" i="2"/>
  <c r="AE652" i="2"/>
  <c r="AD652" i="2"/>
  <c r="AC652" i="2"/>
  <c r="W652" i="2"/>
  <c r="Y652" i="2" s="1"/>
  <c r="AB652" i="2" s="1"/>
  <c r="T652" i="2"/>
  <c r="S652" i="2"/>
  <c r="V652" i="2" s="1"/>
  <c r="A652" i="2"/>
  <c r="AM651" i="2"/>
  <c r="AL651" i="2"/>
  <c r="AK651" i="2"/>
  <c r="AJ651" i="2"/>
  <c r="AE651" i="2"/>
  <c r="AD651" i="2"/>
  <c r="AC651" i="2"/>
  <c r="W651" i="2"/>
  <c r="Y651" i="2" s="1"/>
  <c r="AB651" i="2" s="1"/>
  <c r="T651" i="2"/>
  <c r="S651" i="2"/>
  <c r="V651" i="2" s="1"/>
  <c r="A651" i="2"/>
  <c r="AM650" i="2"/>
  <c r="AL650" i="2"/>
  <c r="AK650" i="2"/>
  <c r="AJ650" i="2"/>
  <c r="AE650" i="2"/>
  <c r="AD650" i="2"/>
  <c r="AC650" i="2"/>
  <c r="W650" i="2"/>
  <c r="Y650" i="2" s="1"/>
  <c r="AB650" i="2" s="1"/>
  <c r="T650" i="2"/>
  <c r="S650" i="2"/>
  <c r="V650" i="2" s="1"/>
  <c r="A650" i="2"/>
  <c r="AM649" i="2"/>
  <c r="AL649" i="2"/>
  <c r="AK649" i="2"/>
  <c r="AJ649" i="2"/>
  <c r="AE649" i="2"/>
  <c r="AD649" i="2"/>
  <c r="AC649" i="2"/>
  <c r="W649" i="2"/>
  <c r="Y649" i="2" s="1"/>
  <c r="AB649" i="2" s="1"/>
  <c r="T649" i="2"/>
  <c r="S649" i="2"/>
  <c r="V649" i="2" s="1"/>
  <c r="A649" i="2"/>
  <c r="AM648" i="2"/>
  <c r="AL648" i="2"/>
  <c r="AK648" i="2"/>
  <c r="AJ648" i="2"/>
  <c r="AE648" i="2"/>
  <c r="AD648" i="2"/>
  <c r="AC648" i="2"/>
  <c r="W648" i="2"/>
  <c r="Y648" i="2" s="1"/>
  <c r="AB648" i="2" s="1"/>
  <c r="T648" i="2"/>
  <c r="S648" i="2"/>
  <c r="V648" i="2" s="1"/>
  <c r="A648" i="2"/>
  <c r="AM647" i="2"/>
  <c r="AL647" i="2"/>
  <c r="AK647" i="2"/>
  <c r="AJ647" i="2"/>
  <c r="AE647" i="2"/>
  <c r="AD647" i="2"/>
  <c r="AC647" i="2"/>
  <c r="W647" i="2"/>
  <c r="Y647" i="2" s="1"/>
  <c r="AB647" i="2" s="1"/>
  <c r="T647" i="2"/>
  <c r="S647" i="2"/>
  <c r="V647" i="2" s="1"/>
  <c r="A647" i="2"/>
  <c r="AM646" i="2"/>
  <c r="AL646" i="2"/>
  <c r="AK646" i="2"/>
  <c r="AJ646" i="2"/>
  <c r="AE646" i="2"/>
  <c r="AD646" i="2"/>
  <c r="AC646" i="2"/>
  <c r="W646" i="2"/>
  <c r="Y646" i="2" s="1"/>
  <c r="AB646" i="2" s="1"/>
  <c r="T646" i="2"/>
  <c r="S646" i="2"/>
  <c r="V646" i="2" s="1"/>
  <c r="A646" i="2"/>
  <c r="AM645" i="2"/>
  <c r="AL645" i="2"/>
  <c r="AK645" i="2"/>
  <c r="AJ645" i="2"/>
  <c r="AE645" i="2"/>
  <c r="AD645" i="2"/>
  <c r="AC645" i="2"/>
  <c r="W645" i="2"/>
  <c r="Y645" i="2" s="1"/>
  <c r="AB645" i="2" s="1"/>
  <c r="T645" i="2"/>
  <c r="S645" i="2"/>
  <c r="V645" i="2" s="1"/>
  <c r="A645" i="2"/>
  <c r="AM644" i="2"/>
  <c r="AL644" i="2"/>
  <c r="AK644" i="2"/>
  <c r="AJ644" i="2"/>
  <c r="AE644" i="2"/>
  <c r="AD644" i="2"/>
  <c r="AC644" i="2"/>
  <c r="W644" i="2"/>
  <c r="Y644" i="2" s="1"/>
  <c r="AB644" i="2" s="1"/>
  <c r="T644" i="2"/>
  <c r="S644" i="2"/>
  <c r="V644" i="2" s="1"/>
  <c r="A644" i="2"/>
  <c r="AM643" i="2"/>
  <c r="AL643" i="2"/>
  <c r="AK643" i="2"/>
  <c r="AJ643" i="2"/>
  <c r="AE643" i="2"/>
  <c r="AD643" i="2"/>
  <c r="AC643" i="2"/>
  <c r="W643" i="2"/>
  <c r="Y643" i="2" s="1"/>
  <c r="AB643" i="2" s="1"/>
  <c r="T643" i="2"/>
  <c r="S643" i="2"/>
  <c r="V643" i="2" s="1"/>
  <c r="A643" i="2"/>
  <c r="AM642" i="2"/>
  <c r="AL642" i="2"/>
  <c r="AK642" i="2"/>
  <c r="AJ642" i="2"/>
  <c r="AE642" i="2"/>
  <c r="AD642" i="2"/>
  <c r="AC642" i="2"/>
  <c r="W642" i="2"/>
  <c r="Y642" i="2" s="1"/>
  <c r="AB642" i="2" s="1"/>
  <c r="T642" i="2"/>
  <c r="S642" i="2"/>
  <c r="V642" i="2" s="1"/>
  <c r="A642" i="2"/>
  <c r="AM641" i="2"/>
  <c r="AL641" i="2"/>
  <c r="AK641" i="2"/>
  <c r="AJ641" i="2"/>
  <c r="AE641" i="2"/>
  <c r="AD641" i="2"/>
  <c r="AC641" i="2"/>
  <c r="W641" i="2"/>
  <c r="Y641" i="2" s="1"/>
  <c r="AB641" i="2" s="1"/>
  <c r="T641" i="2"/>
  <c r="S641" i="2"/>
  <c r="V641" i="2" s="1"/>
  <c r="A641" i="2"/>
  <c r="AL640" i="2"/>
  <c r="AM640" i="2" s="1"/>
  <c r="AK640" i="2"/>
  <c r="AJ640" i="2"/>
  <c r="AE640" i="2"/>
  <c r="AD640" i="2"/>
  <c r="AC640" i="2"/>
  <c r="W640" i="2"/>
  <c r="T640" i="2"/>
  <c r="S640" i="2"/>
  <c r="V640" i="2" s="1"/>
  <c r="A640" i="2"/>
  <c r="AL639" i="2"/>
  <c r="AM639" i="2" s="1"/>
  <c r="AK639" i="2"/>
  <c r="AJ639" i="2"/>
  <c r="AE639" i="2"/>
  <c r="AD639" i="2"/>
  <c r="AC639" i="2"/>
  <c r="W639" i="2"/>
  <c r="Y639" i="2" s="1"/>
  <c r="AB639" i="2" s="1"/>
  <c r="V639" i="2"/>
  <c r="T639" i="2"/>
  <c r="S639" i="2"/>
  <c r="A639" i="2"/>
  <c r="AM638" i="2"/>
  <c r="AL638" i="2"/>
  <c r="AK638" i="2"/>
  <c r="AJ638" i="2"/>
  <c r="AE638" i="2"/>
  <c r="AD638" i="2"/>
  <c r="AC638" i="2"/>
  <c r="W638" i="2"/>
  <c r="T638" i="2"/>
  <c r="S638" i="2"/>
  <c r="V638" i="2" s="1"/>
  <c r="A638" i="2"/>
  <c r="AL637" i="2"/>
  <c r="AM637" i="2" s="1"/>
  <c r="AK637" i="2"/>
  <c r="AJ637" i="2"/>
  <c r="AE637" i="2"/>
  <c r="AD637" i="2"/>
  <c r="AC637" i="2"/>
  <c r="W637" i="2"/>
  <c r="Y637" i="2" s="1"/>
  <c r="AB637" i="2" s="1"/>
  <c r="V637" i="2"/>
  <c r="T637" i="2"/>
  <c r="S637" i="2"/>
  <c r="A637" i="2"/>
  <c r="AM636" i="2"/>
  <c r="AL636" i="2"/>
  <c r="AK636" i="2"/>
  <c r="AJ636" i="2"/>
  <c r="AE636" i="2"/>
  <c r="AD636" i="2"/>
  <c r="AC636" i="2"/>
  <c r="W636" i="2"/>
  <c r="T636" i="2"/>
  <c r="S636" i="2"/>
  <c r="V636" i="2" s="1"/>
  <c r="A636" i="2"/>
  <c r="AL635" i="2"/>
  <c r="AM635" i="2" s="1"/>
  <c r="AK635" i="2"/>
  <c r="AJ635" i="2"/>
  <c r="AE635" i="2"/>
  <c r="AD635" i="2"/>
  <c r="AC635" i="2"/>
  <c r="W635" i="2"/>
  <c r="Y635" i="2" s="1"/>
  <c r="AB635" i="2" s="1"/>
  <c r="V635" i="2"/>
  <c r="T635" i="2"/>
  <c r="S635" i="2"/>
  <c r="A635" i="2"/>
  <c r="AM634" i="2"/>
  <c r="AL634" i="2"/>
  <c r="AK634" i="2"/>
  <c r="AJ634" i="2"/>
  <c r="AE634" i="2"/>
  <c r="AD634" i="2"/>
  <c r="AC634" i="2"/>
  <c r="W634" i="2"/>
  <c r="T634" i="2"/>
  <c r="S634" i="2"/>
  <c r="V634" i="2" s="1"/>
  <c r="R634" i="2"/>
  <c r="A634" i="2"/>
  <c r="AO633" i="2"/>
  <c r="AM633" i="2"/>
  <c r="AL633" i="2"/>
  <c r="AK633" i="2"/>
  <c r="AJ633" i="2"/>
  <c r="AE633" i="2"/>
  <c r="AD633" i="2"/>
  <c r="AC633" i="2"/>
  <c r="W633" i="2"/>
  <c r="T633" i="2"/>
  <c r="S633" i="2"/>
  <c r="V633" i="2" s="1"/>
  <c r="AP633" i="2" s="1"/>
  <c r="R633" i="2"/>
  <c r="A633" i="2"/>
  <c r="AP632" i="2"/>
  <c r="AM632" i="2"/>
  <c r="AL632" i="2"/>
  <c r="AK632" i="2"/>
  <c r="AJ632" i="2"/>
  <c r="AE632" i="2"/>
  <c r="AD632" i="2"/>
  <c r="AC632" i="2"/>
  <c r="AB632" i="2"/>
  <c r="Y632" i="2"/>
  <c r="W632" i="2"/>
  <c r="T632" i="2"/>
  <c r="S632" i="2"/>
  <c r="V632" i="2" s="1"/>
  <c r="R632" i="2"/>
  <c r="A632" i="2"/>
  <c r="AO632" i="2" s="1"/>
  <c r="AL631" i="2"/>
  <c r="AM631" i="2" s="1"/>
  <c r="AK631" i="2"/>
  <c r="AJ631" i="2"/>
  <c r="AE631" i="2"/>
  <c r="AD631" i="2"/>
  <c r="AC631" i="2"/>
  <c r="Y631" i="2"/>
  <c r="AB631" i="2" s="1"/>
  <c r="W631" i="2"/>
  <c r="V631" i="2"/>
  <c r="T631" i="2"/>
  <c r="S631" i="2"/>
  <c r="R631" i="2"/>
  <c r="A631" i="2"/>
  <c r="AL630" i="2"/>
  <c r="AM630" i="2" s="1"/>
  <c r="AK630" i="2"/>
  <c r="AJ630" i="2"/>
  <c r="AE630" i="2"/>
  <c r="AD630" i="2"/>
  <c r="AC630" i="2"/>
  <c r="W630" i="2"/>
  <c r="Y630" i="2" s="1"/>
  <c r="AB630" i="2" s="1"/>
  <c r="V630" i="2"/>
  <c r="T630" i="2"/>
  <c r="S630" i="2"/>
  <c r="R630" i="2"/>
  <c r="A630" i="2"/>
  <c r="AO629" i="2"/>
  <c r="AM629" i="2"/>
  <c r="AL629" i="2"/>
  <c r="AK629" i="2"/>
  <c r="AJ629" i="2"/>
  <c r="AE629" i="2"/>
  <c r="AD629" i="2"/>
  <c r="AC629" i="2"/>
  <c r="W629" i="2"/>
  <c r="Y629" i="2" s="1"/>
  <c r="AB629" i="2" s="1"/>
  <c r="T629" i="2"/>
  <c r="S629" i="2"/>
  <c r="V629" i="2" s="1"/>
  <c r="AP629" i="2" s="1"/>
  <c r="R629" i="2"/>
  <c r="A629" i="2"/>
  <c r="AM628" i="2"/>
  <c r="AL628" i="2"/>
  <c r="AK628" i="2"/>
  <c r="AJ628" i="2"/>
  <c r="AE628" i="2"/>
  <c r="AD628" i="2"/>
  <c r="AC628" i="2"/>
  <c r="Y628" i="2"/>
  <c r="AB628" i="2" s="1"/>
  <c r="W628" i="2"/>
  <c r="T628" i="2"/>
  <c r="S628" i="2"/>
  <c r="V628" i="2" s="1"/>
  <c r="AP628" i="2" s="1"/>
  <c r="R628" i="2"/>
  <c r="A628" i="2"/>
  <c r="AP627" i="2"/>
  <c r="AL627" i="2"/>
  <c r="AM627" i="2" s="1"/>
  <c r="AK627" i="2"/>
  <c r="AJ627" i="2"/>
  <c r="AE627" i="2"/>
  <c r="AD627" i="2"/>
  <c r="AC627" i="2"/>
  <c r="AB627" i="2"/>
  <c r="Y627" i="2"/>
  <c r="W627" i="2"/>
  <c r="V627" i="2"/>
  <c r="AO627" i="2" s="1"/>
  <c r="T627" i="2"/>
  <c r="S627" i="2"/>
  <c r="R627" i="2"/>
  <c r="A627" i="2"/>
  <c r="AM626" i="2"/>
  <c r="AL626" i="2"/>
  <c r="AK626" i="2"/>
  <c r="AJ626" i="2"/>
  <c r="AE626" i="2"/>
  <c r="AD626" i="2"/>
  <c r="AC626" i="2"/>
  <c r="Y626" i="2"/>
  <c r="AB626" i="2" s="1"/>
  <c r="W626" i="2"/>
  <c r="V626" i="2"/>
  <c r="T626" i="2"/>
  <c r="S626" i="2"/>
  <c r="R626" i="2"/>
  <c r="A626" i="2"/>
  <c r="AL625" i="2"/>
  <c r="AM625" i="2" s="1"/>
  <c r="AK625" i="2"/>
  <c r="AJ625" i="2"/>
  <c r="AE625" i="2"/>
  <c r="AD625" i="2"/>
  <c r="AC625" i="2"/>
  <c r="W625" i="2"/>
  <c r="T625" i="2"/>
  <c r="S625" i="2"/>
  <c r="V625" i="2" s="1"/>
  <c r="R625" i="2"/>
  <c r="A625" i="2"/>
  <c r="AO624" i="2"/>
  <c r="AM624" i="2"/>
  <c r="AL624" i="2"/>
  <c r="AK624" i="2"/>
  <c r="AJ624" i="2"/>
  <c r="AE624" i="2"/>
  <c r="AD624" i="2"/>
  <c r="AC624" i="2"/>
  <c r="AB624" i="2"/>
  <c r="W624" i="2"/>
  <c r="Y624" i="2" s="1"/>
  <c r="T624" i="2"/>
  <c r="S624" i="2"/>
  <c r="V624" i="2" s="1"/>
  <c r="AP624" i="2" s="1"/>
  <c r="R624" i="2"/>
  <c r="A624" i="2"/>
  <c r="AL623" i="2"/>
  <c r="AM623" i="2" s="1"/>
  <c r="AK623" i="2"/>
  <c r="AJ623" i="2"/>
  <c r="AE623" i="2"/>
  <c r="AD623" i="2"/>
  <c r="AC623" i="2"/>
  <c r="Y623" i="2"/>
  <c r="AB623" i="2" s="1"/>
  <c r="W623" i="2"/>
  <c r="V623" i="2"/>
  <c r="T623" i="2"/>
  <c r="S623" i="2"/>
  <c r="R623" i="2"/>
  <c r="A623" i="2"/>
  <c r="AM622" i="2"/>
  <c r="AL622" i="2"/>
  <c r="AK622" i="2"/>
  <c r="AJ622" i="2"/>
  <c r="AE622" i="2"/>
  <c r="AD622" i="2"/>
  <c r="AC622" i="2"/>
  <c r="W622" i="2"/>
  <c r="Y622" i="2" s="1"/>
  <c r="AB622" i="2" s="1"/>
  <c r="T622" i="2"/>
  <c r="S622" i="2"/>
  <c r="V622" i="2" s="1"/>
  <c r="R622" i="2"/>
  <c r="A622" i="2"/>
  <c r="AM621" i="2"/>
  <c r="AL621" i="2"/>
  <c r="AK621" i="2"/>
  <c r="AJ621" i="2"/>
  <c r="AE621" i="2"/>
  <c r="AD621" i="2"/>
  <c r="AC621" i="2"/>
  <c r="W621" i="2"/>
  <c r="Y621" i="2" s="1"/>
  <c r="AB621" i="2" s="1"/>
  <c r="T621" i="2"/>
  <c r="S621" i="2"/>
  <c r="V621" i="2" s="1"/>
  <c r="AP621" i="2" s="1"/>
  <c r="R621" i="2"/>
  <c r="A621" i="2"/>
  <c r="AM620" i="2"/>
  <c r="AL620" i="2"/>
  <c r="AK620" i="2"/>
  <c r="AJ620" i="2"/>
  <c r="AE620" i="2"/>
  <c r="AD620" i="2"/>
  <c r="AC620" i="2"/>
  <c r="Y620" i="2"/>
  <c r="AB620" i="2" s="1"/>
  <c r="W620" i="2"/>
  <c r="T620" i="2"/>
  <c r="S620" i="2"/>
  <c r="V620" i="2" s="1"/>
  <c r="AO620" i="2" s="1"/>
  <c r="R620" i="2"/>
  <c r="A620" i="2"/>
  <c r="AL619" i="2"/>
  <c r="AM619" i="2" s="1"/>
  <c r="AK619" i="2"/>
  <c r="AJ619" i="2"/>
  <c r="AE619" i="2"/>
  <c r="AD619" i="2"/>
  <c r="AC619" i="2"/>
  <c r="Y619" i="2"/>
  <c r="AB619" i="2" s="1"/>
  <c r="W619" i="2"/>
  <c r="V619" i="2"/>
  <c r="T619" i="2"/>
  <c r="S619" i="2"/>
  <c r="R619" i="2"/>
  <c r="A619" i="2"/>
  <c r="AM618" i="2"/>
  <c r="AL618" i="2"/>
  <c r="AK618" i="2"/>
  <c r="AJ618" i="2"/>
  <c r="AE618" i="2"/>
  <c r="AD618" i="2"/>
  <c r="AC618" i="2"/>
  <c r="W618" i="2"/>
  <c r="Y618" i="2" s="1"/>
  <c r="AB618" i="2" s="1"/>
  <c r="T618" i="2"/>
  <c r="S618" i="2"/>
  <c r="V618" i="2" s="1"/>
  <c r="R618" i="2"/>
  <c r="A618" i="2"/>
  <c r="AM617" i="2"/>
  <c r="AL617" i="2"/>
  <c r="AK617" i="2"/>
  <c r="AJ617" i="2"/>
  <c r="AE617" i="2"/>
  <c r="AD617" i="2"/>
  <c r="AC617" i="2"/>
  <c r="W617" i="2"/>
  <c r="Y617" i="2" s="1"/>
  <c r="AB617" i="2" s="1"/>
  <c r="T617" i="2"/>
  <c r="S617" i="2"/>
  <c r="V617" i="2" s="1"/>
  <c r="AP617" i="2" s="1"/>
  <c r="R617" i="2"/>
  <c r="A617" i="2"/>
  <c r="AM616" i="2"/>
  <c r="AL616" i="2"/>
  <c r="AK616" i="2"/>
  <c r="AJ616" i="2"/>
  <c r="AE616" i="2"/>
  <c r="AD616" i="2"/>
  <c r="AC616" i="2"/>
  <c r="Y616" i="2"/>
  <c r="AB616" i="2" s="1"/>
  <c r="W616" i="2"/>
  <c r="T616" i="2"/>
  <c r="S616" i="2"/>
  <c r="V616" i="2" s="1"/>
  <c r="AO616" i="2" s="1"/>
  <c r="R616" i="2"/>
  <c r="A616" i="2"/>
  <c r="AL615" i="2"/>
  <c r="AM615" i="2" s="1"/>
  <c r="AK615" i="2"/>
  <c r="AJ615" i="2"/>
  <c r="AE615" i="2"/>
  <c r="AD615" i="2"/>
  <c r="AC615" i="2"/>
  <c r="Y615" i="2"/>
  <c r="AB615" i="2" s="1"/>
  <c r="W615" i="2"/>
  <c r="V615" i="2"/>
  <c r="T615" i="2"/>
  <c r="S615" i="2"/>
  <c r="R615" i="2"/>
  <c r="A615" i="2"/>
  <c r="AM614" i="2"/>
  <c r="AL614" i="2"/>
  <c r="AK614" i="2"/>
  <c r="AJ614" i="2"/>
  <c r="AE614" i="2"/>
  <c r="AD614" i="2"/>
  <c r="AC614" i="2"/>
  <c r="W614" i="2"/>
  <c r="T614" i="2"/>
  <c r="S614" i="2"/>
  <c r="V614" i="2" s="1"/>
  <c r="R614" i="2"/>
  <c r="A614" i="2"/>
  <c r="AM613" i="2"/>
  <c r="AL613" i="2"/>
  <c r="AK613" i="2"/>
  <c r="AJ613" i="2"/>
  <c r="AE613" i="2"/>
  <c r="AD613" i="2"/>
  <c r="AC613" i="2"/>
  <c r="W613" i="2"/>
  <c r="Y613" i="2" s="1"/>
  <c r="AB613" i="2" s="1"/>
  <c r="T613" i="2"/>
  <c r="S613" i="2"/>
  <c r="V613" i="2" s="1"/>
  <c r="AP613" i="2" s="1"/>
  <c r="R613" i="2"/>
  <c r="A613" i="2"/>
  <c r="AM612" i="2"/>
  <c r="AL612" i="2"/>
  <c r="AK612" i="2"/>
  <c r="AJ612" i="2"/>
  <c r="AE612" i="2"/>
  <c r="AD612" i="2"/>
  <c r="AC612" i="2"/>
  <c r="Y612" i="2"/>
  <c r="AB612" i="2" s="1"/>
  <c r="W612" i="2"/>
  <c r="T612" i="2"/>
  <c r="S612" i="2"/>
  <c r="V612" i="2" s="1"/>
  <c r="R612" i="2"/>
  <c r="A612" i="2"/>
  <c r="AL611" i="2"/>
  <c r="AM611" i="2" s="1"/>
  <c r="AK611" i="2"/>
  <c r="AJ611" i="2"/>
  <c r="AE611" i="2"/>
  <c r="AD611" i="2"/>
  <c r="AC611" i="2"/>
  <c r="Y611" i="2"/>
  <c r="AB611" i="2" s="1"/>
  <c r="W611" i="2"/>
  <c r="V611" i="2"/>
  <c r="T611" i="2"/>
  <c r="S611" i="2"/>
  <c r="R611" i="2"/>
  <c r="A611" i="2"/>
  <c r="AM610" i="2"/>
  <c r="AL610" i="2"/>
  <c r="AK610" i="2"/>
  <c r="AJ610" i="2"/>
  <c r="AE610" i="2"/>
  <c r="AD610" i="2"/>
  <c r="AC610" i="2"/>
  <c r="W610" i="2"/>
  <c r="T610" i="2"/>
  <c r="S610" i="2"/>
  <c r="V610" i="2" s="1"/>
  <c r="R610" i="2"/>
  <c r="A610" i="2"/>
  <c r="AM609" i="2"/>
  <c r="AL609" i="2"/>
  <c r="AK609" i="2"/>
  <c r="AJ609" i="2"/>
  <c r="AE609" i="2"/>
  <c r="AD609" i="2"/>
  <c r="AC609" i="2"/>
  <c r="AB609" i="2"/>
  <c r="W609" i="2"/>
  <c r="Y609" i="2" s="1"/>
  <c r="T609" i="2"/>
  <c r="S609" i="2"/>
  <c r="V609" i="2" s="1"/>
  <c r="AP609" i="2" s="1"/>
  <c r="R609" i="2"/>
  <c r="A609" i="2"/>
  <c r="AM608" i="2"/>
  <c r="AL608" i="2"/>
  <c r="AK608" i="2"/>
  <c r="AJ608" i="2"/>
  <c r="AE608" i="2"/>
  <c r="AD608" i="2"/>
  <c r="AC608" i="2"/>
  <c r="Y608" i="2"/>
  <c r="AB608" i="2" s="1"/>
  <c r="W608" i="2"/>
  <c r="T608" i="2"/>
  <c r="S608" i="2"/>
  <c r="V608" i="2" s="1"/>
  <c r="R608" i="2"/>
  <c r="A608" i="2"/>
  <c r="AL607" i="2"/>
  <c r="AM607" i="2" s="1"/>
  <c r="AK607" i="2"/>
  <c r="AJ607" i="2"/>
  <c r="AE607" i="2"/>
  <c r="AD607" i="2"/>
  <c r="AC607" i="2"/>
  <c r="Y607" i="2"/>
  <c r="AB607" i="2" s="1"/>
  <c r="W607" i="2"/>
  <c r="V607" i="2"/>
  <c r="T607" i="2"/>
  <c r="S607" i="2"/>
  <c r="R607" i="2"/>
  <c r="A607" i="2"/>
  <c r="AM606" i="2"/>
  <c r="AL606" i="2"/>
  <c r="AK606" i="2"/>
  <c r="AJ606" i="2"/>
  <c r="AE606" i="2"/>
  <c r="AD606" i="2"/>
  <c r="AC606" i="2"/>
  <c r="W606" i="2"/>
  <c r="Y606" i="2" s="1"/>
  <c r="AB606" i="2" s="1"/>
  <c r="T606" i="2"/>
  <c r="S606" i="2"/>
  <c r="V606" i="2" s="1"/>
  <c r="R606" i="2"/>
  <c r="A606" i="2"/>
  <c r="AM605" i="2"/>
  <c r="AL605" i="2"/>
  <c r="AK605" i="2"/>
  <c r="AJ605" i="2"/>
  <c r="AE605" i="2"/>
  <c r="AD605" i="2"/>
  <c r="AC605" i="2"/>
  <c r="W605" i="2"/>
  <c r="Y605" i="2" s="1"/>
  <c r="AB605" i="2" s="1"/>
  <c r="T605" i="2"/>
  <c r="S605" i="2"/>
  <c r="V605" i="2" s="1"/>
  <c r="AP605" i="2" s="1"/>
  <c r="R605" i="2"/>
  <c r="A605" i="2"/>
  <c r="AM604" i="2"/>
  <c r="AL604" i="2"/>
  <c r="AK604" i="2"/>
  <c r="AJ604" i="2"/>
  <c r="AE604" i="2"/>
  <c r="AD604" i="2"/>
  <c r="AC604" i="2"/>
  <c r="AB604" i="2"/>
  <c r="Y604" i="2"/>
  <c r="W604" i="2"/>
  <c r="T604" i="2"/>
  <c r="S604" i="2"/>
  <c r="V604" i="2" s="1"/>
  <c r="AP604" i="2" s="1"/>
  <c r="R604" i="2"/>
  <c r="A604" i="2"/>
  <c r="AL603" i="2"/>
  <c r="AM603" i="2" s="1"/>
  <c r="AK603" i="2"/>
  <c r="AJ603" i="2"/>
  <c r="AE603" i="2"/>
  <c r="AD603" i="2"/>
  <c r="AC603" i="2"/>
  <c r="Y603" i="2"/>
  <c r="AB603" i="2" s="1"/>
  <c r="W603" i="2"/>
  <c r="V603" i="2"/>
  <c r="AO603" i="2" s="1"/>
  <c r="T603" i="2"/>
  <c r="S603" i="2"/>
  <c r="R603" i="2"/>
  <c r="A603" i="2"/>
  <c r="AL602" i="2"/>
  <c r="AM602" i="2" s="1"/>
  <c r="AK602" i="2"/>
  <c r="AJ602" i="2"/>
  <c r="AE602" i="2"/>
  <c r="AD602" i="2"/>
  <c r="AC602" i="2"/>
  <c r="W602" i="2"/>
  <c r="Y602" i="2" s="1"/>
  <c r="AB602" i="2" s="1"/>
  <c r="T602" i="2"/>
  <c r="S602" i="2"/>
  <c r="V602" i="2" s="1"/>
  <c r="R602" i="2"/>
  <c r="A602" i="2"/>
  <c r="AM601" i="2"/>
  <c r="AL601" i="2"/>
  <c r="AK601" i="2"/>
  <c r="AJ601" i="2"/>
  <c r="AE601" i="2"/>
  <c r="AD601" i="2"/>
  <c r="AC601" i="2"/>
  <c r="W601" i="2"/>
  <c r="T601" i="2"/>
  <c r="S601" i="2"/>
  <c r="V601" i="2" s="1"/>
  <c r="AP601" i="2" s="1"/>
  <c r="R601" i="2"/>
  <c r="A601" i="2"/>
  <c r="AM600" i="2"/>
  <c r="AL600" i="2"/>
  <c r="AK600" i="2"/>
  <c r="AJ600" i="2"/>
  <c r="AE600" i="2"/>
  <c r="AD600" i="2"/>
  <c r="AC600" i="2"/>
  <c r="Y600" i="2"/>
  <c r="AB600" i="2" s="1"/>
  <c r="W600" i="2"/>
  <c r="T600" i="2"/>
  <c r="S600" i="2"/>
  <c r="V600" i="2" s="1"/>
  <c r="AP600" i="2" s="1"/>
  <c r="R600" i="2"/>
  <c r="A600" i="2"/>
  <c r="AO600" i="2" s="1"/>
  <c r="AP599" i="2"/>
  <c r="AL599" i="2"/>
  <c r="AM599" i="2" s="1"/>
  <c r="AK599" i="2"/>
  <c r="AJ599" i="2"/>
  <c r="AE599" i="2"/>
  <c r="AD599" i="2"/>
  <c r="AC599" i="2"/>
  <c r="Y599" i="2"/>
  <c r="AB599" i="2" s="1"/>
  <c r="W599" i="2"/>
  <c r="V599" i="2"/>
  <c r="AO599" i="2" s="1"/>
  <c r="T599" i="2"/>
  <c r="S599" i="2"/>
  <c r="R599" i="2"/>
  <c r="A599" i="2"/>
  <c r="AM598" i="2"/>
  <c r="AL598" i="2"/>
  <c r="AK598" i="2"/>
  <c r="AJ598" i="2"/>
  <c r="AE598" i="2"/>
  <c r="AD598" i="2"/>
  <c r="AC598" i="2"/>
  <c r="W598" i="2"/>
  <c r="T598" i="2"/>
  <c r="S598" i="2"/>
  <c r="V598" i="2" s="1"/>
  <c r="R598" i="2"/>
  <c r="A598" i="2"/>
  <c r="AM597" i="2"/>
  <c r="AL597" i="2"/>
  <c r="AK597" i="2"/>
  <c r="AJ597" i="2"/>
  <c r="AE597" i="2"/>
  <c r="AD597" i="2"/>
  <c r="AC597" i="2"/>
  <c r="W597" i="2"/>
  <c r="T597" i="2"/>
  <c r="S597" i="2"/>
  <c r="V597" i="2" s="1"/>
  <c r="AP597" i="2" s="1"/>
  <c r="R597" i="2"/>
  <c r="A597" i="2"/>
  <c r="AP596" i="2"/>
  <c r="AM596" i="2"/>
  <c r="AL596" i="2"/>
  <c r="AK596" i="2"/>
  <c r="AJ596" i="2"/>
  <c r="AE596" i="2"/>
  <c r="AD596" i="2"/>
  <c r="AC596" i="2"/>
  <c r="AB596" i="2"/>
  <c r="Y596" i="2"/>
  <c r="W596" i="2"/>
  <c r="T596" i="2"/>
  <c r="S596" i="2"/>
  <c r="V596" i="2" s="1"/>
  <c r="R596" i="2"/>
  <c r="A596" i="2"/>
  <c r="AO596" i="2" s="1"/>
  <c r="AL595" i="2"/>
  <c r="AM595" i="2" s="1"/>
  <c r="AK595" i="2"/>
  <c r="AJ595" i="2"/>
  <c r="AE595" i="2"/>
  <c r="AD595" i="2"/>
  <c r="AC595" i="2"/>
  <c r="Y595" i="2"/>
  <c r="AB595" i="2" s="1"/>
  <c r="W595" i="2"/>
  <c r="V595" i="2"/>
  <c r="AO595" i="2" s="1"/>
  <c r="T595" i="2"/>
  <c r="S595" i="2"/>
  <c r="R595" i="2"/>
  <c r="A595" i="2"/>
  <c r="AL594" i="2"/>
  <c r="AM594" i="2" s="1"/>
  <c r="AK594" i="2"/>
  <c r="AJ594" i="2"/>
  <c r="AE594" i="2"/>
  <c r="AD594" i="2"/>
  <c r="AC594" i="2"/>
  <c r="W594" i="2"/>
  <c r="V594" i="2"/>
  <c r="T594" i="2"/>
  <c r="S594" i="2"/>
  <c r="R594" i="2"/>
  <c r="A594" i="2"/>
  <c r="AO593" i="2"/>
  <c r="AM593" i="2"/>
  <c r="AL593" i="2"/>
  <c r="AK593" i="2"/>
  <c r="AJ593" i="2"/>
  <c r="AE593" i="2"/>
  <c r="AD593" i="2"/>
  <c r="AC593" i="2"/>
  <c r="W593" i="2"/>
  <c r="T593" i="2"/>
  <c r="S593" i="2"/>
  <c r="V593" i="2" s="1"/>
  <c r="AP593" i="2" s="1"/>
  <c r="R593" i="2"/>
  <c r="A593" i="2"/>
  <c r="AM592" i="2"/>
  <c r="AL592" i="2"/>
  <c r="AK592" i="2"/>
  <c r="AJ592" i="2"/>
  <c r="AE592" i="2"/>
  <c r="AD592" i="2"/>
  <c r="AC592" i="2"/>
  <c r="W592" i="2"/>
  <c r="Y592" i="2" s="1"/>
  <c r="AB592" i="2" s="1"/>
  <c r="T592" i="2"/>
  <c r="S592" i="2"/>
  <c r="V592" i="2" s="1"/>
  <c r="AO592" i="2" s="1"/>
  <c r="R592" i="2"/>
  <c r="A592" i="2"/>
  <c r="AL591" i="2"/>
  <c r="AM591" i="2" s="1"/>
  <c r="AK591" i="2"/>
  <c r="AJ591" i="2"/>
  <c r="AE591" i="2"/>
  <c r="AD591" i="2"/>
  <c r="AC591" i="2"/>
  <c r="Y591" i="2"/>
  <c r="AB591" i="2" s="1"/>
  <c r="W591" i="2"/>
  <c r="V591" i="2"/>
  <c r="AP591" i="2" s="1"/>
  <c r="T591" i="2"/>
  <c r="S591" i="2"/>
  <c r="R591" i="2"/>
  <c r="A591" i="2"/>
  <c r="AL590" i="2"/>
  <c r="AM590" i="2" s="1"/>
  <c r="AK590" i="2"/>
  <c r="AJ590" i="2"/>
  <c r="AE590" i="2"/>
  <c r="AD590" i="2"/>
  <c r="AC590" i="2"/>
  <c r="Y590" i="2"/>
  <c r="AB590" i="2" s="1"/>
  <c r="W590" i="2"/>
  <c r="T590" i="2"/>
  <c r="S590" i="2"/>
  <c r="V590" i="2" s="1"/>
  <c r="R590" i="2"/>
  <c r="A590" i="2"/>
  <c r="AM589" i="2"/>
  <c r="AL589" i="2"/>
  <c r="AK589" i="2"/>
  <c r="AJ589" i="2"/>
  <c r="AE589" i="2"/>
  <c r="AD589" i="2"/>
  <c r="AC589" i="2"/>
  <c r="W589" i="2"/>
  <c r="Y589" i="2" s="1"/>
  <c r="AB589" i="2" s="1"/>
  <c r="T589" i="2"/>
  <c r="S589" i="2"/>
  <c r="V589" i="2" s="1"/>
  <c r="R589" i="2"/>
  <c r="A589" i="2"/>
  <c r="AP588" i="2"/>
  <c r="AL588" i="2"/>
  <c r="AM588" i="2" s="1"/>
  <c r="AK588" i="2"/>
  <c r="AJ588" i="2"/>
  <c r="AE588" i="2"/>
  <c r="AD588" i="2"/>
  <c r="AC588" i="2"/>
  <c r="Y588" i="2"/>
  <c r="AB588" i="2" s="1"/>
  <c r="W588" i="2"/>
  <c r="V588" i="2"/>
  <c r="T588" i="2"/>
  <c r="S588" i="2"/>
  <c r="R588" i="2"/>
  <c r="A588" i="2"/>
  <c r="AO588" i="2" s="1"/>
  <c r="AL587" i="2"/>
  <c r="AM587" i="2" s="1"/>
  <c r="AK587" i="2"/>
  <c r="AJ587" i="2"/>
  <c r="AE587" i="2"/>
  <c r="AD587" i="2"/>
  <c r="AC587" i="2"/>
  <c r="W587" i="2"/>
  <c r="Y587" i="2" s="1"/>
  <c r="AB587" i="2" s="1"/>
  <c r="V587" i="2"/>
  <c r="AP587" i="2" s="1"/>
  <c r="T587" i="2"/>
  <c r="S587" i="2"/>
  <c r="R587" i="2"/>
  <c r="A587" i="2"/>
  <c r="AM586" i="2"/>
  <c r="AL586" i="2"/>
  <c r="AK586" i="2"/>
  <c r="AJ586" i="2"/>
  <c r="AE586" i="2"/>
  <c r="AD586" i="2"/>
  <c r="AC586" i="2"/>
  <c r="W586" i="2"/>
  <c r="Y586" i="2" s="1"/>
  <c r="AB586" i="2" s="1"/>
  <c r="T586" i="2"/>
  <c r="S586" i="2"/>
  <c r="V586" i="2" s="1"/>
  <c r="R586" i="2"/>
  <c r="A586" i="2"/>
  <c r="AM585" i="2"/>
  <c r="AL585" i="2"/>
  <c r="AK585" i="2"/>
  <c r="AJ585" i="2"/>
  <c r="AE585" i="2"/>
  <c r="AD585" i="2"/>
  <c r="AC585" i="2"/>
  <c r="W585" i="2"/>
  <c r="Y585" i="2" s="1"/>
  <c r="AB585" i="2" s="1"/>
  <c r="T585" i="2"/>
  <c r="S585" i="2"/>
  <c r="V585" i="2" s="1"/>
  <c r="R585" i="2"/>
  <c r="A585" i="2"/>
  <c r="AP584" i="2"/>
  <c r="AL584" i="2"/>
  <c r="AM584" i="2" s="1"/>
  <c r="AK584" i="2"/>
  <c r="AJ584" i="2"/>
  <c r="AE584" i="2"/>
  <c r="AD584" i="2"/>
  <c r="AC584" i="2"/>
  <c r="Y584" i="2"/>
  <c r="AB584" i="2" s="1"/>
  <c r="W584" i="2"/>
  <c r="V584" i="2"/>
  <c r="T584" i="2"/>
  <c r="S584" i="2"/>
  <c r="R584" i="2"/>
  <c r="A584" i="2"/>
  <c r="AO584" i="2" s="1"/>
  <c r="AL583" i="2"/>
  <c r="AM583" i="2" s="1"/>
  <c r="AK583" i="2"/>
  <c r="AJ583" i="2"/>
  <c r="AE583" i="2"/>
  <c r="AD583" i="2"/>
  <c r="AC583" i="2"/>
  <c r="W583" i="2"/>
  <c r="Y583" i="2" s="1"/>
  <c r="AB583" i="2" s="1"/>
  <c r="V583" i="2"/>
  <c r="AP583" i="2" s="1"/>
  <c r="T583" i="2"/>
  <c r="S583" i="2"/>
  <c r="R583" i="2"/>
  <c r="A583" i="2"/>
  <c r="AM582" i="2"/>
  <c r="AL582" i="2"/>
  <c r="AK582" i="2"/>
  <c r="AJ582" i="2"/>
  <c r="AE582" i="2"/>
  <c r="AD582" i="2"/>
  <c r="AC582" i="2"/>
  <c r="W582" i="2"/>
  <c r="Y582" i="2" s="1"/>
  <c r="AB582" i="2" s="1"/>
  <c r="S582" i="2"/>
  <c r="V582" i="2" s="1"/>
  <c r="R582" i="2"/>
  <c r="O582" i="2"/>
  <c r="N582" i="2"/>
  <c r="T582" i="2" s="1"/>
  <c r="A582" i="2"/>
  <c r="AL581" i="2"/>
  <c r="AM581" i="2" s="1"/>
  <c r="AK581" i="2"/>
  <c r="AJ581" i="2"/>
  <c r="AE581" i="2"/>
  <c r="AD581" i="2"/>
  <c r="AC581" i="2"/>
  <c r="W581" i="2"/>
  <c r="Y581" i="2" s="1"/>
  <c r="AB581" i="2" s="1"/>
  <c r="V581" i="2"/>
  <c r="AP581" i="2" s="1"/>
  <c r="S581" i="2"/>
  <c r="R581" i="2"/>
  <c r="O581" i="2"/>
  <c r="T581" i="2" s="1"/>
  <c r="N581" i="2"/>
  <c r="A581" i="2"/>
  <c r="AL580" i="2"/>
  <c r="AM580" i="2" s="1"/>
  <c r="AK580" i="2"/>
  <c r="AJ580" i="2"/>
  <c r="AE580" i="2"/>
  <c r="AD580" i="2"/>
  <c r="AC580" i="2"/>
  <c r="R580" i="2"/>
  <c r="O580" i="2"/>
  <c r="T580" i="2" s="1"/>
  <c r="N580" i="2"/>
  <c r="A580" i="2"/>
  <c r="AM579" i="2"/>
  <c r="AL579" i="2"/>
  <c r="AK579" i="2"/>
  <c r="AJ579" i="2"/>
  <c r="AE579" i="2"/>
  <c r="AD579" i="2"/>
  <c r="AC579" i="2"/>
  <c r="R579" i="2"/>
  <c r="O579" i="2"/>
  <c r="W579" i="2" s="1"/>
  <c r="N579" i="2"/>
  <c r="T579" i="2" s="1"/>
  <c r="A579" i="2"/>
  <c r="AM578" i="2"/>
  <c r="AL578" i="2"/>
  <c r="AK578" i="2"/>
  <c r="AJ578" i="2"/>
  <c r="AE578" i="2"/>
  <c r="AD578" i="2"/>
  <c r="AC578" i="2"/>
  <c r="W578" i="2"/>
  <c r="Y578" i="2" s="1"/>
  <c r="AB578" i="2" s="1"/>
  <c r="S578" i="2"/>
  <c r="V578" i="2" s="1"/>
  <c r="R578" i="2"/>
  <c r="O578" i="2"/>
  <c r="N578" i="2"/>
  <c r="T578" i="2" s="1"/>
  <c r="A578" i="2"/>
  <c r="AL577" i="2"/>
  <c r="AM577" i="2" s="1"/>
  <c r="AK577" i="2"/>
  <c r="AJ577" i="2"/>
  <c r="AE577" i="2"/>
  <c r="AD577" i="2"/>
  <c r="AC577" i="2"/>
  <c r="W577" i="2"/>
  <c r="Y577" i="2" s="1"/>
  <c r="AB577" i="2" s="1"/>
  <c r="V577" i="2"/>
  <c r="AP577" i="2" s="1"/>
  <c r="S577" i="2"/>
  <c r="R577" i="2"/>
  <c r="O577" i="2"/>
  <c r="T577" i="2" s="1"/>
  <c r="N577" i="2"/>
  <c r="A577" i="2"/>
  <c r="AL576" i="2"/>
  <c r="AM576" i="2" s="1"/>
  <c r="AK576" i="2"/>
  <c r="AJ576" i="2"/>
  <c r="AE576" i="2"/>
  <c r="AD576" i="2"/>
  <c r="AC576" i="2"/>
  <c r="R576" i="2"/>
  <c r="O576" i="2"/>
  <c r="T576" i="2" s="1"/>
  <c r="N576" i="2"/>
  <c r="A576" i="2"/>
  <c r="AM575" i="2"/>
  <c r="AL575" i="2"/>
  <c r="AK575" i="2"/>
  <c r="AJ575" i="2"/>
  <c r="AE575" i="2"/>
  <c r="AD575" i="2"/>
  <c r="AC575" i="2"/>
  <c r="R575" i="2"/>
  <c r="O575" i="2"/>
  <c r="W575" i="2" s="1"/>
  <c r="N575" i="2"/>
  <c r="T575" i="2" s="1"/>
  <c r="A575" i="2"/>
  <c r="AM574" i="2"/>
  <c r="AL574" i="2"/>
  <c r="AK574" i="2"/>
  <c r="AJ574" i="2"/>
  <c r="AE574" i="2"/>
  <c r="AD574" i="2"/>
  <c r="AC574" i="2"/>
  <c r="W574" i="2"/>
  <c r="Y574" i="2" s="1"/>
  <c r="AB574" i="2" s="1"/>
  <c r="S574" i="2"/>
  <c r="V574" i="2" s="1"/>
  <c r="R574" i="2"/>
  <c r="O574" i="2"/>
  <c r="N574" i="2"/>
  <c r="T574" i="2" s="1"/>
  <c r="A574" i="2"/>
  <c r="AL573" i="2"/>
  <c r="AM573" i="2" s="1"/>
  <c r="AK573" i="2"/>
  <c r="AJ573" i="2"/>
  <c r="AE573" i="2"/>
  <c r="AD573" i="2"/>
  <c r="AC573" i="2"/>
  <c r="W573" i="2"/>
  <c r="Y573" i="2" s="1"/>
  <c r="AB573" i="2" s="1"/>
  <c r="V573" i="2"/>
  <c r="AP573" i="2" s="1"/>
  <c r="S573" i="2"/>
  <c r="R573" i="2"/>
  <c r="O573" i="2"/>
  <c r="T573" i="2" s="1"/>
  <c r="N573" i="2"/>
  <c r="A573" i="2"/>
  <c r="AL572" i="2"/>
  <c r="AM572" i="2" s="1"/>
  <c r="AK572" i="2"/>
  <c r="AJ572" i="2"/>
  <c r="AE572" i="2"/>
  <c r="AD572" i="2"/>
  <c r="AC572" i="2"/>
  <c r="R572" i="2"/>
  <c r="O572" i="2"/>
  <c r="T572" i="2" s="1"/>
  <c r="N572" i="2"/>
  <c r="A572" i="2"/>
  <c r="AM571" i="2"/>
  <c r="AL571" i="2"/>
  <c r="AK571" i="2"/>
  <c r="AJ571" i="2"/>
  <c r="AE571" i="2"/>
  <c r="AD571" i="2"/>
  <c r="AC571" i="2"/>
  <c r="R571" i="2"/>
  <c r="O571" i="2"/>
  <c r="W571" i="2" s="1"/>
  <c r="N571" i="2"/>
  <c r="T571" i="2" s="1"/>
  <c r="A571" i="2"/>
  <c r="AM570" i="2"/>
  <c r="AL570" i="2"/>
  <c r="AK570" i="2"/>
  <c r="AJ570" i="2"/>
  <c r="AE570" i="2"/>
  <c r="AD570" i="2"/>
  <c r="AC570" i="2"/>
  <c r="W570" i="2"/>
  <c r="Y570" i="2" s="1"/>
  <c r="AB570" i="2" s="1"/>
  <c r="T570" i="2"/>
  <c r="S570" i="2"/>
  <c r="V570" i="2" s="1"/>
  <c r="R570" i="2"/>
  <c r="O570" i="2"/>
  <c r="A570" i="2"/>
  <c r="AL569" i="2"/>
  <c r="AM569" i="2" s="1"/>
  <c r="AK569" i="2"/>
  <c r="AJ569" i="2"/>
  <c r="AE569" i="2"/>
  <c r="AD569" i="2"/>
  <c r="AC569" i="2"/>
  <c r="R569" i="2"/>
  <c r="O569" i="2"/>
  <c r="T569" i="2" s="1"/>
  <c r="N569" i="2"/>
  <c r="A569" i="2"/>
  <c r="AM568" i="2"/>
  <c r="AL568" i="2"/>
  <c r="AK568" i="2"/>
  <c r="AJ568" i="2"/>
  <c r="AE568" i="2"/>
  <c r="AD568" i="2"/>
  <c r="AC568" i="2"/>
  <c r="W568" i="2"/>
  <c r="Y568" i="2" s="1"/>
  <c r="AB568" i="2" s="1"/>
  <c r="R568" i="2"/>
  <c r="O568" i="2"/>
  <c r="N568" i="2"/>
  <c r="S568" i="2" s="1"/>
  <c r="V568" i="2" s="1"/>
  <c r="A568" i="2"/>
  <c r="AM567" i="2"/>
  <c r="AL567" i="2"/>
  <c r="AK567" i="2"/>
  <c r="AJ567" i="2"/>
  <c r="AE567" i="2"/>
  <c r="AD567" i="2"/>
  <c r="AC567" i="2"/>
  <c r="W567" i="2"/>
  <c r="Y567" i="2" s="1"/>
  <c r="AB567" i="2" s="1"/>
  <c r="S567" i="2"/>
  <c r="V567" i="2" s="1"/>
  <c r="R567" i="2"/>
  <c r="O567" i="2"/>
  <c r="N567" i="2"/>
  <c r="T567" i="2" s="1"/>
  <c r="A567" i="2"/>
  <c r="AL566" i="2"/>
  <c r="AM566" i="2" s="1"/>
  <c r="AK566" i="2"/>
  <c r="AJ566" i="2"/>
  <c r="AE566" i="2"/>
  <c r="AD566" i="2"/>
  <c r="AC566" i="2"/>
  <c r="W566" i="2"/>
  <c r="Y566" i="2" s="1"/>
  <c r="AB566" i="2" s="1"/>
  <c r="V566" i="2"/>
  <c r="AP566" i="2" s="1"/>
  <c r="S566" i="2"/>
  <c r="R566" i="2"/>
  <c r="O566" i="2"/>
  <c r="T566" i="2" s="1"/>
  <c r="N566" i="2"/>
  <c r="A566" i="2"/>
  <c r="AL565" i="2"/>
  <c r="AM565" i="2" s="1"/>
  <c r="AK565" i="2"/>
  <c r="AJ565" i="2"/>
  <c r="AE565" i="2"/>
  <c r="AD565" i="2"/>
  <c r="AC565" i="2"/>
  <c r="R565" i="2"/>
  <c r="O565" i="2"/>
  <c r="T565" i="2" s="1"/>
  <c r="N565" i="2"/>
  <c r="A565" i="2"/>
  <c r="AM564" i="2"/>
  <c r="AL564" i="2"/>
  <c r="AK564" i="2"/>
  <c r="AJ564" i="2"/>
  <c r="AE564" i="2"/>
  <c r="AD564" i="2"/>
  <c r="AC564" i="2"/>
  <c r="W564" i="2"/>
  <c r="Y564" i="2" s="1"/>
  <c r="AB564" i="2" s="1"/>
  <c r="T564" i="2"/>
  <c r="S564" i="2"/>
  <c r="V564" i="2" s="1"/>
  <c r="R564" i="2"/>
  <c r="A564" i="2"/>
  <c r="AL563" i="2"/>
  <c r="AM563" i="2" s="1"/>
  <c r="AK563" i="2"/>
  <c r="AJ563" i="2"/>
  <c r="AE563" i="2"/>
  <c r="AD563" i="2"/>
  <c r="AC563" i="2"/>
  <c r="Y563" i="2"/>
  <c r="AB563" i="2" s="1"/>
  <c r="W563" i="2"/>
  <c r="T563" i="2"/>
  <c r="S563" i="2"/>
  <c r="V563" i="2" s="1"/>
  <c r="R563" i="2"/>
  <c r="A563" i="2"/>
  <c r="AL562" i="2"/>
  <c r="AM562" i="2" s="1"/>
  <c r="AK562" i="2"/>
  <c r="AJ562" i="2"/>
  <c r="AE562" i="2"/>
  <c r="AD562" i="2"/>
  <c r="AC562" i="2"/>
  <c r="W562" i="2"/>
  <c r="Y562" i="2" s="1"/>
  <c r="AB562" i="2" s="1"/>
  <c r="V562" i="2"/>
  <c r="AP562" i="2" s="1"/>
  <c r="S562" i="2"/>
  <c r="R562" i="2"/>
  <c r="O562" i="2"/>
  <c r="T562" i="2" s="1"/>
  <c r="A562" i="2"/>
  <c r="AM561" i="2"/>
  <c r="AL561" i="2"/>
  <c r="AK561" i="2"/>
  <c r="AJ561" i="2"/>
  <c r="AE561" i="2"/>
  <c r="AD561" i="2"/>
  <c r="AC561" i="2"/>
  <c r="W561" i="2"/>
  <c r="Y561" i="2" s="1"/>
  <c r="AB561" i="2" s="1"/>
  <c r="R561" i="2"/>
  <c r="O561" i="2"/>
  <c r="N561" i="2"/>
  <c r="S561" i="2" s="1"/>
  <c r="V561" i="2" s="1"/>
  <c r="A561" i="2"/>
  <c r="AM560" i="2"/>
  <c r="AL560" i="2"/>
  <c r="AK560" i="2"/>
  <c r="AJ560" i="2"/>
  <c r="AE560" i="2"/>
  <c r="AD560" i="2"/>
  <c r="AC560" i="2"/>
  <c r="W560" i="2"/>
  <c r="Y560" i="2" s="1"/>
  <c r="AB560" i="2" s="1"/>
  <c r="T560" i="2"/>
  <c r="S560" i="2"/>
  <c r="V560" i="2" s="1"/>
  <c r="R560" i="2"/>
  <c r="O560" i="2"/>
  <c r="A560" i="2"/>
  <c r="AL559" i="2"/>
  <c r="AM559" i="2" s="1"/>
  <c r="AK559" i="2"/>
  <c r="AJ559" i="2"/>
  <c r="AE559" i="2"/>
  <c r="AD559" i="2"/>
  <c r="AC559" i="2"/>
  <c r="R559" i="2"/>
  <c r="O559" i="2"/>
  <c r="T559" i="2" s="1"/>
  <c r="N559" i="2"/>
  <c r="A559" i="2"/>
  <c r="AM558" i="2"/>
  <c r="AL558" i="2"/>
  <c r="AK558" i="2"/>
  <c r="AJ558" i="2"/>
  <c r="AE558" i="2"/>
  <c r="AD558" i="2"/>
  <c r="AC558" i="2"/>
  <c r="W558" i="2"/>
  <c r="Y558" i="2" s="1"/>
  <c r="AB558" i="2" s="1"/>
  <c r="T558" i="2"/>
  <c r="S558" i="2"/>
  <c r="V558" i="2" s="1"/>
  <c r="R558" i="2"/>
  <c r="A558" i="2"/>
  <c r="AM557" i="2"/>
  <c r="AL557" i="2"/>
  <c r="AK557" i="2"/>
  <c r="AJ557" i="2"/>
  <c r="AE557" i="2"/>
  <c r="AD557" i="2"/>
  <c r="AC557" i="2"/>
  <c r="Y557" i="2"/>
  <c r="AB557" i="2" s="1"/>
  <c r="W557" i="2"/>
  <c r="T557" i="2"/>
  <c r="S557" i="2"/>
  <c r="V557" i="2" s="1"/>
  <c r="R557" i="2"/>
  <c r="A557" i="2"/>
  <c r="AL556" i="2"/>
  <c r="AM556" i="2" s="1"/>
  <c r="AK556" i="2"/>
  <c r="AJ556" i="2"/>
  <c r="AE556" i="2"/>
  <c r="AD556" i="2"/>
  <c r="AC556" i="2"/>
  <c r="R556" i="2"/>
  <c r="O556" i="2"/>
  <c r="T556" i="2" s="1"/>
  <c r="N556" i="2"/>
  <c r="A556" i="2"/>
  <c r="AM555" i="2"/>
  <c r="AL555" i="2"/>
  <c r="AK555" i="2"/>
  <c r="AJ555" i="2"/>
  <c r="AE555" i="2"/>
  <c r="AD555" i="2"/>
  <c r="AC555" i="2"/>
  <c r="W555" i="2"/>
  <c r="Y555" i="2" s="1"/>
  <c r="AB555" i="2" s="1"/>
  <c r="S555" i="2"/>
  <c r="V555" i="2" s="1"/>
  <c r="R555" i="2"/>
  <c r="O555" i="2"/>
  <c r="T555" i="2" s="1"/>
  <c r="N555" i="2"/>
  <c r="A555" i="2"/>
  <c r="AL554" i="2"/>
  <c r="AM554" i="2" s="1"/>
  <c r="AK554" i="2"/>
  <c r="AJ554" i="2"/>
  <c r="AE554" i="2"/>
  <c r="AD554" i="2"/>
  <c r="AC554" i="2"/>
  <c r="W554" i="2"/>
  <c r="Y554" i="2" s="1"/>
  <c r="AB554" i="2" s="1"/>
  <c r="V554" i="2"/>
  <c r="AP554" i="2" s="1"/>
  <c r="S554" i="2"/>
  <c r="R554" i="2"/>
  <c r="O554" i="2"/>
  <c r="N554" i="2"/>
  <c r="T554" i="2" s="1"/>
  <c r="A554" i="2"/>
  <c r="AL553" i="2"/>
  <c r="AM553" i="2" s="1"/>
  <c r="AK553" i="2"/>
  <c r="AJ553" i="2"/>
  <c r="AE553" i="2"/>
  <c r="AD553" i="2"/>
  <c r="AC553" i="2"/>
  <c r="W553" i="2"/>
  <c r="Y553" i="2" s="1"/>
  <c r="AB553" i="2" s="1"/>
  <c r="S553" i="2"/>
  <c r="V553" i="2" s="1"/>
  <c r="R553" i="2"/>
  <c r="O553" i="2"/>
  <c r="T553" i="2" s="1"/>
  <c r="N553" i="2"/>
  <c r="A553" i="2"/>
  <c r="AL552" i="2"/>
  <c r="AM552" i="2" s="1"/>
  <c r="AK552" i="2"/>
  <c r="AJ552" i="2"/>
  <c r="AE552" i="2"/>
  <c r="AD552" i="2"/>
  <c r="AC552" i="2"/>
  <c r="Y552" i="2"/>
  <c r="AB552" i="2" s="1"/>
  <c r="W552" i="2"/>
  <c r="V552" i="2"/>
  <c r="AP552" i="2" s="1"/>
  <c r="T552" i="2"/>
  <c r="S552" i="2"/>
  <c r="R552" i="2"/>
  <c r="A552" i="2"/>
  <c r="AM551" i="2"/>
  <c r="AL551" i="2"/>
  <c r="AK551" i="2"/>
  <c r="AJ551" i="2"/>
  <c r="AE551" i="2"/>
  <c r="AD551" i="2"/>
  <c r="AC551" i="2"/>
  <c r="W551" i="2"/>
  <c r="Y551" i="2" s="1"/>
  <c r="AB551" i="2" s="1"/>
  <c r="T551" i="2"/>
  <c r="S551" i="2"/>
  <c r="V551" i="2" s="1"/>
  <c r="R551" i="2"/>
  <c r="A551" i="2"/>
  <c r="AM550" i="2"/>
  <c r="AL550" i="2"/>
  <c r="AK550" i="2"/>
  <c r="AJ550" i="2"/>
  <c r="AE550" i="2"/>
  <c r="AD550" i="2"/>
  <c r="AC550" i="2"/>
  <c r="W550" i="2"/>
  <c r="R550" i="2"/>
  <c r="O550" i="2"/>
  <c r="N550" i="2"/>
  <c r="S550" i="2" s="1"/>
  <c r="V550" i="2" s="1"/>
  <c r="A550" i="2"/>
  <c r="AM549" i="2"/>
  <c r="AL549" i="2"/>
  <c r="AK549" i="2"/>
  <c r="AJ549" i="2"/>
  <c r="AE549" i="2"/>
  <c r="AD549" i="2"/>
  <c r="AC549" i="2"/>
  <c r="W549" i="2"/>
  <c r="Y549" i="2" s="1"/>
  <c r="AB549" i="2" s="1"/>
  <c r="S549" i="2"/>
  <c r="V549" i="2" s="1"/>
  <c r="R549" i="2"/>
  <c r="O549" i="2"/>
  <c r="T549" i="2" s="1"/>
  <c r="N549" i="2"/>
  <c r="A549" i="2"/>
  <c r="AL548" i="2"/>
  <c r="AM548" i="2" s="1"/>
  <c r="AK548" i="2"/>
  <c r="AJ548" i="2"/>
  <c r="AE548" i="2"/>
  <c r="AD548" i="2"/>
  <c r="AC548" i="2"/>
  <c r="R548" i="2"/>
  <c r="O548" i="2"/>
  <c r="T548" i="2" s="1"/>
  <c r="N548" i="2"/>
  <c r="A548" i="2"/>
  <c r="AL547" i="2"/>
  <c r="AM547" i="2" s="1"/>
  <c r="AK547" i="2"/>
  <c r="AJ547" i="2"/>
  <c r="AE547" i="2"/>
  <c r="AD547" i="2"/>
  <c r="AC547" i="2"/>
  <c r="R547" i="2"/>
  <c r="O547" i="2"/>
  <c r="T547" i="2" s="1"/>
  <c r="N547" i="2"/>
  <c r="A547" i="2"/>
  <c r="AM546" i="2"/>
  <c r="AL546" i="2"/>
  <c r="AK546" i="2"/>
  <c r="AJ546" i="2"/>
  <c r="AE546" i="2"/>
  <c r="AD546" i="2"/>
  <c r="AC546" i="2"/>
  <c r="W546" i="2"/>
  <c r="Y546" i="2" s="1"/>
  <c r="AB546" i="2" s="1"/>
  <c r="T546" i="2"/>
  <c r="S546" i="2"/>
  <c r="V546" i="2" s="1"/>
  <c r="R546" i="2"/>
  <c r="O546" i="2"/>
  <c r="A546" i="2"/>
  <c r="AL545" i="2"/>
  <c r="AM545" i="2" s="1"/>
  <c r="AK545" i="2"/>
  <c r="AJ545" i="2"/>
  <c r="AE545" i="2"/>
  <c r="AD545" i="2"/>
  <c r="AC545" i="2"/>
  <c r="R545" i="2"/>
  <c r="O545" i="2"/>
  <c r="T545" i="2" s="1"/>
  <c r="N545" i="2"/>
  <c r="A545" i="2"/>
  <c r="AL544" i="2"/>
  <c r="AM544" i="2" s="1"/>
  <c r="AK544" i="2"/>
  <c r="AJ544" i="2"/>
  <c r="AE544" i="2"/>
  <c r="AD544" i="2"/>
  <c r="AC544" i="2"/>
  <c r="R544" i="2"/>
  <c r="O544" i="2"/>
  <c r="T544" i="2" s="1"/>
  <c r="N544" i="2"/>
  <c r="A544" i="2"/>
  <c r="AM543" i="2"/>
  <c r="AL543" i="2"/>
  <c r="AK543" i="2"/>
  <c r="AJ543" i="2"/>
  <c r="AE543" i="2"/>
  <c r="AD543" i="2"/>
  <c r="AC543" i="2"/>
  <c r="W543" i="2"/>
  <c r="Y543" i="2" s="1"/>
  <c r="AB543" i="2" s="1"/>
  <c r="S543" i="2"/>
  <c r="V543" i="2" s="1"/>
  <c r="R543" i="2"/>
  <c r="O543" i="2"/>
  <c r="N543" i="2"/>
  <c r="T543" i="2" s="1"/>
  <c r="A543" i="2"/>
  <c r="AL542" i="2"/>
  <c r="AM542" i="2" s="1"/>
  <c r="AK542" i="2"/>
  <c r="AJ542" i="2"/>
  <c r="AE542" i="2"/>
  <c r="AD542" i="2"/>
  <c r="AC542" i="2"/>
  <c r="W542" i="2"/>
  <c r="Y542" i="2" s="1"/>
  <c r="AB542" i="2" s="1"/>
  <c r="T542" i="2"/>
  <c r="S542" i="2"/>
  <c r="V542" i="2" s="1"/>
  <c r="R542" i="2"/>
  <c r="A542" i="2"/>
  <c r="AM541" i="2"/>
  <c r="AL541" i="2"/>
  <c r="AK541" i="2"/>
  <c r="AJ541" i="2"/>
  <c r="AE541" i="2"/>
  <c r="AD541" i="2"/>
  <c r="AC541" i="2"/>
  <c r="W541" i="2"/>
  <c r="Y541" i="2" s="1"/>
  <c r="AB541" i="2" s="1"/>
  <c r="T541" i="2"/>
  <c r="S541" i="2"/>
  <c r="V541" i="2" s="1"/>
  <c r="R541" i="2"/>
  <c r="A541" i="2"/>
  <c r="AM540" i="2"/>
  <c r="AL540" i="2"/>
  <c r="AK540" i="2"/>
  <c r="AJ540" i="2"/>
  <c r="AE540" i="2"/>
  <c r="AD540" i="2"/>
  <c r="AC540" i="2"/>
  <c r="R540" i="2"/>
  <c r="O540" i="2"/>
  <c r="W540" i="2" s="1"/>
  <c r="N540" i="2"/>
  <c r="T540" i="2" s="1"/>
  <c r="A540" i="2"/>
  <c r="AM539" i="2"/>
  <c r="AL539" i="2"/>
  <c r="AK539" i="2"/>
  <c r="AJ539" i="2"/>
  <c r="AE539" i="2"/>
  <c r="AD539" i="2"/>
  <c r="AC539" i="2"/>
  <c r="W539" i="2"/>
  <c r="Y539" i="2" s="1"/>
  <c r="AB539" i="2" s="1"/>
  <c r="S539" i="2"/>
  <c r="V539" i="2" s="1"/>
  <c r="R539" i="2"/>
  <c r="O539" i="2"/>
  <c r="N539" i="2"/>
  <c r="T539" i="2" s="1"/>
  <c r="A539" i="2"/>
  <c r="AL538" i="2"/>
  <c r="AM538" i="2" s="1"/>
  <c r="AK538" i="2"/>
  <c r="AJ538" i="2"/>
  <c r="AE538" i="2"/>
  <c r="AD538" i="2"/>
  <c r="AC538" i="2"/>
  <c r="W538" i="2"/>
  <c r="Y538" i="2" s="1"/>
  <c r="AB538" i="2" s="1"/>
  <c r="V538" i="2"/>
  <c r="AP538" i="2" s="1"/>
  <c r="T538" i="2"/>
  <c r="S538" i="2"/>
  <c r="R538" i="2"/>
  <c r="A538" i="2"/>
  <c r="AM537" i="2"/>
  <c r="AL537" i="2"/>
  <c r="AK537" i="2"/>
  <c r="AJ537" i="2"/>
  <c r="AE537" i="2"/>
  <c r="AD537" i="2"/>
  <c r="AC537" i="2"/>
  <c r="W537" i="2"/>
  <c r="Y537" i="2" s="1"/>
  <c r="AB537" i="2" s="1"/>
  <c r="T537" i="2"/>
  <c r="S537" i="2"/>
  <c r="V537" i="2" s="1"/>
  <c r="R537" i="2"/>
  <c r="A537" i="2"/>
  <c r="AM536" i="2"/>
  <c r="AL536" i="2"/>
  <c r="AK536" i="2"/>
  <c r="AJ536" i="2"/>
  <c r="AE536" i="2"/>
  <c r="AD536" i="2"/>
  <c r="AC536" i="2"/>
  <c r="T536" i="2"/>
  <c r="R536" i="2"/>
  <c r="O536" i="2"/>
  <c r="W536" i="2" s="1"/>
  <c r="A536" i="2"/>
  <c r="AL535" i="2"/>
  <c r="AM535" i="2" s="1"/>
  <c r="AK535" i="2"/>
  <c r="AJ535" i="2"/>
  <c r="AE535" i="2"/>
  <c r="AD535" i="2"/>
  <c r="AC535" i="2"/>
  <c r="W535" i="2"/>
  <c r="Y535" i="2" s="1"/>
  <c r="AB535" i="2" s="1"/>
  <c r="V535" i="2"/>
  <c r="AP535" i="2" s="1"/>
  <c r="S535" i="2"/>
  <c r="R535" i="2"/>
  <c r="O535" i="2"/>
  <c r="T535" i="2" s="1"/>
  <c r="N535" i="2"/>
  <c r="A535" i="2"/>
  <c r="AL534" i="2"/>
  <c r="AM534" i="2" s="1"/>
  <c r="AK534" i="2"/>
  <c r="AJ534" i="2"/>
  <c r="AE534" i="2"/>
  <c r="AD534" i="2"/>
  <c r="AC534" i="2"/>
  <c r="R534" i="2"/>
  <c r="O534" i="2"/>
  <c r="T534" i="2" s="1"/>
  <c r="N534" i="2"/>
  <c r="A534" i="2"/>
  <c r="AM533" i="2"/>
  <c r="AL533" i="2"/>
  <c r="AK533" i="2"/>
  <c r="AJ533" i="2"/>
  <c r="AE533" i="2"/>
  <c r="AD533" i="2"/>
  <c r="AC533" i="2"/>
  <c r="R533" i="2"/>
  <c r="O533" i="2"/>
  <c r="W533" i="2" s="1"/>
  <c r="N533" i="2"/>
  <c r="T533" i="2" s="1"/>
  <c r="A533" i="2"/>
  <c r="AM532" i="2"/>
  <c r="AL532" i="2"/>
  <c r="AK532" i="2"/>
  <c r="AJ532" i="2"/>
  <c r="AE532" i="2"/>
  <c r="AD532" i="2"/>
  <c r="AC532" i="2"/>
  <c r="W532" i="2"/>
  <c r="Y532" i="2" s="1"/>
  <c r="AB532" i="2" s="1"/>
  <c r="T532" i="2"/>
  <c r="S532" i="2"/>
  <c r="V532" i="2" s="1"/>
  <c r="R532" i="2"/>
  <c r="O532" i="2"/>
  <c r="A532" i="2"/>
  <c r="AL531" i="2"/>
  <c r="AM531" i="2" s="1"/>
  <c r="AK531" i="2"/>
  <c r="AJ531" i="2"/>
  <c r="AE531" i="2"/>
  <c r="AD531" i="2"/>
  <c r="AC531" i="2"/>
  <c r="R531" i="2"/>
  <c r="O531" i="2"/>
  <c r="T531" i="2" s="1"/>
  <c r="N531" i="2"/>
  <c r="A531" i="2"/>
  <c r="AM530" i="2"/>
  <c r="AL530" i="2"/>
  <c r="AK530" i="2"/>
  <c r="AJ530" i="2"/>
  <c r="AE530" i="2"/>
  <c r="AD530" i="2"/>
  <c r="AC530" i="2"/>
  <c r="W530" i="2"/>
  <c r="Y530" i="2" s="1"/>
  <c r="AB530" i="2" s="1"/>
  <c r="T530" i="2"/>
  <c r="S530" i="2"/>
  <c r="V530" i="2" s="1"/>
  <c r="R530" i="2"/>
  <c r="A530" i="2"/>
  <c r="AL529" i="2"/>
  <c r="AM529" i="2" s="1"/>
  <c r="AK529" i="2"/>
  <c r="AJ529" i="2"/>
  <c r="AE529" i="2"/>
  <c r="AD529" i="2"/>
  <c r="AC529" i="2"/>
  <c r="R529" i="2"/>
  <c r="O529" i="2"/>
  <c r="T529" i="2" s="1"/>
  <c r="N529" i="2"/>
  <c r="A529" i="2"/>
  <c r="AM528" i="2"/>
  <c r="AL528" i="2"/>
  <c r="AK528" i="2"/>
  <c r="AJ528" i="2"/>
  <c r="AE528" i="2"/>
  <c r="AD528" i="2"/>
  <c r="AC528" i="2"/>
  <c r="W528" i="2"/>
  <c r="R528" i="2"/>
  <c r="O528" i="2"/>
  <c r="N528" i="2"/>
  <c r="T528" i="2" s="1"/>
  <c r="A528" i="2"/>
  <c r="AM527" i="2"/>
  <c r="AL527" i="2"/>
  <c r="AK527" i="2"/>
  <c r="AJ527" i="2"/>
  <c r="AE527" i="2"/>
  <c r="AD527" i="2"/>
  <c r="AC527" i="2"/>
  <c r="W527" i="2"/>
  <c r="Y527" i="2" s="1"/>
  <c r="AB527" i="2" s="1"/>
  <c r="T527" i="2"/>
  <c r="S527" i="2"/>
  <c r="V527" i="2" s="1"/>
  <c r="R527" i="2"/>
  <c r="O527" i="2"/>
  <c r="A527" i="2"/>
  <c r="AL526" i="2"/>
  <c r="AM526" i="2" s="1"/>
  <c r="AK526" i="2"/>
  <c r="AJ526" i="2"/>
  <c r="AE526" i="2"/>
  <c r="AD526" i="2"/>
  <c r="AC526" i="2"/>
  <c r="R526" i="2"/>
  <c r="O526" i="2"/>
  <c r="T526" i="2" s="1"/>
  <c r="N526" i="2"/>
  <c r="A526" i="2"/>
  <c r="AM525" i="2"/>
  <c r="AL525" i="2"/>
  <c r="AK525" i="2"/>
  <c r="AJ525" i="2"/>
  <c r="AE525" i="2"/>
  <c r="AD525" i="2"/>
  <c r="AC525" i="2"/>
  <c r="Y525" i="2"/>
  <c r="AB525" i="2" s="1"/>
  <c r="W525" i="2"/>
  <c r="T525" i="2"/>
  <c r="S525" i="2"/>
  <c r="V525" i="2" s="1"/>
  <c r="R525" i="2"/>
  <c r="A525" i="2"/>
  <c r="AL524" i="2"/>
  <c r="AM524" i="2" s="1"/>
  <c r="AK524" i="2"/>
  <c r="AJ524" i="2"/>
  <c r="AE524" i="2"/>
  <c r="AD524" i="2"/>
  <c r="AC524" i="2"/>
  <c r="Y524" i="2"/>
  <c r="AB524" i="2" s="1"/>
  <c r="W524" i="2"/>
  <c r="V524" i="2"/>
  <c r="AP524" i="2" s="1"/>
  <c r="T524" i="2"/>
  <c r="S524" i="2"/>
  <c r="R524" i="2"/>
  <c r="A524" i="2"/>
  <c r="AM523" i="2"/>
  <c r="AL523" i="2"/>
  <c r="AK523" i="2"/>
  <c r="AJ523" i="2"/>
  <c r="AE523" i="2"/>
  <c r="AD523" i="2"/>
  <c r="AC523" i="2"/>
  <c r="W523" i="2"/>
  <c r="Y523" i="2" s="1"/>
  <c r="AB523" i="2" s="1"/>
  <c r="S523" i="2"/>
  <c r="V523" i="2" s="1"/>
  <c r="R523" i="2"/>
  <c r="O523" i="2"/>
  <c r="T523" i="2" s="1"/>
  <c r="N523" i="2"/>
  <c r="A523" i="2"/>
  <c r="AL522" i="2"/>
  <c r="AM522" i="2" s="1"/>
  <c r="AK522" i="2"/>
  <c r="AJ522" i="2"/>
  <c r="AE522" i="2"/>
  <c r="AD522" i="2"/>
  <c r="AC522" i="2"/>
  <c r="R522" i="2"/>
  <c r="O522" i="2"/>
  <c r="T522" i="2" s="1"/>
  <c r="N522" i="2"/>
  <c r="A522" i="2"/>
  <c r="AM521" i="2"/>
  <c r="AL521" i="2"/>
  <c r="AK521" i="2"/>
  <c r="AJ521" i="2"/>
  <c r="AE521" i="2"/>
  <c r="AD521" i="2"/>
  <c r="AC521" i="2"/>
  <c r="R521" i="2"/>
  <c r="O521" i="2"/>
  <c r="T521" i="2" s="1"/>
  <c r="N521" i="2"/>
  <c r="A521" i="2"/>
  <c r="AL520" i="2"/>
  <c r="AM520" i="2" s="1"/>
  <c r="AK520" i="2"/>
  <c r="AJ520" i="2"/>
  <c r="AE520" i="2"/>
  <c r="AD520" i="2"/>
  <c r="AC520" i="2"/>
  <c r="W520" i="2"/>
  <c r="R520" i="2"/>
  <c r="O520" i="2"/>
  <c r="N520" i="2"/>
  <c r="S520" i="2" s="1"/>
  <c r="V520" i="2" s="1"/>
  <c r="A520" i="2"/>
  <c r="AM519" i="2"/>
  <c r="AL519" i="2"/>
  <c r="AK519" i="2"/>
  <c r="AJ519" i="2"/>
  <c r="AE519" i="2"/>
  <c r="AD519" i="2"/>
  <c r="AC519" i="2"/>
  <c r="W519" i="2"/>
  <c r="Y519" i="2" s="1"/>
  <c r="AB519" i="2" s="1"/>
  <c r="T519" i="2"/>
  <c r="S519" i="2"/>
  <c r="V519" i="2" s="1"/>
  <c r="R519" i="2"/>
  <c r="A519" i="2"/>
  <c r="AM518" i="2"/>
  <c r="AL518" i="2"/>
  <c r="AK518" i="2"/>
  <c r="AJ518" i="2"/>
  <c r="AE518" i="2"/>
  <c r="AD518" i="2"/>
  <c r="AC518" i="2"/>
  <c r="W518" i="2"/>
  <c r="R518" i="2"/>
  <c r="O518" i="2"/>
  <c r="N518" i="2"/>
  <c r="S518" i="2" s="1"/>
  <c r="V518" i="2" s="1"/>
  <c r="A518" i="2"/>
  <c r="AM517" i="2"/>
  <c r="AL517" i="2"/>
  <c r="AK517" i="2"/>
  <c r="AJ517" i="2"/>
  <c r="AE517" i="2"/>
  <c r="AD517" i="2"/>
  <c r="AC517" i="2"/>
  <c r="W517" i="2"/>
  <c r="Y517" i="2" s="1"/>
  <c r="AB517" i="2" s="1"/>
  <c r="S517" i="2"/>
  <c r="V517" i="2" s="1"/>
  <c r="R517" i="2"/>
  <c r="O517" i="2"/>
  <c r="T517" i="2" s="1"/>
  <c r="N517" i="2"/>
  <c r="A517" i="2"/>
  <c r="AL516" i="2"/>
  <c r="AM516" i="2" s="1"/>
  <c r="AK516" i="2"/>
  <c r="AJ516" i="2"/>
  <c r="AE516" i="2"/>
  <c r="AD516" i="2"/>
  <c r="AC516" i="2"/>
  <c r="R516" i="2"/>
  <c r="O516" i="2"/>
  <c r="T516" i="2" s="1"/>
  <c r="N516" i="2"/>
  <c r="A516" i="2"/>
  <c r="AM515" i="2"/>
  <c r="AL515" i="2"/>
  <c r="AK515" i="2"/>
  <c r="AJ515" i="2"/>
  <c r="AE515" i="2"/>
  <c r="AD515" i="2"/>
  <c r="AC515" i="2"/>
  <c r="R515" i="2"/>
  <c r="O515" i="2"/>
  <c r="T515" i="2" s="1"/>
  <c r="N515" i="2"/>
  <c r="A515" i="2"/>
  <c r="AM514" i="2"/>
  <c r="AL514" i="2"/>
  <c r="AK514" i="2"/>
  <c r="AJ514" i="2"/>
  <c r="AE514" i="2"/>
  <c r="AD514" i="2"/>
  <c r="AC514" i="2"/>
  <c r="W514" i="2"/>
  <c r="R514" i="2"/>
  <c r="O514" i="2"/>
  <c r="N514" i="2"/>
  <c r="S514" i="2" s="1"/>
  <c r="V514" i="2" s="1"/>
  <c r="A514" i="2"/>
  <c r="AM513" i="2"/>
  <c r="AL513" i="2"/>
  <c r="AK513" i="2"/>
  <c r="AJ513" i="2"/>
  <c r="AE513" i="2"/>
  <c r="AD513" i="2"/>
  <c r="AC513" i="2"/>
  <c r="W513" i="2"/>
  <c r="Y513" i="2" s="1"/>
  <c r="AB513" i="2" s="1"/>
  <c r="T513" i="2"/>
  <c r="S513" i="2"/>
  <c r="V513" i="2" s="1"/>
  <c r="R513" i="2"/>
  <c r="A513" i="2"/>
  <c r="AM512" i="2"/>
  <c r="AL512" i="2"/>
  <c r="AK512" i="2"/>
  <c r="AJ512" i="2"/>
  <c r="AE512" i="2"/>
  <c r="AD512" i="2"/>
  <c r="AC512" i="2"/>
  <c r="W512" i="2"/>
  <c r="R512" i="2"/>
  <c r="O512" i="2"/>
  <c r="N512" i="2"/>
  <c r="S512" i="2" s="1"/>
  <c r="V512" i="2" s="1"/>
  <c r="A512" i="2"/>
  <c r="AM511" i="2"/>
  <c r="AL511" i="2"/>
  <c r="AK511" i="2"/>
  <c r="AJ511" i="2"/>
  <c r="AE511" i="2"/>
  <c r="AD511" i="2"/>
  <c r="AC511" i="2"/>
  <c r="W511" i="2"/>
  <c r="Y511" i="2" s="1"/>
  <c r="AB511" i="2" s="1"/>
  <c r="S511" i="2"/>
  <c r="V511" i="2" s="1"/>
  <c r="R511" i="2"/>
  <c r="O511" i="2"/>
  <c r="T511" i="2" s="1"/>
  <c r="N511" i="2"/>
  <c r="A511" i="2"/>
  <c r="AL510" i="2"/>
  <c r="AM510" i="2" s="1"/>
  <c r="AK510" i="2"/>
  <c r="AJ510" i="2"/>
  <c r="AE510" i="2"/>
  <c r="AD510" i="2"/>
  <c r="AC510" i="2"/>
  <c r="R510" i="2"/>
  <c r="O510" i="2"/>
  <c r="T510" i="2" s="1"/>
  <c r="N510" i="2"/>
  <c r="A510" i="2"/>
  <c r="AM509" i="2"/>
  <c r="AL509" i="2"/>
  <c r="AK509" i="2"/>
  <c r="AJ509" i="2"/>
  <c r="AE509" i="2"/>
  <c r="AD509" i="2"/>
  <c r="AC509" i="2"/>
  <c r="R509" i="2"/>
  <c r="O509" i="2"/>
  <c r="T509" i="2" s="1"/>
  <c r="N509" i="2"/>
  <c r="A509" i="2"/>
  <c r="AM508" i="2"/>
  <c r="AL508" i="2"/>
  <c r="AK508" i="2"/>
  <c r="AJ508" i="2"/>
  <c r="AE508" i="2"/>
  <c r="AD508" i="2"/>
  <c r="AC508" i="2"/>
  <c r="W508" i="2"/>
  <c r="R508" i="2"/>
  <c r="O508" i="2"/>
  <c r="N508" i="2"/>
  <c r="S508" i="2" s="1"/>
  <c r="V508" i="2" s="1"/>
  <c r="A508" i="2"/>
  <c r="AM507" i="2"/>
  <c r="AL507" i="2"/>
  <c r="AK507" i="2"/>
  <c r="AJ507" i="2"/>
  <c r="AE507" i="2"/>
  <c r="AD507" i="2"/>
  <c r="AC507" i="2"/>
  <c r="W507" i="2"/>
  <c r="Y507" i="2" s="1"/>
  <c r="AB507" i="2" s="1"/>
  <c r="S507" i="2"/>
  <c r="V507" i="2" s="1"/>
  <c r="R507" i="2"/>
  <c r="O507" i="2"/>
  <c r="T507" i="2" s="1"/>
  <c r="N507" i="2"/>
  <c r="A507" i="2"/>
  <c r="AL506" i="2"/>
  <c r="AM506" i="2" s="1"/>
  <c r="AK506" i="2"/>
  <c r="AJ506" i="2"/>
  <c r="AE506" i="2"/>
  <c r="AD506" i="2"/>
  <c r="AC506" i="2"/>
  <c r="R506" i="2"/>
  <c r="O506" i="2"/>
  <c r="T506" i="2" s="1"/>
  <c r="N506" i="2"/>
  <c r="A506" i="2"/>
  <c r="AM505" i="2"/>
  <c r="AL505" i="2"/>
  <c r="AK505" i="2"/>
  <c r="AJ505" i="2"/>
  <c r="AE505" i="2"/>
  <c r="AD505" i="2"/>
  <c r="AC505" i="2"/>
  <c r="R505" i="2"/>
  <c r="O505" i="2"/>
  <c r="N505" i="2"/>
  <c r="A505" i="2"/>
  <c r="AM504" i="2"/>
  <c r="AL504" i="2"/>
  <c r="AK504" i="2"/>
  <c r="AJ504" i="2"/>
  <c r="AE504" i="2"/>
  <c r="AD504" i="2"/>
  <c r="AC504" i="2"/>
  <c r="W504" i="2"/>
  <c r="S504" i="2"/>
  <c r="V504" i="2" s="1"/>
  <c r="AP504" i="2" s="1"/>
  <c r="R504" i="2"/>
  <c r="O504" i="2"/>
  <c r="N504" i="2"/>
  <c r="T504" i="2" s="1"/>
  <c r="A504" i="2"/>
  <c r="AM503" i="2"/>
  <c r="AL503" i="2"/>
  <c r="AK503" i="2"/>
  <c r="AJ503" i="2"/>
  <c r="AE503" i="2"/>
  <c r="AD503" i="2"/>
  <c r="AC503" i="2"/>
  <c r="W503" i="2"/>
  <c r="S503" i="2"/>
  <c r="V503" i="2" s="1"/>
  <c r="R503" i="2"/>
  <c r="O503" i="2"/>
  <c r="T503" i="2" s="1"/>
  <c r="A503" i="2"/>
  <c r="AM502" i="2"/>
  <c r="AL502" i="2"/>
  <c r="AK502" i="2"/>
  <c r="AJ502" i="2"/>
  <c r="AE502" i="2"/>
  <c r="AD502" i="2"/>
  <c r="AC502" i="2"/>
  <c r="T502" i="2"/>
  <c r="R502" i="2"/>
  <c r="O502" i="2"/>
  <c r="N502" i="2"/>
  <c r="A502" i="2"/>
  <c r="AM501" i="2"/>
  <c r="AL501" i="2"/>
  <c r="AK501" i="2"/>
  <c r="AJ501" i="2"/>
  <c r="AE501" i="2"/>
  <c r="AD501" i="2"/>
  <c r="AC501" i="2"/>
  <c r="W501" i="2"/>
  <c r="Y501" i="2" s="1"/>
  <c r="AB501" i="2" s="1"/>
  <c r="S501" i="2"/>
  <c r="V501" i="2" s="1"/>
  <c r="AP501" i="2" s="1"/>
  <c r="R501" i="2"/>
  <c r="O501" i="2"/>
  <c r="N501" i="2"/>
  <c r="T501" i="2" s="1"/>
  <c r="A501" i="2"/>
  <c r="AL500" i="2"/>
  <c r="AM500" i="2" s="1"/>
  <c r="AK500" i="2"/>
  <c r="AJ500" i="2"/>
  <c r="AE500" i="2"/>
  <c r="AD500" i="2"/>
  <c r="AC500" i="2"/>
  <c r="W500" i="2"/>
  <c r="Y500" i="2" s="1"/>
  <c r="AB500" i="2" s="1"/>
  <c r="S500" i="2"/>
  <c r="V500" i="2" s="1"/>
  <c r="R500" i="2"/>
  <c r="O500" i="2"/>
  <c r="T500" i="2" s="1"/>
  <c r="N500" i="2"/>
  <c r="A500" i="2"/>
  <c r="AP499" i="2"/>
  <c r="AL499" i="2"/>
  <c r="AM499" i="2" s="1"/>
  <c r="AK499" i="2"/>
  <c r="AJ499" i="2"/>
  <c r="AE499" i="2"/>
  <c r="AD499" i="2"/>
  <c r="AC499" i="2"/>
  <c r="Y499" i="2"/>
  <c r="AB499" i="2" s="1"/>
  <c r="W499" i="2"/>
  <c r="V499" i="2"/>
  <c r="T499" i="2"/>
  <c r="S499" i="2"/>
  <c r="R499" i="2"/>
  <c r="A499" i="2"/>
  <c r="AL498" i="2"/>
  <c r="AM498" i="2" s="1"/>
  <c r="AK498" i="2"/>
  <c r="AJ498" i="2"/>
  <c r="AE498" i="2"/>
  <c r="AD498" i="2"/>
  <c r="AC498" i="2"/>
  <c r="W498" i="2"/>
  <c r="Y498" i="2" s="1"/>
  <c r="AB498" i="2" s="1"/>
  <c r="S498" i="2"/>
  <c r="V498" i="2" s="1"/>
  <c r="R498" i="2"/>
  <c r="O498" i="2"/>
  <c r="T498" i="2" s="1"/>
  <c r="A498" i="2"/>
  <c r="AM497" i="2"/>
  <c r="AL497" i="2"/>
  <c r="AK497" i="2"/>
  <c r="AJ497" i="2"/>
  <c r="AE497" i="2"/>
  <c r="AD497" i="2"/>
  <c r="AC497" i="2"/>
  <c r="W497" i="2"/>
  <c r="R497" i="2"/>
  <c r="O497" i="2"/>
  <c r="T497" i="2" s="1"/>
  <c r="N497" i="2"/>
  <c r="A497" i="2"/>
  <c r="AM496" i="2"/>
  <c r="AL496" i="2"/>
  <c r="AK496" i="2"/>
  <c r="AJ496" i="2"/>
  <c r="AE496" i="2"/>
  <c r="AD496" i="2"/>
  <c r="AC496" i="2"/>
  <c r="W496" i="2"/>
  <c r="Y496" i="2" s="1"/>
  <c r="AB496" i="2" s="1"/>
  <c r="V496" i="2"/>
  <c r="AP496" i="2" s="1"/>
  <c r="S496" i="2"/>
  <c r="R496" i="2"/>
  <c r="O496" i="2"/>
  <c r="N496" i="2"/>
  <c r="T496" i="2" s="1"/>
  <c r="A496" i="2"/>
  <c r="AM495" i="2"/>
  <c r="AL495" i="2"/>
  <c r="AK495" i="2"/>
  <c r="AJ495" i="2"/>
  <c r="AE495" i="2"/>
  <c r="AD495" i="2"/>
  <c r="AC495" i="2"/>
  <c r="R495" i="2"/>
  <c r="O495" i="2"/>
  <c r="T495" i="2" s="1"/>
  <c r="N495" i="2"/>
  <c r="A495" i="2"/>
  <c r="AL494" i="2"/>
  <c r="AM494" i="2" s="1"/>
  <c r="AK494" i="2"/>
  <c r="AJ494" i="2"/>
  <c r="AE494" i="2"/>
  <c r="AD494" i="2"/>
  <c r="AC494" i="2"/>
  <c r="T494" i="2"/>
  <c r="R494" i="2"/>
  <c r="O494" i="2"/>
  <c r="N494" i="2"/>
  <c r="A494" i="2"/>
  <c r="AM493" i="2"/>
  <c r="AL493" i="2"/>
  <c r="AK493" i="2"/>
  <c r="AJ493" i="2"/>
  <c r="AE493" i="2"/>
  <c r="AD493" i="2"/>
  <c r="AC493" i="2"/>
  <c r="Y493" i="2"/>
  <c r="AB493" i="2" s="1"/>
  <c r="W493" i="2"/>
  <c r="T493" i="2"/>
  <c r="S493" i="2"/>
  <c r="V493" i="2" s="1"/>
  <c r="AP493" i="2" s="1"/>
  <c r="R493" i="2"/>
  <c r="A493" i="2"/>
  <c r="AO493" i="2" s="1"/>
  <c r="AP492" i="2"/>
  <c r="AL492" i="2"/>
  <c r="AM492" i="2" s="1"/>
  <c r="AK492" i="2"/>
  <c r="AJ492" i="2"/>
  <c r="AE492" i="2"/>
  <c r="AD492" i="2"/>
  <c r="AC492" i="2"/>
  <c r="AB492" i="2"/>
  <c r="Y492" i="2"/>
  <c r="W492" i="2"/>
  <c r="V492" i="2"/>
  <c r="AO492" i="2" s="1"/>
  <c r="T492" i="2"/>
  <c r="S492" i="2"/>
  <c r="R492" i="2"/>
  <c r="A492" i="2"/>
  <c r="AM491" i="2"/>
  <c r="AL491" i="2"/>
  <c r="AK491" i="2"/>
  <c r="AJ491" i="2"/>
  <c r="AE491" i="2"/>
  <c r="AD491" i="2"/>
  <c r="AC491" i="2"/>
  <c r="R491" i="2"/>
  <c r="O491" i="2"/>
  <c r="T491" i="2" s="1"/>
  <c r="A491" i="2"/>
  <c r="AM490" i="2"/>
  <c r="AL490" i="2"/>
  <c r="AK490" i="2"/>
  <c r="AJ490" i="2"/>
  <c r="AE490" i="2"/>
  <c r="AD490" i="2"/>
  <c r="AC490" i="2"/>
  <c r="R490" i="2"/>
  <c r="O490" i="2"/>
  <c r="S490" i="2" s="1"/>
  <c r="V490" i="2" s="1"/>
  <c r="N490" i="2"/>
  <c r="T490" i="2" s="1"/>
  <c r="A490" i="2"/>
  <c r="AL489" i="2"/>
  <c r="AM489" i="2" s="1"/>
  <c r="AK489" i="2"/>
  <c r="AJ489" i="2"/>
  <c r="AE489" i="2"/>
  <c r="AD489" i="2"/>
  <c r="AC489" i="2"/>
  <c r="W489" i="2"/>
  <c r="Y489" i="2" s="1"/>
  <c r="AB489" i="2" s="1"/>
  <c r="V489" i="2"/>
  <c r="AP489" i="2" s="1"/>
  <c r="T489" i="2"/>
  <c r="S489" i="2"/>
  <c r="R489" i="2"/>
  <c r="A489" i="2"/>
  <c r="AM488" i="2"/>
  <c r="AL488" i="2"/>
  <c r="AK488" i="2"/>
  <c r="AJ488" i="2"/>
  <c r="AE488" i="2"/>
  <c r="AD488" i="2"/>
  <c r="AC488" i="2"/>
  <c r="Y488" i="2"/>
  <c r="AB488" i="2" s="1"/>
  <c r="W488" i="2"/>
  <c r="T488" i="2"/>
  <c r="S488" i="2"/>
  <c r="V488" i="2" s="1"/>
  <c r="AO488" i="2" s="1"/>
  <c r="R488" i="2"/>
  <c r="A488" i="2"/>
  <c r="AL487" i="2"/>
  <c r="AM487" i="2" s="1"/>
  <c r="AK487" i="2"/>
  <c r="AJ487" i="2"/>
  <c r="AE487" i="2"/>
  <c r="AD487" i="2"/>
  <c r="AC487" i="2"/>
  <c r="R487" i="2"/>
  <c r="O487" i="2"/>
  <c r="N487" i="2"/>
  <c r="A487" i="2"/>
  <c r="AM486" i="2"/>
  <c r="AL486" i="2"/>
  <c r="AK486" i="2"/>
  <c r="AJ486" i="2"/>
  <c r="AE486" i="2"/>
  <c r="AD486" i="2"/>
  <c r="AC486" i="2"/>
  <c r="R486" i="2"/>
  <c r="O486" i="2"/>
  <c r="T486" i="2" s="1"/>
  <c r="N486" i="2"/>
  <c r="A486" i="2"/>
  <c r="AM485" i="2"/>
  <c r="AL485" i="2"/>
  <c r="AK485" i="2"/>
  <c r="AJ485" i="2"/>
  <c r="AE485" i="2"/>
  <c r="AD485" i="2"/>
  <c r="AC485" i="2"/>
  <c r="W485" i="2"/>
  <c r="Y485" i="2" s="1"/>
  <c r="AB485" i="2" s="1"/>
  <c r="V485" i="2"/>
  <c r="AP485" i="2" s="1"/>
  <c r="T485" i="2"/>
  <c r="S485" i="2"/>
  <c r="R485" i="2"/>
  <c r="A485" i="2"/>
  <c r="AO484" i="2"/>
  <c r="AM484" i="2"/>
  <c r="AL484" i="2"/>
  <c r="AK484" i="2"/>
  <c r="AJ484" i="2"/>
  <c r="AE484" i="2"/>
  <c r="AD484" i="2"/>
  <c r="AC484" i="2"/>
  <c r="Y484" i="2"/>
  <c r="AB484" i="2" s="1"/>
  <c r="W484" i="2"/>
  <c r="T484" i="2"/>
  <c r="S484" i="2"/>
  <c r="V484" i="2" s="1"/>
  <c r="AP484" i="2" s="1"/>
  <c r="R484" i="2"/>
  <c r="A484" i="2"/>
  <c r="AL483" i="2"/>
  <c r="AM483" i="2" s="1"/>
  <c r="AK483" i="2"/>
  <c r="AJ483" i="2"/>
  <c r="AE483" i="2"/>
  <c r="AD483" i="2"/>
  <c r="AC483" i="2"/>
  <c r="V483" i="2"/>
  <c r="AO483" i="2" s="1"/>
  <c r="T483" i="2"/>
  <c r="S483" i="2"/>
  <c r="Y483" i="2" s="1"/>
  <c r="AB483" i="2" s="1"/>
  <c r="R483" i="2"/>
  <c r="O483" i="2"/>
  <c r="W483" i="2" s="1"/>
  <c r="A483" i="2"/>
  <c r="AL482" i="2"/>
  <c r="AM482" i="2" s="1"/>
  <c r="AK482" i="2"/>
  <c r="AJ482" i="2"/>
  <c r="AE482" i="2"/>
  <c r="AD482" i="2"/>
  <c r="AC482" i="2"/>
  <c r="R482" i="2"/>
  <c r="O482" i="2"/>
  <c r="W482" i="2" s="1"/>
  <c r="N482" i="2"/>
  <c r="T482" i="2" s="1"/>
  <c r="A482" i="2"/>
  <c r="AM481" i="2"/>
  <c r="AL481" i="2"/>
  <c r="AK481" i="2"/>
  <c r="AJ481" i="2"/>
  <c r="AE481" i="2"/>
  <c r="AD481" i="2"/>
  <c r="AC481" i="2"/>
  <c r="W481" i="2"/>
  <c r="Y481" i="2" s="1"/>
  <c r="AB481" i="2" s="1"/>
  <c r="T481" i="2"/>
  <c r="S481" i="2"/>
  <c r="V481" i="2" s="1"/>
  <c r="R481" i="2"/>
  <c r="A481" i="2"/>
  <c r="AL480" i="2"/>
  <c r="AM480" i="2" s="1"/>
  <c r="AK480" i="2"/>
  <c r="AJ480" i="2"/>
  <c r="AE480" i="2"/>
  <c r="AD480" i="2"/>
  <c r="AC480" i="2"/>
  <c r="AB480" i="2"/>
  <c r="Y480" i="2"/>
  <c r="W480" i="2"/>
  <c r="T480" i="2"/>
  <c r="S480" i="2"/>
  <c r="V480" i="2" s="1"/>
  <c r="R480" i="2"/>
  <c r="A480" i="2"/>
  <c r="AL479" i="2"/>
  <c r="AM479" i="2" s="1"/>
  <c r="AK479" i="2"/>
  <c r="AJ479" i="2"/>
  <c r="AE479" i="2"/>
  <c r="AD479" i="2"/>
  <c r="AC479" i="2"/>
  <c r="R479" i="2"/>
  <c r="O479" i="2"/>
  <c r="T479" i="2" s="1"/>
  <c r="N479" i="2"/>
  <c r="A479" i="2"/>
  <c r="AL478" i="2"/>
  <c r="AM478" i="2" s="1"/>
  <c r="AK478" i="2"/>
  <c r="AJ478" i="2"/>
  <c r="AE478" i="2"/>
  <c r="AD478" i="2"/>
  <c r="AC478" i="2"/>
  <c r="R478" i="2"/>
  <c r="O478" i="2"/>
  <c r="W478" i="2" s="1"/>
  <c r="N478" i="2"/>
  <c r="T478" i="2" s="1"/>
  <c r="A478" i="2"/>
  <c r="AM477" i="2"/>
  <c r="AL477" i="2"/>
  <c r="AK477" i="2"/>
  <c r="AJ477" i="2"/>
  <c r="AE477" i="2"/>
  <c r="AD477" i="2"/>
  <c r="AC477" i="2"/>
  <c r="W477" i="2"/>
  <c r="Y477" i="2" s="1"/>
  <c r="AB477" i="2" s="1"/>
  <c r="T477" i="2"/>
  <c r="S477" i="2"/>
  <c r="V477" i="2" s="1"/>
  <c r="R477" i="2"/>
  <c r="A477" i="2"/>
  <c r="AM476" i="2"/>
  <c r="AL476" i="2"/>
  <c r="AK476" i="2"/>
  <c r="AJ476" i="2"/>
  <c r="AE476" i="2"/>
  <c r="AD476" i="2"/>
  <c r="AC476" i="2"/>
  <c r="AB476" i="2"/>
  <c r="Y476" i="2"/>
  <c r="W476" i="2"/>
  <c r="T476" i="2"/>
  <c r="S476" i="2"/>
  <c r="V476" i="2" s="1"/>
  <c r="R476" i="2"/>
  <c r="A476" i="2"/>
  <c r="AL475" i="2"/>
  <c r="AM475" i="2" s="1"/>
  <c r="AK475" i="2"/>
  <c r="AJ475" i="2"/>
  <c r="AE475" i="2"/>
  <c r="AD475" i="2"/>
  <c r="AC475" i="2"/>
  <c r="R475" i="2"/>
  <c r="O475" i="2"/>
  <c r="T475" i="2" s="1"/>
  <c r="A475" i="2"/>
  <c r="AM474" i="2"/>
  <c r="AL474" i="2"/>
  <c r="AK474" i="2"/>
  <c r="AJ474" i="2"/>
  <c r="AE474" i="2"/>
  <c r="AD474" i="2"/>
  <c r="AC474" i="2"/>
  <c r="W474" i="2"/>
  <c r="Y474" i="2" s="1"/>
  <c r="AB474" i="2" s="1"/>
  <c r="S474" i="2"/>
  <c r="V474" i="2" s="1"/>
  <c r="R474" i="2"/>
  <c r="O474" i="2"/>
  <c r="N474" i="2"/>
  <c r="T474" i="2" s="1"/>
  <c r="A474" i="2"/>
  <c r="AL473" i="2"/>
  <c r="AM473" i="2" s="1"/>
  <c r="AK473" i="2"/>
  <c r="AJ473" i="2"/>
  <c r="AE473" i="2"/>
  <c r="AD473" i="2"/>
  <c r="AC473" i="2"/>
  <c r="W473" i="2"/>
  <c r="Y473" i="2" s="1"/>
  <c r="AB473" i="2" s="1"/>
  <c r="V473" i="2"/>
  <c r="AP473" i="2" s="1"/>
  <c r="S473" i="2"/>
  <c r="R473" i="2"/>
  <c r="O473" i="2"/>
  <c r="T473" i="2" s="1"/>
  <c r="N473" i="2"/>
  <c r="A473" i="2"/>
  <c r="AL472" i="2"/>
  <c r="AM472" i="2" s="1"/>
  <c r="AK472" i="2"/>
  <c r="AJ472" i="2"/>
  <c r="AE472" i="2"/>
  <c r="AD472" i="2"/>
  <c r="AC472" i="2"/>
  <c r="R472" i="2"/>
  <c r="O472" i="2"/>
  <c r="T472" i="2" s="1"/>
  <c r="N472" i="2"/>
  <c r="A472" i="2"/>
  <c r="AL471" i="2"/>
  <c r="AM471" i="2" s="1"/>
  <c r="AK471" i="2"/>
  <c r="AJ471" i="2"/>
  <c r="AE471" i="2"/>
  <c r="AD471" i="2"/>
  <c r="AC471" i="2"/>
  <c r="R471" i="2"/>
  <c r="O471" i="2"/>
  <c r="W471" i="2" s="1"/>
  <c r="N471" i="2"/>
  <c r="T471" i="2" s="1"/>
  <c r="A471" i="2"/>
  <c r="AM470" i="2"/>
  <c r="AL470" i="2"/>
  <c r="AK470" i="2"/>
  <c r="AJ470" i="2"/>
  <c r="AE470" i="2"/>
  <c r="AD470" i="2"/>
  <c r="AC470" i="2"/>
  <c r="W470" i="2"/>
  <c r="Y470" i="2" s="1"/>
  <c r="AB470" i="2" s="1"/>
  <c r="S470" i="2"/>
  <c r="V470" i="2" s="1"/>
  <c r="R470" i="2"/>
  <c r="O470" i="2"/>
  <c r="N470" i="2"/>
  <c r="T470" i="2" s="1"/>
  <c r="A470" i="2"/>
  <c r="AL469" i="2"/>
  <c r="AM469" i="2" s="1"/>
  <c r="AK469" i="2"/>
  <c r="AJ469" i="2"/>
  <c r="AE469" i="2"/>
  <c r="AD469" i="2"/>
  <c r="AC469" i="2"/>
  <c r="W469" i="2"/>
  <c r="Y469" i="2" s="1"/>
  <c r="AB469" i="2" s="1"/>
  <c r="V469" i="2"/>
  <c r="AP469" i="2" s="1"/>
  <c r="S469" i="2"/>
  <c r="R469" i="2"/>
  <c r="O469" i="2"/>
  <c r="T469" i="2" s="1"/>
  <c r="N469" i="2"/>
  <c r="A469" i="2"/>
  <c r="AL468" i="2"/>
  <c r="AM468" i="2" s="1"/>
  <c r="AK468" i="2"/>
  <c r="AJ468" i="2"/>
  <c r="AE468" i="2"/>
  <c r="AD468" i="2"/>
  <c r="AC468" i="2"/>
  <c r="R468" i="2"/>
  <c r="O468" i="2"/>
  <c r="T468" i="2" s="1"/>
  <c r="N468" i="2"/>
  <c r="A468" i="2"/>
  <c r="AL467" i="2"/>
  <c r="AM467" i="2" s="1"/>
  <c r="AK467" i="2"/>
  <c r="AJ467" i="2"/>
  <c r="AE467" i="2"/>
  <c r="AD467" i="2"/>
  <c r="AC467" i="2"/>
  <c r="R467" i="2"/>
  <c r="O467" i="2"/>
  <c r="W467" i="2" s="1"/>
  <c r="N467" i="2"/>
  <c r="T467" i="2" s="1"/>
  <c r="A467" i="2"/>
  <c r="AM466" i="2"/>
  <c r="AL466" i="2"/>
  <c r="AK466" i="2"/>
  <c r="AJ466" i="2"/>
  <c r="AE466" i="2"/>
  <c r="AD466" i="2"/>
  <c r="AC466" i="2"/>
  <c r="W466" i="2"/>
  <c r="Y466" i="2" s="1"/>
  <c r="AB466" i="2" s="1"/>
  <c r="S466" i="2"/>
  <c r="V466" i="2" s="1"/>
  <c r="R466" i="2"/>
  <c r="O466" i="2"/>
  <c r="N466" i="2"/>
  <c r="T466" i="2" s="1"/>
  <c r="A466" i="2"/>
  <c r="AL465" i="2"/>
  <c r="AM465" i="2" s="1"/>
  <c r="AK465" i="2"/>
  <c r="AJ465" i="2"/>
  <c r="AE465" i="2"/>
  <c r="AD465" i="2"/>
  <c r="AC465" i="2"/>
  <c r="W465" i="2"/>
  <c r="Y465" i="2" s="1"/>
  <c r="AB465" i="2" s="1"/>
  <c r="V465" i="2"/>
  <c r="AP465" i="2" s="1"/>
  <c r="T465" i="2"/>
  <c r="S465" i="2"/>
  <c r="R465" i="2"/>
  <c r="A465" i="2"/>
  <c r="AM464" i="2"/>
  <c r="AL464" i="2"/>
  <c r="AK464" i="2"/>
  <c r="AJ464" i="2"/>
  <c r="AE464" i="2"/>
  <c r="AD464" i="2"/>
  <c r="AC464" i="2"/>
  <c r="W464" i="2"/>
  <c r="Y464" i="2" s="1"/>
  <c r="AB464" i="2" s="1"/>
  <c r="T464" i="2"/>
  <c r="S464" i="2"/>
  <c r="V464" i="2" s="1"/>
  <c r="R464" i="2"/>
  <c r="A464" i="2"/>
  <c r="AM463" i="2"/>
  <c r="AL463" i="2"/>
  <c r="AK463" i="2"/>
  <c r="AJ463" i="2"/>
  <c r="AE463" i="2"/>
  <c r="AD463" i="2"/>
  <c r="AC463" i="2"/>
  <c r="R463" i="2"/>
  <c r="O463" i="2"/>
  <c r="W463" i="2" s="1"/>
  <c r="N463" i="2"/>
  <c r="T463" i="2" s="1"/>
  <c r="A463" i="2"/>
  <c r="AM462" i="2"/>
  <c r="AL462" i="2"/>
  <c r="AK462" i="2"/>
  <c r="AJ462" i="2"/>
  <c r="AE462" i="2"/>
  <c r="AD462" i="2"/>
  <c r="AC462" i="2"/>
  <c r="W462" i="2"/>
  <c r="Y462" i="2" s="1"/>
  <c r="AB462" i="2" s="1"/>
  <c r="S462" i="2"/>
  <c r="V462" i="2" s="1"/>
  <c r="R462" i="2"/>
  <c r="O462" i="2"/>
  <c r="N462" i="2"/>
  <c r="T462" i="2" s="1"/>
  <c r="A462" i="2"/>
  <c r="AL461" i="2"/>
  <c r="AM461" i="2" s="1"/>
  <c r="AK461" i="2"/>
  <c r="AJ461" i="2"/>
  <c r="AE461" i="2"/>
  <c r="AD461" i="2"/>
  <c r="AC461" i="2"/>
  <c r="W461" i="2"/>
  <c r="Y461" i="2" s="1"/>
  <c r="AB461" i="2" s="1"/>
  <c r="V461" i="2"/>
  <c r="AP461" i="2" s="1"/>
  <c r="S461" i="2"/>
  <c r="R461" i="2"/>
  <c r="O461" i="2"/>
  <c r="T461" i="2" s="1"/>
  <c r="N461" i="2"/>
  <c r="A461" i="2"/>
  <c r="AL460" i="2"/>
  <c r="AM460" i="2" s="1"/>
  <c r="AK460" i="2"/>
  <c r="AJ460" i="2"/>
  <c r="AE460" i="2"/>
  <c r="AD460" i="2"/>
  <c r="AC460" i="2"/>
  <c r="R460" i="2"/>
  <c r="O460" i="2"/>
  <c r="T460" i="2" s="1"/>
  <c r="N460" i="2"/>
  <c r="A460" i="2"/>
  <c r="AM459" i="2"/>
  <c r="AL459" i="2"/>
  <c r="AK459" i="2"/>
  <c r="AJ459" i="2"/>
  <c r="AE459" i="2"/>
  <c r="AD459" i="2"/>
  <c r="AC459" i="2"/>
  <c r="R459" i="2"/>
  <c r="O459" i="2"/>
  <c r="W459" i="2" s="1"/>
  <c r="N459" i="2"/>
  <c r="T459" i="2" s="1"/>
  <c r="A459" i="2"/>
  <c r="AM458" i="2"/>
  <c r="AL458" i="2"/>
  <c r="AK458" i="2"/>
  <c r="AJ458" i="2"/>
  <c r="AE458" i="2"/>
  <c r="AD458" i="2"/>
  <c r="AC458" i="2"/>
  <c r="W458" i="2"/>
  <c r="Y458" i="2" s="1"/>
  <c r="AB458" i="2" s="1"/>
  <c r="S458" i="2"/>
  <c r="V458" i="2" s="1"/>
  <c r="R458" i="2"/>
  <c r="O458" i="2"/>
  <c r="N458" i="2"/>
  <c r="T458" i="2" s="1"/>
  <c r="A458" i="2"/>
  <c r="AL457" i="2"/>
  <c r="AM457" i="2" s="1"/>
  <c r="AK457" i="2"/>
  <c r="AJ457" i="2"/>
  <c r="AE457" i="2"/>
  <c r="AD457" i="2"/>
  <c r="AC457" i="2"/>
  <c r="W457" i="2"/>
  <c r="Y457" i="2" s="1"/>
  <c r="AB457" i="2" s="1"/>
  <c r="V457" i="2"/>
  <c r="AP457" i="2" s="1"/>
  <c r="S457" i="2"/>
  <c r="R457" i="2"/>
  <c r="O457" i="2"/>
  <c r="T457" i="2" s="1"/>
  <c r="N457" i="2"/>
  <c r="A457" i="2"/>
  <c r="AL456" i="2"/>
  <c r="AM456" i="2" s="1"/>
  <c r="AK456" i="2"/>
  <c r="AJ456" i="2"/>
  <c r="AE456" i="2"/>
  <c r="AD456" i="2"/>
  <c r="AC456" i="2"/>
  <c r="R456" i="2"/>
  <c r="O456" i="2"/>
  <c r="T456" i="2" s="1"/>
  <c r="N456" i="2"/>
  <c r="A456" i="2"/>
  <c r="AM455" i="2"/>
  <c r="AL455" i="2"/>
  <c r="AK455" i="2"/>
  <c r="AJ455" i="2"/>
  <c r="AE455" i="2"/>
  <c r="AD455" i="2"/>
  <c r="AC455" i="2"/>
  <c r="T455" i="2"/>
  <c r="R455" i="2"/>
  <c r="O455" i="2"/>
  <c r="W455" i="2" s="1"/>
  <c r="A455" i="2"/>
  <c r="AL454" i="2"/>
  <c r="AM454" i="2" s="1"/>
  <c r="AK454" i="2"/>
  <c r="AJ454" i="2"/>
  <c r="AE454" i="2"/>
  <c r="AD454" i="2"/>
  <c r="AC454" i="2"/>
  <c r="W454" i="2"/>
  <c r="Y454" i="2" s="1"/>
  <c r="AB454" i="2" s="1"/>
  <c r="V454" i="2"/>
  <c r="AP454" i="2" s="1"/>
  <c r="S454" i="2"/>
  <c r="R454" i="2"/>
  <c r="O454" i="2"/>
  <c r="T454" i="2" s="1"/>
  <c r="N454" i="2"/>
  <c r="A454" i="2"/>
  <c r="AP453" i="2"/>
  <c r="AL453" i="2"/>
  <c r="AM453" i="2" s="1"/>
  <c r="AK453" i="2"/>
  <c r="AJ453" i="2"/>
  <c r="AE453" i="2"/>
  <c r="AD453" i="2"/>
  <c r="AC453" i="2"/>
  <c r="Y453" i="2"/>
  <c r="AB453" i="2" s="1"/>
  <c r="W453" i="2"/>
  <c r="V453" i="2"/>
  <c r="AO453" i="2" s="1"/>
  <c r="T453" i="2"/>
  <c r="S453" i="2"/>
  <c r="R453" i="2"/>
  <c r="A453" i="2"/>
  <c r="AL452" i="2"/>
  <c r="AM452" i="2" s="1"/>
  <c r="AK452" i="2"/>
  <c r="AJ452" i="2"/>
  <c r="AE452" i="2"/>
  <c r="AD452" i="2"/>
  <c r="AC452" i="2"/>
  <c r="W452" i="2"/>
  <c r="Y452" i="2" s="1"/>
  <c r="AB452" i="2" s="1"/>
  <c r="V452" i="2"/>
  <c r="AP452" i="2" s="1"/>
  <c r="T452" i="2"/>
  <c r="S452" i="2"/>
  <c r="R452" i="2"/>
  <c r="A452" i="2"/>
  <c r="AM451" i="2"/>
  <c r="AL451" i="2"/>
  <c r="AK451" i="2"/>
  <c r="AJ451" i="2"/>
  <c r="AE451" i="2"/>
  <c r="AD451" i="2"/>
  <c r="AC451" i="2"/>
  <c r="W451" i="2"/>
  <c r="Y451" i="2" s="1"/>
  <c r="AB451" i="2" s="1"/>
  <c r="T451" i="2"/>
  <c r="S451" i="2"/>
  <c r="V451" i="2" s="1"/>
  <c r="R451" i="2"/>
  <c r="O451" i="2"/>
  <c r="A451" i="2"/>
  <c r="AL450" i="2"/>
  <c r="AM450" i="2" s="1"/>
  <c r="AK450" i="2"/>
  <c r="AJ450" i="2"/>
  <c r="AE450" i="2"/>
  <c r="AD450" i="2"/>
  <c r="AC450" i="2"/>
  <c r="R450" i="2"/>
  <c r="O450" i="2"/>
  <c r="T450" i="2" s="1"/>
  <c r="N450" i="2"/>
  <c r="A450" i="2"/>
  <c r="AL449" i="2"/>
  <c r="AM449" i="2" s="1"/>
  <c r="AK449" i="2"/>
  <c r="AJ449" i="2"/>
  <c r="AE449" i="2"/>
  <c r="AD449" i="2"/>
  <c r="AC449" i="2"/>
  <c r="T449" i="2"/>
  <c r="R449" i="2"/>
  <c r="O449" i="2"/>
  <c r="W449" i="2" s="1"/>
  <c r="A449" i="2"/>
  <c r="AL448" i="2"/>
  <c r="AM448" i="2" s="1"/>
  <c r="AK448" i="2"/>
  <c r="AJ448" i="2"/>
  <c r="AE448" i="2"/>
  <c r="AD448" i="2"/>
  <c r="AC448" i="2"/>
  <c r="W448" i="2"/>
  <c r="Y448" i="2" s="1"/>
  <c r="AB448" i="2" s="1"/>
  <c r="V448" i="2"/>
  <c r="AP448" i="2" s="1"/>
  <c r="S448" i="2"/>
  <c r="R448" i="2"/>
  <c r="O448" i="2"/>
  <c r="T448" i="2" s="1"/>
  <c r="N448" i="2"/>
  <c r="A448" i="2"/>
  <c r="AP447" i="2"/>
  <c r="AL447" i="2"/>
  <c r="AM447" i="2" s="1"/>
  <c r="AK447" i="2"/>
  <c r="AJ447" i="2"/>
  <c r="AE447" i="2"/>
  <c r="AD447" i="2"/>
  <c r="AC447" i="2"/>
  <c r="Y447" i="2"/>
  <c r="AB447" i="2" s="1"/>
  <c r="W447" i="2"/>
  <c r="V447" i="2"/>
  <c r="AO447" i="2" s="1"/>
  <c r="T447" i="2"/>
  <c r="S447" i="2"/>
  <c r="R447" i="2"/>
  <c r="A447" i="2"/>
  <c r="AL446" i="2"/>
  <c r="AM446" i="2" s="1"/>
  <c r="AK446" i="2"/>
  <c r="AJ446" i="2"/>
  <c r="AE446" i="2"/>
  <c r="AD446" i="2"/>
  <c r="AC446" i="2"/>
  <c r="W446" i="2"/>
  <c r="Y446" i="2" s="1"/>
  <c r="AB446" i="2" s="1"/>
  <c r="V446" i="2"/>
  <c r="AP446" i="2" s="1"/>
  <c r="T446" i="2"/>
  <c r="S446" i="2"/>
  <c r="R446" i="2"/>
  <c r="A446" i="2"/>
  <c r="AM445" i="2"/>
  <c r="AL445" i="2"/>
  <c r="AK445" i="2"/>
  <c r="AJ445" i="2"/>
  <c r="AE445" i="2"/>
  <c r="AD445" i="2"/>
  <c r="AC445" i="2"/>
  <c r="W445" i="2"/>
  <c r="Y445" i="2" s="1"/>
  <c r="AB445" i="2" s="1"/>
  <c r="S445" i="2"/>
  <c r="V445" i="2" s="1"/>
  <c r="R445" i="2"/>
  <c r="O445" i="2"/>
  <c r="N445" i="2"/>
  <c r="T445" i="2" s="1"/>
  <c r="A445" i="2"/>
  <c r="AL444" i="2"/>
  <c r="AM444" i="2" s="1"/>
  <c r="AK444" i="2"/>
  <c r="AJ444" i="2"/>
  <c r="AE444" i="2"/>
  <c r="AD444" i="2"/>
  <c r="AC444" i="2"/>
  <c r="W444" i="2"/>
  <c r="Y444" i="2" s="1"/>
  <c r="AB444" i="2" s="1"/>
  <c r="V444" i="2"/>
  <c r="AP444" i="2" s="1"/>
  <c r="S444" i="2"/>
  <c r="R444" i="2"/>
  <c r="O444" i="2"/>
  <c r="N444" i="2"/>
  <c r="T444" i="2" s="1"/>
  <c r="A444" i="2"/>
  <c r="AL443" i="2"/>
  <c r="AM443" i="2" s="1"/>
  <c r="AK443" i="2"/>
  <c r="AJ443" i="2"/>
  <c r="AE443" i="2"/>
  <c r="AD443" i="2"/>
  <c r="AC443" i="2"/>
  <c r="R443" i="2"/>
  <c r="O443" i="2"/>
  <c r="T443" i="2" s="1"/>
  <c r="A443" i="2"/>
  <c r="AM442" i="2"/>
  <c r="AL442" i="2"/>
  <c r="AK442" i="2"/>
  <c r="AJ442" i="2"/>
  <c r="AE442" i="2"/>
  <c r="AD442" i="2"/>
  <c r="AC442" i="2"/>
  <c r="W442" i="2"/>
  <c r="Y442" i="2" s="1"/>
  <c r="AB442" i="2" s="1"/>
  <c r="S442" i="2"/>
  <c r="V442" i="2" s="1"/>
  <c r="R442" i="2"/>
  <c r="O442" i="2"/>
  <c r="N442" i="2"/>
  <c r="T442" i="2" s="1"/>
  <c r="A442" i="2"/>
  <c r="AL441" i="2"/>
  <c r="AM441" i="2" s="1"/>
  <c r="AK441" i="2"/>
  <c r="AJ441" i="2"/>
  <c r="AE441" i="2"/>
  <c r="AD441" i="2"/>
  <c r="AC441" i="2"/>
  <c r="W441" i="2"/>
  <c r="Y441" i="2" s="1"/>
  <c r="AB441" i="2" s="1"/>
  <c r="V441" i="2"/>
  <c r="AP441" i="2" s="1"/>
  <c r="T441" i="2"/>
  <c r="S441" i="2"/>
  <c r="R441" i="2"/>
  <c r="O441" i="2"/>
  <c r="A441" i="2"/>
  <c r="AL440" i="2"/>
  <c r="AM440" i="2" s="1"/>
  <c r="AK440" i="2"/>
  <c r="AJ440" i="2"/>
  <c r="AE440" i="2"/>
  <c r="AD440" i="2"/>
  <c r="AC440" i="2"/>
  <c r="R440" i="2"/>
  <c r="O440" i="2"/>
  <c r="W440" i="2" s="1"/>
  <c r="N440" i="2"/>
  <c r="T440" i="2" s="1"/>
  <c r="A440" i="2"/>
  <c r="AM439" i="2"/>
  <c r="AL439" i="2"/>
  <c r="AK439" i="2"/>
  <c r="AJ439" i="2"/>
  <c r="AE439" i="2"/>
  <c r="AD439" i="2"/>
  <c r="AC439" i="2"/>
  <c r="W439" i="2"/>
  <c r="Y439" i="2" s="1"/>
  <c r="AB439" i="2" s="1"/>
  <c r="S439" i="2"/>
  <c r="V439" i="2" s="1"/>
  <c r="R439" i="2"/>
  <c r="O439" i="2"/>
  <c r="N439" i="2"/>
  <c r="T439" i="2" s="1"/>
  <c r="A439" i="2"/>
  <c r="AL438" i="2"/>
  <c r="AM438" i="2" s="1"/>
  <c r="AK438" i="2"/>
  <c r="AJ438" i="2"/>
  <c r="AE438" i="2"/>
  <c r="AD438" i="2"/>
  <c r="AC438" i="2"/>
  <c r="W438" i="2"/>
  <c r="Y438" i="2" s="1"/>
  <c r="AB438" i="2" s="1"/>
  <c r="V438" i="2"/>
  <c r="AP438" i="2" s="1"/>
  <c r="S438" i="2"/>
  <c r="R438" i="2"/>
  <c r="O438" i="2"/>
  <c r="N438" i="2"/>
  <c r="T438" i="2" s="1"/>
  <c r="A438" i="2"/>
  <c r="AL437" i="2"/>
  <c r="AM437" i="2" s="1"/>
  <c r="AK437" i="2"/>
  <c r="AJ437" i="2"/>
  <c r="AE437" i="2"/>
  <c r="AD437" i="2"/>
  <c r="AC437" i="2"/>
  <c r="R437" i="2"/>
  <c r="O437" i="2"/>
  <c r="T437" i="2" s="1"/>
  <c r="N437" i="2"/>
  <c r="A437" i="2"/>
  <c r="AL436" i="2"/>
  <c r="AM436" i="2" s="1"/>
  <c r="AK436" i="2"/>
  <c r="AJ436" i="2"/>
  <c r="AE436" i="2"/>
  <c r="AD436" i="2"/>
  <c r="AC436" i="2"/>
  <c r="R436" i="2"/>
  <c r="O436" i="2"/>
  <c r="W436" i="2" s="1"/>
  <c r="N436" i="2"/>
  <c r="T436" i="2" s="1"/>
  <c r="A436" i="2"/>
  <c r="AM435" i="2"/>
  <c r="AL435" i="2"/>
  <c r="AK435" i="2"/>
  <c r="AJ435" i="2"/>
  <c r="AE435" i="2"/>
  <c r="AD435" i="2"/>
  <c r="AC435" i="2"/>
  <c r="W435" i="2"/>
  <c r="Y435" i="2" s="1"/>
  <c r="AB435" i="2" s="1"/>
  <c r="S435" i="2"/>
  <c r="V435" i="2" s="1"/>
  <c r="R435" i="2"/>
  <c r="O435" i="2"/>
  <c r="N435" i="2"/>
  <c r="T435" i="2" s="1"/>
  <c r="A435" i="2"/>
  <c r="AL434" i="2"/>
  <c r="AM434" i="2" s="1"/>
  <c r="AK434" i="2"/>
  <c r="AJ434" i="2"/>
  <c r="AE434" i="2"/>
  <c r="AD434" i="2"/>
  <c r="AC434" i="2"/>
  <c r="W434" i="2"/>
  <c r="Y434" i="2" s="1"/>
  <c r="AB434" i="2" s="1"/>
  <c r="V434" i="2"/>
  <c r="AP434" i="2" s="1"/>
  <c r="S434" i="2"/>
  <c r="R434" i="2"/>
  <c r="O434" i="2"/>
  <c r="N434" i="2"/>
  <c r="T434" i="2" s="1"/>
  <c r="A434" i="2"/>
  <c r="AL433" i="2"/>
  <c r="AM433" i="2" s="1"/>
  <c r="AK433" i="2"/>
  <c r="AJ433" i="2"/>
  <c r="AE433" i="2"/>
  <c r="AD433" i="2"/>
  <c r="AC433" i="2"/>
  <c r="R433" i="2"/>
  <c r="O433" i="2"/>
  <c r="T433" i="2" s="1"/>
  <c r="N433" i="2"/>
  <c r="A433" i="2"/>
  <c r="AL432" i="2"/>
  <c r="AM432" i="2" s="1"/>
  <c r="AK432" i="2"/>
  <c r="AJ432" i="2"/>
  <c r="AE432" i="2"/>
  <c r="AD432" i="2"/>
  <c r="AC432" i="2"/>
  <c r="R432" i="2"/>
  <c r="O432" i="2"/>
  <c r="W432" i="2" s="1"/>
  <c r="N432" i="2"/>
  <c r="T432" i="2" s="1"/>
  <c r="A432" i="2"/>
  <c r="AM431" i="2"/>
  <c r="AL431" i="2"/>
  <c r="AK431" i="2"/>
  <c r="AJ431" i="2"/>
  <c r="AE431" i="2"/>
  <c r="AD431" i="2"/>
  <c r="AC431" i="2"/>
  <c r="W431" i="2"/>
  <c r="Y431" i="2" s="1"/>
  <c r="AB431" i="2" s="1"/>
  <c r="S431" i="2"/>
  <c r="V431" i="2" s="1"/>
  <c r="R431" i="2"/>
  <c r="O431" i="2"/>
  <c r="N431" i="2"/>
  <c r="T431" i="2" s="1"/>
  <c r="A431" i="2"/>
  <c r="AL430" i="2"/>
  <c r="AM430" i="2" s="1"/>
  <c r="AK430" i="2"/>
  <c r="AJ430" i="2"/>
  <c r="AE430" i="2"/>
  <c r="AD430" i="2"/>
  <c r="AC430" i="2"/>
  <c r="W430" i="2"/>
  <c r="Y430" i="2" s="1"/>
  <c r="AB430" i="2" s="1"/>
  <c r="V430" i="2"/>
  <c r="AP430" i="2" s="1"/>
  <c r="S430" i="2"/>
  <c r="R430" i="2"/>
  <c r="O430" i="2"/>
  <c r="N430" i="2"/>
  <c r="T430" i="2" s="1"/>
  <c r="A430" i="2"/>
  <c r="AL429" i="2"/>
  <c r="AM429" i="2" s="1"/>
  <c r="AK429" i="2"/>
  <c r="AJ429" i="2"/>
  <c r="AE429" i="2"/>
  <c r="AD429" i="2"/>
  <c r="AC429" i="2"/>
  <c r="R429" i="2"/>
  <c r="O429" i="2"/>
  <c r="T429" i="2" s="1"/>
  <c r="A429" i="2"/>
  <c r="AM428" i="2"/>
  <c r="AL428" i="2"/>
  <c r="AK428" i="2"/>
  <c r="AJ428" i="2"/>
  <c r="AE428" i="2"/>
  <c r="AD428" i="2"/>
  <c r="AC428" i="2"/>
  <c r="W428" i="2"/>
  <c r="Y428" i="2" s="1"/>
  <c r="AB428" i="2" s="1"/>
  <c r="S428" i="2"/>
  <c r="V428" i="2" s="1"/>
  <c r="R428" i="2"/>
  <c r="O428" i="2"/>
  <c r="N428" i="2"/>
  <c r="T428" i="2" s="1"/>
  <c r="A428" i="2"/>
  <c r="AL427" i="2"/>
  <c r="AM427" i="2" s="1"/>
  <c r="AK427" i="2"/>
  <c r="AJ427" i="2"/>
  <c r="AE427" i="2"/>
  <c r="AD427" i="2"/>
  <c r="AC427" i="2"/>
  <c r="W427" i="2"/>
  <c r="Y427" i="2" s="1"/>
  <c r="AB427" i="2" s="1"/>
  <c r="V427" i="2"/>
  <c r="AP427" i="2" s="1"/>
  <c r="T427" i="2"/>
  <c r="S427" i="2"/>
  <c r="R427" i="2"/>
  <c r="A427" i="2"/>
  <c r="AM426" i="2"/>
  <c r="AL426" i="2"/>
  <c r="AK426" i="2"/>
  <c r="AJ426" i="2"/>
  <c r="AE426" i="2"/>
  <c r="AD426" i="2"/>
  <c r="AC426" i="2"/>
  <c r="W426" i="2"/>
  <c r="Y426" i="2" s="1"/>
  <c r="AB426" i="2" s="1"/>
  <c r="T426" i="2"/>
  <c r="S426" i="2"/>
  <c r="V426" i="2" s="1"/>
  <c r="R426" i="2"/>
  <c r="A426" i="2"/>
  <c r="AL425" i="2"/>
  <c r="AM425" i="2" s="1"/>
  <c r="AK425" i="2"/>
  <c r="AJ425" i="2"/>
  <c r="AE425" i="2"/>
  <c r="AD425" i="2"/>
  <c r="AC425" i="2"/>
  <c r="R425" i="2"/>
  <c r="O425" i="2"/>
  <c r="W425" i="2" s="1"/>
  <c r="N425" i="2"/>
  <c r="T425" i="2" s="1"/>
  <c r="A425" i="2"/>
  <c r="AM424" i="2"/>
  <c r="AL424" i="2"/>
  <c r="AK424" i="2"/>
  <c r="AJ424" i="2"/>
  <c r="AE424" i="2"/>
  <c r="AD424" i="2"/>
  <c r="AC424" i="2"/>
  <c r="W424" i="2"/>
  <c r="Y424" i="2" s="1"/>
  <c r="AB424" i="2" s="1"/>
  <c r="S424" i="2"/>
  <c r="V424" i="2" s="1"/>
  <c r="R424" i="2"/>
  <c r="O424" i="2"/>
  <c r="N424" i="2"/>
  <c r="T424" i="2" s="1"/>
  <c r="A424" i="2"/>
  <c r="AL423" i="2"/>
  <c r="AM423" i="2" s="1"/>
  <c r="AK423" i="2"/>
  <c r="AJ423" i="2"/>
  <c r="AE423" i="2"/>
  <c r="AD423" i="2"/>
  <c r="AC423" i="2"/>
  <c r="W423" i="2"/>
  <c r="Y423" i="2" s="1"/>
  <c r="AB423" i="2" s="1"/>
  <c r="V423" i="2"/>
  <c r="AP423" i="2" s="1"/>
  <c r="T423" i="2"/>
  <c r="S423" i="2"/>
  <c r="R423" i="2"/>
  <c r="O423" i="2"/>
  <c r="A423" i="2"/>
  <c r="AL422" i="2"/>
  <c r="AM422" i="2" s="1"/>
  <c r="AK422" i="2"/>
  <c r="AJ422" i="2"/>
  <c r="AE422" i="2"/>
  <c r="AD422" i="2"/>
  <c r="AC422" i="2"/>
  <c r="R422" i="2"/>
  <c r="O422" i="2"/>
  <c r="W422" i="2" s="1"/>
  <c r="N422" i="2"/>
  <c r="T422" i="2" s="1"/>
  <c r="A422" i="2"/>
  <c r="AM421" i="2"/>
  <c r="AL421" i="2"/>
  <c r="AK421" i="2"/>
  <c r="AJ421" i="2"/>
  <c r="AE421" i="2"/>
  <c r="AD421" i="2"/>
  <c r="AC421" i="2"/>
  <c r="W421" i="2"/>
  <c r="Y421" i="2" s="1"/>
  <c r="AB421" i="2" s="1"/>
  <c r="T421" i="2"/>
  <c r="S421" i="2"/>
  <c r="V421" i="2" s="1"/>
  <c r="R421" i="2"/>
  <c r="A421" i="2"/>
  <c r="AM420" i="2"/>
  <c r="AL420" i="2"/>
  <c r="AK420" i="2"/>
  <c r="AJ420" i="2"/>
  <c r="AE420" i="2"/>
  <c r="AD420" i="2"/>
  <c r="AC420" i="2"/>
  <c r="AB420" i="2"/>
  <c r="Y420" i="2"/>
  <c r="W420" i="2"/>
  <c r="T420" i="2"/>
  <c r="S420" i="2"/>
  <c r="V420" i="2" s="1"/>
  <c r="R420" i="2"/>
  <c r="A420" i="2"/>
  <c r="AL419" i="2"/>
  <c r="AM419" i="2" s="1"/>
  <c r="AK419" i="2"/>
  <c r="AJ419" i="2"/>
  <c r="AE419" i="2"/>
  <c r="AD419" i="2"/>
  <c r="AC419" i="2"/>
  <c r="R419" i="2"/>
  <c r="O419" i="2"/>
  <c r="T419" i="2" s="1"/>
  <c r="N419" i="2"/>
  <c r="A419" i="2"/>
  <c r="AM418" i="2"/>
  <c r="AL418" i="2"/>
  <c r="AK418" i="2"/>
  <c r="AJ418" i="2"/>
  <c r="AE418" i="2"/>
  <c r="AD418" i="2"/>
  <c r="AC418" i="2"/>
  <c r="R418" i="2"/>
  <c r="O418" i="2"/>
  <c r="W418" i="2" s="1"/>
  <c r="N418" i="2"/>
  <c r="T418" i="2" s="1"/>
  <c r="A418" i="2"/>
  <c r="AM417" i="2"/>
  <c r="AL417" i="2"/>
  <c r="AK417" i="2"/>
  <c r="AJ417" i="2"/>
  <c r="AE417" i="2"/>
  <c r="AD417" i="2"/>
  <c r="AC417" i="2"/>
  <c r="W417" i="2"/>
  <c r="Y417" i="2" s="1"/>
  <c r="AB417" i="2" s="1"/>
  <c r="T417" i="2"/>
  <c r="S417" i="2"/>
  <c r="V417" i="2" s="1"/>
  <c r="R417" i="2"/>
  <c r="A417" i="2"/>
  <c r="AO416" i="2"/>
  <c r="AM416" i="2"/>
  <c r="AL416" i="2"/>
  <c r="AK416" i="2"/>
  <c r="AJ416" i="2"/>
  <c r="AE416" i="2"/>
  <c r="AD416" i="2"/>
  <c r="AC416" i="2"/>
  <c r="AB416" i="2"/>
  <c r="Y416" i="2"/>
  <c r="W416" i="2"/>
  <c r="T416" i="2"/>
  <c r="S416" i="2"/>
  <c r="V416" i="2" s="1"/>
  <c r="AP416" i="2" s="1"/>
  <c r="R416" i="2"/>
  <c r="A416" i="2"/>
  <c r="AL415" i="2"/>
  <c r="AM415" i="2" s="1"/>
  <c r="AK415" i="2"/>
  <c r="AJ415" i="2"/>
  <c r="AE415" i="2"/>
  <c r="AD415" i="2"/>
  <c r="AC415" i="2"/>
  <c r="R415" i="2"/>
  <c r="O415" i="2"/>
  <c r="N415" i="2"/>
  <c r="A415" i="2"/>
  <c r="AM414" i="2"/>
  <c r="AL414" i="2"/>
  <c r="AK414" i="2"/>
  <c r="AJ414" i="2"/>
  <c r="AE414" i="2"/>
  <c r="AD414" i="2"/>
  <c r="AC414" i="2"/>
  <c r="R414" i="2"/>
  <c r="O414" i="2"/>
  <c r="W414" i="2" s="1"/>
  <c r="N414" i="2"/>
  <c r="T414" i="2" s="1"/>
  <c r="A414" i="2"/>
  <c r="AM413" i="2"/>
  <c r="AL413" i="2"/>
  <c r="AK413" i="2"/>
  <c r="AJ413" i="2"/>
  <c r="AE413" i="2"/>
  <c r="AD413" i="2"/>
  <c r="AC413" i="2"/>
  <c r="W413" i="2"/>
  <c r="Y413" i="2" s="1"/>
  <c r="AB413" i="2" s="1"/>
  <c r="T413" i="2"/>
  <c r="S413" i="2"/>
  <c r="V413" i="2" s="1"/>
  <c r="R413" i="2"/>
  <c r="A413" i="2"/>
  <c r="AM412" i="2"/>
  <c r="AL412" i="2"/>
  <c r="AK412" i="2"/>
  <c r="AJ412" i="2"/>
  <c r="AE412" i="2"/>
  <c r="AD412" i="2"/>
  <c r="AC412" i="2"/>
  <c r="AB412" i="2"/>
  <c r="Y412" i="2"/>
  <c r="W412" i="2"/>
  <c r="T412" i="2"/>
  <c r="S412" i="2"/>
  <c r="V412" i="2" s="1"/>
  <c r="AP412" i="2" s="1"/>
  <c r="R412" i="2"/>
  <c r="A412" i="2"/>
  <c r="AL411" i="2"/>
  <c r="AM411" i="2" s="1"/>
  <c r="AK411" i="2"/>
  <c r="AJ411" i="2"/>
  <c r="AE411" i="2"/>
  <c r="AD411" i="2"/>
  <c r="AC411" i="2"/>
  <c r="R411" i="2"/>
  <c r="O411" i="2"/>
  <c r="A411" i="2"/>
  <c r="AM410" i="2"/>
  <c r="AL410" i="2"/>
  <c r="AK410" i="2"/>
  <c r="AJ410" i="2"/>
  <c r="AE410" i="2"/>
  <c r="AD410" i="2"/>
  <c r="AC410" i="2"/>
  <c r="W410" i="2"/>
  <c r="Y410" i="2" s="1"/>
  <c r="AB410" i="2" s="1"/>
  <c r="S410" i="2"/>
  <c r="V410" i="2" s="1"/>
  <c r="R410" i="2"/>
  <c r="O410" i="2"/>
  <c r="N410" i="2"/>
  <c r="T410" i="2" s="1"/>
  <c r="A410" i="2"/>
  <c r="AL409" i="2"/>
  <c r="AM409" i="2" s="1"/>
  <c r="AK409" i="2"/>
  <c r="AJ409" i="2"/>
  <c r="AE409" i="2"/>
  <c r="AD409" i="2"/>
  <c r="AC409" i="2"/>
  <c r="W409" i="2"/>
  <c r="Y409" i="2" s="1"/>
  <c r="AB409" i="2" s="1"/>
  <c r="V409" i="2"/>
  <c r="S409" i="2"/>
  <c r="R409" i="2"/>
  <c r="O409" i="2"/>
  <c r="T409" i="2" s="1"/>
  <c r="N409" i="2"/>
  <c r="A409" i="2"/>
  <c r="AL408" i="2"/>
  <c r="AM408" i="2" s="1"/>
  <c r="AK408" i="2"/>
  <c r="AJ408" i="2"/>
  <c r="AE408" i="2"/>
  <c r="AD408" i="2"/>
  <c r="AC408" i="2"/>
  <c r="R408" i="2"/>
  <c r="O408" i="2"/>
  <c r="N408" i="2"/>
  <c r="A408" i="2"/>
  <c r="AM407" i="2"/>
  <c r="AL407" i="2"/>
  <c r="AK407" i="2"/>
  <c r="AJ407" i="2"/>
  <c r="AE407" i="2"/>
  <c r="AD407" i="2"/>
  <c r="AC407" i="2"/>
  <c r="T407" i="2"/>
  <c r="R407" i="2"/>
  <c r="O407" i="2"/>
  <c r="W407" i="2" s="1"/>
  <c r="A407" i="2"/>
  <c r="AL406" i="2"/>
  <c r="AM406" i="2" s="1"/>
  <c r="AK406" i="2"/>
  <c r="AJ406" i="2"/>
  <c r="AE406" i="2"/>
  <c r="AD406" i="2"/>
  <c r="AC406" i="2"/>
  <c r="W406" i="2"/>
  <c r="Y406" i="2" s="1"/>
  <c r="AB406" i="2" s="1"/>
  <c r="V406" i="2"/>
  <c r="S406" i="2"/>
  <c r="R406" i="2"/>
  <c r="O406" i="2"/>
  <c r="T406" i="2" s="1"/>
  <c r="N406" i="2"/>
  <c r="A406" i="2"/>
  <c r="AP405" i="2"/>
  <c r="AL405" i="2"/>
  <c r="AM405" i="2" s="1"/>
  <c r="AK405" i="2"/>
  <c r="AJ405" i="2"/>
  <c r="AE405" i="2"/>
  <c r="AD405" i="2"/>
  <c r="AC405" i="2"/>
  <c r="Y405" i="2"/>
  <c r="AB405" i="2" s="1"/>
  <c r="W405" i="2"/>
  <c r="V405" i="2"/>
  <c r="T405" i="2"/>
  <c r="S405" i="2"/>
  <c r="R405" i="2"/>
  <c r="A405" i="2"/>
  <c r="AL404" i="2"/>
  <c r="AM404" i="2" s="1"/>
  <c r="AK404" i="2"/>
  <c r="AJ404" i="2"/>
  <c r="AE404" i="2"/>
  <c r="AD404" i="2"/>
  <c r="AC404" i="2"/>
  <c r="W404" i="2"/>
  <c r="T404" i="2"/>
  <c r="S404" i="2"/>
  <c r="V404" i="2" s="1"/>
  <c r="R404" i="2"/>
  <c r="A404" i="2"/>
  <c r="AM403" i="2"/>
  <c r="AL403" i="2"/>
  <c r="AK403" i="2"/>
  <c r="AJ403" i="2"/>
  <c r="AE403" i="2"/>
  <c r="AD403" i="2"/>
  <c r="AC403" i="2"/>
  <c r="W403" i="2"/>
  <c r="T403" i="2"/>
  <c r="S403" i="2"/>
  <c r="V403" i="2" s="1"/>
  <c r="AP403" i="2" s="1"/>
  <c r="R403" i="2"/>
  <c r="O403" i="2"/>
  <c r="A403" i="2"/>
  <c r="AL402" i="2"/>
  <c r="AM402" i="2" s="1"/>
  <c r="AK402" i="2"/>
  <c r="AJ402" i="2"/>
  <c r="AE402" i="2"/>
  <c r="AD402" i="2"/>
  <c r="AC402" i="2"/>
  <c r="R402" i="2"/>
  <c r="O402" i="2"/>
  <c r="N402" i="2"/>
  <c r="A402" i="2"/>
  <c r="AM401" i="2"/>
  <c r="AL401" i="2"/>
  <c r="AK401" i="2"/>
  <c r="AJ401" i="2"/>
  <c r="AE401" i="2"/>
  <c r="AD401" i="2"/>
  <c r="AC401" i="2"/>
  <c r="T401" i="2"/>
  <c r="R401" i="2"/>
  <c r="O401" i="2"/>
  <c r="A401" i="2"/>
  <c r="AM400" i="2"/>
  <c r="AL400" i="2"/>
  <c r="AK400" i="2"/>
  <c r="AJ400" i="2"/>
  <c r="AE400" i="2"/>
  <c r="AD400" i="2"/>
  <c r="AC400" i="2"/>
  <c r="W400" i="2"/>
  <c r="Y400" i="2" s="1"/>
  <c r="AB400" i="2" s="1"/>
  <c r="V400" i="2"/>
  <c r="S400" i="2"/>
  <c r="R400" i="2"/>
  <c r="O400" i="2"/>
  <c r="T400" i="2" s="1"/>
  <c r="N400" i="2"/>
  <c r="A400" i="2"/>
  <c r="AP399" i="2"/>
  <c r="AL399" i="2"/>
  <c r="AM399" i="2" s="1"/>
  <c r="AK399" i="2"/>
  <c r="AJ399" i="2"/>
  <c r="AE399" i="2"/>
  <c r="AD399" i="2"/>
  <c r="AC399" i="2"/>
  <c r="Y399" i="2"/>
  <c r="AB399" i="2" s="1"/>
  <c r="W399" i="2"/>
  <c r="V399" i="2"/>
  <c r="AO399" i="2" s="1"/>
  <c r="T399" i="2"/>
  <c r="S399" i="2"/>
  <c r="R399" i="2"/>
  <c r="A399" i="2"/>
  <c r="AM398" i="2"/>
  <c r="AL398" i="2"/>
  <c r="AK398" i="2"/>
  <c r="AJ398" i="2"/>
  <c r="AE398" i="2"/>
  <c r="AD398" i="2"/>
  <c r="AC398" i="2"/>
  <c r="W398" i="2"/>
  <c r="T398" i="2"/>
  <c r="S398" i="2"/>
  <c r="V398" i="2" s="1"/>
  <c r="R398" i="2"/>
  <c r="A398" i="2"/>
  <c r="AM397" i="2"/>
  <c r="AL397" i="2"/>
  <c r="AK397" i="2"/>
  <c r="AJ397" i="2"/>
  <c r="AE397" i="2"/>
  <c r="AD397" i="2"/>
  <c r="AC397" i="2"/>
  <c r="W397" i="2"/>
  <c r="T397" i="2"/>
  <c r="S397" i="2"/>
  <c r="V397" i="2" s="1"/>
  <c r="AP397" i="2" s="1"/>
  <c r="R397" i="2"/>
  <c r="O397" i="2"/>
  <c r="A397" i="2"/>
  <c r="AL396" i="2"/>
  <c r="AM396" i="2" s="1"/>
  <c r="AK396" i="2"/>
  <c r="AJ396" i="2"/>
  <c r="AE396" i="2"/>
  <c r="AD396" i="2"/>
  <c r="AC396" i="2"/>
  <c r="R396" i="2"/>
  <c r="O396" i="2"/>
  <c r="N396" i="2"/>
  <c r="A396" i="2"/>
  <c r="AL395" i="2"/>
  <c r="AM395" i="2" s="1"/>
  <c r="AK395" i="2"/>
  <c r="AJ395" i="2"/>
  <c r="AE395" i="2"/>
  <c r="AD395" i="2"/>
  <c r="AC395" i="2"/>
  <c r="R395" i="2"/>
  <c r="O395" i="2"/>
  <c r="T395" i="2" s="1"/>
  <c r="N395" i="2"/>
  <c r="A395" i="2"/>
  <c r="AM394" i="2"/>
  <c r="AL394" i="2"/>
  <c r="AK394" i="2"/>
  <c r="AJ394" i="2"/>
  <c r="AE394" i="2"/>
  <c r="AD394" i="2"/>
  <c r="AC394" i="2"/>
  <c r="W394" i="2"/>
  <c r="R394" i="2"/>
  <c r="O394" i="2"/>
  <c r="N394" i="2"/>
  <c r="T394" i="2" s="1"/>
  <c r="A394" i="2"/>
  <c r="AM393" i="2"/>
  <c r="AL393" i="2"/>
  <c r="AK393" i="2"/>
  <c r="AJ393" i="2"/>
  <c r="AE393" i="2"/>
  <c r="AD393" i="2"/>
  <c r="AC393" i="2"/>
  <c r="W393" i="2"/>
  <c r="V393" i="2"/>
  <c r="S393" i="2"/>
  <c r="R393" i="2"/>
  <c r="O393" i="2"/>
  <c r="T393" i="2" s="1"/>
  <c r="A393" i="2"/>
  <c r="AM392" i="2"/>
  <c r="AL392" i="2"/>
  <c r="AK392" i="2"/>
  <c r="AJ392" i="2"/>
  <c r="AE392" i="2"/>
  <c r="AD392" i="2"/>
  <c r="AC392" i="2"/>
  <c r="R392" i="2"/>
  <c r="O392" i="2"/>
  <c r="T392" i="2" s="1"/>
  <c r="N392" i="2"/>
  <c r="A392" i="2"/>
  <c r="AM391" i="2"/>
  <c r="AL391" i="2"/>
  <c r="AK391" i="2"/>
  <c r="AJ391" i="2"/>
  <c r="AE391" i="2"/>
  <c r="AD391" i="2"/>
  <c r="AC391" i="2"/>
  <c r="W391" i="2"/>
  <c r="T391" i="2"/>
  <c r="S391" i="2"/>
  <c r="V391" i="2" s="1"/>
  <c r="AP391" i="2" s="1"/>
  <c r="R391" i="2"/>
  <c r="A391" i="2"/>
  <c r="AO390" i="2"/>
  <c r="AM390" i="2"/>
  <c r="AL390" i="2"/>
  <c r="AK390" i="2"/>
  <c r="AJ390" i="2"/>
  <c r="AE390" i="2"/>
  <c r="AD390" i="2"/>
  <c r="AC390" i="2"/>
  <c r="W390" i="2"/>
  <c r="Y390" i="2" s="1"/>
  <c r="AB390" i="2" s="1"/>
  <c r="T390" i="2"/>
  <c r="S390" i="2"/>
  <c r="V390" i="2" s="1"/>
  <c r="AP390" i="2" s="1"/>
  <c r="R390" i="2"/>
  <c r="A390" i="2"/>
  <c r="AL389" i="2"/>
  <c r="AM389" i="2" s="1"/>
  <c r="AK389" i="2"/>
  <c r="AJ389" i="2"/>
  <c r="AE389" i="2"/>
  <c r="AD389" i="2"/>
  <c r="AC389" i="2"/>
  <c r="T389" i="2"/>
  <c r="R389" i="2"/>
  <c r="O389" i="2"/>
  <c r="A389" i="2"/>
  <c r="AM388" i="2"/>
  <c r="AL388" i="2"/>
  <c r="AK388" i="2"/>
  <c r="AJ388" i="2"/>
  <c r="AE388" i="2"/>
  <c r="AD388" i="2"/>
  <c r="AC388" i="2"/>
  <c r="W388" i="2"/>
  <c r="R388" i="2"/>
  <c r="O388" i="2"/>
  <c r="N388" i="2"/>
  <c r="T388" i="2" s="1"/>
  <c r="A388" i="2"/>
  <c r="AM387" i="2"/>
  <c r="AL387" i="2"/>
  <c r="AK387" i="2"/>
  <c r="AJ387" i="2"/>
  <c r="AE387" i="2"/>
  <c r="AD387" i="2"/>
  <c r="AC387" i="2"/>
  <c r="R387" i="2"/>
  <c r="O387" i="2"/>
  <c r="T387" i="2" s="1"/>
  <c r="N387" i="2"/>
  <c r="A387" i="2"/>
  <c r="AL386" i="2"/>
  <c r="AM386" i="2" s="1"/>
  <c r="AK386" i="2"/>
  <c r="AJ386" i="2"/>
  <c r="AE386" i="2"/>
  <c r="AD386" i="2"/>
  <c r="AC386" i="2"/>
  <c r="R386" i="2"/>
  <c r="O386" i="2"/>
  <c r="N386" i="2"/>
  <c r="T386" i="2" s="1"/>
  <c r="A386" i="2"/>
  <c r="AM385" i="2"/>
  <c r="AL385" i="2"/>
  <c r="AK385" i="2"/>
  <c r="AJ385" i="2"/>
  <c r="AE385" i="2"/>
  <c r="AD385" i="2"/>
  <c r="AC385" i="2"/>
  <c r="Y385" i="2"/>
  <c r="AB385" i="2" s="1"/>
  <c r="W385" i="2"/>
  <c r="T385" i="2"/>
  <c r="S385" i="2"/>
  <c r="V385" i="2" s="1"/>
  <c r="AP385" i="2" s="1"/>
  <c r="R385" i="2"/>
  <c r="A385" i="2"/>
  <c r="AL384" i="2"/>
  <c r="AM384" i="2" s="1"/>
  <c r="AK384" i="2"/>
  <c r="AJ384" i="2"/>
  <c r="AE384" i="2"/>
  <c r="AD384" i="2"/>
  <c r="AC384" i="2"/>
  <c r="Y384" i="2"/>
  <c r="AB384" i="2" s="1"/>
  <c r="W384" i="2"/>
  <c r="V384" i="2"/>
  <c r="AP384" i="2" s="1"/>
  <c r="T384" i="2"/>
  <c r="S384" i="2"/>
  <c r="R384" i="2"/>
  <c r="A384" i="2"/>
  <c r="AM383" i="2"/>
  <c r="AL383" i="2"/>
  <c r="AK383" i="2"/>
  <c r="AJ383" i="2"/>
  <c r="AE383" i="2"/>
  <c r="AD383" i="2"/>
  <c r="AC383" i="2"/>
  <c r="W383" i="2"/>
  <c r="Y383" i="2" s="1"/>
  <c r="AB383" i="2" s="1"/>
  <c r="S383" i="2"/>
  <c r="V383" i="2" s="1"/>
  <c r="R383" i="2"/>
  <c r="O383" i="2"/>
  <c r="T383" i="2" s="1"/>
  <c r="A383" i="2"/>
  <c r="AM382" i="2"/>
  <c r="AL382" i="2"/>
  <c r="AK382" i="2"/>
  <c r="AJ382" i="2"/>
  <c r="AE382" i="2"/>
  <c r="AD382" i="2"/>
  <c r="AC382" i="2"/>
  <c r="R382" i="2"/>
  <c r="O382" i="2"/>
  <c r="T382" i="2" s="1"/>
  <c r="N382" i="2"/>
  <c r="A382" i="2"/>
  <c r="AM381" i="2"/>
  <c r="AL381" i="2"/>
  <c r="AK381" i="2"/>
  <c r="AJ381" i="2"/>
  <c r="AE381" i="2"/>
  <c r="AD381" i="2"/>
  <c r="AC381" i="2"/>
  <c r="W381" i="2"/>
  <c r="R381" i="2"/>
  <c r="O381" i="2"/>
  <c r="N381" i="2"/>
  <c r="T381" i="2" s="1"/>
  <c r="A381" i="2"/>
  <c r="AM380" i="2"/>
  <c r="AL380" i="2"/>
  <c r="AK380" i="2"/>
  <c r="AJ380" i="2"/>
  <c r="AE380" i="2"/>
  <c r="AD380" i="2"/>
  <c r="AC380" i="2"/>
  <c r="W380" i="2"/>
  <c r="Y380" i="2" s="1"/>
  <c r="AB380" i="2" s="1"/>
  <c r="S380" i="2"/>
  <c r="V380" i="2" s="1"/>
  <c r="R380" i="2"/>
  <c r="O380" i="2"/>
  <c r="T380" i="2" s="1"/>
  <c r="N380" i="2"/>
  <c r="A380" i="2"/>
  <c r="AL379" i="2"/>
  <c r="AM379" i="2" s="1"/>
  <c r="AK379" i="2"/>
  <c r="AJ379" i="2"/>
  <c r="AE379" i="2"/>
  <c r="AD379" i="2"/>
  <c r="AC379" i="2"/>
  <c r="R379" i="2"/>
  <c r="O379" i="2"/>
  <c r="T379" i="2" s="1"/>
  <c r="A379" i="2"/>
  <c r="AM378" i="2"/>
  <c r="AL378" i="2"/>
  <c r="AK378" i="2"/>
  <c r="AJ378" i="2"/>
  <c r="AE378" i="2"/>
  <c r="AD378" i="2"/>
  <c r="AC378" i="2"/>
  <c r="W378" i="2"/>
  <c r="R378" i="2"/>
  <c r="O378" i="2"/>
  <c r="N378" i="2"/>
  <c r="T378" i="2" s="1"/>
  <c r="A378" i="2"/>
  <c r="AM377" i="2"/>
  <c r="AL377" i="2"/>
  <c r="AK377" i="2"/>
  <c r="AJ377" i="2"/>
  <c r="AE377" i="2"/>
  <c r="AD377" i="2"/>
  <c r="AC377" i="2"/>
  <c r="W377" i="2"/>
  <c r="Y377" i="2" s="1"/>
  <c r="AB377" i="2" s="1"/>
  <c r="S377" i="2"/>
  <c r="V377" i="2" s="1"/>
  <c r="R377" i="2"/>
  <c r="O377" i="2"/>
  <c r="T377" i="2" s="1"/>
  <c r="A377" i="2"/>
  <c r="AM376" i="2"/>
  <c r="AL376" i="2"/>
  <c r="AK376" i="2"/>
  <c r="AJ376" i="2"/>
  <c r="AE376" i="2"/>
  <c r="AD376" i="2"/>
  <c r="AC376" i="2"/>
  <c r="R376" i="2"/>
  <c r="O376" i="2"/>
  <c r="T376" i="2" s="1"/>
  <c r="N376" i="2"/>
  <c r="A376" i="2"/>
  <c r="AM375" i="2"/>
  <c r="AL375" i="2"/>
  <c r="AK375" i="2"/>
  <c r="AJ375" i="2"/>
  <c r="AE375" i="2"/>
  <c r="AD375" i="2"/>
  <c r="AC375" i="2"/>
  <c r="W375" i="2"/>
  <c r="Y375" i="2" s="1"/>
  <c r="AB375" i="2" s="1"/>
  <c r="T375" i="2"/>
  <c r="S375" i="2"/>
  <c r="V375" i="2" s="1"/>
  <c r="R375" i="2"/>
  <c r="O375" i="2"/>
  <c r="A375" i="2"/>
  <c r="AL374" i="2"/>
  <c r="AM374" i="2" s="1"/>
  <c r="AK374" i="2"/>
  <c r="AJ374" i="2"/>
  <c r="AE374" i="2"/>
  <c r="AD374" i="2"/>
  <c r="AC374" i="2"/>
  <c r="R374" i="2"/>
  <c r="O374" i="2"/>
  <c r="T374" i="2" s="1"/>
  <c r="N374" i="2"/>
  <c r="A374" i="2"/>
  <c r="AM373" i="2"/>
  <c r="AL373" i="2"/>
  <c r="AK373" i="2"/>
  <c r="AJ373" i="2"/>
  <c r="AE373" i="2"/>
  <c r="AD373" i="2"/>
  <c r="AC373" i="2"/>
  <c r="Y373" i="2"/>
  <c r="AB373" i="2" s="1"/>
  <c r="W373" i="2"/>
  <c r="T373" i="2"/>
  <c r="S373" i="2"/>
  <c r="V373" i="2" s="1"/>
  <c r="R373" i="2"/>
  <c r="A373" i="2"/>
  <c r="AL372" i="2"/>
  <c r="AM372" i="2" s="1"/>
  <c r="AK372" i="2"/>
  <c r="AJ372" i="2"/>
  <c r="AE372" i="2"/>
  <c r="AD372" i="2"/>
  <c r="AC372" i="2"/>
  <c r="Y372" i="2"/>
  <c r="AB372" i="2" s="1"/>
  <c r="W372" i="2"/>
  <c r="V372" i="2"/>
  <c r="AP372" i="2" s="1"/>
  <c r="T372" i="2"/>
  <c r="S372" i="2"/>
  <c r="R372" i="2"/>
  <c r="A372" i="2"/>
  <c r="AM371" i="2"/>
  <c r="AL371" i="2"/>
  <c r="AK371" i="2"/>
  <c r="AJ371" i="2"/>
  <c r="AE371" i="2"/>
  <c r="AD371" i="2"/>
  <c r="AC371" i="2"/>
  <c r="W371" i="2"/>
  <c r="Y371" i="2" s="1"/>
  <c r="AB371" i="2" s="1"/>
  <c r="S371" i="2"/>
  <c r="V371" i="2" s="1"/>
  <c r="R371" i="2"/>
  <c r="P371" i="2"/>
  <c r="O371" i="2"/>
  <c r="T371" i="2" s="1"/>
  <c r="A371" i="2"/>
  <c r="AL370" i="2"/>
  <c r="AM370" i="2" s="1"/>
  <c r="AK370" i="2"/>
  <c r="AJ370" i="2"/>
  <c r="AE370" i="2"/>
  <c r="AD370" i="2"/>
  <c r="AC370" i="2"/>
  <c r="R370" i="2"/>
  <c r="O370" i="2"/>
  <c r="T370" i="2" s="1"/>
  <c r="N370" i="2"/>
  <c r="A370" i="2"/>
  <c r="AL369" i="2"/>
  <c r="AM369" i="2" s="1"/>
  <c r="AK369" i="2"/>
  <c r="AJ369" i="2"/>
  <c r="AE369" i="2"/>
  <c r="AD369" i="2"/>
  <c r="AC369" i="2"/>
  <c r="R369" i="2"/>
  <c r="O369" i="2"/>
  <c r="T369" i="2" s="1"/>
  <c r="A369" i="2"/>
  <c r="AM368" i="2"/>
  <c r="AL368" i="2"/>
  <c r="AK368" i="2"/>
  <c r="AJ368" i="2"/>
  <c r="AE368" i="2"/>
  <c r="AD368" i="2"/>
  <c r="AC368" i="2"/>
  <c r="W368" i="2"/>
  <c r="Y368" i="2" s="1"/>
  <c r="AB368" i="2" s="1"/>
  <c r="S368" i="2"/>
  <c r="V368" i="2" s="1"/>
  <c r="R368" i="2"/>
  <c r="O368" i="2"/>
  <c r="T368" i="2" s="1"/>
  <c r="N368" i="2"/>
  <c r="A368" i="2"/>
  <c r="AL367" i="2"/>
  <c r="AM367" i="2" s="1"/>
  <c r="AK367" i="2"/>
  <c r="AJ367" i="2"/>
  <c r="AE367" i="2"/>
  <c r="AD367" i="2"/>
  <c r="AC367" i="2"/>
  <c r="R367" i="2"/>
  <c r="O367" i="2"/>
  <c r="T367" i="2" s="1"/>
  <c r="A367" i="2"/>
  <c r="AM366" i="2"/>
  <c r="AL366" i="2"/>
  <c r="AK366" i="2"/>
  <c r="AJ366" i="2"/>
  <c r="AE366" i="2"/>
  <c r="AD366" i="2"/>
  <c r="AC366" i="2"/>
  <c r="W366" i="2"/>
  <c r="R366" i="2"/>
  <c r="O366" i="2"/>
  <c r="N366" i="2"/>
  <c r="T366" i="2" s="1"/>
  <c r="A366" i="2"/>
  <c r="AM365" i="2"/>
  <c r="AL365" i="2"/>
  <c r="AK365" i="2"/>
  <c r="AJ365" i="2"/>
  <c r="AE365" i="2"/>
  <c r="AD365" i="2"/>
  <c r="AC365" i="2"/>
  <c r="W365" i="2"/>
  <c r="Y365" i="2" s="1"/>
  <c r="AB365" i="2" s="1"/>
  <c r="S365" i="2"/>
  <c r="V365" i="2" s="1"/>
  <c r="R365" i="2"/>
  <c r="O365" i="2"/>
  <c r="N365" i="2"/>
  <c r="T365" i="2" s="1"/>
  <c r="A365" i="2"/>
  <c r="AL364" i="2"/>
  <c r="AM364" i="2" s="1"/>
  <c r="AK364" i="2"/>
  <c r="AJ364" i="2"/>
  <c r="AE364" i="2"/>
  <c r="AD364" i="2"/>
  <c r="AC364" i="2"/>
  <c r="R364" i="2"/>
  <c r="O364" i="2"/>
  <c r="T364" i="2" s="1"/>
  <c r="N364" i="2"/>
  <c r="A364" i="2"/>
  <c r="AL363" i="2"/>
  <c r="AM363" i="2" s="1"/>
  <c r="AK363" i="2"/>
  <c r="AJ363" i="2"/>
  <c r="AE363" i="2"/>
  <c r="AD363" i="2"/>
  <c r="AC363" i="2"/>
  <c r="R363" i="2"/>
  <c r="O363" i="2"/>
  <c r="T363" i="2" s="1"/>
  <c r="N363" i="2"/>
  <c r="A363" i="2"/>
  <c r="AM362" i="2"/>
  <c r="AL362" i="2"/>
  <c r="AK362" i="2"/>
  <c r="AJ362" i="2"/>
  <c r="AE362" i="2"/>
  <c r="AD362" i="2"/>
  <c r="AC362" i="2"/>
  <c r="W362" i="2"/>
  <c r="R362" i="2"/>
  <c r="O362" i="2"/>
  <c r="N362" i="2"/>
  <c r="T362" i="2" s="1"/>
  <c r="A362" i="2"/>
  <c r="AM361" i="2"/>
  <c r="AL361" i="2"/>
  <c r="AK361" i="2"/>
  <c r="AJ361" i="2"/>
  <c r="AE361" i="2"/>
  <c r="AD361" i="2"/>
  <c r="AC361" i="2"/>
  <c r="W361" i="2"/>
  <c r="Y361" i="2" s="1"/>
  <c r="AB361" i="2" s="1"/>
  <c r="S361" i="2"/>
  <c r="V361" i="2" s="1"/>
  <c r="R361" i="2"/>
  <c r="O361" i="2"/>
  <c r="N361" i="2"/>
  <c r="T361" i="2" s="1"/>
  <c r="A361" i="2"/>
  <c r="AL360" i="2"/>
  <c r="AM360" i="2" s="1"/>
  <c r="AK360" i="2"/>
  <c r="AJ360" i="2"/>
  <c r="AE360" i="2"/>
  <c r="AD360" i="2"/>
  <c r="AC360" i="2"/>
  <c r="R360" i="2"/>
  <c r="O360" i="2"/>
  <c r="T360" i="2" s="1"/>
  <c r="N360" i="2"/>
  <c r="A360" i="2"/>
  <c r="AL359" i="2"/>
  <c r="AM359" i="2" s="1"/>
  <c r="AK359" i="2"/>
  <c r="AJ359" i="2"/>
  <c r="AE359" i="2"/>
  <c r="AD359" i="2"/>
  <c r="AC359" i="2"/>
  <c r="R359" i="2"/>
  <c r="O359" i="2"/>
  <c r="T359" i="2" s="1"/>
  <c r="N359" i="2"/>
  <c r="A359" i="2"/>
  <c r="AM358" i="2"/>
  <c r="AL358" i="2"/>
  <c r="AK358" i="2"/>
  <c r="AJ358" i="2"/>
  <c r="AE358" i="2"/>
  <c r="AD358" i="2"/>
  <c r="AC358" i="2"/>
  <c r="W358" i="2"/>
  <c r="R358" i="2"/>
  <c r="O358" i="2"/>
  <c r="N358" i="2"/>
  <c r="T358" i="2" s="1"/>
  <c r="A358" i="2"/>
  <c r="AM357" i="2"/>
  <c r="AL357" i="2"/>
  <c r="AK357" i="2"/>
  <c r="AJ357" i="2"/>
  <c r="AE357" i="2"/>
  <c r="AD357" i="2"/>
  <c r="AC357" i="2"/>
  <c r="W357" i="2"/>
  <c r="R357" i="2"/>
  <c r="P357" i="2"/>
  <c r="O357" i="2"/>
  <c r="T357" i="2" s="1"/>
  <c r="N357" i="2"/>
  <c r="S357" i="2" s="1"/>
  <c r="V357" i="2" s="1"/>
  <c r="A357" i="2"/>
  <c r="AM356" i="2"/>
  <c r="AL356" i="2"/>
  <c r="AK356" i="2"/>
  <c r="AJ356" i="2"/>
  <c r="AE356" i="2"/>
  <c r="AD356" i="2"/>
  <c r="AC356" i="2"/>
  <c r="W356" i="2"/>
  <c r="Y356" i="2" s="1"/>
  <c r="AB356" i="2" s="1"/>
  <c r="S356" i="2"/>
  <c r="V356" i="2" s="1"/>
  <c r="R356" i="2"/>
  <c r="O356" i="2"/>
  <c r="N356" i="2"/>
  <c r="T356" i="2" s="1"/>
  <c r="A356" i="2"/>
  <c r="AL355" i="2"/>
  <c r="AM355" i="2" s="1"/>
  <c r="AK355" i="2"/>
  <c r="AJ355" i="2"/>
  <c r="AE355" i="2"/>
  <c r="AD355" i="2"/>
  <c r="AC355" i="2"/>
  <c r="R355" i="2"/>
  <c r="O355" i="2"/>
  <c r="T355" i="2" s="1"/>
  <c r="N355" i="2"/>
  <c r="A355" i="2"/>
  <c r="AL354" i="2"/>
  <c r="AM354" i="2" s="1"/>
  <c r="AK354" i="2"/>
  <c r="AJ354" i="2"/>
  <c r="AE354" i="2"/>
  <c r="AD354" i="2"/>
  <c r="AC354" i="2"/>
  <c r="R354" i="2"/>
  <c r="O354" i="2"/>
  <c r="T354" i="2" s="1"/>
  <c r="N354" i="2"/>
  <c r="A354" i="2"/>
  <c r="AM353" i="2"/>
  <c r="AL353" i="2"/>
  <c r="AK353" i="2"/>
  <c r="AJ353" i="2"/>
  <c r="AE353" i="2"/>
  <c r="AD353" i="2"/>
  <c r="AC353" i="2"/>
  <c r="R353" i="2"/>
  <c r="P353" i="2"/>
  <c r="O353" i="2"/>
  <c r="T353" i="2" s="1"/>
  <c r="A353" i="2"/>
  <c r="AM352" i="2"/>
  <c r="AL352" i="2"/>
  <c r="AK352" i="2"/>
  <c r="AJ352" i="2"/>
  <c r="AE352" i="2"/>
  <c r="AD352" i="2"/>
  <c r="AC352" i="2"/>
  <c r="W352" i="2"/>
  <c r="Y352" i="2" s="1"/>
  <c r="AB352" i="2" s="1"/>
  <c r="S352" i="2"/>
  <c r="V352" i="2" s="1"/>
  <c r="R352" i="2"/>
  <c r="O352" i="2"/>
  <c r="N352" i="2"/>
  <c r="T352" i="2" s="1"/>
  <c r="A352" i="2"/>
  <c r="AL351" i="2"/>
  <c r="AM351" i="2" s="1"/>
  <c r="AK351" i="2"/>
  <c r="AJ351" i="2"/>
  <c r="AE351" i="2"/>
  <c r="AD351" i="2"/>
  <c r="AC351" i="2"/>
  <c r="Y351" i="2"/>
  <c r="AB351" i="2" s="1"/>
  <c r="W351" i="2"/>
  <c r="V351" i="2"/>
  <c r="AP351" i="2" s="1"/>
  <c r="T351" i="2"/>
  <c r="S351" i="2"/>
  <c r="R351" i="2"/>
  <c r="A351" i="2"/>
  <c r="AM350" i="2"/>
  <c r="AL350" i="2"/>
  <c r="AK350" i="2"/>
  <c r="AJ350" i="2"/>
  <c r="AE350" i="2"/>
  <c r="AD350" i="2"/>
  <c r="AC350" i="2"/>
  <c r="W350" i="2"/>
  <c r="Y350" i="2" s="1"/>
  <c r="AB350" i="2" s="1"/>
  <c r="T350" i="2"/>
  <c r="S350" i="2"/>
  <c r="V350" i="2" s="1"/>
  <c r="R350" i="2"/>
  <c r="A350" i="2"/>
  <c r="AM349" i="2"/>
  <c r="AL349" i="2"/>
  <c r="AK349" i="2"/>
  <c r="AJ349" i="2"/>
  <c r="AE349" i="2"/>
  <c r="AD349" i="2"/>
  <c r="AC349" i="2"/>
  <c r="W349" i="2"/>
  <c r="R349" i="2"/>
  <c r="O349" i="2"/>
  <c r="N349" i="2"/>
  <c r="T349" i="2" s="1"/>
  <c r="A349" i="2"/>
  <c r="AM348" i="2"/>
  <c r="AL348" i="2"/>
  <c r="AK348" i="2"/>
  <c r="AJ348" i="2"/>
  <c r="AE348" i="2"/>
  <c r="AD348" i="2"/>
  <c r="AC348" i="2"/>
  <c r="W348" i="2"/>
  <c r="Y348" i="2" s="1"/>
  <c r="AB348" i="2" s="1"/>
  <c r="S348" i="2"/>
  <c r="V348" i="2" s="1"/>
  <c r="R348" i="2"/>
  <c r="O348" i="2"/>
  <c r="N348" i="2"/>
  <c r="T348" i="2" s="1"/>
  <c r="A348" i="2"/>
  <c r="AL347" i="2"/>
  <c r="AM347" i="2" s="1"/>
  <c r="AK347" i="2"/>
  <c r="AJ347" i="2"/>
  <c r="AE347" i="2"/>
  <c r="AD347" i="2"/>
  <c r="AC347" i="2"/>
  <c r="R347" i="2"/>
  <c r="O347" i="2"/>
  <c r="T347" i="2" s="1"/>
  <c r="A347" i="2"/>
  <c r="AM346" i="2"/>
  <c r="AL346" i="2"/>
  <c r="AK346" i="2"/>
  <c r="AJ346" i="2"/>
  <c r="AE346" i="2"/>
  <c r="AD346" i="2"/>
  <c r="AC346" i="2"/>
  <c r="W346" i="2"/>
  <c r="R346" i="2"/>
  <c r="O346" i="2"/>
  <c r="N346" i="2"/>
  <c r="T346" i="2" s="1"/>
  <c r="A346" i="2"/>
  <c r="AM345" i="2"/>
  <c r="AL345" i="2"/>
  <c r="AK345" i="2"/>
  <c r="AJ345" i="2"/>
  <c r="AE345" i="2"/>
  <c r="AD345" i="2"/>
  <c r="AC345" i="2"/>
  <c r="W345" i="2"/>
  <c r="Y345" i="2" s="1"/>
  <c r="AB345" i="2" s="1"/>
  <c r="T345" i="2"/>
  <c r="S345" i="2"/>
  <c r="V345" i="2" s="1"/>
  <c r="R345" i="2"/>
  <c r="A345" i="2"/>
  <c r="AM344" i="2"/>
  <c r="AL344" i="2"/>
  <c r="AK344" i="2"/>
  <c r="AJ344" i="2"/>
  <c r="AE344" i="2"/>
  <c r="AD344" i="2"/>
  <c r="AC344" i="2"/>
  <c r="W344" i="2"/>
  <c r="Y344" i="2" s="1"/>
  <c r="AB344" i="2" s="1"/>
  <c r="T344" i="2"/>
  <c r="S344" i="2"/>
  <c r="V344" i="2" s="1"/>
  <c r="R344" i="2"/>
  <c r="A344" i="2"/>
  <c r="AP343" i="2"/>
  <c r="AL343" i="2"/>
  <c r="AM343" i="2" s="1"/>
  <c r="AK343" i="2"/>
  <c r="AJ343" i="2"/>
  <c r="AE343" i="2"/>
  <c r="AD343" i="2"/>
  <c r="AC343" i="2"/>
  <c r="Y343" i="2"/>
  <c r="AB343" i="2" s="1"/>
  <c r="W343" i="2"/>
  <c r="V343" i="2"/>
  <c r="T343" i="2"/>
  <c r="S343" i="2"/>
  <c r="R343" i="2"/>
  <c r="A343" i="2"/>
  <c r="AO343" i="2" s="1"/>
  <c r="AL342" i="2"/>
  <c r="AM342" i="2" s="1"/>
  <c r="AK342" i="2"/>
  <c r="AJ342" i="2"/>
  <c r="AE342" i="2"/>
  <c r="AD342" i="2"/>
  <c r="AC342" i="2"/>
  <c r="Y342" i="2"/>
  <c r="AB342" i="2" s="1"/>
  <c r="W342" i="2"/>
  <c r="V342" i="2"/>
  <c r="AP342" i="2" s="1"/>
  <c r="T342" i="2"/>
  <c r="S342" i="2"/>
  <c r="R342" i="2"/>
  <c r="A342" i="2"/>
  <c r="AM341" i="2"/>
  <c r="AL341" i="2"/>
  <c r="AK341" i="2"/>
  <c r="AJ341" i="2"/>
  <c r="AE341" i="2"/>
  <c r="AD341" i="2"/>
  <c r="AC341" i="2"/>
  <c r="W341" i="2"/>
  <c r="Y341" i="2" s="1"/>
  <c r="AB341" i="2" s="1"/>
  <c r="T341" i="2"/>
  <c r="S341" i="2"/>
  <c r="V341" i="2" s="1"/>
  <c r="R341" i="2"/>
  <c r="O341" i="2"/>
  <c r="A341" i="2"/>
  <c r="AL340" i="2"/>
  <c r="AM340" i="2" s="1"/>
  <c r="AK340" i="2"/>
  <c r="AJ340" i="2"/>
  <c r="AE340" i="2"/>
  <c r="AD340" i="2"/>
  <c r="AC340" i="2"/>
  <c r="R340" i="2"/>
  <c r="O340" i="2"/>
  <c r="T340" i="2" s="1"/>
  <c r="N340" i="2"/>
  <c r="A340" i="2"/>
  <c r="AM339" i="2"/>
  <c r="AL339" i="2"/>
  <c r="AK339" i="2"/>
  <c r="AJ339" i="2"/>
  <c r="AE339" i="2"/>
  <c r="AD339" i="2"/>
  <c r="AC339" i="2"/>
  <c r="W339" i="2"/>
  <c r="R339" i="2"/>
  <c r="O339" i="2"/>
  <c r="N339" i="2"/>
  <c r="T339" i="2" s="1"/>
  <c r="A339" i="2"/>
  <c r="AM338" i="2"/>
  <c r="AL338" i="2"/>
  <c r="AK338" i="2"/>
  <c r="AJ338" i="2"/>
  <c r="AE338" i="2"/>
  <c r="AD338" i="2"/>
  <c r="AC338" i="2"/>
  <c r="W338" i="2"/>
  <c r="Y338" i="2" s="1"/>
  <c r="AB338" i="2" s="1"/>
  <c r="S338" i="2"/>
  <c r="V338" i="2" s="1"/>
  <c r="R338" i="2"/>
  <c r="O338" i="2"/>
  <c r="N338" i="2"/>
  <c r="T338" i="2" s="1"/>
  <c r="A338" i="2"/>
  <c r="AL337" i="2"/>
  <c r="AM337" i="2" s="1"/>
  <c r="AK337" i="2"/>
  <c r="AJ337" i="2"/>
  <c r="AE337" i="2"/>
  <c r="AD337" i="2"/>
  <c r="AC337" i="2"/>
  <c r="R337" i="2"/>
  <c r="O337" i="2"/>
  <c r="T337" i="2" s="1"/>
  <c r="N337" i="2"/>
  <c r="A337" i="2"/>
  <c r="AL336" i="2"/>
  <c r="AM336" i="2" s="1"/>
  <c r="AK336" i="2"/>
  <c r="AJ336" i="2"/>
  <c r="AE336" i="2"/>
  <c r="AD336" i="2"/>
  <c r="AC336" i="2"/>
  <c r="R336" i="2"/>
  <c r="O336" i="2"/>
  <c r="T336" i="2" s="1"/>
  <c r="N336" i="2"/>
  <c r="A336" i="2"/>
  <c r="AM335" i="2"/>
  <c r="AL335" i="2"/>
  <c r="AK335" i="2"/>
  <c r="AJ335" i="2"/>
  <c r="AE335" i="2"/>
  <c r="AD335" i="2"/>
  <c r="AC335" i="2"/>
  <c r="W335" i="2"/>
  <c r="Y335" i="2" s="1"/>
  <c r="AB335" i="2" s="1"/>
  <c r="T335" i="2"/>
  <c r="S335" i="2"/>
  <c r="V335" i="2" s="1"/>
  <c r="R335" i="2"/>
  <c r="A335" i="2"/>
  <c r="AP334" i="2"/>
  <c r="AO334" i="2"/>
  <c r="AL334" i="2"/>
  <c r="AM334" i="2" s="1"/>
  <c r="AK334" i="2"/>
  <c r="AJ334" i="2"/>
  <c r="AE334" i="2"/>
  <c r="AD334" i="2"/>
  <c r="AC334" i="2"/>
  <c r="Y334" i="2"/>
  <c r="AB334" i="2" s="1"/>
  <c r="W334" i="2"/>
  <c r="V334" i="2"/>
  <c r="T334" i="2"/>
  <c r="S334" i="2"/>
  <c r="R334" i="2"/>
  <c r="A334" i="2"/>
  <c r="AL333" i="2"/>
  <c r="AM333" i="2" s="1"/>
  <c r="AK333" i="2"/>
  <c r="AJ333" i="2"/>
  <c r="AE333" i="2"/>
  <c r="AD333" i="2"/>
  <c r="AC333" i="2"/>
  <c r="R333" i="2"/>
  <c r="O333" i="2"/>
  <c r="T333" i="2" s="1"/>
  <c r="N333" i="2"/>
  <c r="A333" i="2"/>
  <c r="AL332" i="2"/>
  <c r="AM332" i="2" s="1"/>
  <c r="AK332" i="2"/>
  <c r="AJ332" i="2"/>
  <c r="AE332" i="2"/>
  <c r="AD332" i="2"/>
  <c r="AC332" i="2"/>
  <c r="R332" i="2"/>
  <c r="O332" i="2"/>
  <c r="T332" i="2" s="1"/>
  <c r="N332" i="2"/>
  <c r="A332" i="2"/>
  <c r="AM331" i="2"/>
  <c r="AL331" i="2"/>
  <c r="AK331" i="2"/>
  <c r="AJ331" i="2"/>
  <c r="AE331" i="2"/>
  <c r="AD331" i="2"/>
  <c r="AC331" i="2"/>
  <c r="W331" i="2"/>
  <c r="Y331" i="2" s="1"/>
  <c r="AB331" i="2" s="1"/>
  <c r="T331" i="2"/>
  <c r="S331" i="2"/>
  <c r="V331" i="2" s="1"/>
  <c r="R331" i="2"/>
  <c r="A331" i="2"/>
  <c r="AL330" i="2"/>
  <c r="AM330" i="2" s="1"/>
  <c r="AK330" i="2"/>
  <c r="AJ330" i="2"/>
  <c r="AE330" i="2"/>
  <c r="AD330" i="2"/>
  <c r="AC330" i="2"/>
  <c r="Y330" i="2"/>
  <c r="AB330" i="2" s="1"/>
  <c r="W330" i="2"/>
  <c r="T330" i="2"/>
  <c r="S330" i="2"/>
  <c r="V330" i="2" s="1"/>
  <c r="R330" i="2"/>
  <c r="A330" i="2"/>
  <c r="AL329" i="2"/>
  <c r="AM329" i="2" s="1"/>
  <c r="AK329" i="2"/>
  <c r="AJ329" i="2"/>
  <c r="AE329" i="2"/>
  <c r="AD329" i="2"/>
  <c r="AC329" i="2"/>
  <c r="Y329" i="2"/>
  <c r="AB329" i="2" s="1"/>
  <c r="W329" i="2"/>
  <c r="V329" i="2"/>
  <c r="AP329" i="2" s="1"/>
  <c r="T329" i="2"/>
  <c r="S329" i="2"/>
  <c r="R329" i="2"/>
  <c r="A329" i="2"/>
  <c r="AM328" i="2"/>
  <c r="AL328" i="2"/>
  <c r="AK328" i="2"/>
  <c r="AJ328" i="2"/>
  <c r="AE328" i="2"/>
  <c r="AD328" i="2"/>
  <c r="AC328" i="2"/>
  <c r="W328" i="2"/>
  <c r="Y328" i="2" s="1"/>
  <c r="AB328" i="2" s="1"/>
  <c r="T328" i="2"/>
  <c r="S328" i="2"/>
  <c r="V328" i="2" s="1"/>
  <c r="R328" i="2"/>
  <c r="A328" i="2"/>
  <c r="AM327" i="2"/>
  <c r="AL327" i="2"/>
  <c r="AK327" i="2"/>
  <c r="AJ327" i="2"/>
  <c r="AE327" i="2"/>
  <c r="AD327" i="2"/>
  <c r="AC327" i="2"/>
  <c r="W327" i="2"/>
  <c r="R327" i="2"/>
  <c r="O327" i="2"/>
  <c r="N327" i="2"/>
  <c r="T327" i="2" s="1"/>
  <c r="A327" i="2"/>
  <c r="AM326" i="2"/>
  <c r="AL326" i="2"/>
  <c r="AK326" i="2"/>
  <c r="AJ326" i="2"/>
  <c r="AE326" i="2"/>
  <c r="AD326" i="2"/>
  <c r="AC326" i="2"/>
  <c r="W326" i="2"/>
  <c r="Y326" i="2" s="1"/>
  <c r="AB326" i="2" s="1"/>
  <c r="S326" i="2"/>
  <c r="V326" i="2" s="1"/>
  <c r="R326" i="2"/>
  <c r="O326" i="2"/>
  <c r="N326" i="2"/>
  <c r="T326" i="2" s="1"/>
  <c r="A326" i="2"/>
  <c r="AL325" i="2"/>
  <c r="AM325" i="2" s="1"/>
  <c r="AK325" i="2"/>
  <c r="AJ325" i="2"/>
  <c r="AE325" i="2"/>
  <c r="AD325" i="2"/>
  <c r="AC325" i="2"/>
  <c r="R325" i="2"/>
  <c r="O325" i="2"/>
  <c r="T325" i="2" s="1"/>
  <c r="N325" i="2"/>
  <c r="A325" i="2"/>
  <c r="AL324" i="2"/>
  <c r="AM324" i="2" s="1"/>
  <c r="AK324" i="2"/>
  <c r="AJ324" i="2"/>
  <c r="AE324" i="2"/>
  <c r="AD324" i="2"/>
  <c r="AC324" i="2"/>
  <c r="R324" i="2"/>
  <c r="O324" i="2"/>
  <c r="T324" i="2" s="1"/>
  <c r="N324" i="2"/>
  <c r="A324" i="2"/>
  <c r="AM323" i="2"/>
  <c r="AL323" i="2"/>
  <c r="AK323" i="2"/>
  <c r="AJ323" i="2"/>
  <c r="AE323" i="2"/>
  <c r="AD323" i="2"/>
  <c r="AC323" i="2"/>
  <c r="W323" i="2"/>
  <c r="R323" i="2"/>
  <c r="O323" i="2"/>
  <c r="N323" i="2"/>
  <c r="T323" i="2" s="1"/>
  <c r="A323" i="2"/>
  <c r="AM322" i="2"/>
  <c r="AL322" i="2"/>
  <c r="AK322" i="2"/>
  <c r="AJ322" i="2"/>
  <c r="AE322" i="2"/>
  <c r="AD322" i="2"/>
  <c r="AC322" i="2"/>
  <c r="W322" i="2"/>
  <c r="Y322" i="2" s="1"/>
  <c r="AB322" i="2" s="1"/>
  <c r="S322" i="2"/>
  <c r="V322" i="2" s="1"/>
  <c r="R322" i="2"/>
  <c r="O322" i="2"/>
  <c r="N322" i="2"/>
  <c r="T322" i="2" s="1"/>
  <c r="A322" i="2"/>
  <c r="AL321" i="2"/>
  <c r="AM321" i="2" s="1"/>
  <c r="AK321" i="2"/>
  <c r="AJ321" i="2"/>
  <c r="AE321" i="2"/>
  <c r="AD321" i="2"/>
  <c r="AC321" i="2"/>
  <c r="Y321" i="2"/>
  <c r="AB321" i="2" s="1"/>
  <c r="W321" i="2"/>
  <c r="V321" i="2"/>
  <c r="AP321" i="2" s="1"/>
  <c r="T321" i="2"/>
  <c r="S321" i="2"/>
  <c r="R321" i="2"/>
  <c r="A321" i="2"/>
  <c r="AM320" i="2"/>
  <c r="AL320" i="2"/>
  <c r="AK320" i="2"/>
  <c r="AJ320" i="2"/>
  <c r="AE320" i="2"/>
  <c r="AD320" i="2"/>
  <c r="AC320" i="2"/>
  <c r="W320" i="2"/>
  <c r="Y320" i="2" s="1"/>
  <c r="AB320" i="2" s="1"/>
  <c r="T320" i="2"/>
  <c r="S320" i="2"/>
  <c r="V320" i="2" s="1"/>
  <c r="R320" i="2"/>
  <c r="A320" i="2"/>
  <c r="AO319" i="2"/>
  <c r="AM319" i="2"/>
  <c r="AL319" i="2"/>
  <c r="AK319" i="2"/>
  <c r="AJ319" i="2"/>
  <c r="AE319" i="2"/>
  <c r="AD319" i="2"/>
  <c r="AC319" i="2"/>
  <c r="W319" i="2"/>
  <c r="T319" i="2"/>
  <c r="R319" i="2"/>
  <c r="O319" i="2"/>
  <c r="N319" i="2"/>
  <c r="S319" i="2" s="1"/>
  <c r="V319" i="2" s="1"/>
  <c r="AP319" i="2" s="1"/>
  <c r="A319" i="2"/>
  <c r="AM318" i="2"/>
  <c r="AL318" i="2"/>
  <c r="AK318" i="2"/>
  <c r="AJ318" i="2"/>
  <c r="AE318" i="2"/>
  <c r="AD318" i="2"/>
  <c r="AC318" i="2"/>
  <c r="W318" i="2"/>
  <c r="Y318" i="2" s="1"/>
  <c r="AB318" i="2" s="1"/>
  <c r="S318" i="2"/>
  <c r="V318" i="2" s="1"/>
  <c r="R318" i="2"/>
  <c r="O318" i="2"/>
  <c r="N318" i="2"/>
  <c r="T318" i="2" s="1"/>
  <c r="A318" i="2"/>
  <c r="AL317" i="2"/>
  <c r="AM317" i="2" s="1"/>
  <c r="AK317" i="2"/>
  <c r="AJ317" i="2"/>
  <c r="AE317" i="2"/>
  <c r="AD317" i="2"/>
  <c r="AC317" i="2"/>
  <c r="R317" i="2"/>
  <c r="O317" i="2"/>
  <c r="T317" i="2" s="1"/>
  <c r="N317" i="2"/>
  <c r="A317" i="2"/>
  <c r="AP316" i="2"/>
  <c r="AO316" i="2"/>
  <c r="AL316" i="2"/>
  <c r="AM316" i="2" s="1"/>
  <c r="AK316" i="2"/>
  <c r="AJ316" i="2"/>
  <c r="AE316" i="2"/>
  <c r="AD316" i="2"/>
  <c r="AC316" i="2"/>
  <c r="Y316" i="2"/>
  <c r="AB316" i="2" s="1"/>
  <c r="W316" i="2"/>
  <c r="V316" i="2"/>
  <c r="T316" i="2"/>
  <c r="S316" i="2"/>
  <c r="R316" i="2"/>
  <c r="A316" i="2"/>
  <c r="AL315" i="2"/>
  <c r="AM315" i="2" s="1"/>
  <c r="AK315" i="2"/>
  <c r="AJ315" i="2"/>
  <c r="AE315" i="2"/>
  <c r="AD315" i="2"/>
  <c r="AC315" i="2"/>
  <c r="R315" i="2"/>
  <c r="O315" i="2"/>
  <c r="T315" i="2" s="1"/>
  <c r="N315" i="2"/>
  <c r="A315" i="2"/>
  <c r="AL314" i="2"/>
  <c r="AM314" i="2" s="1"/>
  <c r="AK314" i="2"/>
  <c r="AJ314" i="2"/>
  <c r="AE314" i="2"/>
  <c r="AD314" i="2"/>
  <c r="AC314" i="2"/>
  <c r="R314" i="2"/>
  <c r="O314" i="2"/>
  <c r="N314" i="2"/>
  <c r="A314" i="2"/>
  <c r="AM313" i="2"/>
  <c r="AL313" i="2"/>
  <c r="AK313" i="2"/>
  <c r="AJ313" i="2"/>
  <c r="AE313" i="2"/>
  <c r="AD313" i="2"/>
  <c r="AC313" i="2"/>
  <c r="W313" i="2"/>
  <c r="R313" i="2"/>
  <c r="O313" i="2"/>
  <c r="N313" i="2"/>
  <c r="S313" i="2" s="1"/>
  <c r="V313" i="2" s="1"/>
  <c r="AP313" i="2" s="1"/>
  <c r="A313" i="2"/>
  <c r="AM312" i="2"/>
  <c r="AL312" i="2"/>
  <c r="AK312" i="2"/>
  <c r="AJ312" i="2"/>
  <c r="AE312" i="2"/>
  <c r="AD312" i="2"/>
  <c r="AC312" i="2"/>
  <c r="W312" i="2"/>
  <c r="S312" i="2"/>
  <c r="V312" i="2" s="1"/>
  <c r="R312" i="2"/>
  <c r="O312" i="2"/>
  <c r="N312" i="2"/>
  <c r="T312" i="2" s="1"/>
  <c r="A312" i="2"/>
  <c r="AL311" i="2"/>
  <c r="AM311" i="2" s="1"/>
  <c r="AK311" i="2"/>
  <c r="AJ311" i="2"/>
  <c r="AE311" i="2"/>
  <c r="AD311" i="2"/>
  <c r="AC311" i="2"/>
  <c r="Y311" i="2"/>
  <c r="AB311" i="2" s="1"/>
  <c r="W311" i="2"/>
  <c r="V311" i="2"/>
  <c r="T311" i="2"/>
  <c r="S311" i="2"/>
  <c r="R311" i="2"/>
  <c r="A311" i="2"/>
  <c r="AM310" i="2"/>
  <c r="AL310" i="2"/>
  <c r="AK310" i="2"/>
  <c r="AJ310" i="2"/>
  <c r="AE310" i="2"/>
  <c r="AD310" i="2"/>
  <c r="AC310" i="2"/>
  <c r="W310" i="2"/>
  <c r="Y310" i="2" s="1"/>
  <c r="AB310" i="2" s="1"/>
  <c r="S310" i="2"/>
  <c r="V310" i="2" s="1"/>
  <c r="R310" i="2"/>
  <c r="O310" i="2"/>
  <c r="N310" i="2"/>
  <c r="T310" i="2" s="1"/>
  <c r="A310" i="2"/>
  <c r="AL309" i="2"/>
  <c r="AM309" i="2" s="1"/>
  <c r="AK309" i="2"/>
  <c r="AJ309" i="2"/>
  <c r="AE309" i="2"/>
  <c r="AD309" i="2"/>
  <c r="AC309" i="2"/>
  <c r="R309" i="2"/>
  <c r="O309" i="2"/>
  <c r="T309" i="2" s="1"/>
  <c r="N309" i="2"/>
  <c r="A309" i="2"/>
  <c r="AL308" i="2"/>
  <c r="AM308" i="2" s="1"/>
  <c r="AK308" i="2"/>
  <c r="AJ308" i="2"/>
  <c r="AE308" i="2"/>
  <c r="AD308" i="2"/>
  <c r="AC308" i="2"/>
  <c r="R308" i="2"/>
  <c r="O308" i="2"/>
  <c r="N308" i="2"/>
  <c r="A308" i="2"/>
  <c r="AM307" i="2"/>
  <c r="AL307" i="2"/>
  <c r="AK307" i="2"/>
  <c r="AJ307" i="2"/>
  <c r="AE307" i="2"/>
  <c r="AD307" i="2"/>
  <c r="AC307" i="2"/>
  <c r="W307" i="2"/>
  <c r="R307" i="2"/>
  <c r="O307" i="2"/>
  <c r="N307" i="2"/>
  <c r="S307" i="2" s="1"/>
  <c r="V307" i="2" s="1"/>
  <c r="AP307" i="2" s="1"/>
  <c r="A307" i="2"/>
  <c r="AM306" i="2"/>
  <c r="AL306" i="2"/>
  <c r="AK306" i="2"/>
  <c r="AJ306" i="2"/>
  <c r="AE306" i="2"/>
  <c r="AD306" i="2"/>
  <c r="AC306" i="2"/>
  <c r="W306" i="2"/>
  <c r="S306" i="2"/>
  <c r="V306" i="2" s="1"/>
  <c r="R306" i="2"/>
  <c r="O306" i="2"/>
  <c r="N306" i="2"/>
  <c r="T306" i="2" s="1"/>
  <c r="A306" i="2"/>
  <c r="AL305" i="2"/>
  <c r="AM305" i="2" s="1"/>
  <c r="AK305" i="2"/>
  <c r="AJ305" i="2"/>
  <c r="AE305" i="2"/>
  <c r="AD305" i="2"/>
  <c r="AC305" i="2"/>
  <c r="R305" i="2"/>
  <c r="O305" i="2"/>
  <c r="T305" i="2" s="1"/>
  <c r="N305" i="2"/>
  <c r="A305" i="2"/>
  <c r="AL304" i="2"/>
  <c r="AM304" i="2" s="1"/>
  <c r="AK304" i="2"/>
  <c r="AJ304" i="2"/>
  <c r="AE304" i="2"/>
  <c r="AD304" i="2"/>
  <c r="AC304" i="2"/>
  <c r="R304" i="2"/>
  <c r="O304" i="2"/>
  <c r="N304" i="2"/>
  <c r="A304" i="2"/>
  <c r="AM303" i="2"/>
  <c r="AL303" i="2"/>
  <c r="AK303" i="2"/>
  <c r="AJ303" i="2"/>
  <c r="AE303" i="2"/>
  <c r="AD303" i="2"/>
  <c r="AC303" i="2"/>
  <c r="W303" i="2"/>
  <c r="R303" i="2"/>
  <c r="O303" i="2"/>
  <c r="N303" i="2"/>
  <c r="S303" i="2" s="1"/>
  <c r="V303" i="2" s="1"/>
  <c r="AP303" i="2" s="1"/>
  <c r="A303" i="2"/>
  <c r="AM302" i="2"/>
  <c r="AL302" i="2"/>
  <c r="AK302" i="2"/>
  <c r="AJ302" i="2"/>
  <c r="AE302" i="2"/>
  <c r="AD302" i="2"/>
  <c r="AC302" i="2"/>
  <c r="W302" i="2"/>
  <c r="Y302" i="2" s="1"/>
  <c r="AB302" i="2" s="1"/>
  <c r="S302" i="2"/>
  <c r="V302" i="2" s="1"/>
  <c r="R302" i="2"/>
  <c r="O302" i="2"/>
  <c r="N302" i="2"/>
  <c r="T302" i="2" s="1"/>
  <c r="A302" i="2"/>
  <c r="AL301" i="2"/>
  <c r="AM301" i="2" s="1"/>
  <c r="AK301" i="2"/>
  <c r="AJ301" i="2"/>
  <c r="AE301" i="2"/>
  <c r="AD301" i="2"/>
  <c r="AC301" i="2"/>
  <c r="Y301" i="2"/>
  <c r="AB301" i="2" s="1"/>
  <c r="W301" i="2"/>
  <c r="V301" i="2"/>
  <c r="T301" i="2"/>
  <c r="S301" i="2"/>
  <c r="R301" i="2"/>
  <c r="A301" i="2"/>
  <c r="AM300" i="2"/>
  <c r="AL300" i="2"/>
  <c r="AK300" i="2"/>
  <c r="AJ300" i="2"/>
  <c r="AE300" i="2"/>
  <c r="AD300" i="2"/>
  <c r="AC300" i="2"/>
  <c r="W300" i="2"/>
  <c r="Y300" i="2" s="1"/>
  <c r="AB300" i="2" s="1"/>
  <c r="T300" i="2"/>
  <c r="S300" i="2"/>
  <c r="V300" i="2" s="1"/>
  <c r="R300" i="2"/>
  <c r="A300" i="2"/>
  <c r="AM299" i="2"/>
  <c r="AL299" i="2"/>
  <c r="AK299" i="2"/>
  <c r="AJ299" i="2"/>
  <c r="AE299" i="2"/>
  <c r="AD299" i="2"/>
  <c r="AC299" i="2"/>
  <c r="W299" i="2"/>
  <c r="T299" i="2"/>
  <c r="R299" i="2"/>
  <c r="O299" i="2"/>
  <c r="N299" i="2"/>
  <c r="S299" i="2" s="1"/>
  <c r="V299" i="2" s="1"/>
  <c r="AP299" i="2" s="1"/>
  <c r="A299" i="2"/>
  <c r="AM298" i="2"/>
  <c r="AL298" i="2"/>
  <c r="AK298" i="2"/>
  <c r="AJ298" i="2"/>
  <c r="AE298" i="2"/>
  <c r="AD298" i="2"/>
  <c r="AC298" i="2"/>
  <c r="W298" i="2"/>
  <c r="S298" i="2"/>
  <c r="V298" i="2" s="1"/>
  <c r="R298" i="2"/>
  <c r="O298" i="2"/>
  <c r="N298" i="2"/>
  <c r="T298" i="2" s="1"/>
  <c r="A298" i="2"/>
  <c r="AL297" i="2"/>
  <c r="AM297" i="2" s="1"/>
  <c r="AK297" i="2"/>
  <c r="AJ297" i="2"/>
  <c r="AE297" i="2"/>
  <c r="AD297" i="2"/>
  <c r="AC297" i="2"/>
  <c r="Y297" i="2"/>
  <c r="AB297" i="2" s="1"/>
  <c r="W297" i="2"/>
  <c r="V297" i="2"/>
  <c r="T297" i="2"/>
  <c r="S297" i="2"/>
  <c r="R297" i="2"/>
  <c r="A297" i="2"/>
  <c r="AM296" i="2"/>
  <c r="AL296" i="2"/>
  <c r="AK296" i="2"/>
  <c r="AJ296" i="2"/>
  <c r="AE296" i="2"/>
  <c r="AD296" i="2"/>
  <c r="AC296" i="2"/>
  <c r="W296" i="2"/>
  <c r="Y296" i="2" s="1"/>
  <c r="AB296" i="2" s="1"/>
  <c r="S296" i="2"/>
  <c r="V296" i="2" s="1"/>
  <c r="R296" i="2"/>
  <c r="O296" i="2"/>
  <c r="N296" i="2"/>
  <c r="T296" i="2" s="1"/>
  <c r="A296" i="2"/>
  <c r="AL295" i="2"/>
  <c r="AM295" i="2" s="1"/>
  <c r="AK295" i="2"/>
  <c r="AJ295" i="2"/>
  <c r="AE295" i="2"/>
  <c r="AD295" i="2"/>
  <c r="AC295" i="2"/>
  <c r="W295" i="2"/>
  <c r="Y295" i="2" s="1"/>
  <c r="AB295" i="2" s="1"/>
  <c r="V295" i="2"/>
  <c r="S295" i="2"/>
  <c r="R295" i="2"/>
  <c r="O295" i="2"/>
  <c r="T295" i="2" s="1"/>
  <c r="N295" i="2"/>
  <c r="A295" i="2"/>
  <c r="AL294" i="2"/>
  <c r="AM294" i="2" s="1"/>
  <c r="AK294" i="2"/>
  <c r="AJ294" i="2"/>
  <c r="AE294" i="2"/>
  <c r="AD294" i="2"/>
  <c r="AC294" i="2"/>
  <c r="R294" i="2"/>
  <c r="O294" i="2"/>
  <c r="N294" i="2"/>
  <c r="A294" i="2"/>
  <c r="AM293" i="2"/>
  <c r="AL293" i="2"/>
  <c r="AK293" i="2"/>
  <c r="AJ293" i="2"/>
  <c r="AE293" i="2"/>
  <c r="AD293" i="2"/>
  <c r="AC293" i="2"/>
  <c r="W293" i="2"/>
  <c r="T293" i="2"/>
  <c r="R293" i="2"/>
  <c r="O293" i="2"/>
  <c r="N293" i="2"/>
  <c r="S293" i="2" s="1"/>
  <c r="V293" i="2" s="1"/>
  <c r="AP293" i="2" s="1"/>
  <c r="A293" i="2"/>
  <c r="AM292" i="2"/>
  <c r="AL292" i="2"/>
  <c r="AK292" i="2"/>
  <c r="AJ292" i="2"/>
  <c r="AE292" i="2"/>
  <c r="AD292" i="2"/>
  <c r="AC292" i="2"/>
  <c r="W292" i="2"/>
  <c r="Y292" i="2" s="1"/>
  <c r="AB292" i="2" s="1"/>
  <c r="S292" i="2"/>
  <c r="V292" i="2" s="1"/>
  <c r="R292" i="2"/>
  <c r="O292" i="2"/>
  <c r="N292" i="2"/>
  <c r="T292" i="2" s="1"/>
  <c r="A292" i="2"/>
  <c r="AL291" i="2"/>
  <c r="AM291" i="2" s="1"/>
  <c r="AK291" i="2"/>
  <c r="AJ291" i="2"/>
  <c r="AE291" i="2"/>
  <c r="AD291" i="2"/>
  <c r="AC291" i="2"/>
  <c r="W291" i="2"/>
  <c r="Y291" i="2" s="1"/>
  <c r="AB291" i="2" s="1"/>
  <c r="V291" i="2"/>
  <c r="T291" i="2"/>
  <c r="S291" i="2"/>
  <c r="R291" i="2"/>
  <c r="A291" i="2"/>
  <c r="AM290" i="2"/>
  <c r="AL290" i="2"/>
  <c r="AK290" i="2"/>
  <c r="AJ290" i="2"/>
  <c r="AE290" i="2"/>
  <c r="AD290" i="2"/>
  <c r="AC290" i="2"/>
  <c r="W290" i="2"/>
  <c r="Y290" i="2" s="1"/>
  <c r="AB290" i="2" s="1"/>
  <c r="T290" i="2"/>
  <c r="S290" i="2"/>
  <c r="V290" i="2" s="1"/>
  <c r="R290" i="2"/>
  <c r="A290" i="2"/>
  <c r="AM289" i="2"/>
  <c r="AL289" i="2"/>
  <c r="AK289" i="2"/>
  <c r="AJ289" i="2"/>
  <c r="AE289" i="2"/>
  <c r="AD289" i="2"/>
  <c r="AC289" i="2"/>
  <c r="W289" i="2"/>
  <c r="R289" i="2"/>
  <c r="O289" i="2"/>
  <c r="N289" i="2"/>
  <c r="T289" i="2" s="1"/>
  <c r="A289" i="2"/>
  <c r="AL288" i="2"/>
  <c r="AM288" i="2" s="1"/>
  <c r="AK288" i="2"/>
  <c r="AJ288" i="2"/>
  <c r="AE288" i="2"/>
  <c r="AD288" i="2"/>
  <c r="AC288" i="2"/>
  <c r="W288" i="2"/>
  <c r="R288" i="2"/>
  <c r="O288" i="2"/>
  <c r="N288" i="2"/>
  <c r="S288" i="2" s="1"/>
  <c r="V288" i="2" s="1"/>
  <c r="A288" i="2"/>
  <c r="AL287" i="2"/>
  <c r="AM287" i="2" s="1"/>
  <c r="AK287" i="2"/>
  <c r="AJ287" i="2"/>
  <c r="AE287" i="2"/>
  <c r="AD287" i="2"/>
  <c r="AC287" i="2"/>
  <c r="W287" i="2"/>
  <c r="S287" i="2"/>
  <c r="V287" i="2" s="1"/>
  <c r="R287" i="2"/>
  <c r="O287" i="2"/>
  <c r="T287" i="2" s="1"/>
  <c r="N287" i="2"/>
  <c r="A287" i="2"/>
  <c r="AL286" i="2"/>
  <c r="AM286" i="2" s="1"/>
  <c r="AK286" i="2"/>
  <c r="AJ286" i="2"/>
  <c r="AE286" i="2"/>
  <c r="AD286" i="2"/>
  <c r="AC286" i="2"/>
  <c r="T286" i="2"/>
  <c r="R286" i="2"/>
  <c r="O286" i="2"/>
  <c r="N286" i="2"/>
  <c r="A286" i="2"/>
  <c r="AM285" i="2"/>
  <c r="AL285" i="2"/>
  <c r="AK285" i="2"/>
  <c r="AJ285" i="2"/>
  <c r="AE285" i="2"/>
  <c r="AD285" i="2"/>
  <c r="AC285" i="2"/>
  <c r="Y285" i="2"/>
  <c r="AB285" i="2" s="1"/>
  <c r="W285" i="2"/>
  <c r="T285" i="2"/>
  <c r="S285" i="2"/>
  <c r="V285" i="2" s="1"/>
  <c r="AO285" i="2" s="1"/>
  <c r="R285" i="2"/>
  <c r="A285" i="2"/>
  <c r="AP284" i="2"/>
  <c r="AL284" i="2"/>
  <c r="AM284" i="2" s="1"/>
  <c r="AK284" i="2"/>
  <c r="AJ284" i="2"/>
  <c r="AE284" i="2"/>
  <c r="AD284" i="2"/>
  <c r="AC284" i="2"/>
  <c r="AB284" i="2"/>
  <c r="Y284" i="2"/>
  <c r="W284" i="2"/>
  <c r="V284" i="2"/>
  <c r="AO284" i="2" s="1"/>
  <c r="T284" i="2"/>
  <c r="S284" i="2"/>
  <c r="R284" i="2"/>
  <c r="A284" i="2"/>
  <c r="AM283" i="2"/>
  <c r="AL283" i="2"/>
  <c r="AK283" i="2"/>
  <c r="AJ283" i="2"/>
  <c r="AE283" i="2"/>
  <c r="AD283" i="2"/>
  <c r="AC283" i="2"/>
  <c r="W283" i="2"/>
  <c r="S283" i="2"/>
  <c r="V283" i="2" s="1"/>
  <c r="R283" i="2"/>
  <c r="O283" i="2"/>
  <c r="T283" i="2" s="1"/>
  <c r="N283" i="2"/>
  <c r="A283" i="2"/>
  <c r="AL282" i="2"/>
  <c r="AM282" i="2" s="1"/>
  <c r="AK282" i="2"/>
  <c r="AJ282" i="2"/>
  <c r="AE282" i="2"/>
  <c r="AD282" i="2"/>
  <c r="AC282" i="2"/>
  <c r="T282" i="2"/>
  <c r="R282" i="2"/>
  <c r="O282" i="2"/>
  <c r="N282" i="2"/>
  <c r="A282" i="2"/>
  <c r="AM281" i="2"/>
  <c r="AL281" i="2"/>
  <c r="AK281" i="2"/>
  <c r="AJ281" i="2"/>
  <c r="AE281" i="2"/>
  <c r="AD281" i="2"/>
  <c r="AC281" i="2"/>
  <c r="R281" i="2"/>
  <c r="O281" i="2"/>
  <c r="W281" i="2" s="1"/>
  <c r="N281" i="2"/>
  <c r="T281" i="2" s="1"/>
  <c r="A281" i="2"/>
  <c r="AL280" i="2"/>
  <c r="AM280" i="2" s="1"/>
  <c r="AK280" i="2"/>
  <c r="AJ280" i="2"/>
  <c r="AE280" i="2"/>
  <c r="AD280" i="2"/>
  <c r="AC280" i="2"/>
  <c r="W280" i="2"/>
  <c r="R280" i="2"/>
  <c r="O280" i="2"/>
  <c r="N280" i="2"/>
  <c r="T280" i="2" s="1"/>
  <c r="A280" i="2"/>
  <c r="AL279" i="2"/>
  <c r="AM279" i="2" s="1"/>
  <c r="AK279" i="2"/>
  <c r="AJ279" i="2"/>
  <c r="AE279" i="2"/>
  <c r="AD279" i="2"/>
  <c r="AC279" i="2"/>
  <c r="W279" i="2"/>
  <c r="S279" i="2"/>
  <c r="V279" i="2" s="1"/>
  <c r="R279" i="2"/>
  <c r="O279" i="2"/>
  <c r="T279" i="2" s="1"/>
  <c r="N279" i="2"/>
  <c r="A279" i="2"/>
  <c r="AL278" i="2"/>
  <c r="AM278" i="2" s="1"/>
  <c r="AK278" i="2"/>
  <c r="AJ278" i="2"/>
  <c r="AE278" i="2"/>
  <c r="AD278" i="2"/>
  <c r="AC278" i="2"/>
  <c r="T278" i="2"/>
  <c r="R278" i="2"/>
  <c r="O278" i="2"/>
  <c r="N278" i="2"/>
  <c r="A278" i="2"/>
  <c r="AM277" i="2"/>
  <c r="AL277" i="2"/>
  <c r="AK277" i="2"/>
  <c r="AJ277" i="2"/>
  <c r="AE277" i="2"/>
  <c r="AD277" i="2"/>
  <c r="AC277" i="2"/>
  <c r="W277" i="2"/>
  <c r="S277" i="2"/>
  <c r="V277" i="2" s="1"/>
  <c r="AP277" i="2" s="1"/>
  <c r="R277" i="2"/>
  <c r="O277" i="2"/>
  <c r="N277" i="2"/>
  <c r="T277" i="2" s="1"/>
  <c r="A277" i="2"/>
  <c r="AL276" i="2"/>
  <c r="AM276" i="2" s="1"/>
  <c r="AK276" i="2"/>
  <c r="AJ276" i="2"/>
  <c r="AE276" i="2"/>
  <c r="AD276" i="2"/>
  <c r="AC276" i="2"/>
  <c r="W276" i="2"/>
  <c r="S276" i="2"/>
  <c r="V276" i="2" s="1"/>
  <c r="R276" i="2"/>
  <c r="O276" i="2"/>
  <c r="N276" i="2"/>
  <c r="T276" i="2" s="1"/>
  <c r="A276" i="2"/>
  <c r="AL275" i="2"/>
  <c r="AM275" i="2" s="1"/>
  <c r="AK275" i="2"/>
  <c r="AJ275" i="2"/>
  <c r="AE275" i="2"/>
  <c r="AD275" i="2"/>
  <c r="AC275" i="2"/>
  <c r="W275" i="2"/>
  <c r="Y275" i="2" s="1"/>
  <c r="AB275" i="2" s="1"/>
  <c r="T275" i="2"/>
  <c r="S275" i="2"/>
  <c r="V275" i="2" s="1"/>
  <c r="R275" i="2"/>
  <c r="A275" i="2"/>
  <c r="AM274" i="2"/>
  <c r="AL274" i="2"/>
  <c r="AK274" i="2"/>
  <c r="AJ274" i="2"/>
  <c r="AE274" i="2"/>
  <c r="AD274" i="2"/>
  <c r="AC274" i="2"/>
  <c r="W274" i="2"/>
  <c r="V274" i="2"/>
  <c r="AP274" i="2" s="1"/>
  <c r="T274" i="2"/>
  <c r="S274" i="2"/>
  <c r="R274" i="2"/>
  <c r="A274" i="2"/>
  <c r="AM273" i="2"/>
  <c r="AL273" i="2"/>
  <c r="AK273" i="2"/>
  <c r="AJ273" i="2"/>
  <c r="AE273" i="2"/>
  <c r="AD273" i="2"/>
  <c r="AC273" i="2"/>
  <c r="R273" i="2"/>
  <c r="O273" i="2"/>
  <c r="W273" i="2" s="1"/>
  <c r="N273" i="2"/>
  <c r="T273" i="2" s="1"/>
  <c r="A273" i="2"/>
  <c r="AL272" i="2"/>
  <c r="AM272" i="2" s="1"/>
  <c r="AK272" i="2"/>
  <c r="AJ272" i="2"/>
  <c r="AE272" i="2"/>
  <c r="AD272" i="2"/>
  <c r="AC272" i="2"/>
  <c r="W272" i="2"/>
  <c r="R272" i="2"/>
  <c r="O272" i="2"/>
  <c r="N272" i="2"/>
  <c r="T272" i="2" s="1"/>
  <c r="A272" i="2"/>
  <c r="AM271" i="2"/>
  <c r="AL271" i="2"/>
  <c r="AK271" i="2"/>
  <c r="AJ271" i="2"/>
  <c r="AE271" i="2"/>
  <c r="AD271" i="2"/>
  <c r="AC271" i="2"/>
  <c r="Y271" i="2"/>
  <c r="AB271" i="2" s="1"/>
  <c r="W271" i="2"/>
  <c r="V271" i="2"/>
  <c r="AO271" i="2" s="1"/>
  <c r="T271" i="2"/>
  <c r="S271" i="2"/>
  <c r="J271" i="2"/>
  <c r="R271" i="2" s="1"/>
  <c r="H271" i="2"/>
  <c r="A271" i="2"/>
  <c r="AL270" i="2"/>
  <c r="AM270" i="2" s="1"/>
  <c r="AK270" i="2"/>
  <c r="AJ270" i="2"/>
  <c r="AE270" i="2"/>
  <c r="AD270" i="2"/>
  <c r="AC270" i="2"/>
  <c r="Y270" i="2"/>
  <c r="AB270" i="2" s="1"/>
  <c r="W270" i="2"/>
  <c r="V270" i="2"/>
  <c r="AP270" i="2" s="1"/>
  <c r="T270" i="2"/>
  <c r="S270" i="2"/>
  <c r="R270" i="2"/>
  <c r="A270" i="2"/>
  <c r="AL269" i="2"/>
  <c r="AM269" i="2" s="1"/>
  <c r="AK269" i="2"/>
  <c r="AJ269" i="2"/>
  <c r="AE269" i="2"/>
  <c r="AD269" i="2"/>
  <c r="AC269" i="2"/>
  <c r="W269" i="2"/>
  <c r="S269" i="2"/>
  <c r="Y269" i="2" s="1"/>
  <c r="AB269" i="2" s="1"/>
  <c r="R269" i="2"/>
  <c r="O269" i="2"/>
  <c r="T269" i="2" s="1"/>
  <c r="N269" i="2"/>
  <c r="A269" i="2"/>
  <c r="AL268" i="2"/>
  <c r="AM268" i="2" s="1"/>
  <c r="AK268" i="2"/>
  <c r="AJ268" i="2"/>
  <c r="AE268" i="2"/>
  <c r="AD268" i="2"/>
  <c r="AC268" i="2"/>
  <c r="R268" i="2"/>
  <c r="O268" i="2"/>
  <c r="T268" i="2" s="1"/>
  <c r="N268" i="2"/>
  <c r="A268" i="2"/>
  <c r="AM267" i="2"/>
  <c r="AL267" i="2"/>
  <c r="AK267" i="2"/>
  <c r="AJ267" i="2"/>
  <c r="AE267" i="2"/>
  <c r="AD267" i="2"/>
  <c r="AC267" i="2"/>
  <c r="W267" i="2"/>
  <c r="R267" i="2"/>
  <c r="O267" i="2"/>
  <c r="N267" i="2"/>
  <c r="T267" i="2" s="1"/>
  <c r="A267" i="2"/>
  <c r="AM266" i="2"/>
  <c r="AL266" i="2"/>
  <c r="AK266" i="2"/>
  <c r="AJ266" i="2"/>
  <c r="AE266" i="2"/>
  <c r="AD266" i="2"/>
  <c r="AC266" i="2"/>
  <c r="W266" i="2"/>
  <c r="Y266" i="2" s="1"/>
  <c r="AB266" i="2" s="1"/>
  <c r="S266" i="2"/>
  <c r="V266" i="2" s="1"/>
  <c r="R266" i="2"/>
  <c r="O266" i="2"/>
  <c r="N266" i="2"/>
  <c r="T266" i="2" s="1"/>
  <c r="A266" i="2"/>
  <c r="AL265" i="2"/>
  <c r="AM265" i="2" s="1"/>
  <c r="AK265" i="2"/>
  <c r="AJ265" i="2"/>
  <c r="AE265" i="2"/>
  <c r="AD265" i="2"/>
  <c r="AC265" i="2"/>
  <c r="W265" i="2"/>
  <c r="Y265" i="2" s="1"/>
  <c r="AB265" i="2" s="1"/>
  <c r="V265" i="2"/>
  <c r="AP265" i="2" s="1"/>
  <c r="T265" i="2"/>
  <c r="S265" i="2"/>
  <c r="R265" i="2"/>
  <c r="A265" i="2"/>
  <c r="AM264" i="2"/>
  <c r="AL264" i="2"/>
  <c r="AK264" i="2"/>
  <c r="AJ264" i="2"/>
  <c r="AE264" i="2"/>
  <c r="AD264" i="2"/>
  <c r="AC264" i="2"/>
  <c r="W264" i="2"/>
  <c r="Y264" i="2" s="1"/>
  <c r="AB264" i="2" s="1"/>
  <c r="T264" i="2"/>
  <c r="S264" i="2"/>
  <c r="V264" i="2" s="1"/>
  <c r="R264" i="2"/>
  <c r="A264" i="2"/>
  <c r="AM263" i="2"/>
  <c r="AL263" i="2"/>
  <c r="AK263" i="2"/>
  <c r="AJ263" i="2"/>
  <c r="AE263" i="2"/>
  <c r="AD263" i="2"/>
  <c r="AC263" i="2"/>
  <c r="W263" i="2"/>
  <c r="R263" i="2"/>
  <c r="O263" i="2"/>
  <c r="N263" i="2"/>
  <c r="T263" i="2" s="1"/>
  <c r="A263" i="2"/>
  <c r="AM262" i="2"/>
  <c r="AL262" i="2"/>
  <c r="AK262" i="2"/>
  <c r="AJ262" i="2"/>
  <c r="AE262" i="2"/>
  <c r="AD262" i="2"/>
  <c r="AC262" i="2"/>
  <c r="W262" i="2"/>
  <c r="Y262" i="2" s="1"/>
  <c r="AB262" i="2" s="1"/>
  <c r="S262" i="2"/>
  <c r="V262" i="2" s="1"/>
  <c r="R262" i="2"/>
  <c r="O262" i="2"/>
  <c r="N262" i="2"/>
  <c r="T262" i="2" s="1"/>
  <c r="A262" i="2"/>
  <c r="AL261" i="2"/>
  <c r="AM261" i="2" s="1"/>
  <c r="AK261" i="2"/>
  <c r="AJ261" i="2"/>
  <c r="AE261" i="2"/>
  <c r="AD261" i="2"/>
  <c r="AC261" i="2"/>
  <c r="W261" i="2"/>
  <c r="Y261" i="2" s="1"/>
  <c r="AB261" i="2" s="1"/>
  <c r="V261" i="2"/>
  <c r="AP261" i="2" s="1"/>
  <c r="S261" i="2"/>
  <c r="R261" i="2"/>
  <c r="O261" i="2"/>
  <c r="T261" i="2" s="1"/>
  <c r="N261" i="2"/>
  <c r="A261" i="2"/>
  <c r="AL260" i="2"/>
  <c r="AM260" i="2" s="1"/>
  <c r="AK260" i="2"/>
  <c r="AJ260" i="2"/>
  <c r="AE260" i="2"/>
  <c r="AD260" i="2"/>
  <c r="AC260" i="2"/>
  <c r="R260" i="2"/>
  <c r="O260" i="2"/>
  <c r="T260" i="2" s="1"/>
  <c r="N260" i="2"/>
  <c r="A260" i="2"/>
  <c r="AM259" i="2"/>
  <c r="AL259" i="2"/>
  <c r="AK259" i="2"/>
  <c r="AJ259" i="2"/>
  <c r="AE259" i="2"/>
  <c r="AD259" i="2"/>
  <c r="AC259" i="2"/>
  <c r="W259" i="2"/>
  <c r="Y259" i="2" s="1"/>
  <c r="AB259" i="2" s="1"/>
  <c r="T259" i="2"/>
  <c r="S259" i="2"/>
  <c r="V259" i="2" s="1"/>
  <c r="R259" i="2"/>
  <c r="A259" i="2"/>
  <c r="AP258" i="2"/>
  <c r="AO258" i="2"/>
  <c r="AL258" i="2"/>
  <c r="AM258" i="2" s="1"/>
  <c r="AK258" i="2"/>
  <c r="AJ258" i="2"/>
  <c r="AE258" i="2"/>
  <c r="AD258" i="2"/>
  <c r="AC258" i="2"/>
  <c r="Y258" i="2"/>
  <c r="AB258" i="2" s="1"/>
  <c r="W258" i="2"/>
  <c r="V258" i="2"/>
  <c r="T258" i="2"/>
  <c r="S258" i="2"/>
  <c r="R258" i="2"/>
  <c r="A258" i="2"/>
  <c r="AL257" i="2"/>
  <c r="AM257" i="2" s="1"/>
  <c r="AK257" i="2"/>
  <c r="AJ257" i="2"/>
  <c r="AE257" i="2"/>
  <c r="AD257" i="2"/>
  <c r="AC257" i="2"/>
  <c r="W257" i="2"/>
  <c r="Y257" i="2" s="1"/>
  <c r="AB257" i="2" s="1"/>
  <c r="V257" i="2"/>
  <c r="AP257" i="2" s="1"/>
  <c r="S257" i="2"/>
  <c r="R257" i="2"/>
  <c r="O257" i="2"/>
  <c r="T257" i="2" s="1"/>
  <c r="N257" i="2"/>
  <c r="A257" i="2"/>
  <c r="AL256" i="2"/>
  <c r="AM256" i="2" s="1"/>
  <c r="AK256" i="2"/>
  <c r="AJ256" i="2"/>
  <c r="AE256" i="2"/>
  <c r="AD256" i="2"/>
  <c r="AC256" i="2"/>
  <c r="R256" i="2"/>
  <c r="O256" i="2"/>
  <c r="T256" i="2" s="1"/>
  <c r="N256" i="2"/>
  <c r="A256" i="2"/>
  <c r="AM255" i="2"/>
  <c r="AL255" i="2"/>
  <c r="AK255" i="2"/>
  <c r="AJ255" i="2"/>
  <c r="AE255" i="2"/>
  <c r="AD255" i="2"/>
  <c r="AC255" i="2"/>
  <c r="W255" i="2"/>
  <c r="R255" i="2"/>
  <c r="O255" i="2"/>
  <c r="N255" i="2"/>
  <c r="T255" i="2" s="1"/>
  <c r="A255" i="2"/>
  <c r="AM254" i="2"/>
  <c r="AL254" i="2"/>
  <c r="AK254" i="2"/>
  <c r="AJ254" i="2"/>
  <c r="AE254" i="2"/>
  <c r="AD254" i="2"/>
  <c r="AC254" i="2"/>
  <c r="W254" i="2"/>
  <c r="Y254" i="2" s="1"/>
  <c r="AB254" i="2" s="1"/>
  <c r="S254" i="2"/>
  <c r="V254" i="2" s="1"/>
  <c r="R254" i="2"/>
  <c r="O254" i="2"/>
  <c r="N254" i="2"/>
  <c r="T254" i="2" s="1"/>
  <c r="A254" i="2"/>
  <c r="AL253" i="2"/>
  <c r="AM253" i="2" s="1"/>
  <c r="AK253" i="2"/>
  <c r="AJ253" i="2"/>
  <c r="AE253" i="2"/>
  <c r="AD253" i="2"/>
  <c r="AC253" i="2"/>
  <c r="W253" i="2"/>
  <c r="Y253" i="2" s="1"/>
  <c r="AB253" i="2" s="1"/>
  <c r="V253" i="2"/>
  <c r="AP253" i="2" s="1"/>
  <c r="S253" i="2"/>
  <c r="R253" i="2"/>
  <c r="O253" i="2"/>
  <c r="T253" i="2" s="1"/>
  <c r="N253" i="2"/>
  <c r="A253" i="2"/>
  <c r="AL252" i="2"/>
  <c r="AM252" i="2" s="1"/>
  <c r="AK252" i="2"/>
  <c r="AJ252" i="2"/>
  <c r="AE252" i="2"/>
  <c r="AD252" i="2"/>
  <c r="AC252" i="2"/>
  <c r="R252" i="2"/>
  <c r="O252" i="2"/>
  <c r="T252" i="2" s="1"/>
  <c r="N252" i="2"/>
  <c r="A252" i="2"/>
  <c r="AM251" i="2"/>
  <c r="AL251" i="2"/>
  <c r="AK251" i="2"/>
  <c r="AJ251" i="2"/>
  <c r="AE251" i="2"/>
  <c r="AD251" i="2"/>
  <c r="AC251" i="2"/>
  <c r="W251" i="2"/>
  <c r="R251" i="2"/>
  <c r="O251" i="2"/>
  <c r="N251" i="2"/>
  <c r="T251" i="2" s="1"/>
  <c r="A251" i="2"/>
  <c r="AM250" i="2"/>
  <c r="AL250" i="2"/>
  <c r="AK250" i="2"/>
  <c r="AJ250" i="2"/>
  <c r="AE250" i="2"/>
  <c r="AD250" i="2"/>
  <c r="AC250" i="2"/>
  <c r="W250" i="2"/>
  <c r="Y250" i="2" s="1"/>
  <c r="AB250" i="2" s="1"/>
  <c r="S250" i="2"/>
  <c r="V250" i="2" s="1"/>
  <c r="R250" i="2"/>
  <c r="O250" i="2"/>
  <c r="N250" i="2"/>
  <c r="T250" i="2" s="1"/>
  <c r="A250" i="2"/>
  <c r="AL249" i="2"/>
  <c r="AM249" i="2" s="1"/>
  <c r="AK249" i="2"/>
  <c r="AJ249" i="2"/>
  <c r="AE249" i="2"/>
  <c r="AD249" i="2"/>
  <c r="AC249" i="2"/>
  <c r="W249" i="2"/>
  <c r="Y249" i="2" s="1"/>
  <c r="AB249" i="2" s="1"/>
  <c r="V249" i="2"/>
  <c r="AP249" i="2" s="1"/>
  <c r="T249" i="2"/>
  <c r="S249" i="2"/>
  <c r="R249" i="2"/>
  <c r="A249" i="2"/>
  <c r="AM248" i="2"/>
  <c r="AL248" i="2"/>
  <c r="AK248" i="2"/>
  <c r="AJ248" i="2"/>
  <c r="AE248" i="2"/>
  <c r="AD248" i="2"/>
  <c r="AC248" i="2"/>
  <c r="W248" i="2"/>
  <c r="Y248" i="2" s="1"/>
  <c r="AB248" i="2" s="1"/>
  <c r="T248" i="2"/>
  <c r="S248" i="2"/>
  <c r="V248" i="2" s="1"/>
  <c r="R248" i="2"/>
  <c r="A248" i="2"/>
  <c r="AM247" i="2"/>
  <c r="AL247" i="2"/>
  <c r="AK247" i="2"/>
  <c r="AJ247" i="2"/>
  <c r="AE247" i="2"/>
  <c r="AD247" i="2"/>
  <c r="AC247" i="2"/>
  <c r="W247" i="2"/>
  <c r="Y247" i="2" s="1"/>
  <c r="AB247" i="2" s="1"/>
  <c r="T247" i="2"/>
  <c r="S247" i="2"/>
  <c r="V247" i="2" s="1"/>
  <c r="R247" i="2"/>
  <c r="A247" i="2"/>
  <c r="AL246" i="2"/>
  <c r="AM246" i="2" s="1"/>
  <c r="AK246" i="2"/>
  <c r="AJ246" i="2"/>
  <c r="AE246" i="2"/>
  <c r="AD246" i="2"/>
  <c r="AC246" i="2"/>
  <c r="R246" i="2"/>
  <c r="O246" i="2"/>
  <c r="T246" i="2" s="1"/>
  <c r="N246" i="2"/>
  <c r="A246" i="2"/>
  <c r="AM245" i="2"/>
  <c r="AL245" i="2"/>
  <c r="AK245" i="2"/>
  <c r="AJ245" i="2"/>
  <c r="AE245" i="2"/>
  <c r="AD245" i="2"/>
  <c r="AC245" i="2"/>
  <c r="W245" i="2"/>
  <c r="R245" i="2"/>
  <c r="O245" i="2"/>
  <c r="N245" i="2"/>
  <c r="T245" i="2" s="1"/>
  <c r="A245" i="2"/>
  <c r="AM244" i="2"/>
  <c r="AL244" i="2"/>
  <c r="AK244" i="2"/>
  <c r="AJ244" i="2"/>
  <c r="AE244" i="2"/>
  <c r="AD244" i="2"/>
  <c r="AC244" i="2"/>
  <c r="W244" i="2"/>
  <c r="Y244" i="2" s="1"/>
  <c r="AB244" i="2" s="1"/>
  <c r="S244" i="2"/>
  <c r="V244" i="2" s="1"/>
  <c r="R244" i="2"/>
  <c r="O244" i="2"/>
  <c r="N244" i="2"/>
  <c r="T244" i="2" s="1"/>
  <c r="A244" i="2"/>
  <c r="AL243" i="2"/>
  <c r="AM243" i="2" s="1"/>
  <c r="AK243" i="2"/>
  <c r="AJ243" i="2"/>
  <c r="AE243" i="2"/>
  <c r="AD243" i="2"/>
  <c r="AC243" i="2"/>
  <c r="W243" i="2"/>
  <c r="Y243" i="2" s="1"/>
  <c r="AB243" i="2" s="1"/>
  <c r="V243" i="2"/>
  <c r="AP243" i="2" s="1"/>
  <c r="S243" i="2"/>
  <c r="R243" i="2"/>
  <c r="O243" i="2"/>
  <c r="T243" i="2" s="1"/>
  <c r="A243" i="2"/>
  <c r="AM242" i="2"/>
  <c r="AL242" i="2"/>
  <c r="AK242" i="2"/>
  <c r="AJ242" i="2"/>
  <c r="AE242" i="2"/>
  <c r="AD242" i="2"/>
  <c r="AC242" i="2"/>
  <c r="R242" i="2"/>
  <c r="O242" i="2"/>
  <c r="W242" i="2" s="1"/>
  <c r="N242" i="2"/>
  <c r="T242" i="2" s="1"/>
  <c r="A242" i="2"/>
  <c r="AM241" i="2"/>
  <c r="AL241" i="2"/>
  <c r="AK241" i="2"/>
  <c r="AJ241" i="2"/>
  <c r="AE241" i="2"/>
  <c r="AD241" i="2"/>
  <c r="AC241" i="2"/>
  <c r="W241" i="2"/>
  <c r="Y241" i="2" s="1"/>
  <c r="AB241" i="2" s="1"/>
  <c r="S241" i="2"/>
  <c r="V241" i="2" s="1"/>
  <c r="R241" i="2"/>
  <c r="O241" i="2"/>
  <c r="N241" i="2"/>
  <c r="T241" i="2" s="1"/>
  <c r="A241" i="2"/>
  <c r="AL240" i="2"/>
  <c r="AM240" i="2" s="1"/>
  <c r="AK240" i="2"/>
  <c r="AJ240" i="2"/>
  <c r="AE240" i="2"/>
  <c r="AD240" i="2"/>
  <c r="AC240" i="2"/>
  <c r="W240" i="2"/>
  <c r="Y240" i="2" s="1"/>
  <c r="AB240" i="2" s="1"/>
  <c r="V240" i="2"/>
  <c r="AP240" i="2" s="1"/>
  <c r="S240" i="2"/>
  <c r="R240" i="2"/>
  <c r="O240" i="2"/>
  <c r="T240" i="2" s="1"/>
  <c r="N240" i="2"/>
  <c r="A240" i="2"/>
  <c r="AP239" i="2"/>
  <c r="AL239" i="2"/>
  <c r="AM239" i="2" s="1"/>
  <c r="AK239" i="2"/>
  <c r="AJ239" i="2"/>
  <c r="AE239" i="2"/>
  <c r="AD239" i="2"/>
  <c r="AC239" i="2"/>
  <c r="Y239" i="2"/>
  <c r="AB239" i="2" s="1"/>
  <c r="W239" i="2"/>
  <c r="V239" i="2"/>
  <c r="AO239" i="2" s="1"/>
  <c r="T239" i="2"/>
  <c r="S239" i="2"/>
  <c r="R239" i="2"/>
  <c r="A239" i="2"/>
  <c r="AL238" i="2"/>
  <c r="AM238" i="2" s="1"/>
  <c r="AK238" i="2"/>
  <c r="AJ238" i="2"/>
  <c r="AE238" i="2"/>
  <c r="AD238" i="2"/>
  <c r="AC238" i="2"/>
  <c r="W238" i="2"/>
  <c r="Y238" i="2" s="1"/>
  <c r="AB238" i="2" s="1"/>
  <c r="V238" i="2"/>
  <c r="AP238" i="2" s="1"/>
  <c r="T238" i="2"/>
  <c r="S238" i="2"/>
  <c r="R238" i="2"/>
  <c r="A238" i="2"/>
  <c r="AM237" i="2"/>
  <c r="AL237" i="2"/>
  <c r="AK237" i="2"/>
  <c r="AJ237" i="2"/>
  <c r="AE237" i="2"/>
  <c r="AD237" i="2"/>
  <c r="AC237" i="2"/>
  <c r="W237" i="2"/>
  <c r="Y237" i="2" s="1"/>
  <c r="AB237" i="2" s="1"/>
  <c r="S237" i="2"/>
  <c r="V237" i="2" s="1"/>
  <c r="R237" i="2"/>
  <c r="O237" i="2"/>
  <c r="N237" i="2"/>
  <c r="T237" i="2" s="1"/>
  <c r="A237" i="2"/>
  <c r="AL236" i="2"/>
  <c r="AM236" i="2" s="1"/>
  <c r="AK236" i="2"/>
  <c r="AJ236" i="2"/>
  <c r="AE236" i="2"/>
  <c r="AD236" i="2"/>
  <c r="AC236" i="2"/>
  <c r="W236" i="2"/>
  <c r="Y236" i="2" s="1"/>
  <c r="AB236" i="2" s="1"/>
  <c r="V236" i="2"/>
  <c r="AP236" i="2" s="1"/>
  <c r="S236" i="2"/>
  <c r="R236" i="2"/>
  <c r="O236" i="2"/>
  <c r="T236" i="2" s="1"/>
  <c r="N236" i="2"/>
  <c r="A236" i="2"/>
  <c r="AL235" i="2"/>
  <c r="AM235" i="2" s="1"/>
  <c r="AK235" i="2"/>
  <c r="AJ235" i="2"/>
  <c r="AE235" i="2"/>
  <c r="AD235" i="2"/>
  <c r="AC235" i="2"/>
  <c r="R235" i="2"/>
  <c r="O235" i="2"/>
  <c r="T235" i="2" s="1"/>
  <c r="N235" i="2"/>
  <c r="A235" i="2"/>
  <c r="AM234" i="2"/>
  <c r="AL234" i="2"/>
  <c r="AK234" i="2"/>
  <c r="AJ234" i="2"/>
  <c r="AE234" i="2"/>
  <c r="AD234" i="2"/>
  <c r="AC234" i="2"/>
  <c r="R234" i="2"/>
  <c r="O234" i="2"/>
  <c r="W234" i="2" s="1"/>
  <c r="N234" i="2"/>
  <c r="T234" i="2" s="1"/>
  <c r="A234" i="2"/>
  <c r="AM233" i="2"/>
  <c r="AL233" i="2"/>
  <c r="AK233" i="2"/>
  <c r="AJ233" i="2"/>
  <c r="AE233" i="2"/>
  <c r="AD233" i="2"/>
  <c r="AC233" i="2"/>
  <c r="W233" i="2"/>
  <c r="Y233" i="2" s="1"/>
  <c r="AB233" i="2" s="1"/>
  <c r="S233" i="2"/>
  <c r="V233" i="2" s="1"/>
  <c r="R233" i="2"/>
  <c r="O233" i="2"/>
  <c r="N233" i="2"/>
  <c r="T233" i="2" s="1"/>
  <c r="A233" i="2"/>
  <c r="AL232" i="2"/>
  <c r="AM232" i="2" s="1"/>
  <c r="AK232" i="2"/>
  <c r="AJ232" i="2"/>
  <c r="AE232" i="2"/>
  <c r="AD232" i="2"/>
  <c r="AC232" i="2"/>
  <c r="W232" i="2"/>
  <c r="Y232" i="2" s="1"/>
  <c r="AB232" i="2" s="1"/>
  <c r="V232" i="2"/>
  <c r="AP232" i="2" s="1"/>
  <c r="S232" i="2"/>
  <c r="R232" i="2"/>
  <c r="O232" i="2"/>
  <c r="T232" i="2" s="1"/>
  <c r="N232" i="2"/>
  <c r="A232" i="2"/>
  <c r="AL231" i="2"/>
  <c r="AM231" i="2" s="1"/>
  <c r="AK231" i="2"/>
  <c r="AJ231" i="2"/>
  <c r="AE231" i="2"/>
  <c r="AD231" i="2"/>
  <c r="AC231" i="2"/>
  <c r="R231" i="2"/>
  <c r="O231" i="2"/>
  <c r="T231" i="2" s="1"/>
  <c r="N231" i="2"/>
  <c r="A231" i="2"/>
  <c r="AM230" i="2"/>
  <c r="AL230" i="2"/>
  <c r="AK230" i="2"/>
  <c r="AJ230" i="2"/>
  <c r="AE230" i="2"/>
  <c r="AD230" i="2"/>
  <c r="AC230" i="2"/>
  <c r="R230" i="2"/>
  <c r="O230" i="2"/>
  <c r="W230" i="2" s="1"/>
  <c r="N230" i="2"/>
  <c r="T230" i="2" s="1"/>
  <c r="A230" i="2"/>
  <c r="AM229" i="2"/>
  <c r="AL229" i="2"/>
  <c r="AK229" i="2"/>
  <c r="AJ229" i="2"/>
  <c r="AE229" i="2"/>
  <c r="AD229" i="2"/>
  <c r="AC229" i="2"/>
  <c r="W229" i="2"/>
  <c r="Y229" i="2" s="1"/>
  <c r="AB229" i="2" s="1"/>
  <c r="T229" i="2"/>
  <c r="S229" i="2"/>
  <c r="V229" i="2" s="1"/>
  <c r="R229" i="2"/>
  <c r="A229" i="2"/>
  <c r="AM228" i="2"/>
  <c r="AL228" i="2"/>
  <c r="AK228" i="2"/>
  <c r="AJ228" i="2"/>
  <c r="AE228" i="2"/>
  <c r="AD228" i="2"/>
  <c r="AC228" i="2"/>
  <c r="AB228" i="2"/>
  <c r="Y228" i="2"/>
  <c r="W228" i="2"/>
  <c r="T228" i="2"/>
  <c r="S228" i="2"/>
  <c r="V228" i="2" s="1"/>
  <c r="R228" i="2"/>
  <c r="A228" i="2"/>
  <c r="AL227" i="2"/>
  <c r="AM227" i="2" s="1"/>
  <c r="AK227" i="2"/>
  <c r="AJ227" i="2"/>
  <c r="AE227" i="2"/>
  <c r="AD227" i="2"/>
  <c r="AC227" i="2"/>
  <c r="R227" i="2"/>
  <c r="O227" i="2"/>
  <c r="T227" i="2" s="1"/>
  <c r="A227" i="2"/>
  <c r="AM226" i="2"/>
  <c r="AL226" i="2"/>
  <c r="AK226" i="2"/>
  <c r="AJ226" i="2"/>
  <c r="AE226" i="2"/>
  <c r="AD226" i="2"/>
  <c r="AC226" i="2"/>
  <c r="W226" i="2"/>
  <c r="Y226" i="2" s="1"/>
  <c r="AB226" i="2" s="1"/>
  <c r="S226" i="2"/>
  <c r="V226" i="2" s="1"/>
  <c r="R226" i="2"/>
  <c r="O226" i="2"/>
  <c r="N226" i="2"/>
  <c r="T226" i="2" s="1"/>
  <c r="A226" i="2"/>
  <c r="AL225" i="2"/>
  <c r="AM225" i="2" s="1"/>
  <c r="AK225" i="2"/>
  <c r="AJ225" i="2"/>
  <c r="AE225" i="2"/>
  <c r="AD225" i="2"/>
  <c r="AC225" i="2"/>
  <c r="W225" i="2"/>
  <c r="Y225" i="2" s="1"/>
  <c r="AB225" i="2" s="1"/>
  <c r="V225" i="2"/>
  <c r="AP225" i="2" s="1"/>
  <c r="S225" i="2"/>
  <c r="R225" i="2"/>
  <c r="O225" i="2"/>
  <c r="T225" i="2" s="1"/>
  <c r="N225" i="2"/>
  <c r="K225" i="2"/>
  <c r="A225" i="2"/>
  <c r="AL224" i="2"/>
  <c r="AM224" i="2" s="1"/>
  <c r="AK224" i="2"/>
  <c r="AJ224" i="2"/>
  <c r="AE224" i="2"/>
  <c r="AD224" i="2"/>
  <c r="AC224" i="2"/>
  <c r="W224" i="2"/>
  <c r="Y224" i="2" s="1"/>
  <c r="AB224" i="2" s="1"/>
  <c r="V224" i="2"/>
  <c r="AP224" i="2" s="1"/>
  <c r="S224" i="2"/>
  <c r="R224" i="2"/>
  <c r="O224" i="2"/>
  <c r="T224" i="2" s="1"/>
  <c r="N224" i="2"/>
  <c r="A224" i="2"/>
  <c r="AL223" i="2"/>
  <c r="AM223" i="2" s="1"/>
  <c r="AK223" i="2"/>
  <c r="AJ223" i="2"/>
  <c r="AE223" i="2"/>
  <c r="AD223" i="2"/>
  <c r="AC223" i="2"/>
  <c r="R223" i="2"/>
  <c r="O223" i="2"/>
  <c r="T223" i="2" s="1"/>
  <c r="N223" i="2"/>
  <c r="A223" i="2"/>
  <c r="AM222" i="2"/>
  <c r="AL222" i="2"/>
  <c r="AK222" i="2"/>
  <c r="AJ222" i="2"/>
  <c r="AE222" i="2"/>
  <c r="AD222" i="2"/>
  <c r="AC222" i="2"/>
  <c r="R222" i="2"/>
  <c r="O222" i="2"/>
  <c r="W222" i="2" s="1"/>
  <c r="N222" i="2"/>
  <c r="T222" i="2" s="1"/>
  <c r="A222" i="2"/>
  <c r="AM221" i="2"/>
  <c r="AL221" i="2"/>
  <c r="AK221" i="2"/>
  <c r="AJ221" i="2"/>
  <c r="AE221" i="2"/>
  <c r="AD221" i="2"/>
  <c r="AC221" i="2"/>
  <c r="W221" i="2"/>
  <c r="Y221" i="2" s="1"/>
  <c r="AB221" i="2" s="1"/>
  <c r="T221" i="2"/>
  <c r="S221" i="2"/>
  <c r="V221" i="2" s="1"/>
  <c r="R221" i="2"/>
  <c r="H221" i="2"/>
  <c r="A221" i="2"/>
  <c r="AP220" i="2"/>
  <c r="AL220" i="2"/>
  <c r="AM220" i="2" s="1"/>
  <c r="AK220" i="2"/>
  <c r="AJ220" i="2"/>
  <c r="AE220" i="2"/>
  <c r="AD220" i="2"/>
  <c r="AC220" i="2"/>
  <c r="Y220" i="2"/>
  <c r="AB220" i="2" s="1"/>
  <c r="W220" i="2"/>
  <c r="V220" i="2"/>
  <c r="AO220" i="2" s="1"/>
  <c r="T220" i="2"/>
  <c r="S220" i="2"/>
  <c r="R220" i="2"/>
  <c r="A220" i="2"/>
  <c r="AL219" i="2"/>
  <c r="AM219" i="2" s="1"/>
  <c r="AK219" i="2"/>
  <c r="AJ219" i="2"/>
  <c r="AE219" i="2"/>
  <c r="AD219" i="2"/>
  <c r="AC219" i="2"/>
  <c r="W219" i="2"/>
  <c r="Y219" i="2" s="1"/>
  <c r="AB219" i="2" s="1"/>
  <c r="V219" i="2"/>
  <c r="AP219" i="2" s="1"/>
  <c r="S219" i="2"/>
  <c r="R219" i="2"/>
  <c r="O219" i="2"/>
  <c r="T219" i="2" s="1"/>
  <c r="N219" i="2"/>
  <c r="A219" i="2"/>
  <c r="AL218" i="2"/>
  <c r="AM218" i="2" s="1"/>
  <c r="AK218" i="2"/>
  <c r="AJ218" i="2"/>
  <c r="AE218" i="2"/>
  <c r="AD218" i="2"/>
  <c r="AC218" i="2"/>
  <c r="R218" i="2"/>
  <c r="O218" i="2"/>
  <c r="T218" i="2" s="1"/>
  <c r="N218" i="2"/>
  <c r="A218" i="2"/>
  <c r="AM217" i="2"/>
  <c r="AL217" i="2"/>
  <c r="AK217" i="2"/>
  <c r="AJ217" i="2"/>
  <c r="AE217" i="2"/>
  <c r="AD217" i="2"/>
  <c r="AC217" i="2"/>
  <c r="T217" i="2"/>
  <c r="R217" i="2"/>
  <c r="O217" i="2"/>
  <c r="W217" i="2" s="1"/>
  <c r="A217" i="2"/>
  <c r="AL216" i="2"/>
  <c r="AM216" i="2" s="1"/>
  <c r="AK216" i="2"/>
  <c r="AJ216" i="2"/>
  <c r="AE216" i="2"/>
  <c r="AD216" i="2"/>
  <c r="AC216" i="2"/>
  <c r="W216" i="2"/>
  <c r="Y216" i="2" s="1"/>
  <c r="AB216" i="2" s="1"/>
  <c r="V216" i="2"/>
  <c r="AP216" i="2" s="1"/>
  <c r="S216" i="2"/>
  <c r="R216" i="2"/>
  <c r="O216" i="2"/>
  <c r="T216" i="2" s="1"/>
  <c r="N216" i="2"/>
  <c r="A216" i="2"/>
  <c r="AL215" i="2"/>
  <c r="AM215" i="2" s="1"/>
  <c r="AK215" i="2"/>
  <c r="AJ215" i="2"/>
  <c r="AE215" i="2"/>
  <c r="AD215" i="2"/>
  <c r="AC215" i="2"/>
  <c r="R215" i="2"/>
  <c r="O215" i="2"/>
  <c r="T215" i="2" s="1"/>
  <c r="N215" i="2"/>
  <c r="A215" i="2"/>
  <c r="AM214" i="2"/>
  <c r="AL214" i="2"/>
  <c r="AK214" i="2"/>
  <c r="AJ214" i="2"/>
  <c r="AE214" i="2"/>
  <c r="AD214" i="2"/>
  <c r="AC214" i="2"/>
  <c r="R214" i="2"/>
  <c r="O214" i="2"/>
  <c r="W214" i="2" s="1"/>
  <c r="N214" i="2"/>
  <c r="T214" i="2" s="1"/>
  <c r="A214" i="2"/>
  <c r="AM213" i="2"/>
  <c r="AL213" i="2"/>
  <c r="AK213" i="2"/>
  <c r="AJ213" i="2"/>
  <c r="AE213" i="2"/>
  <c r="AD213" i="2"/>
  <c r="AC213" i="2"/>
  <c r="W213" i="2"/>
  <c r="Y213" i="2" s="1"/>
  <c r="AB213" i="2" s="1"/>
  <c r="S213" i="2"/>
  <c r="V213" i="2" s="1"/>
  <c r="R213" i="2"/>
  <c r="O213" i="2"/>
  <c r="N213" i="2"/>
  <c r="T213" i="2" s="1"/>
  <c r="A213" i="2"/>
  <c r="AL212" i="2"/>
  <c r="AM212" i="2" s="1"/>
  <c r="AK212" i="2"/>
  <c r="AJ212" i="2"/>
  <c r="AE212" i="2"/>
  <c r="AD212" i="2"/>
  <c r="AC212" i="2"/>
  <c r="W212" i="2"/>
  <c r="Y212" i="2" s="1"/>
  <c r="AB212" i="2" s="1"/>
  <c r="V212" i="2"/>
  <c r="AP212" i="2" s="1"/>
  <c r="S212" i="2"/>
  <c r="R212" i="2"/>
  <c r="O212" i="2"/>
  <c r="T212" i="2" s="1"/>
  <c r="N212" i="2"/>
  <c r="A212" i="2"/>
  <c r="AL211" i="2"/>
  <c r="AM211" i="2" s="1"/>
  <c r="AK211" i="2"/>
  <c r="AJ211" i="2"/>
  <c r="AE211" i="2"/>
  <c r="AD211" i="2"/>
  <c r="AC211" i="2"/>
  <c r="R211" i="2"/>
  <c r="O211" i="2"/>
  <c r="T211" i="2" s="1"/>
  <c r="N211" i="2"/>
  <c r="A211" i="2"/>
  <c r="AM210" i="2"/>
  <c r="AL210" i="2"/>
  <c r="AK210" i="2"/>
  <c r="AJ210" i="2"/>
  <c r="AE210" i="2"/>
  <c r="AD210" i="2"/>
  <c r="AC210" i="2"/>
  <c r="R210" i="2"/>
  <c r="O210" i="2"/>
  <c r="W210" i="2" s="1"/>
  <c r="N210" i="2"/>
  <c r="T210" i="2" s="1"/>
  <c r="A210" i="2"/>
  <c r="AM209" i="2"/>
  <c r="AL209" i="2"/>
  <c r="AK209" i="2"/>
  <c r="AJ209" i="2"/>
  <c r="AE209" i="2"/>
  <c r="AD209" i="2"/>
  <c r="AC209" i="2"/>
  <c r="W209" i="2"/>
  <c r="Y209" i="2" s="1"/>
  <c r="AB209" i="2" s="1"/>
  <c r="T209" i="2"/>
  <c r="S209" i="2"/>
  <c r="V209" i="2" s="1"/>
  <c r="R209" i="2"/>
  <c r="A209" i="2"/>
  <c r="AM208" i="2"/>
  <c r="AL208" i="2"/>
  <c r="AK208" i="2"/>
  <c r="AJ208" i="2"/>
  <c r="AE208" i="2"/>
  <c r="AD208" i="2"/>
  <c r="AC208" i="2"/>
  <c r="AB208" i="2"/>
  <c r="Y208" i="2"/>
  <c r="W208" i="2"/>
  <c r="T208" i="2"/>
  <c r="S208" i="2"/>
  <c r="V208" i="2" s="1"/>
  <c r="R208" i="2"/>
  <c r="A208" i="2"/>
  <c r="AL207" i="2"/>
  <c r="AM207" i="2" s="1"/>
  <c r="AK207" i="2"/>
  <c r="AJ207" i="2"/>
  <c r="AE207" i="2"/>
  <c r="AD207" i="2"/>
  <c r="AC207" i="2"/>
  <c r="R207" i="2"/>
  <c r="O207" i="2"/>
  <c r="T207" i="2" s="1"/>
  <c r="A207" i="2"/>
  <c r="AM206" i="2"/>
  <c r="AL206" i="2"/>
  <c r="AK206" i="2"/>
  <c r="AJ206" i="2"/>
  <c r="AE206" i="2"/>
  <c r="AD206" i="2"/>
  <c r="AC206" i="2"/>
  <c r="W206" i="2"/>
  <c r="Y206" i="2" s="1"/>
  <c r="AB206" i="2" s="1"/>
  <c r="S206" i="2"/>
  <c r="V206" i="2" s="1"/>
  <c r="R206" i="2"/>
  <c r="O206" i="2"/>
  <c r="N206" i="2"/>
  <c r="T206" i="2" s="1"/>
  <c r="A206" i="2"/>
  <c r="AL205" i="2"/>
  <c r="AM205" i="2" s="1"/>
  <c r="AK205" i="2"/>
  <c r="AJ205" i="2"/>
  <c r="AE205" i="2"/>
  <c r="AD205" i="2"/>
  <c r="AC205" i="2"/>
  <c r="W205" i="2"/>
  <c r="Y205" i="2" s="1"/>
  <c r="AB205" i="2" s="1"/>
  <c r="V205" i="2"/>
  <c r="AP205" i="2" s="1"/>
  <c r="S205" i="2"/>
  <c r="R205" i="2"/>
  <c r="O205" i="2"/>
  <c r="T205" i="2" s="1"/>
  <c r="N205" i="2"/>
  <c r="A205" i="2"/>
  <c r="AL204" i="2"/>
  <c r="AM204" i="2" s="1"/>
  <c r="AK204" i="2"/>
  <c r="AJ204" i="2"/>
  <c r="AE204" i="2"/>
  <c r="AD204" i="2"/>
  <c r="AC204" i="2"/>
  <c r="R204" i="2"/>
  <c r="O204" i="2"/>
  <c r="T204" i="2" s="1"/>
  <c r="N204" i="2"/>
  <c r="A204" i="2"/>
  <c r="AM203" i="2"/>
  <c r="AL203" i="2"/>
  <c r="AK203" i="2"/>
  <c r="AJ203" i="2"/>
  <c r="AE203" i="2"/>
  <c r="AD203" i="2"/>
  <c r="AC203" i="2"/>
  <c r="T203" i="2"/>
  <c r="R203" i="2"/>
  <c r="O203" i="2"/>
  <c r="W203" i="2" s="1"/>
  <c r="A203" i="2"/>
  <c r="AL202" i="2"/>
  <c r="AM202" i="2" s="1"/>
  <c r="AK202" i="2"/>
  <c r="AJ202" i="2"/>
  <c r="AE202" i="2"/>
  <c r="AD202" i="2"/>
  <c r="AC202" i="2"/>
  <c r="W202" i="2"/>
  <c r="Y202" i="2" s="1"/>
  <c r="AB202" i="2" s="1"/>
  <c r="V202" i="2"/>
  <c r="AP202" i="2" s="1"/>
  <c r="S202" i="2"/>
  <c r="R202" i="2"/>
  <c r="O202" i="2"/>
  <c r="T202" i="2" s="1"/>
  <c r="N202" i="2"/>
  <c r="A202" i="2"/>
  <c r="AP201" i="2"/>
  <c r="AL201" i="2"/>
  <c r="AM201" i="2" s="1"/>
  <c r="AK201" i="2"/>
  <c r="AJ201" i="2"/>
  <c r="AE201" i="2"/>
  <c r="AD201" i="2"/>
  <c r="AC201" i="2"/>
  <c r="Y201" i="2"/>
  <c r="AB201" i="2" s="1"/>
  <c r="W201" i="2"/>
  <c r="V201" i="2"/>
  <c r="AO201" i="2" s="1"/>
  <c r="T201" i="2"/>
  <c r="S201" i="2"/>
  <c r="R201" i="2"/>
  <c r="A201" i="2"/>
  <c r="AL200" i="2"/>
  <c r="AM200" i="2" s="1"/>
  <c r="AK200" i="2"/>
  <c r="AJ200" i="2"/>
  <c r="AE200" i="2"/>
  <c r="AD200" i="2"/>
  <c r="AC200" i="2"/>
  <c r="W200" i="2"/>
  <c r="Y200" i="2" s="1"/>
  <c r="AB200" i="2" s="1"/>
  <c r="T200" i="2"/>
  <c r="S200" i="2"/>
  <c r="V200" i="2" s="1"/>
  <c r="R200" i="2"/>
  <c r="A200" i="2"/>
  <c r="AM199" i="2"/>
  <c r="AL199" i="2"/>
  <c r="AK199" i="2"/>
  <c r="AJ199" i="2"/>
  <c r="AE199" i="2"/>
  <c r="AD199" i="2"/>
  <c r="AC199" i="2"/>
  <c r="W199" i="2"/>
  <c r="Y199" i="2" s="1"/>
  <c r="AB199" i="2" s="1"/>
  <c r="T199" i="2"/>
  <c r="S199" i="2"/>
  <c r="V199" i="2" s="1"/>
  <c r="R199" i="2"/>
  <c r="A199" i="2"/>
  <c r="AM198" i="2"/>
  <c r="AL198" i="2"/>
  <c r="AK198" i="2"/>
  <c r="AJ198" i="2"/>
  <c r="AE198" i="2"/>
  <c r="AD198" i="2"/>
  <c r="AC198" i="2"/>
  <c r="AB198" i="2"/>
  <c r="Y198" i="2"/>
  <c r="W198" i="2"/>
  <c r="T198" i="2"/>
  <c r="S198" i="2"/>
  <c r="V198" i="2" s="1"/>
  <c r="R198" i="2"/>
  <c r="A198" i="2"/>
  <c r="AL197" i="2"/>
  <c r="AM197" i="2" s="1"/>
  <c r="AK197" i="2"/>
  <c r="AJ197" i="2"/>
  <c r="AE197" i="2"/>
  <c r="AD197" i="2"/>
  <c r="AC197" i="2"/>
  <c r="R197" i="2"/>
  <c r="O197" i="2"/>
  <c r="T197" i="2" s="1"/>
  <c r="N197" i="2"/>
  <c r="A197" i="2"/>
  <c r="AM196" i="2"/>
  <c r="AL196" i="2"/>
  <c r="AK196" i="2"/>
  <c r="AJ196" i="2"/>
  <c r="AE196" i="2"/>
  <c r="AD196" i="2"/>
  <c r="AC196" i="2"/>
  <c r="R196" i="2"/>
  <c r="O196" i="2"/>
  <c r="W196" i="2" s="1"/>
  <c r="N196" i="2"/>
  <c r="T196" i="2" s="1"/>
  <c r="A196" i="2"/>
  <c r="AM195" i="2"/>
  <c r="AL195" i="2"/>
  <c r="AK195" i="2"/>
  <c r="AJ195" i="2"/>
  <c r="AE195" i="2"/>
  <c r="AD195" i="2"/>
  <c r="AC195" i="2"/>
  <c r="W195" i="2"/>
  <c r="Y195" i="2" s="1"/>
  <c r="AB195" i="2" s="1"/>
  <c r="S195" i="2"/>
  <c r="V195" i="2" s="1"/>
  <c r="R195" i="2"/>
  <c r="O195" i="2"/>
  <c r="N195" i="2"/>
  <c r="T195" i="2" s="1"/>
  <c r="A195" i="2"/>
  <c r="AL194" i="2"/>
  <c r="AM194" i="2" s="1"/>
  <c r="AK194" i="2"/>
  <c r="AJ194" i="2"/>
  <c r="AE194" i="2"/>
  <c r="AD194" i="2"/>
  <c r="AC194" i="2"/>
  <c r="W194" i="2"/>
  <c r="Y194" i="2" s="1"/>
  <c r="AB194" i="2" s="1"/>
  <c r="V194" i="2"/>
  <c r="AP194" i="2" s="1"/>
  <c r="S194" i="2"/>
  <c r="R194" i="2"/>
  <c r="O194" i="2"/>
  <c r="T194" i="2" s="1"/>
  <c r="N194" i="2"/>
  <c r="A194" i="2"/>
  <c r="AL193" i="2"/>
  <c r="AM193" i="2" s="1"/>
  <c r="AK193" i="2"/>
  <c r="AJ193" i="2"/>
  <c r="AE193" i="2"/>
  <c r="AD193" i="2"/>
  <c r="AC193" i="2"/>
  <c r="R193" i="2"/>
  <c r="O193" i="2"/>
  <c r="T193" i="2" s="1"/>
  <c r="N193" i="2"/>
  <c r="A193" i="2"/>
  <c r="AM192" i="2"/>
  <c r="AL192" i="2"/>
  <c r="AK192" i="2"/>
  <c r="AJ192" i="2"/>
  <c r="AE192" i="2"/>
  <c r="AD192" i="2"/>
  <c r="AC192" i="2"/>
  <c r="R192" i="2"/>
  <c r="O192" i="2"/>
  <c r="W192" i="2" s="1"/>
  <c r="N192" i="2"/>
  <c r="T192" i="2" s="1"/>
  <c r="A192" i="2"/>
  <c r="AM191" i="2"/>
  <c r="AL191" i="2"/>
  <c r="AK191" i="2"/>
  <c r="AJ191" i="2"/>
  <c r="AE191" i="2"/>
  <c r="AD191" i="2"/>
  <c r="AC191" i="2"/>
  <c r="W191" i="2"/>
  <c r="Y191" i="2" s="1"/>
  <c r="AB191" i="2" s="1"/>
  <c r="S191" i="2"/>
  <c r="V191" i="2" s="1"/>
  <c r="R191" i="2"/>
  <c r="O191" i="2"/>
  <c r="N191" i="2"/>
  <c r="T191" i="2" s="1"/>
  <c r="A191" i="2"/>
  <c r="AL190" i="2"/>
  <c r="AM190" i="2" s="1"/>
  <c r="AK190" i="2"/>
  <c r="AJ190" i="2"/>
  <c r="AE190" i="2"/>
  <c r="AD190" i="2"/>
  <c r="AC190" i="2"/>
  <c r="W190" i="2"/>
  <c r="Y190" i="2" s="1"/>
  <c r="AB190" i="2" s="1"/>
  <c r="V190" i="2"/>
  <c r="AP190" i="2" s="1"/>
  <c r="S190" i="2"/>
  <c r="R190" i="2"/>
  <c r="O190" i="2"/>
  <c r="T190" i="2" s="1"/>
  <c r="N190" i="2"/>
  <c r="A190" i="2"/>
  <c r="AP189" i="2"/>
  <c r="AL189" i="2"/>
  <c r="AM189" i="2" s="1"/>
  <c r="AK189" i="2"/>
  <c r="AJ189" i="2"/>
  <c r="AE189" i="2"/>
  <c r="AD189" i="2"/>
  <c r="AC189" i="2"/>
  <c r="Y189" i="2"/>
  <c r="AB189" i="2" s="1"/>
  <c r="W189" i="2"/>
  <c r="V189" i="2"/>
  <c r="AO189" i="2" s="1"/>
  <c r="T189" i="2"/>
  <c r="S189" i="2"/>
  <c r="R189" i="2"/>
  <c r="A189" i="2"/>
  <c r="AL188" i="2"/>
  <c r="AM188" i="2" s="1"/>
  <c r="AK188" i="2"/>
  <c r="AJ188" i="2"/>
  <c r="AE188" i="2"/>
  <c r="AD188" i="2"/>
  <c r="AC188" i="2"/>
  <c r="W188" i="2"/>
  <c r="Y188" i="2" s="1"/>
  <c r="AB188" i="2" s="1"/>
  <c r="T188" i="2"/>
  <c r="S188" i="2"/>
  <c r="V188" i="2" s="1"/>
  <c r="R188" i="2"/>
  <c r="A188" i="2"/>
  <c r="AM187" i="2"/>
  <c r="AL187" i="2"/>
  <c r="AK187" i="2"/>
  <c r="AJ187" i="2"/>
  <c r="AE187" i="2"/>
  <c r="AD187" i="2"/>
  <c r="AC187" i="2"/>
  <c r="W187" i="2"/>
  <c r="Y187" i="2" s="1"/>
  <c r="AB187" i="2" s="1"/>
  <c r="S187" i="2"/>
  <c r="V187" i="2" s="1"/>
  <c r="R187" i="2"/>
  <c r="O187" i="2"/>
  <c r="N187" i="2"/>
  <c r="T187" i="2" s="1"/>
  <c r="A187" i="2"/>
  <c r="AL186" i="2"/>
  <c r="AM186" i="2" s="1"/>
  <c r="AK186" i="2"/>
  <c r="AJ186" i="2"/>
  <c r="AE186" i="2"/>
  <c r="AD186" i="2"/>
  <c r="AC186" i="2"/>
  <c r="W186" i="2"/>
  <c r="Y186" i="2" s="1"/>
  <c r="AB186" i="2" s="1"/>
  <c r="S186" i="2"/>
  <c r="V186" i="2" s="1"/>
  <c r="R186" i="2"/>
  <c r="O186" i="2"/>
  <c r="T186" i="2" s="1"/>
  <c r="N186" i="2"/>
  <c r="A186" i="2"/>
  <c r="AL185" i="2"/>
  <c r="AM185" i="2" s="1"/>
  <c r="AK185" i="2"/>
  <c r="AJ185" i="2"/>
  <c r="AE185" i="2"/>
  <c r="AD185" i="2"/>
  <c r="AC185" i="2"/>
  <c r="R185" i="2"/>
  <c r="O185" i="2"/>
  <c r="T185" i="2" s="1"/>
  <c r="N185" i="2"/>
  <c r="A185" i="2"/>
  <c r="AM184" i="2"/>
  <c r="AL184" i="2"/>
  <c r="AK184" i="2"/>
  <c r="AJ184" i="2"/>
  <c r="AE184" i="2"/>
  <c r="AD184" i="2"/>
  <c r="AC184" i="2"/>
  <c r="R184" i="2"/>
  <c r="O184" i="2"/>
  <c r="T184" i="2" s="1"/>
  <c r="N184" i="2"/>
  <c r="A184" i="2"/>
  <c r="AM183" i="2"/>
  <c r="AL183" i="2"/>
  <c r="AK183" i="2"/>
  <c r="AJ183" i="2"/>
  <c r="AE183" i="2"/>
  <c r="AD183" i="2"/>
  <c r="AC183" i="2"/>
  <c r="W183" i="2"/>
  <c r="Y183" i="2" s="1"/>
  <c r="AB183" i="2" s="1"/>
  <c r="T183" i="2"/>
  <c r="S183" i="2"/>
  <c r="V183" i="2" s="1"/>
  <c r="R183" i="2"/>
  <c r="A183" i="2"/>
  <c r="AM182" i="2"/>
  <c r="AL182" i="2"/>
  <c r="AK182" i="2"/>
  <c r="AJ182" i="2"/>
  <c r="AE182" i="2"/>
  <c r="AD182" i="2"/>
  <c r="AC182" i="2"/>
  <c r="AB182" i="2"/>
  <c r="Y182" i="2"/>
  <c r="W182" i="2"/>
  <c r="T182" i="2"/>
  <c r="S182" i="2"/>
  <c r="V182" i="2" s="1"/>
  <c r="R182" i="2"/>
  <c r="A182" i="2"/>
  <c r="AL181" i="2"/>
  <c r="AM181" i="2" s="1"/>
  <c r="AK181" i="2"/>
  <c r="AJ181" i="2"/>
  <c r="AE181" i="2"/>
  <c r="AD181" i="2"/>
  <c r="AC181" i="2"/>
  <c r="R181" i="2"/>
  <c r="O181" i="2"/>
  <c r="T181" i="2" s="1"/>
  <c r="A181" i="2"/>
  <c r="AM180" i="2"/>
  <c r="AL180" i="2"/>
  <c r="AK180" i="2"/>
  <c r="AJ180" i="2"/>
  <c r="AE180" i="2"/>
  <c r="AD180" i="2"/>
  <c r="AC180" i="2"/>
  <c r="W180" i="2"/>
  <c r="Y180" i="2" s="1"/>
  <c r="AB180" i="2" s="1"/>
  <c r="S180" i="2"/>
  <c r="V180" i="2" s="1"/>
  <c r="R180" i="2"/>
  <c r="O180" i="2"/>
  <c r="N180" i="2"/>
  <c r="T180" i="2" s="1"/>
  <c r="A180" i="2"/>
  <c r="AL179" i="2"/>
  <c r="AM179" i="2" s="1"/>
  <c r="AK179" i="2"/>
  <c r="AJ179" i="2"/>
  <c r="AE179" i="2"/>
  <c r="AD179" i="2"/>
  <c r="AC179" i="2"/>
  <c r="W179" i="2"/>
  <c r="Y179" i="2" s="1"/>
  <c r="AB179" i="2" s="1"/>
  <c r="V179" i="2"/>
  <c r="AP179" i="2" s="1"/>
  <c r="S179" i="2"/>
  <c r="R179" i="2"/>
  <c r="O179" i="2"/>
  <c r="T179" i="2" s="1"/>
  <c r="N179" i="2"/>
  <c r="A179" i="2"/>
  <c r="AL178" i="2"/>
  <c r="AM178" i="2" s="1"/>
  <c r="AK178" i="2"/>
  <c r="AJ178" i="2"/>
  <c r="AE178" i="2"/>
  <c r="AD178" i="2"/>
  <c r="AC178" i="2"/>
  <c r="R178" i="2"/>
  <c r="O178" i="2"/>
  <c r="T178" i="2" s="1"/>
  <c r="N178" i="2"/>
  <c r="A178" i="2"/>
  <c r="AM177" i="2"/>
  <c r="AL177" i="2"/>
  <c r="AK177" i="2"/>
  <c r="AJ177" i="2"/>
  <c r="AE177" i="2"/>
  <c r="AD177" i="2"/>
  <c r="AC177" i="2"/>
  <c r="R177" i="2"/>
  <c r="O177" i="2"/>
  <c r="W177" i="2" s="1"/>
  <c r="N177" i="2"/>
  <c r="T177" i="2" s="1"/>
  <c r="A177" i="2"/>
  <c r="AM176" i="2"/>
  <c r="AL176" i="2"/>
  <c r="AK176" i="2"/>
  <c r="AJ176" i="2"/>
  <c r="AE176" i="2"/>
  <c r="AD176" i="2"/>
  <c r="AC176" i="2"/>
  <c r="W176" i="2"/>
  <c r="Y176" i="2" s="1"/>
  <c r="AB176" i="2" s="1"/>
  <c r="S176" i="2"/>
  <c r="V176" i="2" s="1"/>
  <c r="R176" i="2"/>
  <c r="O176" i="2"/>
  <c r="N176" i="2"/>
  <c r="T176" i="2" s="1"/>
  <c r="A176" i="2"/>
  <c r="AL175" i="2"/>
  <c r="AM175" i="2" s="1"/>
  <c r="AK175" i="2"/>
  <c r="AJ175" i="2"/>
  <c r="AE175" i="2"/>
  <c r="AD175" i="2"/>
  <c r="AC175" i="2"/>
  <c r="W175" i="2"/>
  <c r="Y175" i="2" s="1"/>
  <c r="AB175" i="2" s="1"/>
  <c r="V175" i="2"/>
  <c r="AP175" i="2" s="1"/>
  <c r="T175" i="2"/>
  <c r="S175" i="2"/>
  <c r="R175" i="2"/>
  <c r="K175" i="2"/>
  <c r="A175" i="2"/>
  <c r="AM174" i="2"/>
  <c r="AL174" i="2"/>
  <c r="AK174" i="2"/>
  <c r="AJ174" i="2"/>
  <c r="AE174" i="2"/>
  <c r="AD174" i="2"/>
  <c r="AC174" i="2"/>
  <c r="AB174" i="2"/>
  <c r="Y174" i="2"/>
  <c r="W174" i="2"/>
  <c r="T174" i="2"/>
  <c r="S174" i="2"/>
  <c r="V174" i="2" s="1"/>
  <c r="R174" i="2"/>
  <c r="A174" i="2"/>
  <c r="AL173" i="2"/>
  <c r="AM173" i="2" s="1"/>
  <c r="AK173" i="2"/>
  <c r="AJ173" i="2"/>
  <c r="AE173" i="2"/>
  <c r="AD173" i="2"/>
  <c r="AC173" i="2"/>
  <c r="R173" i="2"/>
  <c r="O173" i="2"/>
  <c r="T173" i="2" s="1"/>
  <c r="N173" i="2"/>
  <c r="A173" i="2"/>
  <c r="AM172" i="2"/>
  <c r="AL172" i="2"/>
  <c r="AK172" i="2"/>
  <c r="AJ172" i="2"/>
  <c r="AE172" i="2"/>
  <c r="AD172" i="2"/>
  <c r="AC172" i="2"/>
  <c r="R172" i="2"/>
  <c r="O172" i="2"/>
  <c r="W172" i="2" s="1"/>
  <c r="N172" i="2"/>
  <c r="T172" i="2" s="1"/>
  <c r="A172" i="2"/>
  <c r="AM171" i="2"/>
  <c r="AL171" i="2"/>
  <c r="AK171" i="2"/>
  <c r="AJ171" i="2"/>
  <c r="AE171" i="2"/>
  <c r="AD171" i="2"/>
  <c r="AC171" i="2"/>
  <c r="W171" i="2"/>
  <c r="Y171" i="2" s="1"/>
  <c r="AB171" i="2" s="1"/>
  <c r="S171" i="2"/>
  <c r="V171" i="2" s="1"/>
  <c r="R171" i="2"/>
  <c r="O171" i="2"/>
  <c r="N171" i="2"/>
  <c r="T171" i="2" s="1"/>
  <c r="A171" i="2"/>
  <c r="AL170" i="2"/>
  <c r="AM170" i="2" s="1"/>
  <c r="AK170" i="2"/>
  <c r="AJ170" i="2"/>
  <c r="AE170" i="2"/>
  <c r="AD170" i="2"/>
  <c r="AC170" i="2"/>
  <c r="W170" i="2"/>
  <c r="Y170" i="2" s="1"/>
  <c r="AB170" i="2" s="1"/>
  <c r="V170" i="2"/>
  <c r="AP170" i="2" s="1"/>
  <c r="S170" i="2"/>
  <c r="R170" i="2"/>
  <c r="O170" i="2"/>
  <c r="T170" i="2" s="1"/>
  <c r="N170" i="2"/>
  <c r="A170" i="2"/>
  <c r="AL169" i="2"/>
  <c r="AM169" i="2" s="1"/>
  <c r="AK169" i="2"/>
  <c r="AJ169" i="2"/>
  <c r="AE169" i="2"/>
  <c r="AD169" i="2"/>
  <c r="AC169" i="2"/>
  <c r="R169" i="2"/>
  <c r="O169" i="2"/>
  <c r="T169" i="2" s="1"/>
  <c r="N169" i="2"/>
  <c r="A169" i="2"/>
  <c r="AM168" i="2"/>
  <c r="AL168" i="2"/>
  <c r="AK168" i="2"/>
  <c r="AJ168" i="2"/>
  <c r="AE168" i="2"/>
  <c r="AD168" i="2"/>
  <c r="AC168" i="2"/>
  <c r="R168" i="2"/>
  <c r="O168" i="2"/>
  <c r="W168" i="2" s="1"/>
  <c r="N168" i="2"/>
  <c r="T168" i="2" s="1"/>
  <c r="A168" i="2"/>
  <c r="AM167" i="2"/>
  <c r="AL167" i="2"/>
  <c r="AK167" i="2"/>
  <c r="AJ167" i="2"/>
  <c r="AE167" i="2"/>
  <c r="AD167" i="2"/>
  <c r="AC167" i="2"/>
  <c r="W167" i="2"/>
  <c r="Y167" i="2" s="1"/>
  <c r="AB167" i="2" s="1"/>
  <c r="S167" i="2"/>
  <c r="V167" i="2" s="1"/>
  <c r="R167" i="2"/>
  <c r="O167" i="2"/>
  <c r="N167" i="2"/>
  <c r="T167" i="2" s="1"/>
  <c r="A167" i="2"/>
  <c r="AL166" i="2"/>
  <c r="AM166" i="2" s="1"/>
  <c r="AK166" i="2"/>
  <c r="AJ166" i="2"/>
  <c r="AE166" i="2"/>
  <c r="AD166" i="2"/>
  <c r="AC166" i="2"/>
  <c r="W166" i="2"/>
  <c r="Y166" i="2" s="1"/>
  <c r="AB166" i="2" s="1"/>
  <c r="V166" i="2"/>
  <c r="S166" i="2"/>
  <c r="R166" i="2"/>
  <c r="O166" i="2"/>
  <c r="T166" i="2" s="1"/>
  <c r="N166" i="2"/>
  <c r="A166" i="2"/>
  <c r="AL165" i="2"/>
  <c r="AM165" i="2" s="1"/>
  <c r="AK165" i="2"/>
  <c r="AJ165" i="2"/>
  <c r="AE165" i="2"/>
  <c r="AD165" i="2"/>
  <c r="AC165" i="2"/>
  <c r="R165" i="2"/>
  <c r="O165" i="2"/>
  <c r="N165" i="2"/>
  <c r="A165" i="2"/>
  <c r="AM164" i="2"/>
  <c r="AL164" i="2"/>
  <c r="AK164" i="2"/>
  <c r="AJ164" i="2"/>
  <c r="AE164" i="2"/>
  <c r="AD164" i="2"/>
  <c r="AC164" i="2"/>
  <c r="R164" i="2"/>
  <c r="O164" i="2"/>
  <c r="N164" i="2"/>
  <c r="A164" i="2"/>
  <c r="AM163" i="2"/>
  <c r="AL163" i="2"/>
  <c r="AK163" i="2"/>
  <c r="AJ163" i="2"/>
  <c r="AE163" i="2"/>
  <c r="AD163" i="2"/>
  <c r="AC163" i="2"/>
  <c r="W163" i="2"/>
  <c r="S163" i="2"/>
  <c r="V163" i="2" s="1"/>
  <c r="AP163" i="2" s="1"/>
  <c r="R163" i="2"/>
  <c r="O163" i="2"/>
  <c r="N163" i="2"/>
  <c r="T163" i="2" s="1"/>
  <c r="A163" i="2"/>
  <c r="AM162" i="2"/>
  <c r="AL162" i="2"/>
  <c r="AK162" i="2"/>
  <c r="AJ162" i="2"/>
  <c r="AE162" i="2"/>
  <c r="AD162" i="2"/>
  <c r="AC162" i="2"/>
  <c r="W162" i="2"/>
  <c r="S162" i="2"/>
  <c r="V162" i="2" s="1"/>
  <c r="R162" i="2"/>
  <c r="O162" i="2"/>
  <c r="T162" i="2" s="1"/>
  <c r="N162" i="2"/>
  <c r="A162" i="2"/>
  <c r="AL161" i="2"/>
  <c r="AM161" i="2" s="1"/>
  <c r="AK161" i="2"/>
  <c r="AJ161" i="2"/>
  <c r="AE161" i="2"/>
  <c r="AD161" i="2"/>
  <c r="AC161" i="2"/>
  <c r="R161" i="2"/>
  <c r="O161" i="2"/>
  <c r="N161" i="2"/>
  <c r="A161" i="2"/>
  <c r="AO160" i="2"/>
  <c r="AM160" i="2"/>
  <c r="AL160" i="2"/>
  <c r="AK160" i="2"/>
  <c r="AJ160" i="2"/>
  <c r="AE160" i="2"/>
  <c r="AD160" i="2"/>
  <c r="AC160" i="2"/>
  <c r="W160" i="2"/>
  <c r="Y160" i="2" s="1"/>
  <c r="AB160" i="2" s="1"/>
  <c r="S160" i="2"/>
  <c r="V160" i="2" s="1"/>
  <c r="AP160" i="2" s="1"/>
  <c r="R160" i="2"/>
  <c r="O160" i="2"/>
  <c r="N160" i="2"/>
  <c r="T160" i="2" s="1"/>
  <c r="A160" i="2"/>
  <c r="AL159" i="2"/>
  <c r="AM159" i="2" s="1"/>
  <c r="AK159" i="2"/>
  <c r="AJ159" i="2"/>
  <c r="AE159" i="2"/>
  <c r="AD159" i="2"/>
  <c r="AC159" i="2"/>
  <c r="W159" i="2"/>
  <c r="Y159" i="2" s="1"/>
  <c r="AB159" i="2" s="1"/>
  <c r="V159" i="2"/>
  <c r="AP159" i="2" s="1"/>
  <c r="S159" i="2"/>
  <c r="R159" i="2"/>
  <c r="O159" i="2"/>
  <c r="N159" i="2"/>
  <c r="T159" i="2" s="1"/>
  <c r="A159" i="2"/>
  <c r="AM158" i="2"/>
  <c r="AL158" i="2"/>
  <c r="AK158" i="2"/>
  <c r="AJ158" i="2"/>
  <c r="AE158" i="2"/>
  <c r="AD158" i="2"/>
  <c r="AC158" i="2"/>
  <c r="W158" i="2"/>
  <c r="R158" i="2"/>
  <c r="O158" i="2"/>
  <c r="T158" i="2" s="1"/>
  <c r="N158" i="2"/>
  <c r="A158" i="2"/>
  <c r="AL157" i="2"/>
  <c r="AM157" i="2" s="1"/>
  <c r="AK157" i="2"/>
  <c r="AJ157" i="2"/>
  <c r="AE157" i="2"/>
  <c r="AD157" i="2"/>
  <c r="AC157" i="2"/>
  <c r="Y157" i="2"/>
  <c r="AB157" i="2" s="1"/>
  <c r="W157" i="2"/>
  <c r="V157" i="2"/>
  <c r="AO157" i="2" s="1"/>
  <c r="T157" i="2"/>
  <c r="S157" i="2"/>
  <c r="R157" i="2"/>
  <c r="A157" i="2"/>
  <c r="AL156" i="2"/>
  <c r="AM156" i="2" s="1"/>
  <c r="AK156" i="2"/>
  <c r="AJ156" i="2"/>
  <c r="AE156" i="2"/>
  <c r="AD156" i="2"/>
  <c r="AC156" i="2"/>
  <c r="W156" i="2"/>
  <c r="Y156" i="2" s="1"/>
  <c r="AB156" i="2" s="1"/>
  <c r="T156" i="2"/>
  <c r="S156" i="2"/>
  <c r="V156" i="2" s="1"/>
  <c r="R156" i="2"/>
  <c r="A156" i="2"/>
  <c r="AM155" i="2"/>
  <c r="AL155" i="2"/>
  <c r="AK155" i="2"/>
  <c r="AJ155" i="2"/>
  <c r="AE155" i="2"/>
  <c r="AD155" i="2"/>
  <c r="AC155" i="2"/>
  <c r="W155" i="2"/>
  <c r="V155" i="2"/>
  <c r="AP155" i="2" s="1"/>
  <c r="S155" i="2"/>
  <c r="R155" i="2"/>
  <c r="O155" i="2"/>
  <c r="N155" i="2"/>
  <c r="T155" i="2" s="1"/>
  <c r="A155" i="2"/>
  <c r="AM154" i="2"/>
  <c r="AL154" i="2"/>
  <c r="AK154" i="2"/>
  <c r="AJ154" i="2"/>
  <c r="AE154" i="2"/>
  <c r="AD154" i="2"/>
  <c r="AC154" i="2"/>
  <c r="W154" i="2"/>
  <c r="R154" i="2"/>
  <c r="O154" i="2"/>
  <c r="T154" i="2" s="1"/>
  <c r="N154" i="2"/>
  <c r="A154" i="2"/>
  <c r="AP153" i="2"/>
  <c r="AL153" i="2"/>
  <c r="AM153" i="2" s="1"/>
  <c r="AK153" i="2"/>
  <c r="AJ153" i="2"/>
  <c r="AE153" i="2"/>
  <c r="AD153" i="2"/>
  <c r="AC153" i="2"/>
  <c r="Y153" i="2"/>
  <c r="AB153" i="2" s="1"/>
  <c r="W153" i="2"/>
  <c r="V153" i="2"/>
  <c r="AO153" i="2" s="1"/>
  <c r="T153" i="2"/>
  <c r="S153" i="2"/>
  <c r="R153" i="2"/>
  <c r="A153" i="2"/>
  <c r="AM152" i="2"/>
  <c r="AL152" i="2"/>
  <c r="AK152" i="2"/>
  <c r="AJ152" i="2"/>
  <c r="AE152" i="2"/>
  <c r="AD152" i="2"/>
  <c r="AC152" i="2"/>
  <c r="W152" i="2"/>
  <c r="Y152" i="2" s="1"/>
  <c r="AB152" i="2" s="1"/>
  <c r="T152" i="2"/>
  <c r="S152" i="2"/>
  <c r="V152" i="2" s="1"/>
  <c r="R152" i="2"/>
  <c r="A152" i="2"/>
  <c r="AM151" i="2"/>
  <c r="AL151" i="2"/>
  <c r="AK151" i="2"/>
  <c r="AJ151" i="2"/>
  <c r="AE151" i="2"/>
  <c r="AD151" i="2"/>
  <c r="AC151" i="2"/>
  <c r="W151" i="2"/>
  <c r="V151" i="2"/>
  <c r="AP151" i="2" s="1"/>
  <c r="S151" i="2"/>
  <c r="R151" i="2"/>
  <c r="O151" i="2"/>
  <c r="N151" i="2"/>
  <c r="T151" i="2" s="1"/>
  <c r="A151" i="2"/>
  <c r="AM150" i="2"/>
  <c r="AL150" i="2"/>
  <c r="AK150" i="2"/>
  <c r="AJ150" i="2"/>
  <c r="AE150" i="2"/>
  <c r="AD150" i="2"/>
  <c r="AC150" i="2"/>
  <c r="W150" i="2"/>
  <c r="R150" i="2"/>
  <c r="O150" i="2"/>
  <c r="T150" i="2" s="1"/>
  <c r="N150" i="2"/>
  <c r="A150" i="2"/>
  <c r="AL149" i="2"/>
  <c r="AM149" i="2" s="1"/>
  <c r="AK149" i="2"/>
  <c r="AJ149" i="2"/>
  <c r="AE149" i="2"/>
  <c r="AD149" i="2"/>
  <c r="AC149" i="2"/>
  <c r="T149" i="2"/>
  <c r="R149" i="2"/>
  <c r="O149" i="2"/>
  <c r="N149" i="2"/>
  <c r="A149" i="2"/>
  <c r="AM148" i="2"/>
  <c r="AL148" i="2"/>
  <c r="AK148" i="2"/>
  <c r="AJ148" i="2"/>
  <c r="AE148" i="2"/>
  <c r="AD148" i="2"/>
  <c r="AC148" i="2"/>
  <c r="W148" i="2"/>
  <c r="R148" i="2"/>
  <c r="O148" i="2"/>
  <c r="S148" i="2" s="1"/>
  <c r="N148" i="2"/>
  <c r="T148" i="2" s="1"/>
  <c r="A148" i="2"/>
  <c r="AL147" i="2"/>
  <c r="AM147" i="2" s="1"/>
  <c r="AK147" i="2"/>
  <c r="AJ147" i="2"/>
  <c r="AE147" i="2"/>
  <c r="AD147" i="2"/>
  <c r="AC147" i="2"/>
  <c r="W147" i="2"/>
  <c r="R147" i="2"/>
  <c r="O147" i="2"/>
  <c r="N147" i="2"/>
  <c r="T147" i="2" s="1"/>
  <c r="A147" i="2"/>
  <c r="AL146" i="2"/>
  <c r="AM146" i="2" s="1"/>
  <c r="AK146" i="2"/>
  <c r="AJ146" i="2"/>
  <c r="AE146" i="2"/>
  <c r="AD146" i="2"/>
  <c r="AC146" i="2"/>
  <c r="S146" i="2"/>
  <c r="V146" i="2" s="1"/>
  <c r="R146" i="2"/>
  <c r="O146" i="2"/>
  <c r="T146" i="2" s="1"/>
  <c r="N146" i="2"/>
  <c r="A146" i="2"/>
  <c r="AL145" i="2"/>
  <c r="AM145" i="2" s="1"/>
  <c r="AK145" i="2"/>
  <c r="AJ145" i="2"/>
  <c r="AE145" i="2"/>
  <c r="AD145" i="2"/>
  <c r="AC145" i="2"/>
  <c r="Y145" i="2"/>
  <c r="AB145" i="2" s="1"/>
  <c r="W145" i="2"/>
  <c r="V145" i="2"/>
  <c r="AP145" i="2" s="1"/>
  <c r="T145" i="2"/>
  <c r="S145" i="2"/>
  <c r="R145" i="2"/>
  <c r="A145" i="2"/>
  <c r="AL144" i="2"/>
  <c r="AM144" i="2" s="1"/>
  <c r="AK144" i="2"/>
  <c r="AJ144" i="2"/>
  <c r="AE144" i="2"/>
  <c r="AD144" i="2"/>
  <c r="AC144" i="2"/>
  <c r="W144" i="2"/>
  <c r="Y144" i="2" s="1"/>
  <c r="AB144" i="2" s="1"/>
  <c r="V144" i="2"/>
  <c r="AP144" i="2" s="1"/>
  <c r="S144" i="2"/>
  <c r="R144" i="2"/>
  <c r="O144" i="2"/>
  <c r="N144" i="2"/>
  <c r="T144" i="2" s="1"/>
  <c r="A144" i="2"/>
  <c r="AP143" i="2"/>
  <c r="AL143" i="2"/>
  <c r="AM143" i="2" s="1"/>
  <c r="AK143" i="2"/>
  <c r="AJ143" i="2"/>
  <c r="AE143" i="2"/>
  <c r="AD143" i="2"/>
  <c r="AC143" i="2"/>
  <c r="Y143" i="2"/>
  <c r="AB143" i="2" s="1"/>
  <c r="W143" i="2"/>
  <c r="V143" i="2"/>
  <c r="AO143" i="2" s="1"/>
  <c r="T143" i="2"/>
  <c r="S143" i="2"/>
  <c r="R143" i="2"/>
  <c r="A143" i="2"/>
  <c r="AL142" i="2"/>
  <c r="AM142" i="2" s="1"/>
  <c r="AK142" i="2"/>
  <c r="AJ142" i="2"/>
  <c r="AE142" i="2"/>
  <c r="AD142" i="2"/>
  <c r="AC142" i="2"/>
  <c r="W142" i="2"/>
  <c r="Y142" i="2" s="1"/>
  <c r="AB142" i="2" s="1"/>
  <c r="V142" i="2"/>
  <c r="AP142" i="2" s="1"/>
  <c r="S142" i="2"/>
  <c r="R142" i="2"/>
  <c r="O142" i="2"/>
  <c r="N142" i="2"/>
  <c r="T142" i="2" s="1"/>
  <c r="A142" i="2"/>
  <c r="AL141" i="2"/>
  <c r="AM141" i="2" s="1"/>
  <c r="AK141" i="2"/>
  <c r="AJ141" i="2"/>
  <c r="AE141" i="2"/>
  <c r="AD141" i="2"/>
  <c r="AC141" i="2"/>
  <c r="R141" i="2"/>
  <c r="O141" i="2"/>
  <c r="T141" i="2" s="1"/>
  <c r="N141" i="2"/>
  <c r="A141" i="2"/>
  <c r="AL140" i="2"/>
  <c r="AM140" i="2" s="1"/>
  <c r="AK140" i="2"/>
  <c r="AJ140" i="2"/>
  <c r="AE140" i="2"/>
  <c r="AD140" i="2"/>
  <c r="AC140" i="2"/>
  <c r="R140" i="2"/>
  <c r="O140" i="2"/>
  <c r="W140" i="2" s="1"/>
  <c r="N140" i="2"/>
  <c r="T140" i="2" s="1"/>
  <c r="A140" i="2"/>
  <c r="AM139" i="2"/>
  <c r="AL139" i="2"/>
  <c r="AK139" i="2"/>
  <c r="AJ139" i="2"/>
  <c r="AE139" i="2"/>
  <c r="AD139" i="2"/>
  <c r="AC139" i="2"/>
  <c r="W139" i="2"/>
  <c r="Y139" i="2" s="1"/>
  <c r="AB139" i="2" s="1"/>
  <c r="S139" i="2"/>
  <c r="V139" i="2" s="1"/>
  <c r="R139" i="2"/>
  <c r="O139" i="2"/>
  <c r="N139" i="2"/>
  <c r="T139" i="2" s="1"/>
  <c r="A139" i="2"/>
  <c r="AL138" i="2"/>
  <c r="AM138" i="2" s="1"/>
  <c r="AK138" i="2"/>
  <c r="AJ138" i="2"/>
  <c r="AE138" i="2"/>
  <c r="AD138" i="2"/>
  <c r="AC138" i="2"/>
  <c r="W138" i="2"/>
  <c r="Y138" i="2" s="1"/>
  <c r="AB138" i="2" s="1"/>
  <c r="V138" i="2"/>
  <c r="AP138" i="2" s="1"/>
  <c r="S138" i="2"/>
  <c r="R138" i="2"/>
  <c r="O138" i="2"/>
  <c r="N138" i="2"/>
  <c r="T138" i="2" s="1"/>
  <c r="A138" i="2"/>
  <c r="AL137" i="2"/>
  <c r="AM137" i="2" s="1"/>
  <c r="AK137" i="2"/>
  <c r="AJ137" i="2"/>
  <c r="AE137" i="2"/>
  <c r="AD137" i="2"/>
  <c r="AC137" i="2"/>
  <c r="R137" i="2"/>
  <c r="O137" i="2"/>
  <c r="T137" i="2" s="1"/>
  <c r="N137" i="2"/>
  <c r="A137" i="2"/>
  <c r="AL136" i="2"/>
  <c r="AM136" i="2" s="1"/>
  <c r="AK136" i="2"/>
  <c r="AJ136" i="2"/>
  <c r="AE136" i="2"/>
  <c r="AD136" i="2"/>
  <c r="AC136" i="2"/>
  <c r="R136" i="2"/>
  <c r="O136" i="2"/>
  <c r="W136" i="2" s="1"/>
  <c r="N136" i="2"/>
  <c r="T136" i="2" s="1"/>
  <c r="A136" i="2"/>
  <c r="AM135" i="2"/>
  <c r="AL135" i="2"/>
  <c r="AK135" i="2"/>
  <c r="AJ135" i="2"/>
  <c r="AE135" i="2"/>
  <c r="AD135" i="2"/>
  <c r="AC135" i="2"/>
  <c r="W135" i="2"/>
  <c r="Y135" i="2" s="1"/>
  <c r="AB135" i="2" s="1"/>
  <c r="S135" i="2"/>
  <c r="V135" i="2" s="1"/>
  <c r="R135" i="2"/>
  <c r="O135" i="2"/>
  <c r="N135" i="2"/>
  <c r="T135" i="2" s="1"/>
  <c r="A135" i="2"/>
  <c r="AL134" i="2"/>
  <c r="AM134" i="2" s="1"/>
  <c r="AK134" i="2"/>
  <c r="AJ134" i="2"/>
  <c r="AE134" i="2"/>
  <c r="AD134" i="2"/>
  <c r="AC134" i="2"/>
  <c r="W134" i="2"/>
  <c r="Y134" i="2" s="1"/>
  <c r="AB134" i="2" s="1"/>
  <c r="S134" i="2"/>
  <c r="V134" i="2" s="1"/>
  <c r="R134" i="2"/>
  <c r="O134" i="2"/>
  <c r="N134" i="2"/>
  <c r="T134" i="2" s="1"/>
  <c r="A134" i="2"/>
  <c r="AL133" i="2"/>
  <c r="AM133" i="2" s="1"/>
  <c r="AK133" i="2"/>
  <c r="AJ133" i="2"/>
  <c r="AE133" i="2"/>
  <c r="AD133" i="2"/>
  <c r="AC133" i="2"/>
  <c r="R133" i="2"/>
  <c r="O133" i="2"/>
  <c r="T133" i="2" s="1"/>
  <c r="N133" i="2"/>
  <c r="A133" i="2"/>
  <c r="AL132" i="2"/>
  <c r="AM132" i="2" s="1"/>
  <c r="AK132" i="2"/>
  <c r="AJ132" i="2"/>
  <c r="AE132" i="2"/>
  <c r="AD132" i="2"/>
  <c r="AC132" i="2"/>
  <c r="R132" i="2"/>
  <c r="O132" i="2"/>
  <c r="T132" i="2" s="1"/>
  <c r="N132" i="2"/>
  <c r="A132" i="2"/>
  <c r="AM131" i="2"/>
  <c r="AL131" i="2"/>
  <c r="AK131" i="2"/>
  <c r="AJ131" i="2"/>
  <c r="AE131" i="2"/>
  <c r="AD131" i="2"/>
  <c r="AC131" i="2"/>
  <c r="W131" i="2"/>
  <c r="Y131" i="2" s="1"/>
  <c r="AB131" i="2" s="1"/>
  <c r="T131" i="2"/>
  <c r="S131" i="2"/>
  <c r="V131" i="2" s="1"/>
  <c r="R131" i="2"/>
  <c r="A131" i="2"/>
  <c r="AP130" i="2"/>
  <c r="AO130" i="2"/>
  <c r="AL130" i="2"/>
  <c r="AM130" i="2" s="1"/>
  <c r="AK130" i="2"/>
  <c r="AJ130" i="2"/>
  <c r="AE130" i="2"/>
  <c r="AD130" i="2"/>
  <c r="AC130" i="2"/>
  <c r="AB130" i="2"/>
  <c r="Y130" i="2"/>
  <c r="W130" i="2"/>
  <c r="V130" i="2"/>
  <c r="T130" i="2"/>
  <c r="S130" i="2"/>
  <c r="R130" i="2"/>
  <c r="A130" i="2"/>
  <c r="AL129" i="2"/>
  <c r="AM129" i="2" s="1"/>
  <c r="AK129" i="2"/>
  <c r="AJ129" i="2"/>
  <c r="AE129" i="2"/>
  <c r="AD129" i="2"/>
  <c r="AC129" i="2"/>
  <c r="R129" i="2"/>
  <c r="O129" i="2"/>
  <c r="T129" i="2" s="1"/>
  <c r="N129" i="2"/>
  <c r="A129" i="2"/>
  <c r="AL128" i="2"/>
  <c r="AM128" i="2" s="1"/>
  <c r="AK128" i="2"/>
  <c r="AJ128" i="2"/>
  <c r="AE128" i="2"/>
  <c r="AD128" i="2"/>
  <c r="AC128" i="2"/>
  <c r="R128" i="2"/>
  <c r="O128" i="2"/>
  <c r="W128" i="2" s="1"/>
  <c r="N128" i="2"/>
  <c r="T128" i="2" s="1"/>
  <c r="A128" i="2"/>
  <c r="AM127" i="2"/>
  <c r="AL127" i="2"/>
  <c r="AK127" i="2"/>
  <c r="AJ127" i="2"/>
  <c r="AE127" i="2"/>
  <c r="AD127" i="2"/>
  <c r="AC127" i="2"/>
  <c r="W127" i="2"/>
  <c r="Y127" i="2" s="1"/>
  <c r="AB127" i="2" s="1"/>
  <c r="S127" i="2"/>
  <c r="V127" i="2" s="1"/>
  <c r="R127" i="2"/>
  <c r="O127" i="2"/>
  <c r="N127" i="2"/>
  <c r="T127" i="2" s="1"/>
  <c r="A127" i="2"/>
  <c r="AL126" i="2"/>
  <c r="AM126" i="2" s="1"/>
  <c r="AK126" i="2"/>
  <c r="AJ126" i="2"/>
  <c r="AE126" i="2"/>
  <c r="AD126" i="2"/>
  <c r="AC126" i="2"/>
  <c r="W126" i="2"/>
  <c r="Y126" i="2" s="1"/>
  <c r="AB126" i="2" s="1"/>
  <c r="V126" i="2"/>
  <c r="AP126" i="2" s="1"/>
  <c r="S126" i="2"/>
  <c r="R126" i="2"/>
  <c r="O126" i="2"/>
  <c r="N126" i="2"/>
  <c r="T126" i="2" s="1"/>
  <c r="A126" i="2"/>
  <c r="AL125" i="2"/>
  <c r="AM125" i="2" s="1"/>
  <c r="AK125" i="2"/>
  <c r="AJ125" i="2"/>
  <c r="AE125" i="2"/>
  <c r="AD125" i="2"/>
  <c r="AC125" i="2"/>
  <c r="R125" i="2"/>
  <c r="O125" i="2"/>
  <c r="T125" i="2" s="1"/>
  <c r="N125" i="2"/>
  <c r="A125" i="2"/>
  <c r="AL124" i="2"/>
  <c r="AM124" i="2" s="1"/>
  <c r="AK124" i="2"/>
  <c r="AJ124" i="2"/>
  <c r="AE124" i="2"/>
  <c r="AD124" i="2"/>
  <c r="AC124" i="2"/>
  <c r="R124" i="2"/>
  <c r="O124" i="2"/>
  <c r="W124" i="2" s="1"/>
  <c r="N124" i="2"/>
  <c r="T124" i="2" s="1"/>
  <c r="A124" i="2"/>
  <c r="AM123" i="2"/>
  <c r="AL123" i="2"/>
  <c r="AK123" i="2"/>
  <c r="AJ123" i="2"/>
  <c r="AE123" i="2"/>
  <c r="AD123" i="2"/>
  <c r="AC123" i="2"/>
  <c r="W123" i="2"/>
  <c r="Y123" i="2" s="1"/>
  <c r="AB123" i="2" s="1"/>
  <c r="S123" i="2"/>
  <c r="V123" i="2" s="1"/>
  <c r="R123" i="2"/>
  <c r="O123" i="2"/>
  <c r="N123" i="2"/>
  <c r="T123" i="2" s="1"/>
  <c r="A123" i="2"/>
  <c r="AL122" i="2"/>
  <c r="AM122" i="2" s="1"/>
  <c r="AK122" i="2"/>
  <c r="AJ122" i="2"/>
  <c r="AE122" i="2"/>
  <c r="AD122" i="2"/>
  <c r="AC122" i="2"/>
  <c r="W122" i="2"/>
  <c r="Y122" i="2" s="1"/>
  <c r="AB122" i="2" s="1"/>
  <c r="V122" i="2"/>
  <c r="AP122" i="2" s="1"/>
  <c r="S122" i="2"/>
  <c r="R122" i="2"/>
  <c r="O122" i="2"/>
  <c r="N122" i="2"/>
  <c r="T122" i="2" s="1"/>
  <c r="A122" i="2"/>
  <c r="AL121" i="2"/>
  <c r="AM121" i="2" s="1"/>
  <c r="AK121" i="2"/>
  <c r="AJ121" i="2"/>
  <c r="AE121" i="2"/>
  <c r="AD121" i="2"/>
  <c r="AC121" i="2"/>
  <c r="R121" i="2"/>
  <c r="O121" i="2"/>
  <c r="T121" i="2" s="1"/>
  <c r="N121" i="2"/>
  <c r="A121" i="2"/>
  <c r="AL120" i="2"/>
  <c r="AM120" i="2" s="1"/>
  <c r="AK120" i="2"/>
  <c r="AJ120" i="2"/>
  <c r="AE120" i="2"/>
  <c r="AD120" i="2"/>
  <c r="AC120" i="2"/>
  <c r="R120" i="2"/>
  <c r="O120" i="2"/>
  <c r="W120" i="2" s="1"/>
  <c r="N120" i="2"/>
  <c r="T120" i="2" s="1"/>
  <c r="A120" i="2"/>
  <c r="AM119" i="2"/>
  <c r="AL119" i="2"/>
  <c r="AK119" i="2"/>
  <c r="AJ119" i="2"/>
  <c r="AE119" i="2"/>
  <c r="AD119" i="2"/>
  <c r="AC119" i="2"/>
  <c r="W119" i="2"/>
  <c r="Y119" i="2" s="1"/>
  <c r="AB119" i="2" s="1"/>
  <c r="S119" i="2"/>
  <c r="V119" i="2" s="1"/>
  <c r="R119" i="2"/>
  <c r="O119" i="2"/>
  <c r="N119" i="2"/>
  <c r="T119" i="2" s="1"/>
  <c r="A119" i="2"/>
  <c r="AL118" i="2"/>
  <c r="AM118" i="2" s="1"/>
  <c r="AK118" i="2"/>
  <c r="AJ118" i="2"/>
  <c r="AE118" i="2"/>
  <c r="AD118" i="2"/>
  <c r="AC118" i="2"/>
  <c r="W118" i="2"/>
  <c r="Y118" i="2" s="1"/>
  <c r="AB118" i="2" s="1"/>
  <c r="V118" i="2"/>
  <c r="AP118" i="2" s="1"/>
  <c r="S118" i="2"/>
  <c r="R118" i="2"/>
  <c r="O118" i="2"/>
  <c r="N118" i="2"/>
  <c r="T118" i="2" s="1"/>
  <c r="A118" i="2"/>
  <c r="AL117" i="2"/>
  <c r="AM117" i="2" s="1"/>
  <c r="AK117" i="2"/>
  <c r="AJ117" i="2"/>
  <c r="AE117" i="2"/>
  <c r="AD117" i="2"/>
  <c r="AC117" i="2"/>
  <c r="R117" i="2"/>
  <c r="O117" i="2"/>
  <c r="T117" i="2" s="1"/>
  <c r="N117" i="2"/>
  <c r="A117" i="2"/>
  <c r="AL116" i="2"/>
  <c r="AM116" i="2" s="1"/>
  <c r="AK116" i="2"/>
  <c r="AJ116" i="2"/>
  <c r="AE116" i="2"/>
  <c r="AD116" i="2"/>
  <c r="AC116" i="2"/>
  <c r="R116" i="2"/>
  <c r="O116" i="2"/>
  <c r="W116" i="2" s="1"/>
  <c r="N116" i="2"/>
  <c r="T116" i="2" s="1"/>
  <c r="A116" i="2"/>
  <c r="AM115" i="2"/>
  <c r="AL115" i="2"/>
  <c r="AK115" i="2"/>
  <c r="AJ115" i="2"/>
  <c r="AE115" i="2"/>
  <c r="AD115" i="2"/>
  <c r="AC115" i="2"/>
  <c r="W115" i="2"/>
  <c r="Y115" i="2" s="1"/>
  <c r="AB115" i="2" s="1"/>
  <c r="S115" i="2"/>
  <c r="V115" i="2" s="1"/>
  <c r="R115" i="2"/>
  <c r="O115" i="2"/>
  <c r="N115" i="2"/>
  <c r="T115" i="2" s="1"/>
  <c r="A115" i="2"/>
  <c r="AL114" i="2"/>
  <c r="AM114" i="2" s="1"/>
  <c r="AK114" i="2"/>
  <c r="AJ114" i="2"/>
  <c r="AE114" i="2"/>
  <c r="AD114" i="2"/>
  <c r="AC114" i="2"/>
  <c r="W114" i="2"/>
  <c r="Y114" i="2" s="1"/>
  <c r="AB114" i="2" s="1"/>
  <c r="V114" i="2"/>
  <c r="AP114" i="2" s="1"/>
  <c r="S114" i="2"/>
  <c r="R114" i="2"/>
  <c r="O114" i="2"/>
  <c r="N114" i="2"/>
  <c r="T114" i="2" s="1"/>
  <c r="A114" i="2"/>
  <c r="AL113" i="2"/>
  <c r="AM113" i="2" s="1"/>
  <c r="AK113" i="2"/>
  <c r="AJ113" i="2"/>
  <c r="AE113" i="2"/>
  <c r="AD113" i="2"/>
  <c r="AC113" i="2"/>
  <c r="R113" i="2"/>
  <c r="O113" i="2"/>
  <c r="T113" i="2" s="1"/>
  <c r="A113" i="2"/>
  <c r="AM112" i="2"/>
  <c r="AL112" i="2"/>
  <c r="AK112" i="2"/>
  <c r="AJ112" i="2"/>
  <c r="AE112" i="2"/>
  <c r="AD112" i="2"/>
  <c r="AC112" i="2"/>
  <c r="W112" i="2"/>
  <c r="Y112" i="2" s="1"/>
  <c r="AB112" i="2" s="1"/>
  <c r="S112" i="2"/>
  <c r="V112" i="2" s="1"/>
  <c r="R112" i="2"/>
  <c r="O112" i="2"/>
  <c r="N112" i="2"/>
  <c r="T112" i="2" s="1"/>
  <c r="A112" i="2"/>
  <c r="AL111" i="2"/>
  <c r="AM111" i="2" s="1"/>
  <c r="AK111" i="2"/>
  <c r="AJ111" i="2"/>
  <c r="AE111" i="2"/>
  <c r="AD111" i="2"/>
  <c r="AC111" i="2"/>
  <c r="W111" i="2"/>
  <c r="Y111" i="2" s="1"/>
  <c r="AB111" i="2" s="1"/>
  <c r="V111" i="2"/>
  <c r="AP111" i="2" s="1"/>
  <c r="S111" i="2"/>
  <c r="R111" i="2"/>
  <c r="O111" i="2"/>
  <c r="N111" i="2"/>
  <c r="T111" i="2" s="1"/>
  <c r="A111" i="2"/>
  <c r="AL110" i="2"/>
  <c r="AM110" i="2" s="1"/>
  <c r="AK110" i="2"/>
  <c r="AJ110" i="2"/>
  <c r="AE110" i="2"/>
  <c r="AD110" i="2"/>
  <c r="AC110" i="2"/>
  <c r="R110" i="2"/>
  <c r="O110" i="2"/>
  <c r="T110" i="2" s="1"/>
  <c r="N110" i="2"/>
  <c r="A110" i="2"/>
  <c r="AL109" i="2"/>
  <c r="AM109" i="2" s="1"/>
  <c r="AK109" i="2"/>
  <c r="AJ109" i="2"/>
  <c r="AE109" i="2"/>
  <c r="AD109" i="2"/>
  <c r="AC109" i="2"/>
  <c r="T109" i="2"/>
  <c r="R109" i="2"/>
  <c r="O109" i="2"/>
  <c r="W109" i="2" s="1"/>
  <c r="A109" i="2"/>
  <c r="AL108" i="2"/>
  <c r="AM108" i="2" s="1"/>
  <c r="AK108" i="2"/>
  <c r="AJ108" i="2"/>
  <c r="AE108" i="2"/>
  <c r="AD108" i="2"/>
  <c r="AC108" i="2"/>
  <c r="W108" i="2"/>
  <c r="Y108" i="2" s="1"/>
  <c r="AB108" i="2" s="1"/>
  <c r="S108" i="2"/>
  <c r="V108" i="2" s="1"/>
  <c r="R108" i="2"/>
  <c r="O108" i="2"/>
  <c r="N108" i="2"/>
  <c r="T108" i="2" s="1"/>
  <c r="A108" i="2"/>
  <c r="AL107" i="2"/>
  <c r="AM107" i="2" s="1"/>
  <c r="AK107" i="2"/>
  <c r="AJ107" i="2"/>
  <c r="AE107" i="2"/>
  <c r="AD107" i="2"/>
  <c r="AC107" i="2"/>
  <c r="Y107" i="2"/>
  <c r="AB107" i="2" s="1"/>
  <c r="W107" i="2"/>
  <c r="V107" i="2"/>
  <c r="AP107" i="2" s="1"/>
  <c r="T107" i="2"/>
  <c r="S107" i="2"/>
  <c r="R107" i="2"/>
  <c r="A107" i="2"/>
  <c r="AM106" i="2"/>
  <c r="AL106" i="2"/>
  <c r="AK106" i="2"/>
  <c r="AJ106" i="2"/>
  <c r="AE106" i="2"/>
  <c r="AD106" i="2"/>
  <c r="AC106" i="2"/>
  <c r="W106" i="2"/>
  <c r="Y106" i="2" s="1"/>
  <c r="AB106" i="2" s="1"/>
  <c r="T106" i="2"/>
  <c r="S106" i="2"/>
  <c r="V106" i="2" s="1"/>
  <c r="R106" i="2"/>
  <c r="A106" i="2"/>
  <c r="AM105" i="2"/>
  <c r="AL105" i="2"/>
  <c r="AK105" i="2"/>
  <c r="AJ105" i="2"/>
  <c r="AE105" i="2"/>
  <c r="AD105" i="2"/>
  <c r="AC105" i="2"/>
  <c r="W105" i="2"/>
  <c r="R105" i="2"/>
  <c r="O105" i="2"/>
  <c r="N105" i="2"/>
  <c r="T105" i="2" s="1"/>
  <c r="A105" i="2"/>
  <c r="AM104" i="2"/>
  <c r="AL104" i="2"/>
  <c r="AK104" i="2"/>
  <c r="AJ104" i="2"/>
  <c r="AE104" i="2"/>
  <c r="AD104" i="2"/>
  <c r="AC104" i="2"/>
  <c r="W104" i="2"/>
  <c r="Y104" i="2" s="1"/>
  <c r="AB104" i="2" s="1"/>
  <c r="S104" i="2"/>
  <c r="V104" i="2" s="1"/>
  <c r="R104" i="2"/>
  <c r="O104" i="2"/>
  <c r="N104" i="2"/>
  <c r="T104" i="2" s="1"/>
  <c r="A104" i="2"/>
  <c r="AL103" i="2"/>
  <c r="AM103" i="2" s="1"/>
  <c r="AK103" i="2"/>
  <c r="AJ103" i="2"/>
  <c r="AE103" i="2"/>
  <c r="AD103" i="2"/>
  <c r="AC103" i="2"/>
  <c r="Y103" i="2"/>
  <c r="AB103" i="2" s="1"/>
  <c r="W103" i="2"/>
  <c r="V103" i="2"/>
  <c r="AP103" i="2" s="1"/>
  <c r="T103" i="2"/>
  <c r="S103" i="2"/>
  <c r="R103" i="2"/>
  <c r="A103" i="2"/>
  <c r="AM102" i="2"/>
  <c r="AL102" i="2"/>
  <c r="AK102" i="2"/>
  <c r="AJ102" i="2"/>
  <c r="AE102" i="2"/>
  <c r="AD102" i="2"/>
  <c r="AC102" i="2"/>
  <c r="W102" i="2"/>
  <c r="Y102" i="2" s="1"/>
  <c r="AB102" i="2" s="1"/>
  <c r="S102" i="2"/>
  <c r="V102" i="2" s="1"/>
  <c r="R102" i="2"/>
  <c r="O102" i="2"/>
  <c r="N102" i="2"/>
  <c r="T102" i="2" s="1"/>
  <c r="A102" i="2"/>
  <c r="AL101" i="2"/>
  <c r="AM101" i="2" s="1"/>
  <c r="AK101" i="2"/>
  <c r="AJ101" i="2"/>
  <c r="AE101" i="2"/>
  <c r="AD101" i="2"/>
  <c r="AC101" i="2"/>
  <c r="W101" i="2"/>
  <c r="Y101" i="2" s="1"/>
  <c r="AB101" i="2" s="1"/>
  <c r="V101" i="2"/>
  <c r="AP101" i="2" s="1"/>
  <c r="T101" i="2"/>
  <c r="S101" i="2"/>
  <c r="R101" i="2"/>
  <c r="A101" i="2"/>
  <c r="AM100" i="2"/>
  <c r="AL100" i="2"/>
  <c r="AK100" i="2"/>
  <c r="AJ100" i="2"/>
  <c r="AE100" i="2"/>
  <c r="AD100" i="2"/>
  <c r="AC100" i="2"/>
  <c r="W100" i="2"/>
  <c r="Y100" i="2" s="1"/>
  <c r="AB100" i="2" s="1"/>
  <c r="T100" i="2"/>
  <c r="S100" i="2"/>
  <c r="V100" i="2" s="1"/>
  <c r="R100" i="2"/>
  <c r="A100" i="2"/>
  <c r="AM99" i="2"/>
  <c r="AL99" i="2"/>
  <c r="AK99" i="2"/>
  <c r="AJ99" i="2"/>
  <c r="AE99" i="2"/>
  <c r="AD99" i="2"/>
  <c r="AC99" i="2"/>
  <c r="W99" i="2"/>
  <c r="R99" i="2"/>
  <c r="O99" i="2"/>
  <c r="N99" i="2"/>
  <c r="T99" i="2" s="1"/>
  <c r="A99" i="2"/>
  <c r="AM98" i="2"/>
  <c r="AL98" i="2"/>
  <c r="AK98" i="2"/>
  <c r="AJ98" i="2"/>
  <c r="AE98" i="2"/>
  <c r="AD98" i="2"/>
  <c r="AC98" i="2"/>
  <c r="W98" i="2"/>
  <c r="Y98" i="2" s="1"/>
  <c r="AB98" i="2" s="1"/>
  <c r="S98" i="2"/>
  <c r="V98" i="2" s="1"/>
  <c r="R98" i="2"/>
  <c r="O98" i="2"/>
  <c r="N98" i="2"/>
  <c r="T98" i="2" s="1"/>
  <c r="A98" i="2"/>
  <c r="AL97" i="2"/>
  <c r="AM97" i="2" s="1"/>
  <c r="AK97" i="2"/>
  <c r="AJ97" i="2"/>
  <c r="AE97" i="2"/>
  <c r="AD97" i="2"/>
  <c r="AC97" i="2"/>
  <c r="W97" i="2"/>
  <c r="Y97" i="2" s="1"/>
  <c r="AB97" i="2" s="1"/>
  <c r="V97" i="2"/>
  <c r="AP97" i="2" s="1"/>
  <c r="T97" i="2"/>
  <c r="S97" i="2"/>
  <c r="R97" i="2"/>
  <c r="A97" i="2"/>
  <c r="AM96" i="2"/>
  <c r="AL96" i="2"/>
  <c r="AK96" i="2"/>
  <c r="AJ96" i="2"/>
  <c r="AE96" i="2"/>
  <c r="AD96" i="2"/>
  <c r="AC96" i="2"/>
  <c r="W96" i="2"/>
  <c r="Y96" i="2" s="1"/>
  <c r="AB96" i="2" s="1"/>
  <c r="S96" i="2"/>
  <c r="V96" i="2" s="1"/>
  <c r="R96" i="2"/>
  <c r="O96" i="2"/>
  <c r="N96" i="2"/>
  <c r="T96" i="2" s="1"/>
  <c r="A96" i="2"/>
  <c r="AL95" i="2"/>
  <c r="AM95" i="2" s="1"/>
  <c r="AK95" i="2"/>
  <c r="AJ95" i="2"/>
  <c r="AE95" i="2"/>
  <c r="AD95" i="2"/>
  <c r="AC95" i="2"/>
  <c r="W95" i="2"/>
  <c r="Y95" i="2" s="1"/>
  <c r="AB95" i="2" s="1"/>
  <c r="V95" i="2"/>
  <c r="AP95" i="2" s="1"/>
  <c r="S95" i="2"/>
  <c r="R95" i="2"/>
  <c r="O95" i="2"/>
  <c r="T95" i="2" s="1"/>
  <c r="N95" i="2"/>
  <c r="A95" i="2"/>
  <c r="AL94" i="2"/>
  <c r="AM94" i="2" s="1"/>
  <c r="AK94" i="2"/>
  <c r="AJ94" i="2"/>
  <c r="AE94" i="2"/>
  <c r="AD94" i="2"/>
  <c r="AC94" i="2"/>
  <c r="R94" i="2"/>
  <c r="O94" i="2"/>
  <c r="T94" i="2" s="1"/>
  <c r="N94" i="2"/>
  <c r="A94" i="2"/>
  <c r="AM93" i="2"/>
  <c r="AL93" i="2"/>
  <c r="AK93" i="2"/>
  <c r="AJ93" i="2"/>
  <c r="AE93" i="2"/>
  <c r="AD93" i="2"/>
  <c r="AC93" i="2"/>
  <c r="AB93" i="2"/>
  <c r="Y93" i="2"/>
  <c r="W93" i="2"/>
  <c r="T93" i="2"/>
  <c r="S93" i="2"/>
  <c r="V93" i="2" s="1"/>
  <c r="R93" i="2"/>
  <c r="A93" i="2"/>
  <c r="AP92" i="2"/>
  <c r="AL92" i="2"/>
  <c r="AM92" i="2" s="1"/>
  <c r="AK92" i="2"/>
  <c r="AJ92" i="2"/>
  <c r="AE92" i="2"/>
  <c r="AD92" i="2"/>
  <c r="AC92" i="2"/>
  <c r="Y92" i="2"/>
  <c r="AB92" i="2" s="1"/>
  <c r="W92" i="2"/>
  <c r="V92" i="2"/>
  <c r="AO92" i="2" s="1"/>
  <c r="T92" i="2"/>
  <c r="S92" i="2"/>
  <c r="R92" i="2"/>
  <c r="A92" i="2"/>
  <c r="AL91" i="2"/>
  <c r="AM91" i="2" s="1"/>
  <c r="AK91" i="2"/>
  <c r="AJ91" i="2"/>
  <c r="AE91" i="2"/>
  <c r="AD91" i="2"/>
  <c r="AC91" i="2"/>
  <c r="W91" i="2"/>
  <c r="Y91" i="2" s="1"/>
  <c r="AB91" i="2" s="1"/>
  <c r="V91" i="2"/>
  <c r="AP91" i="2" s="1"/>
  <c r="S91" i="2"/>
  <c r="R91" i="2"/>
  <c r="O91" i="2"/>
  <c r="T91" i="2" s="1"/>
  <c r="N91" i="2"/>
  <c r="A91" i="2"/>
  <c r="AL90" i="2"/>
  <c r="AM90" i="2" s="1"/>
  <c r="AK90" i="2"/>
  <c r="AJ90" i="2"/>
  <c r="AE90" i="2"/>
  <c r="AD90" i="2"/>
  <c r="AC90" i="2"/>
  <c r="R90" i="2"/>
  <c r="O90" i="2"/>
  <c r="T90" i="2" s="1"/>
  <c r="N90" i="2"/>
  <c r="A90" i="2"/>
  <c r="AM89" i="2"/>
  <c r="AL89" i="2"/>
  <c r="AK89" i="2"/>
  <c r="AJ89" i="2"/>
  <c r="AE89" i="2"/>
  <c r="AD89" i="2"/>
  <c r="AC89" i="2"/>
  <c r="R89" i="2"/>
  <c r="O89" i="2"/>
  <c r="W89" i="2" s="1"/>
  <c r="N89" i="2"/>
  <c r="T89" i="2" s="1"/>
  <c r="A89" i="2"/>
  <c r="AM88" i="2"/>
  <c r="AL88" i="2"/>
  <c r="AK88" i="2"/>
  <c r="AJ88" i="2"/>
  <c r="AE88" i="2"/>
  <c r="AD88" i="2"/>
  <c r="AC88" i="2"/>
  <c r="W88" i="2"/>
  <c r="Y88" i="2" s="1"/>
  <c r="AB88" i="2" s="1"/>
  <c r="S88" i="2"/>
  <c r="V88" i="2" s="1"/>
  <c r="R88" i="2"/>
  <c r="O88" i="2"/>
  <c r="N88" i="2"/>
  <c r="T88" i="2" s="1"/>
  <c r="A88" i="2"/>
  <c r="AL87" i="2"/>
  <c r="AM87" i="2" s="1"/>
  <c r="AK87" i="2"/>
  <c r="AJ87" i="2"/>
  <c r="AE87" i="2"/>
  <c r="AD87" i="2"/>
  <c r="AC87" i="2"/>
  <c r="W87" i="2"/>
  <c r="Y87" i="2" s="1"/>
  <c r="AB87" i="2" s="1"/>
  <c r="V87" i="2"/>
  <c r="AP87" i="2" s="1"/>
  <c r="T87" i="2"/>
  <c r="S87" i="2"/>
  <c r="R87" i="2"/>
  <c r="A87" i="2"/>
  <c r="AM86" i="2"/>
  <c r="AL86" i="2"/>
  <c r="AK86" i="2"/>
  <c r="AJ86" i="2"/>
  <c r="AE86" i="2"/>
  <c r="AD86" i="2"/>
  <c r="AC86" i="2"/>
  <c r="W86" i="2"/>
  <c r="Y86" i="2" s="1"/>
  <c r="AB86" i="2" s="1"/>
  <c r="T86" i="2"/>
  <c r="S86" i="2"/>
  <c r="V86" i="2" s="1"/>
  <c r="R86" i="2"/>
  <c r="A86" i="2"/>
  <c r="AM85" i="2"/>
  <c r="AL85" i="2"/>
  <c r="AK85" i="2"/>
  <c r="AJ85" i="2"/>
  <c r="AE85" i="2"/>
  <c r="AD85" i="2"/>
  <c r="AC85" i="2"/>
  <c r="R85" i="2"/>
  <c r="O85" i="2"/>
  <c r="W85" i="2" s="1"/>
  <c r="N85" i="2"/>
  <c r="T85" i="2" s="1"/>
  <c r="A85" i="2"/>
  <c r="AM84" i="2"/>
  <c r="AL84" i="2"/>
  <c r="AK84" i="2"/>
  <c r="AJ84" i="2"/>
  <c r="AE84" i="2"/>
  <c r="AD84" i="2"/>
  <c r="AC84" i="2"/>
  <c r="W84" i="2"/>
  <c r="Y84" i="2" s="1"/>
  <c r="AB84" i="2" s="1"/>
  <c r="S84" i="2"/>
  <c r="V84" i="2" s="1"/>
  <c r="R84" i="2"/>
  <c r="O84" i="2"/>
  <c r="N84" i="2"/>
  <c r="T84" i="2" s="1"/>
  <c r="A84" i="2"/>
  <c r="AL83" i="2"/>
  <c r="AM83" i="2" s="1"/>
  <c r="AK83" i="2"/>
  <c r="AJ83" i="2"/>
  <c r="AE83" i="2"/>
  <c r="AD83" i="2"/>
  <c r="AC83" i="2"/>
  <c r="W83" i="2"/>
  <c r="Y83" i="2" s="1"/>
  <c r="AB83" i="2" s="1"/>
  <c r="V83" i="2"/>
  <c r="AP83" i="2" s="1"/>
  <c r="S83" i="2"/>
  <c r="R83" i="2"/>
  <c r="O83" i="2"/>
  <c r="T83" i="2" s="1"/>
  <c r="N83" i="2"/>
  <c r="A83" i="2"/>
  <c r="AL82" i="2"/>
  <c r="AM82" i="2" s="1"/>
  <c r="AK82" i="2"/>
  <c r="AJ82" i="2"/>
  <c r="AE82" i="2"/>
  <c r="AD82" i="2"/>
  <c r="AC82" i="2"/>
  <c r="R82" i="2"/>
  <c r="O82" i="2"/>
  <c r="T82" i="2" s="1"/>
  <c r="N82" i="2"/>
  <c r="A82" i="2"/>
  <c r="AM81" i="2"/>
  <c r="AL81" i="2"/>
  <c r="AK81" i="2"/>
  <c r="AJ81" i="2"/>
  <c r="AE81" i="2"/>
  <c r="AD81" i="2"/>
  <c r="AC81" i="2"/>
  <c r="AB81" i="2"/>
  <c r="Y81" i="2"/>
  <c r="W81" i="2"/>
  <c r="T81" i="2"/>
  <c r="S81" i="2"/>
  <c r="V81" i="2" s="1"/>
  <c r="R81" i="2"/>
  <c r="A81" i="2"/>
  <c r="AP80" i="2"/>
  <c r="AL80" i="2"/>
  <c r="AM80" i="2" s="1"/>
  <c r="AK80" i="2"/>
  <c r="AJ80" i="2"/>
  <c r="AE80" i="2"/>
  <c r="AD80" i="2"/>
  <c r="AC80" i="2"/>
  <c r="Y80" i="2"/>
  <c r="AB80" i="2" s="1"/>
  <c r="W80" i="2"/>
  <c r="V80" i="2"/>
  <c r="AO80" i="2" s="1"/>
  <c r="T80" i="2"/>
  <c r="S80" i="2"/>
  <c r="R80" i="2"/>
  <c r="A80" i="2"/>
  <c r="AL79" i="2"/>
  <c r="AM79" i="2" s="1"/>
  <c r="AK79" i="2"/>
  <c r="AJ79" i="2"/>
  <c r="AE79" i="2"/>
  <c r="AD79" i="2"/>
  <c r="AC79" i="2"/>
  <c r="W79" i="2"/>
  <c r="Y79" i="2" s="1"/>
  <c r="AB79" i="2" s="1"/>
  <c r="V79" i="2"/>
  <c r="AP79" i="2" s="1"/>
  <c r="S79" i="2"/>
  <c r="R79" i="2"/>
  <c r="O79" i="2"/>
  <c r="T79" i="2" s="1"/>
  <c r="N79" i="2"/>
  <c r="A79" i="2"/>
  <c r="AL78" i="2"/>
  <c r="AM78" i="2" s="1"/>
  <c r="AK78" i="2"/>
  <c r="AJ78" i="2"/>
  <c r="AE78" i="2"/>
  <c r="AD78" i="2"/>
  <c r="AC78" i="2"/>
  <c r="R78" i="2"/>
  <c r="O78" i="2"/>
  <c r="T78" i="2" s="1"/>
  <c r="N78" i="2"/>
  <c r="A78" i="2"/>
  <c r="AM77" i="2"/>
  <c r="AL77" i="2"/>
  <c r="AK77" i="2"/>
  <c r="AJ77" i="2"/>
  <c r="AE77" i="2"/>
  <c r="AD77" i="2"/>
  <c r="AC77" i="2"/>
  <c r="R77" i="2"/>
  <c r="O77" i="2"/>
  <c r="W77" i="2" s="1"/>
  <c r="N77" i="2"/>
  <c r="T77" i="2" s="1"/>
  <c r="A77" i="2"/>
  <c r="AM76" i="2"/>
  <c r="AL76" i="2"/>
  <c r="AK76" i="2"/>
  <c r="AJ76" i="2"/>
  <c r="AE76" i="2"/>
  <c r="AD76" i="2"/>
  <c r="AC76" i="2"/>
  <c r="W76" i="2"/>
  <c r="Y76" i="2" s="1"/>
  <c r="AB76" i="2" s="1"/>
  <c r="S76" i="2"/>
  <c r="V76" i="2" s="1"/>
  <c r="R76" i="2"/>
  <c r="O76" i="2"/>
  <c r="N76" i="2"/>
  <c r="T76" i="2" s="1"/>
  <c r="A76" i="2"/>
  <c r="AL75" i="2"/>
  <c r="AM75" i="2" s="1"/>
  <c r="AK75" i="2"/>
  <c r="AJ75" i="2"/>
  <c r="AE75" i="2"/>
  <c r="AD75" i="2"/>
  <c r="AC75" i="2"/>
  <c r="W75" i="2"/>
  <c r="Y75" i="2" s="1"/>
  <c r="AB75" i="2" s="1"/>
  <c r="V75" i="2"/>
  <c r="AP75" i="2" s="1"/>
  <c r="T75" i="2"/>
  <c r="S75" i="2"/>
  <c r="R75" i="2"/>
  <c r="A75" i="2"/>
  <c r="AM74" i="2"/>
  <c r="AL74" i="2"/>
  <c r="AK74" i="2"/>
  <c r="AJ74" i="2"/>
  <c r="AE74" i="2"/>
  <c r="AD74" i="2"/>
  <c r="AC74" i="2"/>
  <c r="W74" i="2"/>
  <c r="Y74" i="2" s="1"/>
  <c r="AB74" i="2" s="1"/>
  <c r="T74" i="2"/>
  <c r="S74" i="2"/>
  <c r="V74" i="2" s="1"/>
  <c r="R74" i="2"/>
  <c r="A74" i="2"/>
  <c r="AM73" i="2"/>
  <c r="AL73" i="2"/>
  <c r="AK73" i="2"/>
  <c r="AJ73" i="2"/>
  <c r="AE73" i="2"/>
  <c r="AD73" i="2"/>
  <c r="AC73" i="2"/>
  <c r="AB73" i="2"/>
  <c r="Y73" i="2"/>
  <c r="W73" i="2"/>
  <c r="T73" i="2"/>
  <c r="S73" i="2"/>
  <c r="V73" i="2" s="1"/>
  <c r="R73" i="2"/>
  <c r="A73" i="2"/>
  <c r="AP72" i="2"/>
  <c r="AL72" i="2"/>
  <c r="AM72" i="2" s="1"/>
  <c r="AK72" i="2"/>
  <c r="AJ72" i="2"/>
  <c r="AE72" i="2"/>
  <c r="AD72" i="2"/>
  <c r="AC72" i="2"/>
  <c r="Y72" i="2"/>
  <c r="AB72" i="2" s="1"/>
  <c r="W72" i="2"/>
  <c r="V72" i="2"/>
  <c r="AO72" i="2" s="1"/>
  <c r="T72" i="2"/>
  <c r="S72" i="2"/>
  <c r="R72" i="2"/>
  <c r="A72" i="2"/>
  <c r="AL71" i="2"/>
  <c r="AM71" i="2" s="1"/>
  <c r="AK71" i="2"/>
  <c r="AJ71" i="2"/>
  <c r="AE71" i="2"/>
  <c r="AD71" i="2"/>
  <c r="AC71" i="2"/>
  <c r="W71" i="2"/>
  <c r="Y71" i="2" s="1"/>
  <c r="AB71" i="2" s="1"/>
  <c r="V71" i="2"/>
  <c r="AP71" i="2" s="1"/>
  <c r="S71" i="2"/>
  <c r="R71" i="2"/>
  <c r="O71" i="2"/>
  <c r="T71" i="2" s="1"/>
  <c r="A71" i="2"/>
  <c r="AM70" i="2"/>
  <c r="AL70" i="2"/>
  <c r="AK70" i="2"/>
  <c r="AJ70" i="2"/>
  <c r="AE70" i="2"/>
  <c r="AD70" i="2"/>
  <c r="AC70" i="2"/>
  <c r="R70" i="2"/>
  <c r="O70" i="2"/>
  <c r="W70" i="2" s="1"/>
  <c r="N70" i="2"/>
  <c r="T70" i="2" s="1"/>
  <c r="A70" i="2"/>
  <c r="AM69" i="2"/>
  <c r="AL69" i="2"/>
  <c r="AK69" i="2"/>
  <c r="AJ69" i="2"/>
  <c r="AE69" i="2"/>
  <c r="AD69" i="2"/>
  <c r="AC69" i="2"/>
  <c r="W69" i="2"/>
  <c r="Y69" i="2" s="1"/>
  <c r="AB69" i="2" s="1"/>
  <c r="T69" i="2"/>
  <c r="S69" i="2"/>
  <c r="V69" i="2" s="1"/>
  <c r="R69" i="2"/>
  <c r="A69" i="2"/>
  <c r="AM68" i="2"/>
  <c r="AL68" i="2"/>
  <c r="AK68" i="2"/>
  <c r="AJ68" i="2"/>
  <c r="AE68" i="2"/>
  <c r="AD68" i="2"/>
  <c r="AC68" i="2"/>
  <c r="W68" i="2"/>
  <c r="Y68" i="2" s="1"/>
  <c r="AB68" i="2" s="1"/>
  <c r="T68" i="2"/>
  <c r="S68" i="2"/>
  <c r="V68" i="2" s="1"/>
  <c r="R68" i="2"/>
  <c r="A68" i="2"/>
  <c r="AL67" i="2"/>
  <c r="AM67" i="2" s="1"/>
  <c r="AK67" i="2"/>
  <c r="AJ67" i="2"/>
  <c r="AE67" i="2"/>
  <c r="AD67" i="2"/>
  <c r="AC67" i="2"/>
  <c r="R67" i="2"/>
  <c r="O67" i="2"/>
  <c r="T67" i="2" s="1"/>
  <c r="N67" i="2"/>
  <c r="A67" i="2"/>
  <c r="AM66" i="2"/>
  <c r="AL66" i="2"/>
  <c r="AK66" i="2"/>
  <c r="AJ66" i="2"/>
  <c r="AE66" i="2"/>
  <c r="AD66" i="2"/>
  <c r="AC66" i="2"/>
  <c r="W66" i="2"/>
  <c r="R66" i="2"/>
  <c r="O66" i="2"/>
  <c r="N66" i="2"/>
  <c r="T66" i="2" s="1"/>
  <c r="A66" i="2"/>
  <c r="AM65" i="2"/>
  <c r="AL65" i="2"/>
  <c r="AK65" i="2"/>
  <c r="AJ65" i="2"/>
  <c r="AE65" i="2"/>
  <c r="AD65" i="2"/>
  <c r="AC65" i="2"/>
  <c r="W65" i="2"/>
  <c r="Y65" i="2" s="1"/>
  <c r="AB65" i="2" s="1"/>
  <c r="T65" i="2"/>
  <c r="S65" i="2"/>
  <c r="V65" i="2" s="1"/>
  <c r="R65" i="2"/>
  <c r="A65" i="2"/>
  <c r="AM64" i="2"/>
  <c r="AL64" i="2"/>
  <c r="AK64" i="2"/>
  <c r="AJ64" i="2"/>
  <c r="AE64" i="2"/>
  <c r="AD64" i="2"/>
  <c r="AC64" i="2"/>
  <c r="W64" i="2"/>
  <c r="Y64" i="2" s="1"/>
  <c r="AB64" i="2" s="1"/>
  <c r="T64" i="2"/>
  <c r="S64" i="2"/>
  <c r="V64" i="2" s="1"/>
  <c r="R64" i="2"/>
  <c r="A64" i="2"/>
  <c r="AL63" i="2"/>
  <c r="AM63" i="2" s="1"/>
  <c r="AK63" i="2"/>
  <c r="AJ63" i="2"/>
  <c r="AE63" i="2"/>
  <c r="AD63" i="2"/>
  <c r="AC63" i="2"/>
  <c r="R63" i="2"/>
  <c r="O63" i="2"/>
  <c r="T63" i="2" s="1"/>
  <c r="N63" i="2"/>
  <c r="A63" i="2"/>
  <c r="AM62" i="2"/>
  <c r="AL62" i="2"/>
  <c r="AK62" i="2"/>
  <c r="AJ62" i="2"/>
  <c r="AE62" i="2"/>
  <c r="AD62" i="2"/>
  <c r="AC62" i="2"/>
  <c r="W62" i="2"/>
  <c r="R62" i="2"/>
  <c r="O62" i="2"/>
  <c r="N62" i="2"/>
  <c r="T62" i="2" s="1"/>
  <c r="A62" i="2"/>
  <c r="AM61" i="2"/>
  <c r="AL61" i="2"/>
  <c r="AK61" i="2"/>
  <c r="AJ61" i="2"/>
  <c r="AE61" i="2"/>
  <c r="AD61" i="2"/>
  <c r="AC61" i="2"/>
  <c r="W61" i="2"/>
  <c r="Y61" i="2" s="1"/>
  <c r="AB61" i="2" s="1"/>
  <c r="S61" i="2"/>
  <c r="V61" i="2" s="1"/>
  <c r="R61" i="2"/>
  <c r="O61" i="2"/>
  <c r="N61" i="2"/>
  <c r="T61" i="2" s="1"/>
  <c r="A61" i="2"/>
  <c r="AL60" i="2"/>
  <c r="AM60" i="2" s="1"/>
  <c r="AK60" i="2"/>
  <c r="AJ60" i="2"/>
  <c r="AE60" i="2"/>
  <c r="AD60" i="2"/>
  <c r="AC60" i="2"/>
  <c r="R60" i="2"/>
  <c r="O60" i="2"/>
  <c r="T60" i="2" s="1"/>
  <c r="N60" i="2"/>
  <c r="A60" i="2"/>
  <c r="AL59" i="2"/>
  <c r="AM59" i="2" s="1"/>
  <c r="AK59" i="2"/>
  <c r="AJ59" i="2"/>
  <c r="AE59" i="2"/>
  <c r="AD59" i="2"/>
  <c r="AC59" i="2"/>
  <c r="R59" i="2"/>
  <c r="O59" i="2"/>
  <c r="T59" i="2" s="1"/>
  <c r="N59" i="2"/>
  <c r="A59" i="2"/>
  <c r="AM58" i="2"/>
  <c r="AL58" i="2"/>
  <c r="AK58" i="2"/>
  <c r="AJ58" i="2"/>
  <c r="AE58" i="2"/>
  <c r="AD58" i="2"/>
  <c r="AC58" i="2"/>
  <c r="W58" i="2"/>
  <c r="R58" i="2"/>
  <c r="O58" i="2"/>
  <c r="N58" i="2"/>
  <c r="T58" i="2" s="1"/>
  <c r="A58" i="2"/>
  <c r="AM57" i="2"/>
  <c r="AL57" i="2"/>
  <c r="AK57" i="2"/>
  <c r="AJ57" i="2"/>
  <c r="AE57" i="2"/>
  <c r="AD57" i="2"/>
  <c r="AC57" i="2"/>
  <c r="W57" i="2"/>
  <c r="Y57" i="2" s="1"/>
  <c r="AB57" i="2" s="1"/>
  <c r="T57" i="2"/>
  <c r="S57" i="2"/>
  <c r="V57" i="2" s="1"/>
  <c r="R57" i="2"/>
  <c r="O57" i="2"/>
  <c r="A57" i="2"/>
  <c r="AL56" i="2"/>
  <c r="AM56" i="2" s="1"/>
  <c r="AK56" i="2"/>
  <c r="AJ56" i="2"/>
  <c r="AE56" i="2"/>
  <c r="AD56" i="2"/>
  <c r="AC56" i="2"/>
  <c r="R56" i="2"/>
  <c r="O56" i="2"/>
  <c r="T56" i="2" s="1"/>
  <c r="N56" i="2"/>
  <c r="A56" i="2"/>
  <c r="AM55" i="2"/>
  <c r="AL55" i="2"/>
  <c r="AK55" i="2"/>
  <c r="AJ55" i="2"/>
  <c r="AE55" i="2"/>
  <c r="AD55" i="2"/>
  <c r="AC55" i="2"/>
  <c r="W55" i="2"/>
  <c r="R55" i="2"/>
  <c r="O55" i="2"/>
  <c r="N55" i="2"/>
  <c r="T55" i="2" s="1"/>
  <c r="A55" i="2"/>
  <c r="AM54" i="2"/>
  <c r="AL54" i="2"/>
  <c r="AK54" i="2"/>
  <c r="AJ54" i="2"/>
  <c r="AE54" i="2"/>
  <c r="AD54" i="2"/>
  <c r="AC54" i="2"/>
  <c r="W54" i="2"/>
  <c r="Y54" i="2" s="1"/>
  <c r="AB54" i="2" s="1"/>
  <c r="S54" i="2"/>
  <c r="V54" i="2" s="1"/>
  <c r="R54" i="2"/>
  <c r="O54" i="2"/>
  <c r="N54" i="2"/>
  <c r="T54" i="2" s="1"/>
  <c r="A54" i="2"/>
  <c r="AL53" i="2"/>
  <c r="AM53" i="2" s="1"/>
  <c r="AK53" i="2"/>
  <c r="AJ53" i="2"/>
  <c r="AE53" i="2"/>
  <c r="AD53" i="2"/>
  <c r="AC53" i="2"/>
  <c r="Y53" i="2"/>
  <c r="AB53" i="2" s="1"/>
  <c r="W53" i="2"/>
  <c r="V53" i="2"/>
  <c r="AP53" i="2" s="1"/>
  <c r="T53" i="2"/>
  <c r="S53" i="2"/>
  <c r="R53" i="2"/>
  <c r="A53" i="2"/>
  <c r="AM52" i="2"/>
  <c r="AL52" i="2"/>
  <c r="AK52" i="2"/>
  <c r="AJ52" i="2"/>
  <c r="AE52" i="2"/>
  <c r="AD52" i="2"/>
  <c r="AC52" i="2"/>
  <c r="W52" i="2"/>
  <c r="Y52" i="2" s="1"/>
  <c r="AB52" i="2" s="1"/>
  <c r="T52" i="2"/>
  <c r="S52" i="2"/>
  <c r="V52" i="2" s="1"/>
  <c r="R52" i="2"/>
  <c r="A52" i="2"/>
  <c r="AM51" i="2"/>
  <c r="AL51" i="2"/>
  <c r="AK51" i="2"/>
  <c r="AJ51" i="2"/>
  <c r="AE51" i="2"/>
  <c r="AD51" i="2"/>
  <c r="AC51" i="2"/>
  <c r="W51" i="2"/>
  <c r="R51" i="2"/>
  <c r="O51" i="2"/>
  <c r="N51" i="2"/>
  <c r="T51" i="2" s="1"/>
  <c r="A51" i="2"/>
  <c r="AM50" i="2"/>
  <c r="AL50" i="2"/>
  <c r="AK50" i="2"/>
  <c r="AJ50" i="2"/>
  <c r="AE50" i="2"/>
  <c r="AD50" i="2"/>
  <c r="AC50" i="2"/>
  <c r="W50" i="2"/>
  <c r="Y50" i="2" s="1"/>
  <c r="AB50" i="2" s="1"/>
  <c r="S50" i="2"/>
  <c r="V50" i="2" s="1"/>
  <c r="R50" i="2"/>
  <c r="O50" i="2"/>
  <c r="N50" i="2"/>
  <c r="T50" i="2" s="1"/>
  <c r="A50" i="2"/>
  <c r="AL49" i="2"/>
  <c r="AM49" i="2" s="1"/>
  <c r="AK49" i="2"/>
  <c r="AJ49" i="2"/>
  <c r="AE49" i="2"/>
  <c r="AD49" i="2"/>
  <c r="AC49" i="2"/>
  <c r="R49" i="2"/>
  <c r="O49" i="2"/>
  <c r="T49" i="2" s="1"/>
  <c r="N49" i="2"/>
  <c r="A49" i="2"/>
  <c r="AL48" i="2"/>
  <c r="AM48" i="2" s="1"/>
  <c r="AK48" i="2"/>
  <c r="AJ48" i="2"/>
  <c r="AE48" i="2"/>
  <c r="AD48" i="2"/>
  <c r="AC48" i="2"/>
  <c r="R48" i="2"/>
  <c r="O48" i="2"/>
  <c r="T48" i="2" s="1"/>
  <c r="N48" i="2"/>
  <c r="A48" i="2"/>
  <c r="AM47" i="2"/>
  <c r="AL47" i="2"/>
  <c r="AK47" i="2"/>
  <c r="AJ47" i="2"/>
  <c r="AE47" i="2"/>
  <c r="AD47" i="2"/>
  <c r="AC47" i="2"/>
  <c r="W47" i="2"/>
  <c r="R47" i="2"/>
  <c r="O47" i="2"/>
  <c r="N47" i="2"/>
  <c r="T47" i="2" s="1"/>
  <c r="A47" i="2"/>
  <c r="AM46" i="2"/>
  <c r="AL46" i="2"/>
  <c r="AK46" i="2"/>
  <c r="AJ46" i="2"/>
  <c r="AE46" i="2"/>
  <c r="AD46" i="2"/>
  <c r="AC46" i="2"/>
  <c r="W46" i="2"/>
  <c r="Y46" i="2" s="1"/>
  <c r="AB46" i="2" s="1"/>
  <c r="S46" i="2"/>
  <c r="V46" i="2" s="1"/>
  <c r="R46" i="2"/>
  <c r="O46" i="2"/>
  <c r="N46" i="2"/>
  <c r="T46" i="2" s="1"/>
  <c r="A46" i="2"/>
  <c r="AL45" i="2"/>
  <c r="AM45" i="2" s="1"/>
  <c r="AK45" i="2"/>
  <c r="AJ45" i="2"/>
  <c r="AE45" i="2"/>
  <c r="AD45" i="2"/>
  <c r="AC45" i="2"/>
  <c r="R45" i="2"/>
  <c r="O45" i="2"/>
  <c r="T45" i="2" s="1"/>
  <c r="N45" i="2"/>
  <c r="A45" i="2"/>
  <c r="AL44" i="2"/>
  <c r="AM44" i="2" s="1"/>
  <c r="AK44" i="2"/>
  <c r="AJ44" i="2"/>
  <c r="AE44" i="2"/>
  <c r="AD44" i="2"/>
  <c r="AC44" i="2"/>
  <c r="R44" i="2"/>
  <c r="O44" i="2"/>
  <c r="T44" i="2" s="1"/>
  <c r="N44" i="2"/>
  <c r="A44" i="2"/>
  <c r="AM43" i="2"/>
  <c r="AL43" i="2"/>
  <c r="AK43" i="2"/>
  <c r="AJ43" i="2"/>
  <c r="AE43" i="2"/>
  <c r="AD43" i="2"/>
  <c r="AC43" i="2"/>
  <c r="W43" i="2"/>
  <c r="Y43" i="2" s="1"/>
  <c r="AB43" i="2" s="1"/>
  <c r="T43" i="2"/>
  <c r="S43" i="2"/>
  <c r="V43" i="2" s="1"/>
  <c r="R43" i="2"/>
  <c r="A43" i="2"/>
  <c r="AP42" i="2"/>
  <c r="AO42" i="2"/>
  <c r="AL42" i="2"/>
  <c r="AM42" i="2" s="1"/>
  <c r="AK42" i="2"/>
  <c r="AJ42" i="2"/>
  <c r="AE42" i="2"/>
  <c r="AD42" i="2"/>
  <c r="AC42" i="2"/>
  <c r="Y42" i="2"/>
  <c r="AB42" i="2" s="1"/>
  <c r="W42" i="2"/>
  <c r="V42" i="2"/>
  <c r="T42" i="2"/>
  <c r="S42" i="2"/>
  <c r="R42" i="2"/>
  <c r="A42" i="2"/>
  <c r="AL41" i="2"/>
  <c r="AM41" i="2" s="1"/>
  <c r="AK41" i="2"/>
  <c r="AJ41" i="2"/>
  <c r="AE41" i="2"/>
  <c r="AD41" i="2"/>
  <c r="AC41" i="2"/>
  <c r="R41" i="2"/>
  <c r="O41" i="2"/>
  <c r="T41" i="2" s="1"/>
  <c r="N41" i="2"/>
  <c r="A41" i="2"/>
  <c r="AL40" i="2"/>
  <c r="AM40" i="2" s="1"/>
  <c r="AK40" i="2"/>
  <c r="AJ40" i="2"/>
  <c r="AE40" i="2"/>
  <c r="AD40" i="2"/>
  <c r="AC40" i="2"/>
  <c r="R40" i="2"/>
  <c r="O40" i="2"/>
  <c r="T40" i="2" s="1"/>
  <c r="N40" i="2"/>
  <c r="A40" i="2"/>
  <c r="AM39" i="2"/>
  <c r="AL39" i="2"/>
  <c r="AK39" i="2"/>
  <c r="AJ39" i="2"/>
  <c r="AE39" i="2"/>
  <c r="AD39" i="2"/>
  <c r="AC39" i="2"/>
  <c r="W39" i="2"/>
  <c r="R39" i="2"/>
  <c r="O39" i="2"/>
  <c r="N39" i="2"/>
  <c r="T39" i="2" s="1"/>
  <c r="A39" i="2"/>
  <c r="AM38" i="2"/>
  <c r="AL38" i="2"/>
  <c r="AK38" i="2"/>
  <c r="AJ38" i="2"/>
  <c r="AE38" i="2"/>
  <c r="AD38" i="2"/>
  <c r="AC38" i="2"/>
  <c r="W38" i="2"/>
  <c r="Y38" i="2" s="1"/>
  <c r="AB38" i="2" s="1"/>
  <c r="S38" i="2"/>
  <c r="V38" i="2" s="1"/>
  <c r="R38" i="2"/>
  <c r="O38" i="2"/>
  <c r="N38" i="2"/>
  <c r="T38" i="2" s="1"/>
  <c r="A38" i="2"/>
  <c r="AL37" i="2"/>
  <c r="AM37" i="2" s="1"/>
  <c r="AK37" i="2"/>
  <c r="AJ37" i="2"/>
  <c r="AE37" i="2"/>
  <c r="AD37" i="2"/>
  <c r="AC37" i="2"/>
  <c r="Y37" i="2"/>
  <c r="AB37" i="2" s="1"/>
  <c r="W37" i="2"/>
  <c r="V37" i="2"/>
  <c r="AP37" i="2" s="1"/>
  <c r="T37" i="2"/>
  <c r="S37" i="2"/>
  <c r="R37" i="2"/>
  <c r="A37" i="2"/>
  <c r="AM36" i="2"/>
  <c r="AL36" i="2"/>
  <c r="AK36" i="2"/>
  <c r="AJ36" i="2"/>
  <c r="AE36" i="2"/>
  <c r="AD36" i="2"/>
  <c r="AC36" i="2"/>
  <c r="W36" i="2"/>
  <c r="Y36" i="2" s="1"/>
  <c r="AB36" i="2" s="1"/>
  <c r="T36" i="2"/>
  <c r="S36" i="2"/>
  <c r="V36" i="2" s="1"/>
  <c r="R36" i="2"/>
  <c r="A36" i="2"/>
  <c r="AM35" i="2"/>
  <c r="AL35" i="2"/>
  <c r="AK35" i="2"/>
  <c r="AJ35" i="2"/>
  <c r="AE35" i="2"/>
  <c r="AD35" i="2"/>
  <c r="AC35" i="2"/>
  <c r="W35" i="2"/>
  <c r="R35" i="2"/>
  <c r="O35" i="2"/>
  <c r="N35" i="2"/>
  <c r="S35" i="2" s="1"/>
  <c r="V35" i="2" s="1"/>
  <c r="A35" i="2"/>
  <c r="AM34" i="2"/>
  <c r="AL34" i="2"/>
  <c r="AK34" i="2"/>
  <c r="AJ34" i="2"/>
  <c r="AE34" i="2"/>
  <c r="AD34" i="2"/>
  <c r="AC34" i="2"/>
  <c r="W34" i="2"/>
  <c r="Y34" i="2" s="1"/>
  <c r="AB34" i="2" s="1"/>
  <c r="S34" i="2"/>
  <c r="V34" i="2" s="1"/>
  <c r="R34" i="2"/>
  <c r="O34" i="2"/>
  <c r="N34" i="2"/>
  <c r="T34" i="2" s="1"/>
  <c r="A34" i="2"/>
  <c r="AL33" i="2"/>
  <c r="AM33" i="2" s="1"/>
  <c r="AK33" i="2"/>
  <c r="AJ33" i="2"/>
  <c r="AE33" i="2"/>
  <c r="AD33" i="2"/>
  <c r="AC33" i="2"/>
  <c r="R33" i="2"/>
  <c r="O33" i="2"/>
  <c r="T33" i="2" s="1"/>
  <c r="N33" i="2"/>
  <c r="A33" i="2"/>
  <c r="AL32" i="2"/>
  <c r="AM32" i="2" s="1"/>
  <c r="AK32" i="2"/>
  <c r="AJ32" i="2"/>
  <c r="AE32" i="2"/>
  <c r="AD32" i="2"/>
  <c r="AC32" i="2"/>
  <c r="R32" i="2"/>
  <c r="O32" i="2"/>
  <c r="T32" i="2" s="1"/>
  <c r="N32" i="2"/>
  <c r="A32" i="2"/>
  <c r="AM31" i="2"/>
  <c r="AL31" i="2"/>
  <c r="AK31" i="2"/>
  <c r="AJ31" i="2"/>
  <c r="AE31" i="2"/>
  <c r="AD31" i="2"/>
  <c r="AC31" i="2"/>
  <c r="W31" i="2"/>
  <c r="R31" i="2"/>
  <c r="O31" i="2"/>
  <c r="N31" i="2"/>
  <c r="T31" i="2" s="1"/>
  <c r="A31" i="2"/>
  <c r="AM30" i="2"/>
  <c r="AL30" i="2"/>
  <c r="AK30" i="2"/>
  <c r="AJ30" i="2"/>
  <c r="AE30" i="2"/>
  <c r="AD30" i="2"/>
  <c r="AC30" i="2"/>
  <c r="W30" i="2"/>
  <c r="Y30" i="2" s="1"/>
  <c r="AB30" i="2" s="1"/>
  <c r="S30" i="2"/>
  <c r="V30" i="2" s="1"/>
  <c r="R30" i="2"/>
  <c r="O30" i="2"/>
  <c r="N30" i="2"/>
  <c r="T30" i="2" s="1"/>
  <c r="A30" i="2"/>
  <c r="AL29" i="2"/>
  <c r="AM29" i="2" s="1"/>
  <c r="AK29" i="2"/>
  <c r="AJ29" i="2"/>
  <c r="AE29" i="2"/>
  <c r="AD29" i="2"/>
  <c r="AC29" i="2"/>
  <c r="Y29" i="2"/>
  <c r="AB29" i="2" s="1"/>
  <c r="W29" i="2"/>
  <c r="V29" i="2"/>
  <c r="AP29" i="2" s="1"/>
  <c r="T29" i="2"/>
  <c r="S29" i="2"/>
  <c r="R29" i="2"/>
  <c r="A29" i="2"/>
  <c r="AM28" i="2"/>
  <c r="AL28" i="2"/>
  <c r="AK28" i="2"/>
  <c r="AJ28" i="2"/>
  <c r="AE28" i="2"/>
  <c r="AD28" i="2"/>
  <c r="AC28" i="2"/>
  <c r="W28" i="2"/>
  <c r="Y28" i="2" s="1"/>
  <c r="AB28" i="2" s="1"/>
  <c r="T28" i="2"/>
  <c r="S28" i="2"/>
  <c r="V28" i="2" s="1"/>
  <c r="R28" i="2"/>
  <c r="A28" i="2"/>
  <c r="AM27" i="2"/>
  <c r="AL27" i="2"/>
  <c r="AK27" i="2"/>
  <c r="AJ27" i="2"/>
  <c r="AE27" i="2"/>
  <c r="AD27" i="2"/>
  <c r="AC27" i="2"/>
  <c r="W27" i="2"/>
  <c r="R27" i="2"/>
  <c r="O27" i="2"/>
  <c r="N27" i="2"/>
  <c r="S27" i="2" s="1"/>
  <c r="V27" i="2" s="1"/>
  <c r="A27" i="2"/>
  <c r="AM26" i="2"/>
  <c r="AL26" i="2"/>
  <c r="AK26" i="2"/>
  <c r="AJ26" i="2"/>
  <c r="AE26" i="2"/>
  <c r="AD26" i="2"/>
  <c r="AC26" i="2"/>
  <c r="W26" i="2"/>
  <c r="Y26" i="2" s="1"/>
  <c r="AB26" i="2" s="1"/>
  <c r="S26" i="2"/>
  <c r="V26" i="2" s="1"/>
  <c r="R26" i="2"/>
  <c r="O26" i="2"/>
  <c r="N26" i="2"/>
  <c r="T26" i="2" s="1"/>
  <c r="A26" i="2"/>
  <c r="AL25" i="2"/>
  <c r="AM25" i="2" s="1"/>
  <c r="AK25" i="2"/>
  <c r="AJ25" i="2"/>
  <c r="AE25" i="2"/>
  <c r="AD25" i="2"/>
  <c r="AC25" i="2"/>
  <c r="Y25" i="2"/>
  <c r="AB25" i="2" s="1"/>
  <c r="W25" i="2"/>
  <c r="V25" i="2"/>
  <c r="AP25" i="2" s="1"/>
  <c r="T25" i="2"/>
  <c r="S25" i="2"/>
  <c r="R25" i="2"/>
  <c r="A25" i="2"/>
  <c r="AM24" i="2"/>
  <c r="AL24" i="2"/>
  <c r="AK24" i="2"/>
  <c r="AJ24" i="2"/>
  <c r="AE24" i="2"/>
  <c r="AD24" i="2"/>
  <c r="AC24" i="2"/>
  <c r="W24" i="2"/>
  <c r="Y24" i="2" s="1"/>
  <c r="AB24" i="2" s="1"/>
  <c r="T24" i="2"/>
  <c r="S24" i="2"/>
  <c r="V24" i="2" s="1"/>
  <c r="R24" i="2"/>
  <c r="A24" i="2"/>
  <c r="AM23" i="2"/>
  <c r="AL23" i="2"/>
  <c r="AK23" i="2"/>
  <c r="AJ23" i="2"/>
  <c r="AE23" i="2"/>
  <c r="AD23" i="2"/>
  <c r="AC23" i="2"/>
  <c r="W23" i="2"/>
  <c r="Y23" i="2" s="1"/>
  <c r="AB23" i="2" s="1"/>
  <c r="S23" i="2"/>
  <c r="V23" i="2" s="1"/>
  <c r="R23" i="2"/>
  <c r="O23" i="2"/>
  <c r="N23" i="2"/>
  <c r="T23" i="2" s="1"/>
  <c r="A23" i="2"/>
  <c r="AL22" i="2"/>
  <c r="AM22" i="2" s="1"/>
  <c r="AK22" i="2"/>
  <c r="AJ22" i="2"/>
  <c r="AE22" i="2"/>
  <c r="AD22" i="2"/>
  <c r="AC22" i="2"/>
  <c r="W22" i="2"/>
  <c r="Y22" i="2" s="1"/>
  <c r="AB22" i="2" s="1"/>
  <c r="V22" i="2"/>
  <c r="AP22" i="2" s="1"/>
  <c r="S22" i="2"/>
  <c r="R22" i="2"/>
  <c r="O22" i="2"/>
  <c r="N22" i="2"/>
  <c r="T22" i="2" s="1"/>
  <c r="A22" i="2"/>
  <c r="AP21" i="2"/>
  <c r="AL21" i="2"/>
  <c r="AM21" i="2" s="1"/>
  <c r="AK21" i="2"/>
  <c r="AJ21" i="2"/>
  <c r="AE21" i="2"/>
  <c r="AD21" i="2"/>
  <c r="AC21" i="2"/>
  <c r="Y21" i="2"/>
  <c r="AB21" i="2" s="1"/>
  <c r="W21" i="2"/>
  <c r="V21" i="2"/>
  <c r="AO21" i="2" s="1"/>
  <c r="T21" i="2"/>
  <c r="S21" i="2"/>
  <c r="R21" i="2"/>
  <c r="A21" i="2"/>
  <c r="AL20" i="2"/>
  <c r="AM20" i="2" s="1"/>
  <c r="AK20" i="2"/>
  <c r="AJ20" i="2"/>
  <c r="AE20" i="2"/>
  <c r="AD20" i="2"/>
  <c r="AC20" i="2"/>
  <c r="W20" i="2"/>
  <c r="Y20" i="2" s="1"/>
  <c r="AB20" i="2" s="1"/>
  <c r="T20" i="2"/>
  <c r="S20" i="2"/>
  <c r="V20" i="2" s="1"/>
  <c r="R20" i="2"/>
  <c r="A20" i="2"/>
  <c r="AM19" i="2"/>
  <c r="AL19" i="2"/>
  <c r="AK19" i="2"/>
  <c r="AJ19" i="2"/>
  <c r="AE19" i="2"/>
  <c r="AD19" i="2"/>
  <c r="AC19" i="2"/>
  <c r="W19" i="2"/>
  <c r="Y19" i="2" s="1"/>
  <c r="AB19" i="2" s="1"/>
  <c r="T19" i="2"/>
  <c r="S19" i="2"/>
  <c r="V19" i="2" s="1"/>
  <c r="R19" i="2"/>
  <c r="A19" i="2"/>
  <c r="AP18" i="2"/>
  <c r="AO18" i="2"/>
  <c r="AL18" i="2"/>
  <c r="AM18" i="2" s="1"/>
  <c r="AK18" i="2"/>
  <c r="AJ18" i="2"/>
  <c r="AE18" i="2"/>
  <c r="AD18" i="2"/>
  <c r="AC18" i="2"/>
  <c r="AB18" i="2"/>
  <c r="Y18" i="2"/>
  <c r="W18" i="2"/>
  <c r="V18" i="2"/>
  <c r="T18" i="2"/>
  <c r="S18" i="2"/>
  <c r="R18" i="2"/>
  <c r="A18" i="2"/>
  <c r="AL17" i="2"/>
  <c r="AM17" i="2" s="1"/>
  <c r="AK17" i="2"/>
  <c r="AJ17" i="2"/>
  <c r="AE17" i="2"/>
  <c r="AD17" i="2"/>
  <c r="AC17" i="2"/>
  <c r="R17" i="2"/>
  <c r="O17" i="2"/>
  <c r="T17" i="2" s="1"/>
  <c r="N17" i="2"/>
  <c r="A17" i="2"/>
  <c r="AL16" i="2"/>
  <c r="AM16" i="2" s="1"/>
  <c r="AK16" i="2"/>
  <c r="AJ16" i="2"/>
  <c r="AE16" i="2"/>
  <c r="AD16" i="2"/>
  <c r="AC16" i="2"/>
  <c r="R16" i="2"/>
  <c r="O16" i="2"/>
  <c r="W16" i="2" s="1"/>
  <c r="N16" i="2"/>
  <c r="T16" i="2" s="1"/>
  <c r="A16" i="2"/>
  <c r="AM15" i="2"/>
  <c r="AL15" i="2"/>
  <c r="AK15" i="2"/>
  <c r="AJ15" i="2"/>
  <c r="AE15" i="2"/>
  <c r="AD15" i="2"/>
  <c r="AC15" i="2"/>
  <c r="W15" i="2"/>
  <c r="Y15" i="2" s="1"/>
  <c r="AB15" i="2" s="1"/>
  <c r="S15" i="2"/>
  <c r="V15" i="2" s="1"/>
  <c r="R15" i="2"/>
  <c r="O15" i="2"/>
  <c r="N15" i="2"/>
  <c r="T15" i="2" s="1"/>
  <c r="A15" i="2"/>
  <c r="AL14" i="2"/>
  <c r="AM14" i="2" s="1"/>
  <c r="AK14" i="2"/>
  <c r="AJ14" i="2"/>
  <c r="AE14" i="2"/>
  <c r="AD14" i="2"/>
  <c r="AC14" i="2"/>
  <c r="W14" i="2"/>
  <c r="Y14" i="2" s="1"/>
  <c r="AB14" i="2" s="1"/>
  <c r="V14" i="2"/>
  <c r="AP14" i="2" s="1"/>
  <c r="S14" i="2"/>
  <c r="R14" i="2"/>
  <c r="O14" i="2"/>
  <c r="N14" i="2"/>
  <c r="T14" i="2" s="1"/>
  <c r="A14" i="2"/>
  <c r="AL13" i="2"/>
  <c r="AM13" i="2" s="1"/>
  <c r="AK13" i="2"/>
  <c r="AJ13" i="2"/>
  <c r="AE13" i="2"/>
  <c r="AD13" i="2"/>
  <c r="AC13" i="2"/>
  <c r="R13" i="2"/>
  <c r="O13" i="2"/>
  <c r="T13" i="2" s="1"/>
  <c r="N13" i="2"/>
  <c r="A13" i="2"/>
  <c r="AL12" i="2"/>
  <c r="AM12" i="2" s="1"/>
  <c r="AK12" i="2"/>
  <c r="AJ12" i="2"/>
  <c r="AE12" i="2"/>
  <c r="AD12" i="2"/>
  <c r="AC12" i="2"/>
  <c r="R12" i="2"/>
  <c r="O12" i="2"/>
  <c r="W12" i="2" s="1"/>
  <c r="N12" i="2"/>
  <c r="T12" i="2" s="1"/>
  <c r="A12" i="2"/>
  <c r="AM11" i="2"/>
  <c r="AL11" i="2"/>
  <c r="AK11" i="2"/>
  <c r="AJ11" i="2"/>
  <c r="AE11" i="2"/>
  <c r="AD11" i="2"/>
  <c r="AC11" i="2"/>
  <c r="W11" i="2"/>
  <c r="Y11" i="2" s="1"/>
  <c r="AB11" i="2" s="1"/>
  <c r="T11" i="2"/>
  <c r="S11" i="2"/>
  <c r="V11" i="2" s="1"/>
  <c r="R11" i="2"/>
  <c r="A11" i="2"/>
  <c r="AP10" i="2"/>
  <c r="AO10" i="2"/>
  <c r="AL10" i="2"/>
  <c r="AM10" i="2" s="1"/>
  <c r="AK10" i="2"/>
  <c r="AJ10" i="2"/>
  <c r="AE10" i="2"/>
  <c r="AD10" i="2"/>
  <c r="AC10" i="2"/>
  <c r="AB10" i="2"/>
  <c r="Y10" i="2"/>
  <c r="W10" i="2"/>
  <c r="V10" i="2"/>
  <c r="T10" i="2"/>
  <c r="S10" i="2"/>
  <c r="R10" i="2"/>
  <c r="A10" i="2"/>
  <c r="AL9" i="2"/>
  <c r="AM9" i="2" s="1"/>
  <c r="AK9" i="2"/>
  <c r="AJ9" i="2"/>
  <c r="AE9" i="2"/>
  <c r="AD9" i="2"/>
  <c r="AC9" i="2"/>
  <c r="R9" i="2"/>
  <c r="O9" i="2"/>
  <c r="T9" i="2" s="1"/>
  <c r="N9" i="2"/>
  <c r="A9" i="2"/>
  <c r="AL8" i="2"/>
  <c r="AM8" i="2" s="1"/>
  <c r="AK8" i="2"/>
  <c r="AJ8" i="2"/>
  <c r="AE8" i="2"/>
  <c r="AD8" i="2"/>
  <c r="AC8" i="2"/>
  <c r="R8" i="2"/>
  <c r="O8" i="2"/>
  <c r="W8" i="2" s="1"/>
  <c r="N8" i="2"/>
  <c r="T8" i="2" s="1"/>
  <c r="A8" i="2"/>
  <c r="AM7" i="2"/>
  <c r="AL7" i="2"/>
  <c r="AK7" i="2"/>
  <c r="AJ7" i="2"/>
  <c r="AE7" i="2"/>
  <c r="AD7" i="2"/>
  <c r="AC7" i="2"/>
  <c r="W7" i="2"/>
  <c r="Y7" i="2" s="1"/>
  <c r="AB7" i="2" s="1"/>
  <c r="T7" i="2"/>
  <c r="S7" i="2"/>
  <c r="V7" i="2" s="1"/>
  <c r="R7" i="2"/>
  <c r="A7" i="2"/>
  <c r="AP6" i="2"/>
  <c r="AO6" i="2"/>
  <c r="AL6" i="2"/>
  <c r="AM6" i="2" s="1"/>
  <c r="AK6" i="2"/>
  <c r="AJ6" i="2"/>
  <c r="AE6" i="2"/>
  <c r="AD6" i="2"/>
  <c r="AC6" i="2"/>
  <c r="AB6" i="2"/>
  <c r="Y6" i="2"/>
  <c r="W6" i="2"/>
  <c r="V6" i="2"/>
  <c r="T6" i="2"/>
  <c r="S6" i="2"/>
  <c r="R6" i="2"/>
  <c r="A6" i="2"/>
  <c r="AL5" i="2"/>
  <c r="AM5" i="2" s="1"/>
  <c r="AK5" i="2"/>
  <c r="AJ5" i="2"/>
  <c r="AE5" i="2"/>
  <c r="AD5" i="2"/>
  <c r="AC5" i="2"/>
  <c r="R5" i="2"/>
  <c r="O5" i="2"/>
  <c r="T5" i="2" s="1"/>
  <c r="A5" i="2"/>
  <c r="AM4" i="2"/>
  <c r="AL4" i="2"/>
  <c r="AK4" i="2"/>
  <c r="AJ4" i="2"/>
  <c r="AE4" i="2"/>
  <c r="AD4" i="2"/>
  <c r="AC4" i="2"/>
  <c r="W4" i="2"/>
  <c r="Y4" i="2" s="1"/>
  <c r="AB4" i="2" s="1"/>
  <c r="S4" i="2"/>
  <c r="V4" i="2" s="1"/>
  <c r="R4" i="2"/>
  <c r="O4" i="2"/>
  <c r="N4" i="2"/>
  <c r="T4" i="2" s="1"/>
  <c r="A4" i="2"/>
  <c r="AL3" i="2"/>
  <c r="AM3" i="2" s="1"/>
  <c r="AK3" i="2"/>
  <c r="AJ3" i="2"/>
  <c r="AE3" i="2"/>
  <c r="AD3" i="2"/>
  <c r="AC3" i="2"/>
  <c r="W3" i="2"/>
  <c r="Y3" i="2" s="1"/>
  <c r="AB3" i="2" s="1"/>
  <c r="V3" i="2"/>
  <c r="AP3" i="2" s="1"/>
  <c r="S3" i="2"/>
  <c r="R3" i="2"/>
  <c r="O3" i="2"/>
  <c r="N3" i="2"/>
  <c r="T3" i="2" s="1"/>
  <c r="A3" i="2"/>
  <c r="AL2" i="2"/>
  <c r="AM2" i="2" s="1"/>
  <c r="AK2" i="2"/>
  <c r="AJ2" i="2"/>
  <c r="AE2" i="2"/>
  <c r="AD2" i="2"/>
  <c r="AC2" i="2"/>
  <c r="R2" i="2"/>
  <c r="O2" i="2"/>
  <c r="T2" i="2" s="1"/>
  <c r="N2" i="2"/>
  <c r="A2" i="2"/>
  <c r="S3" i="1"/>
  <c r="T3" i="1"/>
  <c r="U3" i="1"/>
  <c r="V3" i="1"/>
  <c r="B7" i="1"/>
  <c r="O7" i="1"/>
  <c r="P7" i="1"/>
  <c r="S7" i="1"/>
  <c r="T7" i="1"/>
  <c r="W7" i="1" s="1"/>
  <c r="AP7" i="1" s="1"/>
  <c r="U7" i="1"/>
  <c r="X7" i="1"/>
  <c r="Y7" i="1"/>
  <c r="AB7" i="1" s="1"/>
  <c r="AD7" i="1"/>
  <c r="AE7" i="1"/>
  <c r="AF7" i="1"/>
  <c r="AK7" i="1"/>
  <c r="AL7" i="1"/>
  <c r="AM7" i="1"/>
  <c r="AN7" i="1"/>
  <c r="B8" i="1"/>
  <c r="O8" i="1"/>
  <c r="P8" i="1"/>
  <c r="T8" i="1" s="1"/>
  <c r="W8" i="1" s="1"/>
  <c r="S8" i="1"/>
  <c r="U8" i="1"/>
  <c r="X8" i="1"/>
  <c r="Y8" i="1"/>
  <c r="AD8" i="1"/>
  <c r="AE8" i="1"/>
  <c r="AF8" i="1"/>
  <c r="AK8" i="1"/>
  <c r="AL8" i="1"/>
  <c r="AM8" i="1"/>
  <c r="AN8" i="1" s="1"/>
  <c r="B9" i="1"/>
  <c r="O9" i="1"/>
  <c r="P9" i="1"/>
  <c r="U9" i="1" s="1"/>
  <c r="S9" i="1"/>
  <c r="T9" i="1"/>
  <c r="W9" i="1" s="1"/>
  <c r="X9" i="1"/>
  <c r="Y9" i="1"/>
  <c r="AD9" i="1"/>
  <c r="AE9" i="1"/>
  <c r="AF9" i="1"/>
  <c r="AK9" i="1"/>
  <c r="AL9" i="1"/>
  <c r="AM9" i="1"/>
  <c r="AN9" i="1"/>
  <c r="B10" i="1"/>
  <c r="P10" i="1"/>
  <c r="S10" i="1"/>
  <c r="T10" i="1"/>
  <c r="W10" i="1" s="1"/>
  <c r="U10" i="1"/>
  <c r="X10" i="1"/>
  <c r="Y10" i="1"/>
  <c r="AB10" i="1"/>
  <c r="AD10" i="1"/>
  <c r="AE10" i="1"/>
  <c r="AF10" i="1"/>
  <c r="AK10" i="1"/>
  <c r="AL10" i="1"/>
  <c r="AM10" i="1"/>
  <c r="AN10" i="1"/>
  <c r="B11" i="1"/>
  <c r="S11" i="1"/>
  <c r="T11" i="1"/>
  <c r="U11" i="1"/>
  <c r="W11" i="1"/>
  <c r="AP11" i="1" s="1"/>
  <c r="X11" i="1"/>
  <c r="Y11" i="1"/>
  <c r="Z11" i="1"/>
  <c r="AC11" i="1" s="1"/>
  <c r="AA11" i="1"/>
  <c r="V11" i="1" s="1"/>
  <c r="AD11" i="1"/>
  <c r="AE11" i="1"/>
  <c r="AF11" i="1"/>
  <c r="AK11" i="1"/>
  <c r="AL11" i="1"/>
  <c r="AM11" i="1"/>
  <c r="AN11" i="1" s="1"/>
  <c r="B12" i="1"/>
  <c r="S12" i="1"/>
  <c r="T12" i="1"/>
  <c r="W12" i="1" s="1"/>
  <c r="U12" i="1"/>
  <c r="X12" i="1"/>
  <c r="Z12" i="1" s="1"/>
  <c r="AC12" i="1" s="1"/>
  <c r="Y12" i="1"/>
  <c r="AD12" i="1"/>
  <c r="AE12" i="1"/>
  <c r="AF12" i="1"/>
  <c r="AK12" i="1"/>
  <c r="AL12" i="1"/>
  <c r="AM12" i="1"/>
  <c r="AN12" i="1"/>
  <c r="B13" i="1"/>
  <c r="O13" i="1"/>
  <c r="P13" i="1"/>
  <c r="T13" i="1" s="1"/>
  <c r="W13" i="1" s="1"/>
  <c r="AP13" i="1" s="1"/>
  <c r="S13" i="1"/>
  <c r="X13" i="1"/>
  <c r="Y13" i="1"/>
  <c r="AD13" i="1"/>
  <c r="AE13" i="1"/>
  <c r="AF13" i="1"/>
  <c r="AK13" i="1"/>
  <c r="AL13" i="1"/>
  <c r="AM13" i="1"/>
  <c r="AN13" i="1" s="1"/>
  <c r="B14" i="1"/>
  <c r="O14" i="1"/>
  <c r="T14" i="1" s="1"/>
  <c r="W14" i="1" s="1"/>
  <c r="P14" i="1"/>
  <c r="S14" i="1"/>
  <c r="U14" i="1"/>
  <c r="X14" i="1"/>
  <c r="Y14" i="1"/>
  <c r="AB14" i="1"/>
  <c r="AD14" i="1"/>
  <c r="AE14" i="1"/>
  <c r="AF14" i="1"/>
  <c r="AK14" i="1"/>
  <c r="AL14" i="1"/>
  <c r="AM14" i="1"/>
  <c r="AN14" i="1" s="1"/>
  <c r="B15" i="1"/>
  <c r="S15" i="1"/>
  <c r="T15" i="1"/>
  <c r="W15" i="1" s="1"/>
  <c r="AP15" i="1" s="1"/>
  <c r="U15" i="1"/>
  <c r="X15" i="1"/>
  <c r="Z15" i="1" s="1"/>
  <c r="Y15" i="1"/>
  <c r="AD15" i="1"/>
  <c r="AE15" i="1"/>
  <c r="AF15" i="1"/>
  <c r="AK15" i="1"/>
  <c r="AL15" i="1"/>
  <c r="AM15" i="1"/>
  <c r="AN15" i="1" s="1"/>
  <c r="B16" i="1"/>
  <c r="S16" i="1"/>
  <c r="T16" i="1"/>
  <c r="U16" i="1"/>
  <c r="W16" i="1"/>
  <c r="AP16" i="1" s="1"/>
  <c r="X16" i="1"/>
  <c r="Z16" i="1" s="1"/>
  <c r="AA16" i="1" s="1"/>
  <c r="V16" i="1" s="1"/>
  <c r="Y16" i="1"/>
  <c r="AB16" i="1"/>
  <c r="AD16" i="1"/>
  <c r="AE16" i="1"/>
  <c r="AF16" i="1"/>
  <c r="AK16" i="1"/>
  <c r="AL16" i="1"/>
  <c r="AM16" i="1"/>
  <c r="AN16" i="1"/>
  <c r="AQ16" i="1"/>
  <c r="B17" i="1"/>
  <c r="O17" i="1"/>
  <c r="P17" i="1"/>
  <c r="T17" i="1" s="1"/>
  <c r="W17" i="1" s="1"/>
  <c r="AP17" i="1" s="1"/>
  <c r="S17" i="1"/>
  <c r="X17" i="1"/>
  <c r="Y17" i="1"/>
  <c r="AD17" i="1"/>
  <c r="AE17" i="1"/>
  <c r="AF17" i="1"/>
  <c r="AK17" i="1"/>
  <c r="AL17" i="1"/>
  <c r="AM17" i="1"/>
  <c r="AN17" i="1" s="1"/>
  <c r="B18" i="1"/>
  <c r="O18" i="1"/>
  <c r="P18" i="1"/>
  <c r="T18" i="1" s="1"/>
  <c r="W18" i="1" s="1"/>
  <c r="S18" i="1"/>
  <c r="X18" i="1"/>
  <c r="Y18" i="1"/>
  <c r="AB18" i="1" s="1"/>
  <c r="AD18" i="1"/>
  <c r="AE18" i="1"/>
  <c r="AF18" i="1"/>
  <c r="AK18" i="1"/>
  <c r="AL18" i="1"/>
  <c r="AM18" i="1"/>
  <c r="AN18" i="1" s="1"/>
  <c r="B19" i="1"/>
  <c r="O19" i="1"/>
  <c r="P19" i="1"/>
  <c r="S19" i="1"/>
  <c r="T19" i="1"/>
  <c r="W19" i="1" s="1"/>
  <c r="U19" i="1"/>
  <c r="X19" i="1"/>
  <c r="Z19" i="1" s="1"/>
  <c r="AC19" i="1" s="1"/>
  <c r="Y19" i="1"/>
  <c r="AD19" i="1"/>
  <c r="AE19" i="1"/>
  <c r="AF19" i="1"/>
  <c r="AK19" i="1"/>
  <c r="AL19" i="1"/>
  <c r="AM19" i="1"/>
  <c r="AN19" i="1" s="1"/>
  <c r="B20" i="1"/>
  <c r="O20" i="1"/>
  <c r="T20" i="1" s="1"/>
  <c r="W20" i="1" s="1"/>
  <c r="P20" i="1"/>
  <c r="X20" i="1" s="1"/>
  <c r="Z20" i="1" s="1"/>
  <c r="AA20" i="1" s="1"/>
  <c r="V20" i="1" s="1"/>
  <c r="S20" i="1"/>
  <c r="U20" i="1"/>
  <c r="Y20" i="1"/>
  <c r="AD20" i="1"/>
  <c r="AE20" i="1"/>
  <c r="AF20" i="1"/>
  <c r="AK20" i="1"/>
  <c r="AL20" i="1"/>
  <c r="AM20" i="1"/>
  <c r="AN20" i="1" s="1"/>
  <c r="B21" i="1"/>
  <c r="O21" i="1"/>
  <c r="P21" i="1"/>
  <c r="X21" i="1" s="1"/>
  <c r="S21" i="1"/>
  <c r="Y21" i="1"/>
  <c r="AD21" i="1"/>
  <c r="AE21" i="1"/>
  <c r="AF21" i="1"/>
  <c r="AK21" i="1"/>
  <c r="AL21" i="1"/>
  <c r="AM21" i="1"/>
  <c r="AN21" i="1" s="1"/>
  <c r="B22" i="1"/>
  <c r="O22" i="1"/>
  <c r="P22" i="1"/>
  <c r="T22" i="1" s="1"/>
  <c r="W22" i="1" s="1"/>
  <c r="S22" i="1"/>
  <c r="X22" i="1"/>
  <c r="Y22" i="1"/>
  <c r="AD22" i="1"/>
  <c r="AE22" i="1"/>
  <c r="AF22" i="1"/>
  <c r="AK22" i="1"/>
  <c r="AL22" i="1"/>
  <c r="AM22" i="1"/>
  <c r="AN22" i="1"/>
  <c r="B23" i="1"/>
  <c r="S23" i="1"/>
  <c r="T23" i="1"/>
  <c r="W23" i="1" s="1"/>
  <c r="AP23" i="1" s="1"/>
  <c r="U23" i="1"/>
  <c r="X23" i="1"/>
  <c r="Y23" i="1"/>
  <c r="AB23" i="1"/>
  <c r="AD23" i="1"/>
  <c r="AE23" i="1"/>
  <c r="AF23" i="1"/>
  <c r="AK23" i="1"/>
  <c r="AL23" i="1"/>
  <c r="AM23" i="1"/>
  <c r="AN23" i="1"/>
  <c r="B24" i="1"/>
  <c r="S24" i="1"/>
  <c r="T24" i="1"/>
  <c r="U24" i="1"/>
  <c r="W24" i="1"/>
  <c r="AQ24" i="1" s="1"/>
  <c r="X24" i="1"/>
  <c r="Z24" i="1" s="1"/>
  <c r="Y24" i="1"/>
  <c r="AB24" i="1"/>
  <c r="AD24" i="1"/>
  <c r="AE24" i="1"/>
  <c r="AF24" i="1"/>
  <c r="AK24" i="1"/>
  <c r="AL24" i="1"/>
  <c r="AM24" i="1"/>
  <c r="AN24" i="1" s="1"/>
  <c r="B25" i="1"/>
  <c r="S25" i="1"/>
  <c r="T25" i="1"/>
  <c r="U25" i="1"/>
  <c r="W25" i="1"/>
  <c r="AP25" i="1" s="1"/>
  <c r="X25" i="1"/>
  <c r="Z25" i="1" s="1"/>
  <c r="AC25" i="1" s="1"/>
  <c r="Y25" i="1"/>
  <c r="AD25" i="1"/>
  <c r="AE25" i="1"/>
  <c r="AF25" i="1"/>
  <c r="AK25" i="1"/>
  <c r="AL25" i="1"/>
  <c r="AM25" i="1"/>
  <c r="AN25" i="1" s="1"/>
  <c r="B26" i="1"/>
  <c r="S26" i="1"/>
  <c r="T26" i="1"/>
  <c r="W26" i="1" s="1"/>
  <c r="U26" i="1"/>
  <c r="X26" i="1"/>
  <c r="Y26" i="1"/>
  <c r="AD26" i="1"/>
  <c r="AE26" i="1"/>
  <c r="AF26" i="1"/>
  <c r="AK26" i="1"/>
  <c r="AL26" i="1"/>
  <c r="AM26" i="1"/>
  <c r="AN26" i="1" s="1"/>
  <c r="B27" i="1"/>
  <c r="O27" i="1"/>
  <c r="P27" i="1"/>
  <c r="T27" i="1" s="1"/>
  <c r="W27" i="1" s="1"/>
  <c r="S27" i="1"/>
  <c r="X27" i="1"/>
  <c r="Y27" i="1"/>
  <c r="AD27" i="1"/>
  <c r="AE27" i="1"/>
  <c r="AF27" i="1"/>
  <c r="AK27" i="1"/>
  <c r="AL27" i="1"/>
  <c r="AM27" i="1"/>
  <c r="AN27" i="1" s="1"/>
  <c r="B28" i="1"/>
  <c r="O28" i="1"/>
  <c r="P28" i="1"/>
  <c r="S28" i="1"/>
  <c r="T28" i="1"/>
  <c r="W28" i="1" s="1"/>
  <c r="U28" i="1"/>
  <c r="X28" i="1"/>
  <c r="Z28" i="1" s="1"/>
  <c r="AA28" i="1" s="1"/>
  <c r="V28" i="1" s="1"/>
  <c r="Y28" i="1"/>
  <c r="AD28" i="1"/>
  <c r="AE28" i="1"/>
  <c r="AF28" i="1"/>
  <c r="AK28" i="1"/>
  <c r="AL28" i="1"/>
  <c r="AM28" i="1"/>
  <c r="AN28" i="1" s="1"/>
  <c r="B29" i="1"/>
  <c r="S29" i="1"/>
  <c r="T29" i="1"/>
  <c r="U29" i="1"/>
  <c r="W29" i="1"/>
  <c r="AQ29" i="1" s="1"/>
  <c r="X29" i="1"/>
  <c r="Y29" i="1"/>
  <c r="AD29" i="1"/>
  <c r="AE29" i="1"/>
  <c r="AF29" i="1"/>
  <c r="AK29" i="1"/>
  <c r="AL29" i="1"/>
  <c r="AM29" i="1"/>
  <c r="AN29" i="1" s="1"/>
  <c r="B30" i="1"/>
  <c r="S30" i="1"/>
  <c r="T30" i="1"/>
  <c r="W30" i="1" s="1"/>
  <c r="U30" i="1"/>
  <c r="X30" i="1"/>
  <c r="Y30" i="1"/>
  <c r="AD30" i="1"/>
  <c r="AE30" i="1"/>
  <c r="AF30" i="1"/>
  <c r="AK30" i="1"/>
  <c r="AL30" i="1"/>
  <c r="AM30" i="1"/>
  <c r="AN30" i="1" s="1"/>
  <c r="B31" i="1"/>
  <c r="O31" i="1"/>
  <c r="P31" i="1"/>
  <c r="T31" i="1" s="1"/>
  <c r="W31" i="1" s="1"/>
  <c r="S31" i="1"/>
  <c r="X31" i="1"/>
  <c r="Y31" i="1"/>
  <c r="AD31" i="1"/>
  <c r="AE31" i="1"/>
  <c r="AF31" i="1"/>
  <c r="AK31" i="1"/>
  <c r="AL31" i="1"/>
  <c r="AM31" i="1"/>
  <c r="AN31" i="1" s="1"/>
  <c r="B32" i="1"/>
  <c r="O32" i="1"/>
  <c r="T32" i="1" s="1"/>
  <c r="P32" i="1"/>
  <c r="S32" i="1"/>
  <c r="U32" i="1"/>
  <c r="X32" i="1"/>
  <c r="Y32" i="1"/>
  <c r="AB32" i="1" s="1"/>
  <c r="AD32" i="1"/>
  <c r="AE32" i="1"/>
  <c r="AF32" i="1"/>
  <c r="AK32" i="1"/>
  <c r="AL32" i="1"/>
  <c r="AM32" i="1"/>
  <c r="AN32" i="1"/>
  <c r="B33" i="1"/>
  <c r="S33" i="1"/>
  <c r="T33" i="1"/>
  <c r="W33" i="1" s="1"/>
  <c r="AQ33" i="1" s="1"/>
  <c r="U33" i="1"/>
  <c r="X33" i="1"/>
  <c r="Y33" i="1"/>
  <c r="AD33" i="1"/>
  <c r="AE33" i="1"/>
  <c r="AF33" i="1"/>
  <c r="AK33" i="1"/>
  <c r="AL33" i="1"/>
  <c r="AM33" i="1"/>
  <c r="AN33" i="1" s="1"/>
  <c r="B34" i="1"/>
  <c r="S34" i="1"/>
  <c r="T34" i="1"/>
  <c r="W34" i="1" s="1"/>
  <c r="U34" i="1"/>
  <c r="X34" i="1"/>
  <c r="Y34" i="1"/>
  <c r="AB34" i="1"/>
  <c r="AD34" i="1"/>
  <c r="AE34" i="1"/>
  <c r="AF34" i="1"/>
  <c r="AK34" i="1"/>
  <c r="AL34" i="1"/>
  <c r="AM34" i="1"/>
  <c r="AN34" i="1"/>
  <c r="B35" i="1"/>
  <c r="O35" i="1"/>
  <c r="P35" i="1"/>
  <c r="S35" i="1"/>
  <c r="T35" i="1"/>
  <c r="W35" i="1" s="1"/>
  <c r="U35" i="1"/>
  <c r="X35" i="1"/>
  <c r="Y35" i="1"/>
  <c r="AD35" i="1"/>
  <c r="AE35" i="1"/>
  <c r="AF35" i="1"/>
  <c r="AK35" i="1"/>
  <c r="AL35" i="1"/>
  <c r="AM35" i="1"/>
  <c r="AN35" i="1"/>
  <c r="B36" i="1"/>
  <c r="O36" i="1"/>
  <c r="P36" i="1"/>
  <c r="T36" i="1" s="1"/>
  <c r="W36" i="1" s="1"/>
  <c r="S36" i="1"/>
  <c r="X36" i="1"/>
  <c r="Y36" i="1"/>
  <c r="AD36" i="1"/>
  <c r="AE36" i="1"/>
  <c r="AF36" i="1"/>
  <c r="AK36" i="1"/>
  <c r="AL36" i="1"/>
  <c r="AM36" i="1"/>
  <c r="AN36" i="1"/>
  <c r="B37" i="1"/>
  <c r="O37" i="1"/>
  <c r="P37" i="1"/>
  <c r="T37" i="1" s="1"/>
  <c r="W37" i="1" s="1"/>
  <c r="AP37" i="1" s="1"/>
  <c r="S37" i="1"/>
  <c r="X37" i="1"/>
  <c r="Y37" i="1"/>
  <c r="AD37" i="1"/>
  <c r="AE37" i="1"/>
  <c r="AF37" i="1"/>
  <c r="AK37" i="1"/>
  <c r="AL37" i="1"/>
  <c r="AM37" i="1"/>
  <c r="AN37" i="1" s="1"/>
  <c r="B38" i="1"/>
  <c r="O38" i="1"/>
  <c r="T38" i="1" s="1"/>
  <c r="W38" i="1" s="1"/>
  <c r="P38" i="1"/>
  <c r="S38" i="1"/>
  <c r="U38" i="1"/>
  <c r="X38" i="1"/>
  <c r="Y38" i="1"/>
  <c r="AB38" i="1"/>
  <c r="AD38" i="1"/>
  <c r="AE38" i="1"/>
  <c r="AF38" i="1"/>
  <c r="AK38" i="1"/>
  <c r="AL38" i="1"/>
  <c r="AM38" i="1"/>
  <c r="AN38" i="1"/>
  <c r="B39" i="1"/>
  <c r="O39" i="1"/>
  <c r="T39" i="1" s="1"/>
  <c r="W39" i="1" s="1"/>
  <c r="P39" i="1"/>
  <c r="S39" i="1"/>
  <c r="U39" i="1"/>
  <c r="X39" i="1"/>
  <c r="Y39" i="1"/>
  <c r="AD39" i="1"/>
  <c r="AE39" i="1"/>
  <c r="AF39" i="1"/>
  <c r="AK39" i="1"/>
  <c r="AL39" i="1"/>
  <c r="AM39" i="1"/>
  <c r="AN39" i="1"/>
  <c r="B40" i="1"/>
  <c r="O40" i="1"/>
  <c r="P40" i="1"/>
  <c r="U40" i="1" s="1"/>
  <c r="S40" i="1"/>
  <c r="T40" i="1"/>
  <c r="W40" i="1" s="1"/>
  <c r="X40" i="1"/>
  <c r="Y40" i="1"/>
  <c r="Z40" i="1"/>
  <c r="AC40" i="1" s="1"/>
  <c r="AD40" i="1"/>
  <c r="AE40" i="1"/>
  <c r="AF40" i="1"/>
  <c r="AK40" i="1"/>
  <c r="AL40" i="1"/>
  <c r="AM40" i="1"/>
  <c r="AN40" i="1"/>
  <c r="B41" i="1"/>
  <c r="S41" i="1"/>
  <c r="T41" i="1"/>
  <c r="U41" i="1"/>
  <c r="W41" i="1"/>
  <c r="AQ41" i="1" s="1"/>
  <c r="X41" i="1"/>
  <c r="Y41" i="1"/>
  <c r="AD41" i="1"/>
  <c r="AE41" i="1"/>
  <c r="AF41" i="1"/>
  <c r="AK41" i="1"/>
  <c r="AL41" i="1"/>
  <c r="AM41" i="1"/>
  <c r="AN41" i="1" s="1"/>
  <c r="B42" i="1"/>
  <c r="S42" i="1"/>
  <c r="T42" i="1"/>
  <c r="W42" i="1" s="1"/>
  <c r="U42" i="1"/>
  <c r="X42" i="1"/>
  <c r="Y42" i="1"/>
  <c r="AD42" i="1"/>
  <c r="AE42" i="1"/>
  <c r="AF42" i="1"/>
  <c r="AK42" i="1"/>
  <c r="AL42" i="1"/>
  <c r="AM42" i="1"/>
  <c r="AN42" i="1" s="1"/>
  <c r="B43" i="1"/>
  <c r="O43" i="1"/>
  <c r="P43" i="1"/>
  <c r="T43" i="1" s="1"/>
  <c r="W43" i="1" s="1"/>
  <c r="AQ43" i="1" s="1"/>
  <c r="S43" i="1"/>
  <c r="X43" i="1"/>
  <c r="Y43" i="1"/>
  <c r="AD43" i="1"/>
  <c r="AE43" i="1"/>
  <c r="AF43" i="1"/>
  <c r="AK43" i="1"/>
  <c r="AL43" i="1"/>
  <c r="AM43" i="1"/>
  <c r="AN43" i="1"/>
  <c r="B44" i="1"/>
  <c r="O44" i="1"/>
  <c r="P44" i="1"/>
  <c r="T44" i="1" s="1"/>
  <c r="W44" i="1" s="1"/>
  <c r="S44" i="1"/>
  <c r="X44" i="1"/>
  <c r="Y44" i="1"/>
  <c r="AD44" i="1"/>
  <c r="AE44" i="1"/>
  <c r="AF44" i="1"/>
  <c r="AK44" i="1"/>
  <c r="AL44" i="1"/>
  <c r="AM44" i="1"/>
  <c r="AN44" i="1" s="1"/>
  <c r="B45" i="1"/>
  <c r="O45" i="1"/>
  <c r="T45" i="1" s="1"/>
  <c r="P45" i="1"/>
  <c r="S45" i="1"/>
  <c r="U45" i="1"/>
  <c r="X45" i="1"/>
  <c r="Y45" i="1"/>
  <c r="AD45" i="1"/>
  <c r="AE45" i="1"/>
  <c r="AF45" i="1"/>
  <c r="AK45" i="1"/>
  <c r="AL45" i="1"/>
  <c r="AM45" i="1"/>
  <c r="AN45" i="1" s="1"/>
  <c r="B46" i="1"/>
  <c r="O46" i="1"/>
  <c r="P46" i="1"/>
  <c r="T46" i="1" s="1"/>
  <c r="W46" i="1" s="1"/>
  <c r="S46" i="1"/>
  <c r="X46" i="1"/>
  <c r="Y46" i="1"/>
  <c r="AD46" i="1"/>
  <c r="AE46" i="1"/>
  <c r="AF46" i="1"/>
  <c r="AK46" i="1"/>
  <c r="AL46" i="1"/>
  <c r="AM46" i="1"/>
  <c r="AN46" i="1" s="1"/>
  <c r="B47" i="1"/>
  <c r="S47" i="1"/>
  <c r="T47" i="1"/>
  <c r="W47" i="1" s="1"/>
  <c r="U47" i="1"/>
  <c r="X47" i="1"/>
  <c r="Z47" i="1" s="1"/>
  <c r="Y47" i="1"/>
  <c r="AD47" i="1"/>
  <c r="AE47" i="1"/>
  <c r="AF47" i="1"/>
  <c r="AK47" i="1"/>
  <c r="AL47" i="1"/>
  <c r="AM47" i="1"/>
  <c r="AN47" i="1" s="1"/>
  <c r="B48" i="1"/>
  <c r="AP48" i="1" s="1"/>
  <c r="S48" i="1"/>
  <c r="T48" i="1"/>
  <c r="W48" i="1" s="1"/>
  <c r="AQ48" i="1" s="1"/>
  <c r="U48" i="1"/>
  <c r="X48" i="1"/>
  <c r="Z48" i="1" s="1"/>
  <c r="AC48" i="1" s="1"/>
  <c r="Y48" i="1"/>
  <c r="AD48" i="1"/>
  <c r="AE48" i="1"/>
  <c r="AF48" i="1"/>
  <c r="AK48" i="1"/>
  <c r="AL48" i="1"/>
  <c r="AM48" i="1"/>
  <c r="AN48" i="1"/>
  <c r="B49" i="1"/>
  <c r="O49" i="1"/>
  <c r="T49" i="1" s="1"/>
  <c r="W49" i="1" s="1"/>
  <c r="AQ49" i="1" s="1"/>
  <c r="P49" i="1"/>
  <c r="X49" i="1" s="1"/>
  <c r="S49" i="1"/>
  <c r="U49" i="1"/>
  <c r="Y49" i="1"/>
  <c r="AD49" i="1"/>
  <c r="AE49" i="1"/>
  <c r="AF49" i="1"/>
  <c r="AK49" i="1"/>
  <c r="AL49" i="1"/>
  <c r="AM49" i="1"/>
  <c r="AN49" i="1" s="1"/>
  <c r="B50" i="1"/>
  <c r="O50" i="1"/>
  <c r="P50" i="1"/>
  <c r="S50" i="1"/>
  <c r="X50" i="1"/>
  <c r="Y50" i="1"/>
  <c r="AD50" i="1"/>
  <c r="AE50" i="1"/>
  <c r="AF50" i="1"/>
  <c r="AK50" i="1"/>
  <c r="AL50" i="1"/>
  <c r="AM50" i="1"/>
  <c r="AN50" i="1" s="1"/>
  <c r="B51" i="1"/>
  <c r="O51" i="1"/>
  <c r="P51" i="1"/>
  <c r="S51" i="1"/>
  <c r="Y51" i="1"/>
  <c r="AD51" i="1"/>
  <c r="AE51" i="1"/>
  <c r="AF51" i="1"/>
  <c r="AK51" i="1"/>
  <c r="AL51" i="1"/>
  <c r="AM51" i="1"/>
  <c r="AN51" i="1" s="1"/>
  <c r="B52" i="1"/>
  <c r="O52" i="1"/>
  <c r="T52" i="1" s="1"/>
  <c r="P52" i="1"/>
  <c r="S52" i="1"/>
  <c r="U52" i="1"/>
  <c r="X52" i="1"/>
  <c r="Y52" i="1"/>
  <c r="AB52" i="1"/>
  <c r="AD52" i="1"/>
  <c r="AE52" i="1"/>
  <c r="AF52" i="1"/>
  <c r="AK52" i="1"/>
  <c r="AL52" i="1"/>
  <c r="AM52" i="1"/>
  <c r="AN52" i="1"/>
  <c r="B53" i="1"/>
  <c r="O53" i="1"/>
  <c r="P53" i="1"/>
  <c r="S53" i="1"/>
  <c r="T53" i="1"/>
  <c r="W53" i="1" s="1"/>
  <c r="AP53" i="1" s="1"/>
  <c r="U53" i="1"/>
  <c r="X53" i="1"/>
  <c r="Y53" i="1"/>
  <c r="AB53" i="1" s="1"/>
  <c r="AD53" i="1"/>
  <c r="AE53" i="1"/>
  <c r="AF53" i="1"/>
  <c r="AK53" i="1"/>
  <c r="AL53" i="1"/>
  <c r="AM53" i="1"/>
  <c r="AN53" i="1" s="1"/>
  <c r="B54" i="1"/>
  <c r="O54" i="1"/>
  <c r="T54" i="1" s="1"/>
  <c r="W54" i="1" s="1"/>
  <c r="P54" i="1"/>
  <c r="S54" i="1"/>
  <c r="X54" i="1"/>
  <c r="Y54" i="1"/>
  <c r="AB54" i="1"/>
  <c r="AD54" i="1"/>
  <c r="AE54" i="1"/>
  <c r="AF54" i="1"/>
  <c r="AK54" i="1"/>
  <c r="AL54" i="1"/>
  <c r="AM54" i="1"/>
  <c r="AN54" i="1"/>
  <c r="B55" i="1"/>
  <c r="O55" i="1"/>
  <c r="T55" i="1" s="1"/>
  <c r="W55" i="1" s="1"/>
  <c r="AQ55" i="1" s="1"/>
  <c r="P55" i="1"/>
  <c r="S55" i="1"/>
  <c r="U55" i="1"/>
  <c r="X55" i="1"/>
  <c r="Z55" i="1" s="1"/>
  <c r="AC55" i="1" s="1"/>
  <c r="Y55" i="1"/>
  <c r="AD55" i="1"/>
  <c r="AE55" i="1"/>
  <c r="AF55" i="1"/>
  <c r="AK55" i="1"/>
  <c r="AL55" i="1"/>
  <c r="AM55" i="1"/>
  <c r="AN55" i="1" s="1"/>
  <c r="B56" i="1"/>
  <c r="O56" i="1"/>
  <c r="P56" i="1"/>
  <c r="S56" i="1"/>
  <c r="Y56" i="1"/>
  <c r="AD56" i="1"/>
  <c r="AE56" i="1"/>
  <c r="AF56" i="1"/>
  <c r="AK56" i="1"/>
  <c r="AL56" i="1"/>
  <c r="AM56" i="1"/>
  <c r="AN56" i="1" s="1"/>
  <c r="B57" i="1"/>
  <c r="S57" i="1"/>
  <c r="T57" i="1"/>
  <c r="W57" i="1" s="1"/>
  <c r="AQ57" i="1" s="1"/>
  <c r="U57" i="1"/>
  <c r="X57" i="1"/>
  <c r="Y57" i="1"/>
  <c r="Z57" i="1"/>
  <c r="AC57" i="1" s="1"/>
  <c r="AD57" i="1"/>
  <c r="AE57" i="1"/>
  <c r="AF57" i="1"/>
  <c r="AK57" i="1"/>
  <c r="AL57" i="1"/>
  <c r="AM57" i="1"/>
  <c r="AN57" i="1" s="1"/>
  <c r="B58" i="1"/>
  <c r="S58" i="1"/>
  <c r="T58" i="1"/>
  <c r="W58" i="1" s="1"/>
  <c r="U58" i="1"/>
  <c r="X58" i="1"/>
  <c r="AB58" i="1" s="1"/>
  <c r="Y58" i="1"/>
  <c r="AD58" i="1"/>
  <c r="AE58" i="1"/>
  <c r="AF58" i="1"/>
  <c r="AK58" i="1"/>
  <c r="AL58" i="1"/>
  <c r="AM58" i="1"/>
  <c r="AN58" i="1" s="1"/>
  <c r="B59" i="1"/>
  <c r="O59" i="1"/>
  <c r="T59" i="1" s="1"/>
  <c r="W59" i="1" s="1"/>
  <c r="P59" i="1"/>
  <c r="S59" i="1"/>
  <c r="U59" i="1"/>
  <c r="X59" i="1"/>
  <c r="Y59" i="1"/>
  <c r="AD59" i="1"/>
  <c r="AE59" i="1"/>
  <c r="AF59" i="1"/>
  <c r="AK59" i="1"/>
  <c r="AL59" i="1"/>
  <c r="AM59" i="1"/>
  <c r="AN59" i="1"/>
  <c r="B60" i="1"/>
  <c r="O60" i="1"/>
  <c r="P60" i="1"/>
  <c r="U60" i="1" s="1"/>
  <c r="S60" i="1"/>
  <c r="T60" i="1"/>
  <c r="W60" i="1" s="1"/>
  <c r="X60" i="1"/>
  <c r="Y60" i="1"/>
  <c r="AD60" i="1"/>
  <c r="AE60" i="1"/>
  <c r="AF60" i="1"/>
  <c r="AK60" i="1"/>
  <c r="AL60" i="1"/>
  <c r="AM60" i="1"/>
  <c r="AN60" i="1" s="1"/>
  <c r="B61" i="1"/>
  <c r="O61" i="1"/>
  <c r="P61" i="1"/>
  <c r="U61" i="1" s="1"/>
  <c r="S61" i="1"/>
  <c r="T61" i="1"/>
  <c r="W61" i="1" s="1"/>
  <c r="AP61" i="1" s="1"/>
  <c r="X61" i="1"/>
  <c r="Z61" i="1" s="1"/>
  <c r="AC61" i="1" s="1"/>
  <c r="Y61" i="1"/>
  <c r="AD61" i="1"/>
  <c r="AE61" i="1"/>
  <c r="AF61" i="1"/>
  <c r="AK61" i="1"/>
  <c r="AL61" i="1"/>
  <c r="AM61" i="1"/>
  <c r="AN61" i="1" s="1"/>
  <c r="B62" i="1"/>
  <c r="P62" i="1"/>
  <c r="T62" i="1" s="1"/>
  <c r="W62" i="1" s="1"/>
  <c r="S62" i="1"/>
  <c r="U62" i="1"/>
  <c r="X62" i="1"/>
  <c r="Z62" i="1" s="1"/>
  <c r="AC62" i="1" s="1"/>
  <c r="Y62" i="1"/>
  <c r="AD62" i="1"/>
  <c r="AE62" i="1"/>
  <c r="AF62" i="1"/>
  <c r="AK62" i="1"/>
  <c r="AL62" i="1"/>
  <c r="AM62" i="1"/>
  <c r="AN62" i="1" s="1"/>
  <c r="B63" i="1"/>
  <c r="O63" i="1"/>
  <c r="P63" i="1"/>
  <c r="U63" i="1" s="1"/>
  <c r="S63" i="1"/>
  <c r="Y63" i="1"/>
  <c r="AD63" i="1"/>
  <c r="AE63" i="1"/>
  <c r="AF63" i="1"/>
  <c r="AK63" i="1"/>
  <c r="AL63" i="1"/>
  <c r="AM63" i="1"/>
  <c r="AN63" i="1" s="1"/>
  <c r="B64" i="1"/>
  <c r="O64" i="1"/>
  <c r="P64" i="1"/>
  <c r="U64" i="1" s="1"/>
  <c r="S64" i="1"/>
  <c r="T64" i="1"/>
  <c r="W64" i="1" s="1"/>
  <c r="X64" i="1"/>
  <c r="Y64" i="1"/>
  <c r="AD64" i="1"/>
  <c r="AE64" i="1"/>
  <c r="AF64" i="1"/>
  <c r="AK64" i="1"/>
  <c r="AL64" i="1"/>
  <c r="AM64" i="1"/>
  <c r="AN64" i="1" s="1"/>
  <c r="B65" i="1"/>
  <c r="O65" i="1"/>
  <c r="P65" i="1"/>
  <c r="U65" i="1" s="1"/>
  <c r="S65" i="1"/>
  <c r="T65" i="1"/>
  <c r="W65" i="1" s="1"/>
  <c r="X65" i="1"/>
  <c r="AB65" i="1" s="1"/>
  <c r="Y65" i="1"/>
  <c r="AD65" i="1"/>
  <c r="AE65" i="1"/>
  <c r="AF65" i="1"/>
  <c r="AK65" i="1"/>
  <c r="AL65" i="1"/>
  <c r="AM65" i="1"/>
  <c r="AN65" i="1" s="1"/>
  <c r="B66" i="1"/>
  <c r="O66" i="1"/>
  <c r="T66" i="1" s="1"/>
  <c r="P66" i="1"/>
  <c r="S66" i="1"/>
  <c r="U66" i="1"/>
  <c r="X66" i="1"/>
  <c r="Y66" i="1"/>
  <c r="AD66" i="1"/>
  <c r="AE66" i="1"/>
  <c r="AF66" i="1"/>
  <c r="AK66" i="1"/>
  <c r="AL66" i="1"/>
  <c r="AM66" i="1"/>
  <c r="AN66" i="1"/>
  <c r="B67" i="1"/>
  <c r="O67" i="1"/>
  <c r="T67" i="1" s="1"/>
  <c r="P67" i="1"/>
  <c r="S67" i="1"/>
  <c r="U67" i="1"/>
  <c r="X67" i="1"/>
  <c r="Y67" i="1"/>
  <c r="AD67" i="1"/>
  <c r="AE67" i="1"/>
  <c r="AF67" i="1"/>
  <c r="AK67" i="1"/>
  <c r="AL67" i="1"/>
  <c r="AM67" i="1"/>
  <c r="AN67" i="1" s="1"/>
  <c r="B68" i="1"/>
  <c r="O68" i="1"/>
  <c r="P68" i="1"/>
  <c r="X68" i="1" s="1"/>
  <c r="S68" i="1"/>
  <c r="T68" i="1"/>
  <c r="W68" i="1" s="1"/>
  <c r="Y68" i="1"/>
  <c r="Z68" i="1"/>
  <c r="AC68" i="1" s="1"/>
  <c r="AD68" i="1"/>
  <c r="AE68" i="1"/>
  <c r="AF68" i="1"/>
  <c r="AK68" i="1"/>
  <c r="AL68" i="1"/>
  <c r="AM68" i="1"/>
  <c r="AN68" i="1" s="1"/>
  <c r="B69" i="1"/>
  <c r="S69" i="1"/>
  <c r="T69" i="1"/>
  <c r="W69" i="1" s="1"/>
  <c r="U69" i="1"/>
  <c r="X69" i="1"/>
  <c r="Z69" i="1" s="1"/>
  <c r="Y69" i="1"/>
  <c r="AD69" i="1"/>
  <c r="AE69" i="1"/>
  <c r="AF69" i="1"/>
  <c r="AK69" i="1"/>
  <c r="AL69" i="1"/>
  <c r="AM69" i="1"/>
  <c r="AN69" i="1" s="1"/>
  <c r="B70" i="1"/>
  <c r="S70" i="1"/>
  <c r="T70" i="1"/>
  <c r="W70" i="1" s="1"/>
  <c r="U70" i="1"/>
  <c r="X70" i="1"/>
  <c r="Y70" i="1"/>
  <c r="AB70" i="1" s="1"/>
  <c r="AD70" i="1"/>
  <c r="AE70" i="1"/>
  <c r="AF70" i="1"/>
  <c r="AK70" i="1"/>
  <c r="AL70" i="1"/>
  <c r="AM70" i="1"/>
  <c r="AN70" i="1" s="1"/>
  <c r="B71" i="1"/>
  <c r="O71" i="1"/>
  <c r="P71" i="1"/>
  <c r="S71" i="1"/>
  <c r="T71" i="1"/>
  <c r="W71" i="1" s="1"/>
  <c r="U71" i="1"/>
  <c r="X71" i="1"/>
  <c r="Y71" i="1"/>
  <c r="AB71" i="1"/>
  <c r="AD71" i="1"/>
  <c r="AE71" i="1"/>
  <c r="AF71" i="1"/>
  <c r="AK71" i="1"/>
  <c r="AL71" i="1"/>
  <c r="AM71" i="1"/>
  <c r="AN71" i="1" s="1"/>
  <c r="B72" i="1"/>
  <c r="O72" i="1"/>
  <c r="P72" i="1"/>
  <c r="X72" i="1" s="1"/>
  <c r="Z72" i="1" s="1"/>
  <c r="AC72" i="1" s="1"/>
  <c r="S72" i="1"/>
  <c r="T72" i="1"/>
  <c r="W72" i="1" s="1"/>
  <c r="U72" i="1"/>
  <c r="Y72" i="1"/>
  <c r="AD72" i="1"/>
  <c r="AE72" i="1"/>
  <c r="AF72" i="1"/>
  <c r="AK72" i="1"/>
  <c r="AL72" i="1"/>
  <c r="AM72" i="1"/>
  <c r="AN72" i="1"/>
  <c r="B73" i="1"/>
  <c r="S73" i="1"/>
  <c r="T73" i="1"/>
  <c r="W73" i="1" s="1"/>
  <c r="U73" i="1"/>
  <c r="X73" i="1"/>
  <c r="Y73" i="1"/>
  <c r="AB73" i="1"/>
  <c r="AD73" i="1"/>
  <c r="AE73" i="1"/>
  <c r="AF73" i="1"/>
  <c r="AK73" i="1"/>
  <c r="AL73" i="1"/>
  <c r="AM73" i="1"/>
  <c r="AN73" i="1"/>
  <c r="B74" i="1"/>
  <c r="S74" i="1"/>
  <c r="T74" i="1"/>
  <c r="U74" i="1"/>
  <c r="W74" i="1"/>
  <c r="AP74" i="1" s="1"/>
  <c r="X74" i="1"/>
  <c r="Z74" i="1" s="1"/>
  <c r="Y74" i="1"/>
  <c r="AD74" i="1"/>
  <c r="AE74" i="1"/>
  <c r="AF74" i="1"/>
  <c r="AK74" i="1"/>
  <c r="AL74" i="1"/>
  <c r="AM74" i="1"/>
  <c r="AN74" i="1" s="1"/>
  <c r="B75" i="1"/>
  <c r="O75" i="1"/>
  <c r="T75" i="1" s="1"/>
  <c r="W75" i="1" s="1"/>
  <c r="P75" i="1"/>
  <c r="S75" i="1"/>
  <c r="U75" i="1"/>
  <c r="X75" i="1"/>
  <c r="Y75" i="1"/>
  <c r="AB75" i="1" s="1"/>
  <c r="AD75" i="1"/>
  <c r="AE75" i="1"/>
  <c r="AF75" i="1"/>
  <c r="AK75" i="1"/>
  <c r="AL75" i="1"/>
  <c r="AM75" i="1"/>
  <c r="AN75" i="1"/>
  <c r="B76" i="1"/>
  <c r="P76" i="1"/>
  <c r="X76" i="1" s="1"/>
  <c r="S76" i="1"/>
  <c r="Y76" i="1"/>
  <c r="AD76" i="1"/>
  <c r="AE76" i="1"/>
  <c r="AF76" i="1"/>
  <c r="AK76" i="1"/>
  <c r="AL76" i="1"/>
  <c r="AM76" i="1"/>
  <c r="AN76" i="1" s="1"/>
  <c r="B77" i="1"/>
  <c r="S77" i="1"/>
  <c r="T77" i="1"/>
  <c r="U77" i="1"/>
  <c r="W77" i="1"/>
  <c r="AP77" i="1" s="1"/>
  <c r="X77" i="1"/>
  <c r="Z77" i="1" s="1"/>
  <c r="AC77" i="1" s="1"/>
  <c r="Y77" i="1"/>
  <c r="AD77" i="1"/>
  <c r="AE77" i="1"/>
  <c r="AF77" i="1"/>
  <c r="AK77" i="1"/>
  <c r="AL77" i="1"/>
  <c r="AM77" i="1"/>
  <c r="AN77" i="1"/>
  <c r="B78" i="1"/>
  <c r="S78" i="1"/>
  <c r="T78" i="1"/>
  <c r="W78" i="1" s="1"/>
  <c r="U78" i="1"/>
  <c r="X78" i="1"/>
  <c r="Y78" i="1"/>
  <c r="AB78" i="1" s="1"/>
  <c r="AD78" i="1"/>
  <c r="AE78" i="1"/>
  <c r="AF78" i="1"/>
  <c r="AK78" i="1"/>
  <c r="AL78" i="1"/>
  <c r="AM78" i="1"/>
  <c r="AN78" i="1"/>
  <c r="B79" i="1"/>
  <c r="S79" i="1"/>
  <c r="T79" i="1"/>
  <c r="U79" i="1"/>
  <c r="W79" i="1"/>
  <c r="AP79" i="1" s="1"/>
  <c r="X79" i="1"/>
  <c r="Y79" i="1"/>
  <c r="AB79" i="1"/>
  <c r="AD79" i="1"/>
  <c r="AE79" i="1"/>
  <c r="AF79" i="1"/>
  <c r="AK79" i="1"/>
  <c r="AL79" i="1"/>
  <c r="AM79" i="1"/>
  <c r="AN79" i="1" s="1"/>
  <c r="B80" i="1"/>
  <c r="S80" i="1"/>
  <c r="T80" i="1"/>
  <c r="W80" i="1" s="1"/>
  <c r="AP80" i="1" s="1"/>
  <c r="U80" i="1"/>
  <c r="X80" i="1"/>
  <c r="Y80" i="1"/>
  <c r="AD80" i="1"/>
  <c r="AE80" i="1"/>
  <c r="AF80" i="1"/>
  <c r="AK80" i="1"/>
  <c r="AL80" i="1"/>
  <c r="AM80" i="1"/>
  <c r="AN80" i="1" s="1"/>
  <c r="B81" i="1"/>
  <c r="O81" i="1"/>
  <c r="P81" i="1"/>
  <c r="X81" i="1" s="1"/>
  <c r="S81" i="1"/>
  <c r="Y81" i="1"/>
  <c r="AB81" i="1" s="1"/>
  <c r="AD81" i="1"/>
  <c r="AE81" i="1"/>
  <c r="AF81" i="1"/>
  <c r="AK81" i="1"/>
  <c r="AL81" i="1"/>
  <c r="AM81" i="1"/>
  <c r="AN81" i="1" s="1"/>
  <c r="B82" i="1"/>
  <c r="O82" i="1"/>
  <c r="P82" i="1"/>
  <c r="T82" i="1" s="1"/>
  <c r="W82" i="1" s="1"/>
  <c r="S82" i="1"/>
  <c r="X82" i="1"/>
  <c r="Y82" i="1"/>
  <c r="AD82" i="1"/>
  <c r="AE82" i="1"/>
  <c r="AF82" i="1"/>
  <c r="AK82" i="1"/>
  <c r="AL82" i="1"/>
  <c r="AM82" i="1"/>
  <c r="AN82" i="1" s="1"/>
  <c r="B83" i="1"/>
  <c r="O83" i="1"/>
  <c r="P83" i="1"/>
  <c r="X83" i="1" s="1"/>
  <c r="S83" i="1"/>
  <c r="Y83" i="1"/>
  <c r="AD83" i="1"/>
  <c r="AE83" i="1"/>
  <c r="AF83" i="1"/>
  <c r="AK83" i="1"/>
  <c r="AL83" i="1"/>
  <c r="AM83" i="1"/>
  <c r="AN83" i="1" s="1"/>
  <c r="B84" i="1"/>
  <c r="O84" i="1"/>
  <c r="P84" i="1"/>
  <c r="X84" i="1" s="1"/>
  <c r="S84" i="1"/>
  <c r="Y84" i="1"/>
  <c r="AD84" i="1"/>
  <c r="AE84" i="1"/>
  <c r="AF84" i="1"/>
  <c r="AK84" i="1"/>
  <c r="AL84" i="1"/>
  <c r="AM84" i="1"/>
  <c r="AN84" i="1" s="1"/>
  <c r="B85" i="1"/>
  <c r="S85" i="1"/>
  <c r="T85" i="1"/>
  <c r="U85" i="1"/>
  <c r="W85" i="1"/>
  <c r="AP85" i="1" s="1"/>
  <c r="X85" i="1"/>
  <c r="Y85" i="1"/>
  <c r="AD85" i="1"/>
  <c r="AE85" i="1"/>
  <c r="AF85" i="1"/>
  <c r="AK85" i="1"/>
  <c r="AL85" i="1"/>
  <c r="AM85" i="1"/>
  <c r="AN85" i="1" s="1"/>
  <c r="B86" i="1"/>
  <c r="S86" i="1"/>
  <c r="T86" i="1"/>
  <c r="W86" i="1" s="1"/>
  <c r="U86" i="1"/>
  <c r="X86" i="1"/>
  <c r="Y86" i="1"/>
  <c r="AD86" i="1"/>
  <c r="AE86" i="1"/>
  <c r="AF86" i="1"/>
  <c r="AK86" i="1"/>
  <c r="AL86" i="1"/>
  <c r="AM86" i="1"/>
  <c r="AN86" i="1"/>
  <c r="B87" i="1"/>
  <c r="O87" i="1"/>
  <c r="T87" i="1" s="1"/>
  <c r="W87" i="1" s="1"/>
  <c r="P87" i="1"/>
  <c r="S87" i="1"/>
  <c r="U87" i="1"/>
  <c r="X87" i="1"/>
  <c r="Y87" i="1"/>
  <c r="AD87" i="1"/>
  <c r="AE87" i="1"/>
  <c r="AF87" i="1"/>
  <c r="AK87" i="1"/>
  <c r="AL87" i="1"/>
  <c r="AM87" i="1"/>
  <c r="AN87" i="1"/>
  <c r="B88" i="1"/>
  <c r="O88" i="1"/>
  <c r="P88" i="1"/>
  <c r="S88" i="1"/>
  <c r="Y88" i="1"/>
  <c r="AD88" i="1"/>
  <c r="AE88" i="1"/>
  <c r="AF88" i="1"/>
  <c r="AK88" i="1"/>
  <c r="AL88" i="1"/>
  <c r="AM88" i="1"/>
  <c r="AN88" i="1"/>
  <c r="B89" i="1"/>
  <c r="O89" i="1"/>
  <c r="T89" i="1" s="1"/>
  <c r="W89" i="1" s="1"/>
  <c r="P89" i="1"/>
  <c r="S89" i="1"/>
  <c r="U89" i="1"/>
  <c r="X89" i="1"/>
  <c r="Z89" i="1" s="1"/>
  <c r="AC89" i="1" s="1"/>
  <c r="Y89" i="1"/>
  <c r="AD89" i="1"/>
  <c r="AE89" i="1"/>
  <c r="AF89" i="1"/>
  <c r="AK89" i="1"/>
  <c r="AL89" i="1"/>
  <c r="AM89" i="1"/>
  <c r="AN89" i="1" s="1"/>
  <c r="B90" i="1"/>
  <c r="O90" i="1"/>
  <c r="P90" i="1"/>
  <c r="U90" i="1" s="1"/>
  <c r="S90" i="1"/>
  <c r="T90" i="1"/>
  <c r="W90" i="1" s="1"/>
  <c r="Y90" i="1"/>
  <c r="AD90" i="1"/>
  <c r="AE90" i="1"/>
  <c r="AF90" i="1"/>
  <c r="AK90" i="1"/>
  <c r="AL90" i="1"/>
  <c r="AM90" i="1"/>
  <c r="AN90" i="1"/>
  <c r="B91" i="1"/>
  <c r="S91" i="1"/>
  <c r="T91" i="1"/>
  <c r="W91" i="1" s="1"/>
  <c r="U91" i="1"/>
  <c r="X91" i="1"/>
  <c r="AB91" i="1" s="1"/>
  <c r="Y91" i="1"/>
  <c r="Z91" i="1"/>
  <c r="AD91" i="1"/>
  <c r="AE91" i="1"/>
  <c r="AF91" i="1"/>
  <c r="AK91" i="1"/>
  <c r="AL91" i="1"/>
  <c r="AM91" i="1"/>
  <c r="AN91" i="1" s="1"/>
  <c r="B92" i="1"/>
  <c r="S92" i="1"/>
  <c r="T92" i="1"/>
  <c r="U92" i="1"/>
  <c r="W92" i="1"/>
  <c r="AQ92" i="1" s="1"/>
  <c r="X92" i="1"/>
  <c r="Z92" i="1" s="1"/>
  <c r="Y92" i="1"/>
  <c r="AD92" i="1"/>
  <c r="AE92" i="1"/>
  <c r="AF92" i="1"/>
  <c r="AK92" i="1"/>
  <c r="AL92" i="1"/>
  <c r="AM92" i="1"/>
  <c r="AN92" i="1" s="1"/>
  <c r="B93" i="1"/>
  <c r="O93" i="1"/>
  <c r="P93" i="1"/>
  <c r="S93" i="1"/>
  <c r="Y93" i="1"/>
  <c r="AD93" i="1"/>
  <c r="AE93" i="1"/>
  <c r="AF93" i="1"/>
  <c r="AK93" i="1"/>
  <c r="AL93" i="1"/>
  <c r="AM93" i="1"/>
  <c r="AN93" i="1" s="1"/>
  <c r="B94" i="1"/>
  <c r="O94" i="1"/>
  <c r="P94" i="1"/>
  <c r="U94" i="1" s="1"/>
  <c r="S94" i="1"/>
  <c r="T94" i="1"/>
  <c r="W94" i="1" s="1"/>
  <c r="X94" i="1"/>
  <c r="Y94" i="1"/>
  <c r="AD94" i="1"/>
  <c r="AE94" i="1"/>
  <c r="AF94" i="1"/>
  <c r="AK94" i="1"/>
  <c r="AL94" i="1"/>
  <c r="AM94" i="1"/>
  <c r="AN94" i="1" s="1"/>
  <c r="B95" i="1"/>
  <c r="O95" i="1"/>
  <c r="P95" i="1"/>
  <c r="T95" i="1" s="1"/>
  <c r="W95" i="1" s="1"/>
  <c r="AP95" i="1" s="1"/>
  <c r="S95" i="1"/>
  <c r="U95" i="1"/>
  <c r="X95" i="1"/>
  <c r="Y95" i="1"/>
  <c r="AD95" i="1"/>
  <c r="AE95" i="1"/>
  <c r="AF95" i="1"/>
  <c r="AK95" i="1"/>
  <c r="AL95" i="1"/>
  <c r="AM95" i="1"/>
  <c r="AN95" i="1" s="1"/>
  <c r="B96" i="1"/>
  <c r="O96" i="1"/>
  <c r="P96" i="1"/>
  <c r="T96" i="1" s="1"/>
  <c r="W96" i="1" s="1"/>
  <c r="S96" i="1"/>
  <c r="U96" i="1"/>
  <c r="X96" i="1"/>
  <c r="Y96" i="1"/>
  <c r="AD96" i="1"/>
  <c r="AE96" i="1"/>
  <c r="AF96" i="1"/>
  <c r="AK96" i="1"/>
  <c r="AL96" i="1"/>
  <c r="AM96" i="1"/>
  <c r="AN96" i="1" s="1"/>
  <c r="B97" i="1"/>
  <c r="S97" i="1"/>
  <c r="T97" i="1"/>
  <c r="W97" i="1" s="1"/>
  <c r="AQ97" i="1" s="1"/>
  <c r="U97" i="1"/>
  <c r="X97" i="1"/>
  <c r="Y97" i="1"/>
  <c r="AD97" i="1"/>
  <c r="AE97" i="1"/>
  <c r="AF97" i="1"/>
  <c r="AK97" i="1"/>
  <c r="AL97" i="1"/>
  <c r="AM97" i="1"/>
  <c r="AN97" i="1" s="1"/>
  <c r="B98" i="1"/>
  <c r="S98" i="1"/>
  <c r="T98" i="1"/>
  <c r="W98" i="1" s="1"/>
  <c r="U98" i="1"/>
  <c r="X98" i="1"/>
  <c r="Y98" i="1"/>
  <c r="AB98" i="1" s="1"/>
  <c r="AD98" i="1"/>
  <c r="AE98" i="1"/>
  <c r="AF98" i="1"/>
  <c r="AK98" i="1"/>
  <c r="AL98" i="1"/>
  <c r="AM98" i="1"/>
  <c r="AN98" i="1" s="1"/>
  <c r="B99" i="1"/>
  <c r="O99" i="1"/>
  <c r="T99" i="1" s="1"/>
  <c r="W99" i="1" s="1"/>
  <c r="P99" i="1"/>
  <c r="S99" i="1"/>
  <c r="U99" i="1"/>
  <c r="X99" i="1"/>
  <c r="Y99" i="1"/>
  <c r="AB99" i="1" s="1"/>
  <c r="AD99" i="1"/>
  <c r="AE99" i="1"/>
  <c r="AF99" i="1"/>
  <c r="AK99" i="1"/>
  <c r="AL99" i="1"/>
  <c r="AM99" i="1"/>
  <c r="AN99" i="1" s="1"/>
  <c r="B100" i="1"/>
  <c r="O100" i="1"/>
  <c r="P100" i="1"/>
  <c r="U100" i="1" s="1"/>
  <c r="S100" i="1"/>
  <c r="Y100" i="1"/>
  <c r="AD100" i="1"/>
  <c r="AE100" i="1"/>
  <c r="AF100" i="1"/>
  <c r="AK100" i="1"/>
  <c r="AL100" i="1"/>
  <c r="AM100" i="1"/>
  <c r="AN100" i="1"/>
  <c r="B101" i="1"/>
  <c r="O101" i="1"/>
  <c r="P101" i="1"/>
  <c r="S101" i="1"/>
  <c r="U101" i="1"/>
  <c r="X101" i="1"/>
  <c r="Y101" i="1"/>
  <c r="AD101" i="1"/>
  <c r="AE101" i="1"/>
  <c r="AF101" i="1"/>
  <c r="AK101" i="1"/>
  <c r="AL101" i="1"/>
  <c r="AM101" i="1"/>
  <c r="AN101" i="1" s="1"/>
  <c r="B102" i="1"/>
  <c r="S102" i="1"/>
  <c r="T102" i="1"/>
  <c r="W102" i="1" s="1"/>
  <c r="AQ102" i="1" s="1"/>
  <c r="U102" i="1"/>
  <c r="X102" i="1"/>
  <c r="Y102" i="1"/>
  <c r="AD102" i="1"/>
  <c r="AE102" i="1"/>
  <c r="AF102" i="1"/>
  <c r="AK102" i="1"/>
  <c r="AL102" i="1"/>
  <c r="AM102" i="1"/>
  <c r="AN102" i="1" s="1"/>
  <c r="B103" i="1"/>
  <c r="O103" i="1"/>
  <c r="U103" i="1" s="1"/>
  <c r="P103" i="1"/>
  <c r="S103" i="1"/>
  <c r="X103" i="1"/>
  <c r="Y103" i="1"/>
  <c r="AD103" i="1"/>
  <c r="AE103" i="1"/>
  <c r="AF103" i="1"/>
  <c r="AK103" i="1"/>
  <c r="AL103" i="1"/>
  <c r="AM103" i="1"/>
  <c r="AN103" i="1"/>
  <c r="B104" i="1"/>
  <c r="O104" i="1"/>
  <c r="P104" i="1"/>
  <c r="U104" i="1" s="1"/>
  <c r="S104" i="1"/>
  <c r="Y104" i="1"/>
  <c r="AD104" i="1"/>
  <c r="AE104" i="1"/>
  <c r="AF104" i="1"/>
  <c r="AK104" i="1"/>
  <c r="AL104" i="1"/>
  <c r="AM104" i="1"/>
  <c r="AN104" i="1"/>
  <c r="B105" i="1"/>
  <c r="S105" i="1"/>
  <c r="T105" i="1"/>
  <c r="W105" i="1" s="1"/>
  <c r="AQ105" i="1" s="1"/>
  <c r="U105" i="1"/>
  <c r="X105" i="1"/>
  <c r="Z105" i="1" s="1"/>
  <c r="Y105" i="1"/>
  <c r="AD105" i="1"/>
  <c r="AE105" i="1"/>
  <c r="AF105" i="1"/>
  <c r="AK105" i="1"/>
  <c r="AL105" i="1"/>
  <c r="AM105" i="1"/>
  <c r="AN105" i="1" s="1"/>
  <c r="B106" i="1"/>
  <c r="S106" i="1"/>
  <c r="T106" i="1"/>
  <c r="Z106" i="1" s="1"/>
  <c r="AC106" i="1" s="1"/>
  <c r="U106" i="1"/>
  <c r="X106" i="1"/>
  <c r="Y106" i="1"/>
  <c r="AD106" i="1"/>
  <c r="AE106" i="1"/>
  <c r="AF106" i="1"/>
  <c r="AK106" i="1"/>
  <c r="AL106" i="1"/>
  <c r="AM106" i="1"/>
  <c r="AN106" i="1" s="1"/>
  <c r="B107" i="1"/>
  <c r="O107" i="1"/>
  <c r="P107" i="1"/>
  <c r="U107" i="1" s="1"/>
  <c r="S107" i="1"/>
  <c r="T107" i="1"/>
  <c r="W107" i="1" s="1"/>
  <c r="X107" i="1"/>
  <c r="Y107" i="1"/>
  <c r="AD107" i="1"/>
  <c r="AE107" i="1"/>
  <c r="AF107" i="1"/>
  <c r="AK107" i="1"/>
  <c r="AL107" i="1"/>
  <c r="AM107" i="1"/>
  <c r="AN107" i="1" s="1"/>
  <c r="B108" i="1"/>
  <c r="S108" i="1"/>
  <c r="T108" i="1"/>
  <c r="U108" i="1"/>
  <c r="X108" i="1"/>
  <c r="Y108" i="1"/>
  <c r="AB108" i="1" s="1"/>
  <c r="AD108" i="1"/>
  <c r="AE108" i="1"/>
  <c r="AF108" i="1"/>
  <c r="AK108" i="1"/>
  <c r="AL108" i="1"/>
  <c r="AM108" i="1"/>
  <c r="AN108" i="1" s="1"/>
  <c r="B109" i="1"/>
  <c r="O109" i="1"/>
  <c r="P109" i="1"/>
  <c r="U109" i="1" s="1"/>
  <c r="S109" i="1"/>
  <c r="Y109" i="1"/>
  <c r="AD109" i="1"/>
  <c r="AE109" i="1"/>
  <c r="AF109" i="1"/>
  <c r="AK109" i="1"/>
  <c r="AL109" i="1"/>
  <c r="AM109" i="1"/>
  <c r="AN109" i="1"/>
  <c r="B110" i="1"/>
  <c r="O110" i="1"/>
  <c r="P110" i="1"/>
  <c r="U110" i="1" s="1"/>
  <c r="S110" i="1"/>
  <c r="T110" i="1"/>
  <c r="W110" i="1" s="1"/>
  <c r="Y110" i="1"/>
  <c r="AD110" i="1"/>
  <c r="AE110" i="1"/>
  <c r="AF110" i="1"/>
  <c r="AK110" i="1"/>
  <c r="AL110" i="1"/>
  <c r="AM110" i="1"/>
  <c r="AN110" i="1" s="1"/>
  <c r="B111" i="1"/>
  <c r="S111" i="1"/>
  <c r="T111" i="1"/>
  <c r="W111" i="1" s="1"/>
  <c r="U111" i="1"/>
  <c r="X111" i="1"/>
  <c r="Y111" i="1"/>
  <c r="AD111" i="1"/>
  <c r="AE111" i="1"/>
  <c r="AF111" i="1"/>
  <c r="AK111" i="1"/>
  <c r="AL111" i="1"/>
  <c r="AM111" i="1"/>
  <c r="AN111" i="1"/>
  <c r="B112" i="1"/>
  <c r="S112" i="1"/>
  <c r="T112" i="1"/>
  <c r="W112" i="1" s="1"/>
  <c r="AP112" i="1" s="1"/>
  <c r="U112" i="1"/>
  <c r="X112" i="1"/>
  <c r="Y112" i="1"/>
  <c r="AB112" i="1" s="1"/>
  <c r="Z112" i="1"/>
  <c r="AC112" i="1" s="1"/>
  <c r="AD112" i="1"/>
  <c r="AE112" i="1"/>
  <c r="AF112" i="1"/>
  <c r="AK112" i="1"/>
  <c r="AL112" i="1"/>
  <c r="AM112" i="1"/>
  <c r="AN112" i="1" s="1"/>
  <c r="B113" i="1"/>
  <c r="O113" i="1"/>
  <c r="T113" i="1" s="1"/>
  <c r="W113" i="1" s="1"/>
  <c r="P113" i="1"/>
  <c r="S113" i="1"/>
  <c r="U113" i="1"/>
  <c r="X113" i="1"/>
  <c r="Y113" i="1"/>
  <c r="AB113" i="1" s="1"/>
  <c r="AD113" i="1"/>
  <c r="AE113" i="1"/>
  <c r="AF113" i="1"/>
  <c r="AK113" i="1"/>
  <c r="AL113" i="1"/>
  <c r="AM113" i="1"/>
  <c r="AN113" i="1" s="1"/>
  <c r="B114" i="1"/>
  <c r="P114" i="1"/>
  <c r="X114" i="1" s="1"/>
  <c r="S114" i="1"/>
  <c r="T114" i="1"/>
  <c r="W114" i="1" s="1"/>
  <c r="Y114" i="1"/>
  <c r="AB114" i="1" s="1"/>
  <c r="Z114" i="1"/>
  <c r="AC114" i="1" s="1"/>
  <c r="AD114" i="1"/>
  <c r="AE114" i="1"/>
  <c r="AF114" i="1"/>
  <c r="AK114" i="1"/>
  <c r="AL114" i="1"/>
  <c r="AM114" i="1"/>
  <c r="AN114" i="1" s="1"/>
  <c r="B115" i="1"/>
  <c r="O115" i="1"/>
  <c r="P115" i="1"/>
  <c r="S115" i="1"/>
  <c r="T115" i="1"/>
  <c r="W115" i="1" s="1"/>
  <c r="AP115" i="1" s="1"/>
  <c r="U115" i="1"/>
  <c r="X115" i="1"/>
  <c r="Y115" i="1"/>
  <c r="AD115" i="1"/>
  <c r="AE115" i="1"/>
  <c r="AF115" i="1"/>
  <c r="AK115" i="1"/>
  <c r="AL115" i="1"/>
  <c r="AM115" i="1"/>
  <c r="AN115" i="1" s="1"/>
  <c r="B116" i="1"/>
  <c r="O116" i="1"/>
  <c r="P116" i="1"/>
  <c r="S116" i="1"/>
  <c r="T116" i="1"/>
  <c r="W116" i="1" s="1"/>
  <c r="U116" i="1"/>
  <c r="X116" i="1"/>
  <c r="Y116" i="1"/>
  <c r="AB116" i="1"/>
  <c r="AD116" i="1"/>
  <c r="AE116" i="1"/>
  <c r="AF116" i="1"/>
  <c r="AK116" i="1"/>
  <c r="AL116" i="1"/>
  <c r="AM116" i="1"/>
  <c r="AN116" i="1" s="1"/>
  <c r="B117" i="1"/>
  <c r="O117" i="1"/>
  <c r="P117" i="1"/>
  <c r="S117" i="1"/>
  <c r="T117" i="1"/>
  <c r="W117" i="1" s="1"/>
  <c r="U117" i="1"/>
  <c r="X117" i="1"/>
  <c r="Y117" i="1"/>
  <c r="Z117" i="1"/>
  <c r="AC117" i="1" s="1"/>
  <c r="AD117" i="1"/>
  <c r="AE117" i="1"/>
  <c r="AF117" i="1"/>
  <c r="AK117" i="1"/>
  <c r="AL117" i="1"/>
  <c r="AM117" i="1"/>
  <c r="AN117" i="1"/>
  <c r="B118" i="1"/>
  <c r="P118" i="1"/>
  <c r="S118" i="1"/>
  <c r="T118" i="1"/>
  <c r="W118" i="1" s="1"/>
  <c r="U118" i="1"/>
  <c r="X118" i="1"/>
  <c r="Y118" i="1"/>
  <c r="AB118" i="1"/>
  <c r="AD118" i="1"/>
  <c r="AE118" i="1"/>
  <c r="AF118" i="1"/>
  <c r="AK118" i="1"/>
  <c r="AL118" i="1"/>
  <c r="AM118" i="1"/>
  <c r="AN118" i="1" s="1"/>
  <c r="B119" i="1"/>
  <c r="O119" i="1"/>
  <c r="T119" i="1" s="1"/>
  <c r="W119" i="1" s="1"/>
  <c r="P119" i="1"/>
  <c r="S119" i="1"/>
  <c r="U119" i="1"/>
  <c r="X119" i="1"/>
  <c r="Y119" i="1"/>
  <c r="AB119" i="1" s="1"/>
  <c r="AD119" i="1"/>
  <c r="AE119" i="1"/>
  <c r="AF119" i="1"/>
  <c r="AK119" i="1"/>
  <c r="AL119" i="1"/>
  <c r="AM119" i="1"/>
  <c r="AN119" i="1"/>
  <c r="B120" i="1"/>
  <c r="O120" i="1"/>
  <c r="T120" i="1" s="1"/>
  <c r="P120" i="1"/>
  <c r="S120" i="1"/>
  <c r="U120" i="1"/>
  <c r="X120" i="1"/>
  <c r="Y120" i="1"/>
  <c r="AD120" i="1"/>
  <c r="AE120" i="1"/>
  <c r="AF120" i="1"/>
  <c r="AK120" i="1"/>
  <c r="AL120" i="1"/>
  <c r="AM120" i="1"/>
  <c r="AN120" i="1"/>
  <c r="B121" i="1"/>
  <c r="O121" i="1"/>
  <c r="P121" i="1"/>
  <c r="U121" i="1" s="1"/>
  <c r="S121" i="1"/>
  <c r="T121" i="1"/>
  <c r="W121" i="1" s="1"/>
  <c r="X121" i="1"/>
  <c r="Y121" i="1"/>
  <c r="AD121" i="1"/>
  <c r="AE121" i="1"/>
  <c r="AF121" i="1"/>
  <c r="AK121" i="1"/>
  <c r="AL121" i="1"/>
  <c r="AM121" i="1"/>
  <c r="AN121" i="1" s="1"/>
  <c r="B122" i="1"/>
  <c r="O122" i="1"/>
  <c r="U122" i="1" s="1"/>
  <c r="P122" i="1"/>
  <c r="S122" i="1"/>
  <c r="X122" i="1"/>
  <c r="AB122" i="1" s="1"/>
  <c r="Y122" i="1"/>
  <c r="AD122" i="1"/>
  <c r="AE122" i="1"/>
  <c r="AF122" i="1"/>
  <c r="AK122" i="1"/>
  <c r="AL122" i="1"/>
  <c r="AM122" i="1"/>
  <c r="AN122" i="1" s="1"/>
  <c r="B123" i="1"/>
  <c r="O123" i="1"/>
  <c r="T123" i="1" s="1"/>
  <c r="W123" i="1" s="1"/>
  <c r="P123" i="1"/>
  <c r="S123" i="1"/>
  <c r="U123" i="1"/>
  <c r="X123" i="1"/>
  <c r="Y123" i="1"/>
  <c r="AB123" i="1"/>
  <c r="AD123" i="1"/>
  <c r="AE123" i="1"/>
  <c r="AF123" i="1"/>
  <c r="AK123" i="1"/>
  <c r="AL123" i="1"/>
  <c r="AM123" i="1"/>
  <c r="AN123" i="1" s="1"/>
  <c r="B124" i="1"/>
  <c r="O124" i="1"/>
  <c r="P124" i="1"/>
  <c r="T124" i="1" s="1"/>
  <c r="W124" i="1" s="1"/>
  <c r="AQ124" i="1" s="1"/>
  <c r="S124" i="1"/>
  <c r="X124" i="1"/>
  <c r="Z124" i="1" s="1"/>
  <c r="AC124" i="1" s="1"/>
  <c r="Y124" i="1"/>
  <c r="AD124" i="1"/>
  <c r="AE124" i="1"/>
  <c r="AF124" i="1"/>
  <c r="AK124" i="1"/>
  <c r="AL124" i="1"/>
  <c r="AM124" i="1"/>
  <c r="AN124" i="1"/>
  <c r="B125" i="1"/>
  <c r="O125" i="1"/>
  <c r="T125" i="1" s="1"/>
  <c r="P125" i="1"/>
  <c r="S125" i="1"/>
  <c r="U125" i="1"/>
  <c r="X125" i="1"/>
  <c r="Y125" i="1"/>
  <c r="AB125" i="1" s="1"/>
  <c r="AD125" i="1"/>
  <c r="AE125" i="1"/>
  <c r="AF125" i="1"/>
  <c r="AK125" i="1"/>
  <c r="AL125" i="1"/>
  <c r="AM125" i="1"/>
  <c r="AN125" i="1" s="1"/>
  <c r="B126" i="1"/>
  <c r="O126" i="1"/>
  <c r="P126" i="1"/>
  <c r="U126" i="1" s="1"/>
  <c r="S126" i="1"/>
  <c r="T126" i="1"/>
  <c r="W126" i="1"/>
  <c r="X126" i="1"/>
  <c r="Y126" i="1"/>
  <c r="AB126" i="1" s="1"/>
  <c r="AD126" i="1"/>
  <c r="AE126" i="1"/>
  <c r="AF126" i="1"/>
  <c r="AK126" i="1"/>
  <c r="AL126" i="1"/>
  <c r="AM126" i="1"/>
  <c r="AN126" i="1" s="1"/>
  <c r="B127" i="1"/>
  <c r="O127" i="1"/>
  <c r="P127" i="1"/>
  <c r="U127" i="1" s="1"/>
  <c r="S127" i="1"/>
  <c r="Y127" i="1"/>
  <c r="AD127" i="1"/>
  <c r="AE127" i="1"/>
  <c r="AF127" i="1"/>
  <c r="AK127" i="1"/>
  <c r="AL127" i="1"/>
  <c r="AM127" i="1"/>
  <c r="AN127" i="1"/>
  <c r="B128" i="1"/>
  <c r="O128" i="1"/>
  <c r="P128" i="1"/>
  <c r="U128" i="1" s="1"/>
  <c r="S128" i="1"/>
  <c r="X128" i="1"/>
  <c r="Y128" i="1"/>
  <c r="AD128" i="1"/>
  <c r="AE128" i="1"/>
  <c r="AF128" i="1"/>
  <c r="AK128" i="1"/>
  <c r="AL128" i="1"/>
  <c r="AM128" i="1"/>
  <c r="AN128" i="1" s="1"/>
  <c r="B129" i="1"/>
  <c r="O129" i="1"/>
  <c r="P129" i="1"/>
  <c r="S129" i="1"/>
  <c r="T129" i="1"/>
  <c r="W129" i="1" s="1"/>
  <c r="U129" i="1"/>
  <c r="X129" i="1"/>
  <c r="Y129" i="1"/>
  <c r="AB129" i="1" s="1"/>
  <c r="AD129" i="1"/>
  <c r="AE129" i="1"/>
  <c r="AF129" i="1"/>
  <c r="AK129" i="1"/>
  <c r="AL129" i="1"/>
  <c r="AM129" i="1"/>
  <c r="AN129" i="1" s="1"/>
  <c r="B130" i="1"/>
  <c r="O130" i="1"/>
  <c r="P130" i="1"/>
  <c r="T130" i="1" s="1"/>
  <c r="W130" i="1" s="1"/>
  <c r="AP130" i="1" s="1"/>
  <c r="S130" i="1"/>
  <c r="Y130" i="1"/>
  <c r="AD130" i="1"/>
  <c r="AE130" i="1"/>
  <c r="AF130" i="1"/>
  <c r="AK130" i="1"/>
  <c r="AL130" i="1"/>
  <c r="AM130" i="1"/>
  <c r="AN130" i="1" s="1"/>
  <c r="B131" i="1"/>
  <c r="O131" i="1"/>
  <c r="T131" i="1" s="1"/>
  <c r="W131" i="1" s="1"/>
  <c r="AQ131" i="1" s="1"/>
  <c r="P131" i="1"/>
  <c r="X131" i="1" s="1"/>
  <c r="AB131" i="1" s="1"/>
  <c r="S131" i="1"/>
  <c r="U131" i="1"/>
  <c r="Y131" i="1"/>
  <c r="AD131" i="1"/>
  <c r="AE131" i="1"/>
  <c r="AF131" i="1"/>
  <c r="AK131" i="1"/>
  <c r="AL131" i="1"/>
  <c r="AM131" i="1"/>
  <c r="AN131" i="1"/>
  <c r="B132" i="1"/>
  <c r="O132" i="1"/>
  <c r="P132" i="1"/>
  <c r="S132" i="1"/>
  <c r="T132" i="1"/>
  <c r="W132" i="1" s="1"/>
  <c r="AP132" i="1" s="1"/>
  <c r="U132" i="1"/>
  <c r="X132" i="1"/>
  <c r="Z132" i="1" s="1"/>
  <c r="AC132" i="1" s="1"/>
  <c r="Y132" i="1"/>
  <c r="AB132" i="1" s="1"/>
  <c r="AD132" i="1"/>
  <c r="AE132" i="1"/>
  <c r="AF132" i="1"/>
  <c r="AK132" i="1"/>
  <c r="AL132" i="1"/>
  <c r="AM132" i="1"/>
  <c r="AN132" i="1"/>
  <c r="B133" i="1"/>
  <c r="O133" i="1"/>
  <c r="P133" i="1"/>
  <c r="T133" i="1" s="1"/>
  <c r="W133" i="1" s="1"/>
  <c r="S133" i="1"/>
  <c r="Y133" i="1"/>
  <c r="AD133" i="1"/>
  <c r="AE133" i="1"/>
  <c r="AF133" i="1"/>
  <c r="AK133" i="1"/>
  <c r="AL133" i="1"/>
  <c r="AM133" i="1"/>
  <c r="AN133" i="1" s="1"/>
  <c r="B134" i="1"/>
  <c r="O134" i="1"/>
  <c r="P134" i="1"/>
  <c r="U134" i="1" s="1"/>
  <c r="S134" i="1"/>
  <c r="X134" i="1"/>
  <c r="Y134" i="1"/>
  <c r="AD134" i="1"/>
  <c r="AE134" i="1"/>
  <c r="AF134" i="1"/>
  <c r="AK134" i="1"/>
  <c r="AL134" i="1"/>
  <c r="AM134" i="1"/>
  <c r="AN134" i="1"/>
  <c r="B135" i="1"/>
  <c r="S135" i="1"/>
  <c r="T135" i="1"/>
  <c r="W135" i="1" s="1"/>
  <c r="U135" i="1"/>
  <c r="X135" i="1"/>
  <c r="Y135" i="1"/>
  <c r="AB135" i="1" s="1"/>
  <c r="Z135" i="1"/>
  <c r="AC135" i="1" s="1"/>
  <c r="AD135" i="1"/>
  <c r="AE135" i="1"/>
  <c r="AF135" i="1"/>
  <c r="AK135" i="1"/>
  <c r="AL135" i="1"/>
  <c r="AM135" i="1"/>
  <c r="AN135" i="1" s="1"/>
  <c r="B136" i="1"/>
  <c r="S136" i="1"/>
  <c r="T136" i="1"/>
  <c r="W136" i="1" s="1"/>
  <c r="U136" i="1"/>
  <c r="X136" i="1"/>
  <c r="Y136" i="1"/>
  <c r="AB136" i="1" s="1"/>
  <c r="Z136" i="1"/>
  <c r="AC136" i="1" s="1"/>
  <c r="AD136" i="1"/>
  <c r="AE136" i="1"/>
  <c r="AF136" i="1"/>
  <c r="AK136" i="1"/>
  <c r="AL136" i="1"/>
  <c r="AM136" i="1"/>
  <c r="AN136" i="1"/>
  <c r="B137" i="1"/>
  <c r="O137" i="1"/>
  <c r="P137" i="1"/>
  <c r="S137" i="1"/>
  <c r="T137" i="1"/>
  <c r="W137" i="1" s="1"/>
  <c r="AP137" i="1" s="1"/>
  <c r="U137" i="1"/>
  <c r="X137" i="1"/>
  <c r="Y137" i="1"/>
  <c r="AB137" i="1" s="1"/>
  <c r="AD137" i="1"/>
  <c r="AE137" i="1"/>
  <c r="AF137" i="1"/>
  <c r="AK137" i="1"/>
  <c r="AL137" i="1"/>
  <c r="AM137" i="1"/>
  <c r="AN137" i="1" s="1"/>
  <c r="B138" i="1"/>
  <c r="O138" i="1"/>
  <c r="P138" i="1"/>
  <c r="U138" i="1" s="1"/>
  <c r="S138" i="1"/>
  <c r="X138" i="1"/>
  <c r="Y138" i="1"/>
  <c r="AB138" i="1" s="1"/>
  <c r="AD138" i="1"/>
  <c r="AE138" i="1"/>
  <c r="AF138" i="1"/>
  <c r="AK138" i="1"/>
  <c r="AL138" i="1"/>
  <c r="AM138" i="1"/>
  <c r="AN138" i="1"/>
  <c r="B139" i="1"/>
  <c r="O139" i="1"/>
  <c r="P139" i="1"/>
  <c r="U139" i="1" s="1"/>
  <c r="S139" i="1"/>
  <c r="X139" i="1"/>
  <c r="Y139" i="1"/>
  <c r="AD139" i="1"/>
  <c r="AE139" i="1"/>
  <c r="AF139" i="1"/>
  <c r="AK139" i="1"/>
  <c r="AL139" i="1"/>
  <c r="AM139" i="1"/>
  <c r="AN139" i="1"/>
  <c r="B140" i="1"/>
  <c r="O140" i="1"/>
  <c r="P140" i="1"/>
  <c r="S140" i="1"/>
  <c r="T140" i="1"/>
  <c r="W140" i="1" s="1"/>
  <c r="U140" i="1"/>
  <c r="X140" i="1"/>
  <c r="Y140" i="1"/>
  <c r="AB140" i="1" s="1"/>
  <c r="Z140" i="1"/>
  <c r="AC140" i="1" s="1"/>
  <c r="AD140" i="1"/>
  <c r="AE140" i="1"/>
  <c r="AF140" i="1"/>
  <c r="AK140" i="1"/>
  <c r="AL140" i="1"/>
  <c r="AM140" i="1"/>
  <c r="AN140" i="1"/>
  <c r="B141" i="1"/>
  <c r="O141" i="1"/>
  <c r="P141" i="1"/>
  <c r="S141" i="1"/>
  <c r="T141" i="1"/>
  <c r="W141" i="1" s="1"/>
  <c r="AP141" i="1" s="1"/>
  <c r="U141" i="1"/>
  <c r="X141" i="1"/>
  <c r="Y141" i="1"/>
  <c r="AB141" i="1" s="1"/>
  <c r="AD141" i="1"/>
  <c r="AE141" i="1"/>
  <c r="AF141" i="1"/>
  <c r="AK141" i="1"/>
  <c r="AL141" i="1"/>
  <c r="AM141" i="1"/>
  <c r="AN141" i="1" s="1"/>
  <c r="B142" i="1"/>
  <c r="O142" i="1"/>
  <c r="P142" i="1"/>
  <c r="T142" i="1" s="1"/>
  <c r="W142" i="1" s="1"/>
  <c r="S142" i="1"/>
  <c r="X142" i="1"/>
  <c r="Y142" i="1"/>
  <c r="AB142" i="1" s="1"/>
  <c r="AD142" i="1"/>
  <c r="AE142" i="1"/>
  <c r="AF142" i="1"/>
  <c r="AK142" i="1"/>
  <c r="AL142" i="1"/>
  <c r="AM142" i="1"/>
  <c r="AN142" i="1" s="1"/>
  <c r="B143" i="1"/>
  <c r="O143" i="1"/>
  <c r="P143" i="1"/>
  <c r="T143" i="1" s="1"/>
  <c r="W143" i="1" s="1"/>
  <c r="S143" i="1"/>
  <c r="X143" i="1"/>
  <c r="Y143" i="1"/>
  <c r="AD143" i="1"/>
  <c r="AE143" i="1"/>
  <c r="AF143" i="1"/>
  <c r="AK143" i="1"/>
  <c r="AL143" i="1"/>
  <c r="AM143" i="1"/>
  <c r="AN143" i="1"/>
  <c r="B144" i="1"/>
  <c r="O144" i="1"/>
  <c r="P144" i="1"/>
  <c r="U144" i="1" s="1"/>
  <c r="S144" i="1"/>
  <c r="X144" i="1"/>
  <c r="Y144" i="1"/>
  <c r="AB144" i="1" s="1"/>
  <c r="AD144" i="1"/>
  <c r="AE144" i="1"/>
  <c r="AF144" i="1"/>
  <c r="AK144" i="1"/>
  <c r="AL144" i="1"/>
  <c r="AM144" i="1"/>
  <c r="AN144" i="1" s="1"/>
  <c r="B145" i="1"/>
  <c r="O145" i="1"/>
  <c r="P145" i="1"/>
  <c r="U145" i="1" s="1"/>
  <c r="S145" i="1"/>
  <c r="X145" i="1"/>
  <c r="Y145" i="1"/>
  <c r="AD145" i="1"/>
  <c r="AE145" i="1"/>
  <c r="AF145" i="1"/>
  <c r="AK145" i="1"/>
  <c r="AL145" i="1"/>
  <c r="AM145" i="1"/>
  <c r="AN145" i="1" s="1"/>
  <c r="B146" i="1"/>
  <c r="O146" i="1"/>
  <c r="T146" i="1" s="1"/>
  <c r="W146" i="1" s="1"/>
  <c r="P146" i="1"/>
  <c r="S146" i="1"/>
  <c r="U146" i="1"/>
  <c r="X146" i="1"/>
  <c r="Y146" i="1"/>
  <c r="AB146" i="1" s="1"/>
  <c r="AD146" i="1"/>
  <c r="AE146" i="1"/>
  <c r="AF146" i="1"/>
  <c r="AK146" i="1"/>
  <c r="AL146" i="1"/>
  <c r="AM146" i="1"/>
  <c r="AN146" i="1" s="1"/>
  <c r="B147" i="1"/>
  <c r="O147" i="1"/>
  <c r="T147" i="1" s="1"/>
  <c r="W147" i="1" s="1"/>
  <c r="P147" i="1"/>
  <c r="X147" i="1" s="1"/>
  <c r="S147" i="1"/>
  <c r="U147" i="1"/>
  <c r="Y147" i="1"/>
  <c r="AD147" i="1"/>
  <c r="AE147" i="1"/>
  <c r="AF147" i="1"/>
  <c r="AK147" i="1"/>
  <c r="AL147" i="1"/>
  <c r="AM147" i="1"/>
  <c r="AN147" i="1" s="1"/>
  <c r="B148" i="1"/>
  <c r="S148" i="1"/>
  <c r="T148" i="1"/>
  <c r="W148" i="1" s="1"/>
  <c r="U148" i="1"/>
  <c r="X148" i="1"/>
  <c r="Y148" i="1"/>
  <c r="AD148" i="1"/>
  <c r="AE148" i="1"/>
  <c r="AF148" i="1"/>
  <c r="AK148" i="1"/>
  <c r="AL148" i="1"/>
  <c r="AM148" i="1"/>
  <c r="AN148" i="1" s="1"/>
  <c r="B149" i="1"/>
  <c r="O149" i="1"/>
  <c r="P149" i="1"/>
  <c r="T149" i="1" s="1"/>
  <c r="W149" i="1" s="1"/>
  <c r="S149" i="1"/>
  <c r="X149" i="1"/>
  <c r="Y149" i="1"/>
  <c r="AD149" i="1"/>
  <c r="AE149" i="1"/>
  <c r="AF149" i="1"/>
  <c r="AK149" i="1"/>
  <c r="AL149" i="1"/>
  <c r="AM149" i="1"/>
  <c r="AN149" i="1"/>
  <c r="B150" i="1"/>
  <c r="S150" i="1"/>
  <c r="T150" i="1"/>
  <c r="W150" i="1" s="1"/>
  <c r="U150" i="1"/>
  <c r="X150" i="1"/>
  <c r="Y150" i="1"/>
  <c r="AB150" i="1" s="1"/>
  <c r="AD150" i="1"/>
  <c r="AE150" i="1"/>
  <c r="AF150" i="1"/>
  <c r="AK150" i="1"/>
  <c r="AL150" i="1"/>
  <c r="AM150" i="1"/>
  <c r="AN150" i="1" s="1"/>
  <c r="B151" i="1"/>
  <c r="O151" i="1"/>
  <c r="T151" i="1" s="1"/>
  <c r="W151" i="1" s="1"/>
  <c r="P151" i="1"/>
  <c r="S151" i="1"/>
  <c r="U151" i="1"/>
  <c r="X151" i="1"/>
  <c r="Y151" i="1"/>
  <c r="AD151" i="1"/>
  <c r="AE151" i="1"/>
  <c r="AF151" i="1"/>
  <c r="AK151" i="1"/>
  <c r="AL151" i="1"/>
  <c r="AM151" i="1"/>
  <c r="AN151" i="1" s="1"/>
  <c r="B152" i="1"/>
  <c r="O152" i="1"/>
  <c r="P152" i="1"/>
  <c r="T152" i="1" s="1"/>
  <c r="W152" i="1" s="1"/>
  <c r="S152" i="1"/>
  <c r="X152" i="1"/>
  <c r="Y152" i="1"/>
  <c r="AD152" i="1"/>
  <c r="AE152" i="1"/>
  <c r="AF152" i="1"/>
  <c r="AK152" i="1"/>
  <c r="AL152" i="1"/>
  <c r="AM152" i="1"/>
  <c r="AN152" i="1" s="1"/>
  <c r="B153" i="1"/>
  <c r="O153" i="1"/>
  <c r="P153" i="1"/>
  <c r="T153" i="1" s="1"/>
  <c r="W153" i="1" s="1"/>
  <c r="AP153" i="1" s="1"/>
  <c r="S153" i="1"/>
  <c r="Y153" i="1"/>
  <c r="AD153" i="1"/>
  <c r="AE153" i="1"/>
  <c r="AF153" i="1"/>
  <c r="AK153" i="1"/>
  <c r="AL153" i="1"/>
  <c r="AM153" i="1"/>
  <c r="AN153" i="1" s="1"/>
  <c r="B154" i="1"/>
  <c r="O154" i="1"/>
  <c r="T154" i="1" s="1"/>
  <c r="W154" i="1" s="1"/>
  <c r="P154" i="1"/>
  <c r="S154" i="1"/>
  <c r="U154" i="1"/>
  <c r="X154" i="1"/>
  <c r="Y154" i="1"/>
  <c r="AB154" i="1" s="1"/>
  <c r="AD154" i="1"/>
  <c r="AE154" i="1"/>
  <c r="AF154" i="1"/>
  <c r="AK154" i="1"/>
  <c r="AL154" i="1"/>
  <c r="AM154" i="1"/>
  <c r="AN154" i="1" s="1"/>
  <c r="B155" i="1"/>
  <c r="O155" i="1"/>
  <c r="T155" i="1" s="1"/>
  <c r="W155" i="1" s="1"/>
  <c r="P155" i="1"/>
  <c r="S155" i="1"/>
  <c r="U155" i="1"/>
  <c r="X155" i="1"/>
  <c r="Y155" i="1"/>
  <c r="AD155" i="1"/>
  <c r="AE155" i="1"/>
  <c r="AF155" i="1"/>
  <c r="AK155" i="1"/>
  <c r="AL155" i="1"/>
  <c r="AM155" i="1"/>
  <c r="AN155" i="1" s="1"/>
  <c r="B156" i="1"/>
  <c r="O156" i="1"/>
  <c r="P156" i="1"/>
  <c r="T156" i="1" s="1"/>
  <c r="W156" i="1" s="1"/>
  <c r="S156" i="1"/>
  <c r="X156" i="1"/>
  <c r="Z156" i="1" s="1"/>
  <c r="AC156" i="1" s="1"/>
  <c r="Y156" i="1"/>
  <c r="AD156" i="1"/>
  <c r="AE156" i="1"/>
  <c r="AF156" i="1"/>
  <c r="AK156" i="1"/>
  <c r="AL156" i="1"/>
  <c r="AM156" i="1"/>
  <c r="AN156" i="1" s="1"/>
  <c r="B157" i="1"/>
  <c r="S157" i="1"/>
  <c r="T157" i="1"/>
  <c r="W157" i="1" s="1"/>
  <c r="U157" i="1"/>
  <c r="X157" i="1"/>
  <c r="Y157" i="1"/>
  <c r="AD157" i="1"/>
  <c r="AE157" i="1"/>
  <c r="AF157" i="1"/>
  <c r="AK157" i="1"/>
  <c r="AL157" i="1"/>
  <c r="AM157" i="1"/>
  <c r="AN157" i="1" s="1"/>
  <c r="B158" i="1"/>
  <c r="S158" i="1"/>
  <c r="T158" i="1"/>
  <c r="W158" i="1" s="1"/>
  <c r="U158" i="1"/>
  <c r="X158" i="1"/>
  <c r="Z158" i="1" s="1"/>
  <c r="Y158" i="1"/>
  <c r="AB158" i="1" s="1"/>
  <c r="AD158" i="1"/>
  <c r="AE158" i="1"/>
  <c r="AF158" i="1"/>
  <c r="AK158" i="1"/>
  <c r="AL158" i="1"/>
  <c r="AM158" i="1"/>
  <c r="AN158" i="1" s="1"/>
  <c r="B159" i="1"/>
  <c r="O159" i="1"/>
  <c r="P159" i="1"/>
  <c r="U159" i="1" s="1"/>
  <c r="S159" i="1"/>
  <c r="X159" i="1"/>
  <c r="Y159" i="1"/>
  <c r="AD159" i="1"/>
  <c r="AE159" i="1"/>
  <c r="AF159" i="1"/>
  <c r="AK159" i="1"/>
  <c r="AL159" i="1"/>
  <c r="AM159" i="1"/>
  <c r="AN159" i="1"/>
  <c r="B160" i="1"/>
  <c r="O160" i="1"/>
  <c r="P160" i="1"/>
  <c r="S160" i="1"/>
  <c r="T160" i="1"/>
  <c r="W160" i="1" s="1"/>
  <c r="U160" i="1"/>
  <c r="X160" i="1"/>
  <c r="Z160" i="1" s="1"/>
  <c r="AC160" i="1" s="1"/>
  <c r="Y160" i="1"/>
  <c r="AB160" i="1" s="1"/>
  <c r="AD160" i="1"/>
  <c r="AE160" i="1"/>
  <c r="AF160" i="1"/>
  <c r="AK160" i="1"/>
  <c r="AL160" i="1"/>
  <c r="AM160" i="1"/>
  <c r="AN160" i="1"/>
  <c r="B161" i="1"/>
  <c r="S161" i="1"/>
  <c r="T161" i="1"/>
  <c r="W161" i="1" s="1"/>
  <c r="U161" i="1"/>
  <c r="X161" i="1"/>
  <c r="Y161" i="1"/>
  <c r="AD161" i="1"/>
  <c r="AE161" i="1"/>
  <c r="AF161" i="1"/>
  <c r="AK161" i="1"/>
  <c r="AL161" i="1"/>
  <c r="AM161" i="1"/>
  <c r="AN161" i="1" s="1"/>
  <c r="B162" i="1"/>
  <c r="S162" i="1"/>
  <c r="T162" i="1"/>
  <c r="W162" i="1" s="1"/>
  <c r="AQ162" i="1" s="1"/>
  <c r="U162" i="1"/>
  <c r="X162" i="1"/>
  <c r="Y162" i="1"/>
  <c r="AB162" i="1"/>
  <c r="AD162" i="1"/>
  <c r="AE162" i="1"/>
  <c r="AF162" i="1"/>
  <c r="AK162" i="1"/>
  <c r="AL162" i="1"/>
  <c r="AM162" i="1"/>
  <c r="AN162" i="1" s="1"/>
  <c r="B163" i="1"/>
  <c r="O163" i="1"/>
  <c r="P163" i="1"/>
  <c r="S163" i="1"/>
  <c r="T163" i="1"/>
  <c r="W163" i="1" s="1"/>
  <c r="U163" i="1"/>
  <c r="X163" i="1"/>
  <c r="Y163" i="1"/>
  <c r="AD163" i="1"/>
  <c r="AE163" i="1"/>
  <c r="AF163" i="1"/>
  <c r="AK163" i="1"/>
  <c r="AL163" i="1"/>
  <c r="AM163" i="1"/>
  <c r="AN163" i="1" s="1"/>
  <c r="B164" i="1"/>
  <c r="O164" i="1"/>
  <c r="T164" i="1" s="1"/>
  <c r="P164" i="1"/>
  <c r="S164" i="1"/>
  <c r="U164" i="1"/>
  <c r="X164" i="1"/>
  <c r="Y164" i="1"/>
  <c r="AD164" i="1"/>
  <c r="AE164" i="1"/>
  <c r="AF164" i="1"/>
  <c r="AK164" i="1"/>
  <c r="AL164" i="1"/>
  <c r="AM164" i="1"/>
  <c r="AN164" i="1" s="1"/>
  <c r="B165" i="1"/>
  <c r="O165" i="1"/>
  <c r="P165" i="1"/>
  <c r="S165" i="1"/>
  <c r="T165" i="1"/>
  <c r="W165" i="1" s="1"/>
  <c r="U165" i="1"/>
  <c r="X165" i="1"/>
  <c r="Y165" i="1"/>
  <c r="AD165" i="1"/>
  <c r="AE165" i="1"/>
  <c r="AF165" i="1"/>
  <c r="AK165" i="1"/>
  <c r="AL165" i="1"/>
  <c r="AM165" i="1"/>
  <c r="AN165" i="1" s="1"/>
  <c r="B166" i="1"/>
  <c r="O166" i="1"/>
  <c r="P166" i="1"/>
  <c r="U166" i="1" s="1"/>
  <c r="S166" i="1"/>
  <c r="X166" i="1"/>
  <c r="Y166" i="1"/>
  <c r="AD166" i="1"/>
  <c r="AE166" i="1"/>
  <c r="AF166" i="1"/>
  <c r="AK166" i="1"/>
  <c r="AL166" i="1"/>
  <c r="AM166" i="1"/>
  <c r="AN166" i="1" s="1"/>
  <c r="B167" i="1"/>
  <c r="O167" i="1"/>
  <c r="P167" i="1"/>
  <c r="T167" i="1" s="1"/>
  <c r="W167" i="1" s="1"/>
  <c r="S167" i="1"/>
  <c r="X167" i="1"/>
  <c r="Y167" i="1"/>
  <c r="AD167" i="1"/>
  <c r="AE167" i="1"/>
  <c r="AF167" i="1"/>
  <c r="AK167" i="1"/>
  <c r="AL167" i="1"/>
  <c r="AM167" i="1"/>
  <c r="AN167" i="1"/>
  <c r="B168" i="1"/>
  <c r="O168" i="1"/>
  <c r="P168" i="1"/>
  <c r="U168" i="1" s="1"/>
  <c r="S168" i="1"/>
  <c r="X168" i="1"/>
  <c r="Y168" i="1"/>
  <c r="AB168" i="1" s="1"/>
  <c r="AD168" i="1"/>
  <c r="AE168" i="1"/>
  <c r="AF168" i="1"/>
  <c r="AK168" i="1"/>
  <c r="AL168" i="1"/>
  <c r="AM168" i="1"/>
  <c r="AN168" i="1" s="1"/>
  <c r="B169" i="1"/>
  <c r="O169" i="1"/>
  <c r="P169" i="1"/>
  <c r="T169" i="1" s="1"/>
  <c r="W169" i="1" s="1"/>
  <c r="S169" i="1"/>
  <c r="Y169" i="1"/>
  <c r="AD169" i="1"/>
  <c r="AE169" i="1"/>
  <c r="AF169" i="1"/>
  <c r="AK169" i="1"/>
  <c r="AL169" i="1"/>
  <c r="AM169" i="1"/>
  <c r="AN169" i="1" s="1"/>
  <c r="B170" i="1"/>
  <c r="O170" i="1"/>
  <c r="T170" i="1" s="1"/>
  <c r="W170" i="1" s="1"/>
  <c r="AQ170" i="1" s="1"/>
  <c r="P170" i="1"/>
  <c r="X170" i="1" s="1"/>
  <c r="S170" i="1"/>
  <c r="U170" i="1"/>
  <c r="Y170" i="1"/>
  <c r="AD170" i="1"/>
  <c r="AE170" i="1"/>
  <c r="AF170" i="1"/>
  <c r="AK170" i="1"/>
  <c r="AL170" i="1"/>
  <c r="AM170" i="1"/>
  <c r="AN170" i="1"/>
  <c r="B171" i="1"/>
  <c r="O171" i="1"/>
  <c r="P171" i="1"/>
  <c r="S171" i="1"/>
  <c r="T171" i="1"/>
  <c r="W171" i="1" s="1"/>
  <c r="U171" i="1"/>
  <c r="X171" i="1"/>
  <c r="Y171" i="1"/>
  <c r="AD171" i="1"/>
  <c r="AE171" i="1"/>
  <c r="AF171" i="1"/>
  <c r="AK171" i="1"/>
  <c r="AL171" i="1"/>
  <c r="AM171" i="1"/>
  <c r="AN171" i="1" s="1"/>
  <c r="B172" i="1"/>
  <c r="O172" i="1"/>
  <c r="T172" i="1" s="1"/>
  <c r="P172" i="1"/>
  <c r="S172" i="1"/>
  <c r="U172" i="1"/>
  <c r="X172" i="1"/>
  <c r="Y172" i="1"/>
  <c r="AD172" i="1"/>
  <c r="AE172" i="1"/>
  <c r="AF172" i="1"/>
  <c r="AK172" i="1"/>
  <c r="AL172" i="1"/>
  <c r="AM172" i="1"/>
  <c r="AN172" i="1"/>
  <c r="B173" i="1"/>
  <c r="O173" i="1"/>
  <c r="P173" i="1"/>
  <c r="S173" i="1"/>
  <c r="T173" i="1"/>
  <c r="W173" i="1" s="1"/>
  <c r="U173" i="1"/>
  <c r="X173" i="1"/>
  <c r="Y173" i="1"/>
  <c r="AD173" i="1"/>
  <c r="AE173" i="1"/>
  <c r="AF173" i="1"/>
  <c r="AK173" i="1"/>
  <c r="AL173" i="1"/>
  <c r="AM173" i="1"/>
  <c r="AN173" i="1" s="1"/>
  <c r="B174" i="1"/>
  <c r="O174" i="1"/>
  <c r="P174" i="1"/>
  <c r="U174" i="1" s="1"/>
  <c r="S174" i="1"/>
  <c r="X174" i="1"/>
  <c r="Y174" i="1"/>
  <c r="AB174" i="1" s="1"/>
  <c r="AD174" i="1"/>
  <c r="AE174" i="1"/>
  <c r="AF174" i="1"/>
  <c r="AK174" i="1"/>
  <c r="AL174" i="1"/>
  <c r="AM174" i="1"/>
  <c r="AN174" i="1" s="1"/>
  <c r="B175" i="1"/>
  <c r="O175" i="1"/>
  <c r="P175" i="1"/>
  <c r="T175" i="1" s="1"/>
  <c r="W175" i="1" s="1"/>
  <c r="S175" i="1"/>
  <c r="X175" i="1"/>
  <c r="Y175" i="1"/>
  <c r="AD175" i="1"/>
  <c r="AE175" i="1"/>
  <c r="AF175" i="1"/>
  <c r="AK175" i="1"/>
  <c r="AL175" i="1"/>
  <c r="AM175" i="1"/>
  <c r="AN175" i="1" s="1"/>
  <c r="B176" i="1"/>
  <c r="O176" i="1"/>
  <c r="P176" i="1"/>
  <c r="U176" i="1" s="1"/>
  <c r="S176" i="1"/>
  <c r="X176" i="1"/>
  <c r="Y176" i="1"/>
  <c r="AD176" i="1"/>
  <c r="AE176" i="1"/>
  <c r="AF176" i="1"/>
  <c r="AK176" i="1"/>
  <c r="AL176" i="1"/>
  <c r="AM176" i="1"/>
  <c r="AN176" i="1" s="1"/>
  <c r="B177" i="1"/>
  <c r="O177" i="1"/>
  <c r="P177" i="1"/>
  <c r="T177" i="1" s="1"/>
  <c r="W177" i="1" s="1"/>
  <c r="S177" i="1"/>
  <c r="Y177" i="1"/>
  <c r="AD177" i="1"/>
  <c r="AE177" i="1"/>
  <c r="AF177" i="1"/>
  <c r="AK177" i="1"/>
  <c r="AL177" i="1"/>
  <c r="AM177" i="1"/>
  <c r="AN177" i="1" s="1"/>
  <c r="B178" i="1"/>
  <c r="O178" i="1"/>
  <c r="T178" i="1" s="1"/>
  <c r="W178" i="1" s="1"/>
  <c r="AQ178" i="1" s="1"/>
  <c r="P178" i="1"/>
  <c r="X178" i="1" s="1"/>
  <c r="S178" i="1"/>
  <c r="U178" i="1"/>
  <c r="Y178" i="1"/>
  <c r="AD178" i="1"/>
  <c r="AE178" i="1"/>
  <c r="AF178" i="1"/>
  <c r="AK178" i="1"/>
  <c r="AL178" i="1"/>
  <c r="AM178" i="1"/>
  <c r="AN178" i="1" s="1"/>
  <c r="B179" i="1"/>
  <c r="S179" i="1"/>
  <c r="T179" i="1"/>
  <c r="U179" i="1"/>
  <c r="W179" i="1"/>
  <c r="AP179" i="1" s="1"/>
  <c r="X179" i="1"/>
  <c r="Z179" i="1" s="1"/>
  <c r="Y179" i="1"/>
  <c r="AD179" i="1"/>
  <c r="AE179" i="1"/>
  <c r="AF179" i="1"/>
  <c r="AK179" i="1"/>
  <c r="AL179" i="1"/>
  <c r="AM179" i="1"/>
  <c r="AN179" i="1" s="1"/>
  <c r="B180" i="1"/>
  <c r="L180" i="1"/>
  <c r="S180" i="1" s="1"/>
  <c r="T180" i="1"/>
  <c r="W180" i="1" s="1"/>
  <c r="U180" i="1"/>
  <c r="X180" i="1"/>
  <c r="AD180" i="1"/>
  <c r="AE180" i="1"/>
  <c r="AF180" i="1"/>
  <c r="AK180" i="1"/>
  <c r="AL180" i="1"/>
  <c r="AM180" i="1"/>
  <c r="AN180" i="1"/>
  <c r="B181" i="1"/>
  <c r="O181" i="1"/>
  <c r="P181" i="1"/>
  <c r="U181" i="1" s="1"/>
  <c r="S181" i="1"/>
  <c r="X181" i="1"/>
  <c r="Y181" i="1"/>
  <c r="AD181" i="1"/>
  <c r="AE181" i="1"/>
  <c r="AF181" i="1"/>
  <c r="AK181" i="1"/>
  <c r="AL181" i="1"/>
  <c r="AM181" i="1"/>
  <c r="AN181" i="1" s="1"/>
  <c r="B182" i="1"/>
  <c r="O182" i="1"/>
  <c r="T182" i="1" s="1"/>
  <c r="W182" i="1" s="1"/>
  <c r="P182" i="1"/>
  <c r="X182" i="1" s="1"/>
  <c r="S182" i="1"/>
  <c r="U182" i="1"/>
  <c r="Y182" i="1"/>
  <c r="AD182" i="1"/>
  <c r="AE182" i="1"/>
  <c r="AF182" i="1"/>
  <c r="AK182" i="1"/>
  <c r="AL182" i="1"/>
  <c r="AM182" i="1"/>
  <c r="AN182" i="1" s="1"/>
  <c r="B183" i="1"/>
  <c r="O183" i="1"/>
  <c r="P183" i="1"/>
  <c r="S183" i="1"/>
  <c r="T183" i="1"/>
  <c r="W183" i="1" s="1"/>
  <c r="U183" i="1"/>
  <c r="X183" i="1"/>
  <c r="Y183" i="1"/>
  <c r="AB183" i="1" s="1"/>
  <c r="AD183" i="1"/>
  <c r="AE183" i="1"/>
  <c r="AF183" i="1"/>
  <c r="AK183" i="1"/>
  <c r="AL183" i="1"/>
  <c r="AM183" i="1"/>
  <c r="AN183" i="1" s="1"/>
  <c r="B184" i="1"/>
  <c r="O184" i="1"/>
  <c r="P184" i="1"/>
  <c r="S184" i="1"/>
  <c r="T184" i="1"/>
  <c r="W184" i="1" s="1"/>
  <c r="AQ184" i="1" s="1"/>
  <c r="U184" i="1"/>
  <c r="X184" i="1"/>
  <c r="Y184" i="1"/>
  <c r="AD184" i="1"/>
  <c r="AE184" i="1"/>
  <c r="AF184" i="1"/>
  <c r="AK184" i="1"/>
  <c r="AL184" i="1"/>
  <c r="AM184" i="1"/>
  <c r="AN184" i="1" s="1"/>
  <c r="B185" i="1"/>
  <c r="O185" i="1"/>
  <c r="P185" i="1"/>
  <c r="S185" i="1"/>
  <c r="T185" i="1"/>
  <c r="W185" i="1" s="1"/>
  <c r="AQ185" i="1" s="1"/>
  <c r="U185" i="1"/>
  <c r="X185" i="1"/>
  <c r="Y185" i="1"/>
  <c r="Z185" i="1"/>
  <c r="AC185" i="1" s="1"/>
  <c r="AD185" i="1"/>
  <c r="AE185" i="1"/>
  <c r="AF185" i="1"/>
  <c r="AK185" i="1"/>
  <c r="AL185" i="1"/>
  <c r="AM185" i="1"/>
  <c r="AN185" i="1" s="1"/>
  <c r="B186" i="1"/>
  <c r="P186" i="1"/>
  <c r="X186" i="1" s="1"/>
  <c r="Z186" i="1" s="1"/>
  <c r="AC186" i="1" s="1"/>
  <c r="S186" i="1"/>
  <c r="T186" i="1"/>
  <c r="W186" i="1" s="1"/>
  <c r="U186" i="1"/>
  <c r="Y186" i="1"/>
  <c r="AB186" i="1" s="1"/>
  <c r="AD186" i="1"/>
  <c r="AE186" i="1"/>
  <c r="AF186" i="1"/>
  <c r="AK186" i="1"/>
  <c r="AL186" i="1"/>
  <c r="AM186" i="1"/>
  <c r="AN186" i="1"/>
  <c r="B187" i="1"/>
  <c r="S187" i="1"/>
  <c r="T187" i="1"/>
  <c r="U187" i="1"/>
  <c r="W187" i="1"/>
  <c r="AP187" i="1" s="1"/>
  <c r="X187" i="1"/>
  <c r="Y187" i="1"/>
  <c r="Z187" i="1"/>
  <c r="AC187" i="1" s="1"/>
  <c r="AD187" i="1"/>
  <c r="AE187" i="1"/>
  <c r="AF187" i="1"/>
  <c r="AK187" i="1"/>
  <c r="AL187" i="1"/>
  <c r="AM187" i="1"/>
  <c r="AN187" i="1" s="1"/>
  <c r="B188" i="1"/>
  <c r="S188" i="1"/>
  <c r="T188" i="1"/>
  <c r="W188" i="1" s="1"/>
  <c r="U188" i="1"/>
  <c r="X188" i="1"/>
  <c r="Y188" i="1"/>
  <c r="AD188" i="1"/>
  <c r="AE188" i="1"/>
  <c r="AF188" i="1"/>
  <c r="AK188" i="1"/>
  <c r="AL188" i="1"/>
  <c r="AM188" i="1"/>
  <c r="AN188" i="1" s="1"/>
  <c r="B189" i="1"/>
  <c r="O189" i="1"/>
  <c r="P189" i="1"/>
  <c r="U189" i="1" s="1"/>
  <c r="S189" i="1"/>
  <c r="Y189" i="1"/>
  <c r="AD189" i="1"/>
  <c r="AE189" i="1"/>
  <c r="AF189" i="1"/>
  <c r="AK189" i="1"/>
  <c r="AL189" i="1"/>
  <c r="AM189" i="1"/>
  <c r="AN189" i="1" s="1"/>
  <c r="B190" i="1"/>
  <c r="O190" i="1"/>
  <c r="P190" i="1"/>
  <c r="T190" i="1" s="1"/>
  <c r="W190" i="1" s="1"/>
  <c r="S190" i="1"/>
  <c r="U190" i="1"/>
  <c r="Y190" i="1"/>
  <c r="AD190" i="1"/>
  <c r="AE190" i="1"/>
  <c r="AF190" i="1"/>
  <c r="AK190" i="1"/>
  <c r="AL190" i="1"/>
  <c r="AM190" i="1"/>
  <c r="AN190" i="1"/>
  <c r="B191" i="1"/>
  <c r="O191" i="1"/>
  <c r="P191" i="1"/>
  <c r="S191" i="1"/>
  <c r="T191" i="1"/>
  <c r="W191" i="1" s="1"/>
  <c r="AQ191" i="1" s="1"/>
  <c r="U191" i="1"/>
  <c r="X191" i="1"/>
  <c r="Y191" i="1"/>
  <c r="AD191" i="1"/>
  <c r="AE191" i="1"/>
  <c r="AF191" i="1"/>
  <c r="AK191" i="1"/>
  <c r="AL191" i="1"/>
  <c r="AM191" i="1"/>
  <c r="AN191" i="1" s="1"/>
  <c r="B192" i="1"/>
  <c r="O192" i="1"/>
  <c r="P192" i="1"/>
  <c r="S192" i="1"/>
  <c r="T192" i="1"/>
  <c r="W192" i="1" s="1"/>
  <c r="AQ192" i="1" s="1"/>
  <c r="U192" i="1"/>
  <c r="X192" i="1"/>
  <c r="Y192" i="1"/>
  <c r="Z192" i="1"/>
  <c r="AC192" i="1" s="1"/>
  <c r="AD192" i="1"/>
  <c r="AE192" i="1"/>
  <c r="AF192" i="1"/>
  <c r="AK192" i="1"/>
  <c r="AL192" i="1"/>
  <c r="AM192" i="1"/>
  <c r="AN192" i="1"/>
  <c r="AP192" i="1"/>
  <c r="B193" i="1"/>
  <c r="S193" i="1"/>
  <c r="T193" i="1"/>
  <c r="W193" i="1" s="1"/>
  <c r="U193" i="1"/>
  <c r="X193" i="1"/>
  <c r="Y193" i="1"/>
  <c r="AD193" i="1"/>
  <c r="AE193" i="1"/>
  <c r="AF193" i="1"/>
  <c r="AK193" i="1"/>
  <c r="AL193" i="1"/>
  <c r="AM193" i="1"/>
  <c r="AN193" i="1"/>
  <c r="B194" i="1"/>
  <c r="S194" i="1"/>
  <c r="T194" i="1"/>
  <c r="W194" i="1" s="1"/>
  <c r="U194" i="1"/>
  <c r="X194" i="1"/>
  <c r="Y194" i="1"/>
  <c r="AB194" i="1" s="1"/>
  <c r="AD194" i="1"/>
  <c r="AE194" i="1"/>
  <c r="AF194" i="1"/>
  <c r="AK194" i="1"/>
  <c r="AL194" i="1"/>
  <c r="AM194" i="1"/>
  <c r="AN194" i="1" s="1"/>
  <c r="B195" i="1"/>
  <c r="O195" i="1"/>
  <c r="P195" i="1"/>
  <c r="U195" i="1" s="1"/>
  <c r="S195" i="1"/>
  <c r="X195" i="1"/>
  <c r="Y195" i="1"/>
  <c r="AD195" i="1"/>
  <c r="AE195" i="1"/>
  <c r="AF195" i="1"/>
  <c r="AK195" i="1"/>
  <c r="AL195" i="1"/>
  <c r="AM195" i="1"/>
  <c r="AN195" i="1" s="1"/>
  <c r="B196" i="1"/>
  <c r="O196" i="1"/>
  <c r="P196" i="1"/>
  <c r="U196" i="1" s="1"/>
  <c r="S196" i="1"/>
  <c r="T196" i="1"/>
  <c r="W196" i="1" s="1"/>
  <c r="AP196" i="1" s="1"/>
  <c r="X196" i="1"/>
  <c r="Y196" i="1"/>
  <c r="AB196" i="1" s="1"/>
  <c r="AD196" i="1"/>
  <c r="AE196" i="1"/>
  <c r="AF196" i="1"/>
  <c r="AK196" i="1"/>
  <c r="AL196" i="1"/>
  <c r="AM196" i="1"/>
  <c r="AN196" i="1" s="1"/>
  <c r="B197" i="1"/>
  <c r="O197" i="1"/>
  <c r="P197" i="1"/>
  <c r="U197" i="1" s="1"/>
  <c r="S197" i="1"/>
  <c r="Y197" i="1"/>
  <c r="AD197" i="1"/>
  <c r="AE197" i="1"/>
  <c r="AF197" i="1"/>
  <c r="AK197" i="1"/>
  <c r="AL197" i="1"/>
  <c r="AM197" i="1"/>
  <c r="AN197" i="1" s="1"/>
  <c r="B198" i="1"/>
  <c r="O198" i="1"/>
  <c r="P198" i="1"/>
  <c r="S198" i="1"/>
  <c r="T198" i="1"/>
  <c r="W198" i="1" s="1"/>
  <c r="U198" i="1"/>
  <c r="X198" i="1"/>
  <c r="AB198" i="1" s="1"/>
  <c r="Y198" i="1"/>
  <c r="AD198" i="1"/>
  <c r="AE198" i="1"/>
  <c r="AF198" i="1"/>
  <c r="AK198" i="1"/>
  <c r="AL198" i="1"/>
  <c r="AM198" i="1"/>
  <c r="AN198" i="1" s="1"/>
  <c r="B199" i="1"/>
  <c r="O199" i="1"/>
  <c r="P199" i="1"/>
  <c r="S199" i="1"/>
  <c r="T199" i="1"/>
  <c r="W199" i="1" s="1"/>
  <c r="U199" i="1"/>
  <c r="X199" i="1"/>
  <c r="Y199" i="1"/>
  <c r="AD199" i="1"/>
  <c r="AE199" i="1"/>
  <c r="AF199" i="1"/>
  <c r="AK199" i="1"/>
  <c r="AL199" i="1"/>
  <c r="AM199" i="1"/>
  <c r="AN199" i="1"/>
  <c r="B200" i="1"/>
  <c r="O200" i="1"/>
  <c r="P200" i="1"/>
  <c r="U200" i="1" s="1"/>
  <c r="S200" i="1"/>
  <c r="X200" i="1"/>
  <c r="Y200" i="1"/>
  <c r="AB200" i="1" s="1"/>
  <c r="AD200" i="1"/>
  <c r="AE200" i="1"/>
  <c r="AF200" i="1"/>
  <c r="AK200" i="1"/>
  <c r="AL200" i="1"/>
  <c r="AM200" i="1"/>
  <c r="AN200" i="1" s="1"/>
  <c r="B201" i="1"/>
  <c r="O201" i="1"/>
  <c r="P201" i="1"/>
  <c r="S201" i="1"/>
  <c r="T201" i="1"/>
  <c r="Z201" i="1" s="1"/>
  <c r="AC201" i="1" s="1"/>
  <c r="U201" i="1"/>
  <c r="X201" i="1"/>
  <c r="Y201" i="1"/>
  <c r="AB201" i="1" s="1"/>
  <c r="AD201" i="1"/>
  <c r="AE201" i="1"/>
  <c r="AF201" i="1"/>
  <c r="AK201" i="1"/>
  <c r="AL201" i="1"/>
  <c r="AM201" i="1"/>
  <c r="AN201" i="1" s="1"/>
  <c r="B202" i="1"/>
  <c r="O202" i="1"/>
  <c r="P202" i="1"/>
  <c r="U202" i="1" s="1"/>
  <c r="S202" i="1"/>
  <c r="X202" i="1"/>
  <c r="Y202" i="1"/>
  <c r="AB202" i="1" s="1"/>
  <c r="AD202" i="1"/>
  <c r="AE202" i="1"/>
  <c r="AF202" i="1"/>
  <c r="AK202" i="1"/>
  <c r="AL202" i="1"/>
  <c r="AM202" i="1"/>
  <c r="AN202" i="1" s="1"/>
  <c r="B203" i="1"/>
  <c r="S203" i="1"/>
  <c r="T203" i="1"/>
  <c r="Z203" i="1" s="1"/>
  <c r="AC203" i="1" s="1"/>
  <c r="U203" i="1"/>
  <c r="X203" i="1"/>
  <c r="Y203" i="1"/>
  <c r="AB203" i="1" s="1"/>
  <c r="AD203" i="1"/>
  <c r="AE203" i="1"/>
  <c r="AF203" i="1"/>
  <c r="AK203" i="1"/>
  <c r="AL203" i="1"/>
  <c r="AM203" i="1"/>
  <c r="AN203" i="1" s="1"/>
  <c r="B204" i="1"/>
  <c r="S204" i="1"/>
  <c r="T204" i="1"/>
  <c r="W204" i="1" s="1"/>
  <c r="U204" i="1"/>
  <c r="X204" i="1"/>
  <c r="Y204" i="1"/>
  <c r="AB204" i="1" s="1"/>
  <c r="AD204" i="1"/>
  <c r="AE204" i="1"/>
  <c r="AF204" i="1"/>
  <c r="AK204" i="1"/>
  <c r="AL204" i="1"/>
  <c r="AM204" i="1"/>
  <c r="AN204" i="1"/>
  <c r="AQ204" i="1"/>
  <c r="B205" i="1"/>
  <c r="S205" i="1"/>
  <c r="T205" i="1"/>
  <c r="W205" i="1" s="1"/>
  <c r="AP205" i="1" s="1"/>
  <c r="U205" i="1"/>
  <c r="X205" i="1"/>
  <c r="Y205" i="1"/>
  <c r="AB205" i="1" s="1"/>
  <c r="AD205" i="1"/>
  <c r="AE205" i="1"/>
  <c r="AF205" i="1"/>
  <c r="AK205" i="1"/>
  <c r="AL205" i="1"/>
  <c r="AM205" i="1"/>
  <c r="AN205" i="1" s="1"/>
  <c r="B206" i="1"/>
  <c r="S206" i="1"/>
  <c r="T206" i="1"/>
  <c r="W206" i="1" s="1"/>
  <c r="U206" i="1"/>
  <c r="X206" i="1"/>
  <c r="Z206" i="1" s="1"/>
  <c r="AA206" i="1" s="1"/>
  <c r="V206" i="1" s="1"/>
  <c r="Y206" i="1"/>
  <c r="AD206" i="1"/>
  <c r="AE206" i="1"/>
  <c r="AF206" i="1"/>
  <c r="AK206" i="1"/>
  <c r="AL206" i="1"/>
  <c r="AM206" i="1"/>
  <c r="AN206" i="1" s="1"/>
  <c r="B207" i="1"/>
  <c r="O207" i="1"/>
  <c r="P207" i="1"/>
  <c r="U207" i="1" s="1"/>
  <c r="S207" i="1"/>
  <c r="Y207" i="1"/>
  <c r="AD207" i="1"/>
  <c r="AE207" i="1"/>
  <c r="AF207" i="1"/>
  <c r="AK207" i="1"/>
  <c r="AL207" i="1"/>
  <c r="AM207" i="1"/>
  <c r="AN207" i="1" s="1"/>
  <c r="B208" i="1"/>
  <c r="P208" i="1"/>
  <c r="U208" i="1" s="1"/>
  <c r="S208" i="1"/>
  <c r="T208" i="1"/>
  <c r="W208" i="1" s="1"/>
  <c r="X208" i="1"/>
  <c r="Y208" i="1"/>
  <c r="AD208" i="1"/>
  <c r="AE208" i="1"/>
  <c r="AF208" i="1"/>
  <c r="AK208" i="1"/>
  <c r="AL208" i="1"/>
  <c r="AM208" i="1"/>
  <c r="AN208" i="1" s="1"/>
  <c r="B209" i="1"/>
  <c r="O209" i="1"/>
  <c r="P209" i="1"/>
  <c r="U209" i="1" s="1"/>
  <c r="S209" i="1"/>
  <c r="Y209" i="1"/>
  <c r="AD209" i="1"/>
  <c r="AE209" i="1"/>
  <c r="AF209" i="1"/>
  <c r="AK209" i="1"/>
  <c r="AL209" i="1"/>
  <c r="AM209" i="1"/>
  <c r="AN209" i="1" s="1"/>
  <c r="B210" i="1"/>
  <c r="O210" i="1"/>
  <c r="P210" i="1"/>
  <c r="T210" i="1" s="1"/>
  <c r="W210" i="1" s="1"/>
  <c r="AP210" i="1" s="1"/>
  <c r="S210" i="1"/>
  <c r="U210" i="1"/>
  <c r="Y210" i="1"/>
  <c r="AD210" i="1"/>
  <c r="AE210" i="1"/>
  <c r="AF210" i="1"/>
  <c r="AK210" i="1"/>
  <c r="AL210" i="1"/>
  <c r="AM210" i="1"/>
  <c r="AN210" i="1" s="1"/>
  <c r="B211" i="1"/>
  <c r="O211" i="1"/>
  <c r="P211" i="1"/>
  <c r="S211" i="1"/>
  <c r="T211" i="1"/>
  <c r="W211" i="1" s="1"/>
  <c r="U211" i="1"/>
  <c r="X211" i="1"/>
  <c r="Y211" i="1"/>
  <c r="AD211" i="1"/>
  <c r="AE211" i="1"/>
  <c r="AF211" i="1"/>
  <c r="AK211" i="1"/>
  <c r="AL211" i="1"/>
  <c r="AM211" i="1"/>
  <c r="AN211" i="1" s="1"/>
  <c r="B212" i="1"/>
  <c r="P212" i="1"/>
  <c r="S212" i="1"/>
  <c r="Y212" i="1"/>
  <c r="AD212" i="1"/>
  <c r="AE212" i="1"/>
  <c r="AF212" i="1"/>
  <c r="AK212" i="1"/>
  <c r="AL212" i="1"/>
  <c r="AM212" i="1"/>
  <c r="AN212" i="1" s="1"/>
  <c r="B213" i="1"/>
  <c r="S213" i="1"/>
  <c r="T213" i="1"/>
  <c r="W213" i="1" s="1"/>
  <c r="U213" i="1"/>
  <c r="X213" i="1"/>
  <c r="Z213" i="1" s="1"/>
  <c r="AC213" i="1" s="1"/>
  <c r="Y213" i="1"/>
  <c r="AD213" i="1"/>
  <c r="AE213" i="1"/>
  <c r="AF213" i="1"/>
  <c r="AK213" i="1"/>
  <c r="AL213" i="1"/>
  <c r="AM213" i="1"/>
  <c r="AN213" i="1" s="1"/>
  <c r="B214" i="1"/>
  <c r="S214" i="1"/>
  <c r="T214" i="1"/>
  <c r="W214" i="1" s="1"/>
  <c r="U214" i="1"/>
  <c r="X214" i="1"/>
  <c r="Y214" i="1"/>
  <c r="AB214" i="1" s="1"/>
  <c r="AD214" i="1"/>
  <c r="AE214" i="1"/>
  <c r="AF214" i="1"/>
  <c r="AK214" i="1"/>
  <c r="AL214" i="1"/>
  <c r="AM214" i="1"/>
  <c r="AN214" i="1"/>
  <c r="B215" i="1"/>
  <c r="O215" i="1"/>
  <c r="P215" i="1"/>
  <c r="S215" i="1"/>
  <c r="T215" i="1"/>
  <c r="W215" i="1" s="1"/>
  <c r="U215" i="1"/>
  <c r="X215" i="1"/>
  <c r="Z215" i="1" s="1"/>
  <c r="AC215" i="1" s="1"/>
  <c r="Y215" i="1"/>
  <c r="AD215" i="1"/>
  <c r="AE215" i="1"/>
  <c r="AF215" i="1"/>
  <c r="AK215" i="1"/>
  <c r="AL215" i="1"/>
  <c r="AM215" i="1"/>
  <c r="AN215" i="1"/>
  <c r="B216" i="1"/>
  <c r="O216" i="1"/>
  <c r="P216" i="1"/>
  <c r="U216" i="1" s="1"/>
  <c r="S216" i="1"/>
  <c r="T216" i="1"/>
  <c r="W216" i="1" s="1"/>
  <c r="X216" i="1"/>
  <c r="Z216" i="1" s="1"/>
  <c r="AA216" i="1" s="1"/>
  <c r="V216" i="1" s="1"/>
  <c r="Y216" i="1"/>
  <c r="AD216" i="1"/>
  <c r="AE216" i="1"/>
  <c r="AF216" i="1"/>
  <c r="AK216" i="1"/>
  <c r="AL216" i="1"/>
  <c r="AM216" i="1"/>
  <c r="AN216" i="1" s="1"/>
  <c r="B217" i="1"/>
  <c r="O217" i="1"/>
  <c r="P217" i="1"/>
  <c r="S217" i="1"/>
  <c r="Y217" i="1"/>
  <c r="AD217" i="1"/>
  <c r="AE217" i="1"/>
  <c r="AF217" i="1"/>
  <c r="AK217" i="1"/>
  <c r="AL217" i="1"/>
  <c r="AM217" i="1"/>
  <c r="AN217" i="1" s="1"/>
  <c r="B218" i="1"/>
  <c r="O218" i="1"/>
  <c r="P218" i="1"/>
  <c r="S218" i="1"/>
  <c r="Y218" i="1"/>
  <c r="AD218" i="1"/>
  <c r="AE218" i="1"/>
  <c r="AF218" i="1"/>
  <c r="AK218" i="1"/>
  <c r="AL218" i="1"/>
  <c r="AM218" i="1"/>
  <c r="AN218" i="1" s="1"/>
  <c r="B219" i="1"/>
  <c r="O219" i="1"/>
  <c r="P219" i="1"/>
  <c r="S219" i="1"/>
  <c r="Y219" i="1"/>
  <c r="AD219" i="1"/>
  <c r="AE219" i="1"/>
  <c r="AF219" i="1"/>
  <c r="AK219" i="1"/>
  <c r="AL219" i="1"/>
  <c r="AM219" i="1"/>
  <c r="AN219" i="1" s="1"/>
  <c r="B220" i="1"/>
  <c r="O220" i="1"/>
  <c r="P220" i="1"/>
  <c r="T220" i="1" s="1"/>
  <c r="W220" i="1" s="1"/>
  <c r="S220" i="1"/>
  <c r="U220" i="1"/>
  <c r="Y220" i="1"/>
  <c r="AD220" i="1"/>
  <c r="AE220" i="1"/>
  <c r="AF220" i="1"/>
  <c r="AK220" i="1"/>
  <c r="AL220" i="1"/>
  <c r="AM220" i="1"/>
  <c r="AN220" i="1" s="1"/>
  <c r="B221" i="1"/>
  <c r="O221" i="1"/>
  <c r="P221" i="1"/>
  <c r="S221" i="1"/>
  <c r="T221" i="1"/>
  <c r="W221" i="1" s="1"/>
  <c r="AP221" i="1" s="1"/>
  <c r="U221" i="1"/>
  <c r="X221" i="1"/>
  <c r="Y221" i="1"/>
  <c r="AB221" i="1" s="1"/>
  <c r="AD221" i="1"/>
  <c r="AE221" i="1"/>
  <c r="AF221" i="1"/>
  <c r="AK221" i="1"/>
  <c r="AL221" i="1"/>
  <c r="AM221" i="1"/>
  <c r="AN221" i="1" s="1"/>
  <c r="B222" i="1"/>
  <c r="P222" i="1"/>
  <c r="T222" i="1" s="1"/>
  <c r="W222" i="1" s="1"/>
  <c r="S222" i="1"/>
  <c r="U222" i="1"/>
  <c r="X222" i="1"/>
  <c r="Y222" i="1"/>
  <c r="AD222" i="1"/>
  <c r="AE222" i="1"/>
  <c r="AF222" i="1"/>
  <c r="AK222" i="1"/>
  <c r="AL222" i="1"/>
  <c r="AM222" i="1"/>
  <c r="AN222" i="1" s="1"/>
  <c r="B223" i="1"/>
  <c r="O223" i="1"/>
  <c r="P223" i="1"/>
  <c r="S223" i="1"/>
  <c r="T223" i="1"/>
  <c r="U223" i="1"/>
  <c r="X223" i="1"/>
  <c r="Y223" i="1"/>
  <c r="AD223" i="1"/>
  <c r="AE223" i="1"/>
  <c r="AF223" i="1"/>
  <c r="AK223" i="1"/>
  <c r="AL223" i="1"/>
  <c r="AM223" i="1"/>
  <c r="AN223" i="1" s="1"/>
  <c r="B224" i="1"/>
  <c r="O224" i="1"/>
  <c r="P224" i="1"/>
  <c r="U224" i="1" s="1"/>
  <c r="S224" i="1"/>
  <c r="T224" i="1"/>
  <c r="W224" i="1" s="1"/>
  <c r="AP224" i="1" s="1"/>
  <c r="X224" i="1"/>
  <c r="Y224" i="1"/>
  <c r="AB224" i="1" s="1"/>
  <c r="AD224" i="1"/>
  <c r="AE224" i="1"/>
  <c r="AF224" i="1"/>
  <c r="AK224" i="1"/>
  <c r="AL224" i="1"/>
  <c r="AM224" i="1"/>
  <c r="AN224" i="1" s="1"/>
  <c r="B225" i="1"/>
  <c r="S225" i="1"/>
  <c r="T225" i="1"/>
  <c r="W225" i="1" s="1"/>
  <c r="AP225" i="1" s="1"/>
  <c r="U225" i="1"/>
  <c r="X225" i="1"/>
  <c r="Y225" i="1"/>
  <c r="AB225" i="1" s="1"/>
  <c r="Z225" i="1"/>
  <c r="AC225" i="1" s="1"/>
  <c r="AD225" i="1"/>
  <c r="AE225" i="1"/>
  <c r="AF225" i="1"/>
  <c r="AK225" i="1"/>
  <c r="AL225" i="1"/>
  <c r="AM225" i="1"/>
  <c r="AN225" i="1" s="1"/>
  <c r="AQ225" i="1"/>
  <c r="B226" i="1"/>
  <c r="I226" i="1"/>
  <c r="S226" i="1"/>
  <c r="T226" i="1"/>
  <c r="W226" i="1" s="1"/>
  <c r="AQ226" i="1" s="1"/>
  <c r="U226" i="1"/>
  <c r="X226" i="1"/>
  <c r="Y226" i="1"/>
  <c r="AD226" i="1"/>
  <c r="AE226" i="1"/>
  <c r="AF226" i="1"/>
  <c r="AK226" i="1"/>
  <c r="AL226" i="1"/>
  <c r="AM226" i="1"/>
  <c r="AN226" i="1" s="1"/>
  <c r="B227" i="1"/>
  <c r="O227" i="1"/>
  <c r="P227" i="1"/>
  <c r="T227" i="1" s="1"/>
  <c r="W227" i="1" s="1"/>
  <c r="AQ227" i="1" s="1"/>
  <c r="S227" i="1"/>
  <c r="Y227" i="1"/>
  <c r="AD227" i="1"/>
  <c r="AE227" i="1"/>
  <c r="AF227" i="1"/>
  <c r="AK227" i="1"/>
  <c r="AL227" i="1"/>
  <c r="AM227" i="1"/>
  <c r="AN227" i="1" s="1"/>
  <c r="B228" i="1"/>
  <c r="O228" i="1"/>
  <c r="P228" i="1"/>
  <c r="U228" i="1" s="1"/>
  <c r="S228" i="1"/>
  <c r="T228" i="1"/>
  <c r="W228" i="1" s="1"/>
  <c r="AQ228" i="1" s="1"/>
  <c r="X228" i="1"/>
  <c r="Y228" i="1"/>
  <c r="AB228" i="1" s="1"/>
  <c r="AD228" i="1"/>
  <c r="AE228" i="1"/>
  <c r="AF228" i="1"/>
  <c r="AK228" i="1"/>
  <c r="AL228" i="1"/>
  <c r="AM228" i="1"/>
  <c r="AN228" i="1" s="1"/>
  <c r="B229" i="1"/>
  <c r="O229" i="1"/>
  <c r="P229" i="1"/>
  <c r="S229" i="1"/>
  <c r="U229" i="1"/>
  <c r="X229" i="1"/>
  <c r="Y229" i="1"/>
  <c r="AD229" i="1"/>
  <c r="AE229" i="1"/>
  <c r="AF229" i="1"/>
  <c r="AK229" i="1"/>
  <c r="AL229" i="1"/>
  <c r="AM229" i="1"/>
  <c r="AN229" i="1" s="1"/>
  <c r="B230" i="1"/>
  <c r="L230" i="1"/>
  <c r="S230" i="1" s="1"/>
  <c r="O230" i="1"/>
  <c r="T230" i="1" s="1"/>
  <c r="P230" i="1"/>
  <c r="X230" i="1"/>
  <c r="Y230" i="1"/>
  <c r="AD230" i="1"/>
  <c r="AE230" i="1"/>
  <c r="AF230" i="1"/>
  <c r="AK230" i="1"/>
  <c r="AL230" i="1"/>
  <c r="AM230" i="1"/>
  <c r="AN230" i="1" s="1"/>
  <c r="B231" i="1"/>
  <c r="O231" i="1"/>
  <c r="P231" i="1"/>
  <c r="S231" i="1"/>
  <c r="U231" i="1"/>
  <c r="Y231" i="1"/>
  <c r="AD231" i="1"/>
  <c r="AE231" i="1"/>
  <c r="AF231" i="1"/>
  <c r="AK231" i="1"/>
  <c r="AL231" i="1"/>
  <c r="AM231" i="1"/>
  <c r="AN231" i="1" s="1"/>
  <c r="B232" i="1"/>
  <c r="P232" i="1"/>
  <c r="T232" i="1" s="1"/>
  <c r="W232" i="1" s="1"/>
  <c r="S232" i="1"/>
  <c r="Y232" i="1"/>
  <c r="AD232" i="1"/>
  <c r="AE232" i="1"/>
  <c r="AF232" i="1"/>
  <c r="AK232" i="1"/>
  <c r="AL232" i="1"/>
  <c r="AM232" i="1"/>
  <c r="AN232" i="1"/>
  <c r="B233" i="1"/>
  <c r="S233" i="1"/>
  <c r="T233" i="1"/>
  <c r="U233" i="1"/>
  <c r="W233" i="1"/>
  <c r="AQ233" i="1" s="1"/>
  <c r="X233" i="1"/>
  <c r="Z233" i="1" s="1"/>
  <c r="AC233" i="1" s="1"/>
  <c r="Y233" i="1"/>
  <c r="AD233" i="1"/>
  <c r="AE233" i="1"/>
  <c r="AF233" i="1"/>
  <c r="AK233" i="1"/>
  <c r="AL233" i="1"/>
  <c r="AM233" i="1"/>
  <c r="AN233" i="1" s="1"/>
  <c r="AP233" i="1"/>
  <c r="B234" i="1"/>
  <c r="S234" i="1"/>
  <c r="T234" i="1"/>
  <c r="W234" i="1" s="1"/>
  <c r="U234" i="1"/>
  <c r="X234" i="1"/>
  <c r="Y234" i="1"/>
  <c r="AB234" i="1" s="1"/>
  <c r="AD234" i="1"/>
  <c r="AE234" i="1"/>
  <c r="AF234" i="1"/>
  <c r="AK234" i="1"/>
  <c r="AL234" i="1"/>
  <c r="AM234" i="1"/>
  <c r="AN234" i="1" s="1"/>
  <c r="B235" i="1"/>
  <c r="O235" i="1"/>
  <c r="T235" i="1" s="1"/>
  <c r="W235" i="1" s="1"/>
  <c r="P235" i="1"/>
  <c r="S235" i="1"/>
  <c r="U235" i="1"/>
  <c r="X235" i="1"/>
  <c r="Y235" i="1"/>
  <c r="AD235" i="1"/>
  <c r="AE235" i="1"/>
  <c r="AF235" i="1"/>
  <c r="AK235" i="1"/>
  <c r="AL235" i="1"/>
  <c r="AM235" i="1"/>
  <c r="AN235" i="1" s="1"/>
  <c r="B236" i="1"/>
  <c r="O236" i="1"/>
  <c r="P236" i="1"/>
  <c r="S236" i="1"/>
  <c r="T236" i="1"/>
  <c r="W236" i="1" s="1"/>
  <c r="U236" i="1"/>
  <c r="X236" i="1"/>
  <c r="Y236" i="1"/>
  <c r="Z236" i="1"/>
  <c r="AC236" i="1" s="1"/>
  <c r="AD236" i="1"/>
  <c r="AE236" i="1"/>
  <c r="AF236" i="1"/>
  <c r="AK236" i="1"/>
  <c r="AL236" i="1"/>
  <c r="AM236" i="1"/>
  <c r="AN236" i="1"/>
  <c r="B237" i="1"/>
  <c r="O237" i="1"/>
  <c r="P237" i="1"/>
  <c r="U237" i="1" s="1"/>
  <c r="S237" i="1"/>
  <c r="X237" i="1"/>
  <c r="Y237" i="1"/>
  <c r="AD237" i="1"/>
  <c r="AE237" i="1"/>
  <c r="AF237" i="1"/>
  <c r="AK237" i="1"/>
  <c r="AL237" i="1"/>
  <c r="AM237" i="1"/>
  <c r="AN237" i="1" s="1"/>
  <c r="B238" i="1"/>
  <c r="O238" i="1"/>
  <c r="P238" i="1"/>
  <c r="T238" i="1" s="1"/>
  <c r="W238" i="1" s="1"/>
  <c r="S238" i="1"/>
  <c r="X238" i="1"/>
  <c r="Y238" i="1"/>
  <c r="AD238" i="1"/>
  <c r="AE238" i="1"/>
  <c r="AF238" i="1"/>
  <c r="AK238" i="1"/>
  <c r="AL238" i="1"/>
  <c r="AM238" i="1"/>
  <c r="AN238" i="1" s="1"/>
  <c r="B239" i="1"/>
  <c r="O239" i="1"/>
  <c r="P239" i="1"/>
  <c r="X239" i="1" s="1"/>
  <c r="S239" i="1"/>
  <c r="T239" i="1"/>
  <c r="W239" i="1" s="1"/>
  <c r="U239" i="1"/>
  <c r="Y239" i="1"/>
  <c r="AD239" i="1"/>
  <c r="AE239" i="1"/>
  <c r="AF239" i="1"/>
  <c r="AK239" i="1"/>
  <c r="AL239" i="1"/>
  <c r="AM239" i="1"/>
  <c r="AN239" i="1" s="1"/>
  <c r="B240" i="1"/>
  <c r="O240" i="1"/>
  <c r="T240" i="1" s="1"/>
  <c r="P240" i="1"/>
  <c r="S240" i="1"/>
  <c r="U240" i="1"/>
  <c r="X240" i="1"/>
  <c r="Y240" i="1"/>
  <c r="AB240" i="1" s="1"/>
  <c r="AD240" i="1"/>
  <c r="AE240" i="1"/>
  <c r="AF240" i="1"/>
  <c r="AK240" i="1"/>
  <c r="AL240" i="1"/>
  <c r="AM240" i="1"/>
  <c r="AN240" i="1"/>
  <c r="B241" i="1"/>
  <c r="O241" i="1"/>
  <c r="P241" i="1"/>
  <c r="S241" i="1"/>
  <c r="T241" i="1"/>
  <c r="W241" i="1" s="1"/>
  <c r="AP241" i="1" s="1"/>
  <c r="U241" i="1"/>
  <c r="X241" i="1"/>
  <c r="Y241" i="1"/>
  <c r="AB241" i="1" s="1"/>
  <c r="AD241" i="1"/>
  <c r="AE241" i="1"/>
  <c r="AF241" i="1"/>
  <c r="AK241" i="1"/>
  <c r="AL241" i="1"/>
  <c r="AM241" i="1"/>
  <c r="AN241" i="1" s="1"/>
  <c r="B242" i="1"/>
  <c r="O242" i="1"/>
  <c r="P242" i="1"/>
  <c r="T242" i="1" s="1"/>
  <c r="W242" i="1" s="1"/>
  <c r="S242" i="1"/>
  <c r="X242" i="1"/>
  <c r="Y242" i="1"/>
  <c r="AD242" i="1"/>
  <c r="AE242" i="1"/>
  <c r="AF242" i="1"/>
  <c r="AK242" i="1"/>
  <c r="AL242" i="1"/>
  <c r="AM242" i="1"/>
  <c r="AN242" i="1" s="1"/>
  <c r="B243" i="1"/>
  <c r="S243" i="1"/>
  <c r="T243" i="1"/>
  <c r="W243" i="1" s="1"/>
  <c r="AP243" i="1" s="1"/>
  <c r="U243" i="1"/>
  <c r="X243" i="1"/>
  <c r="Y243" i="1"/>
  <c r="AB243" i="1" s="1"/>
  <c r="AD243" i="1"/>
  <c r="AE243" i="1"/>
  <c r="AF243" i="1"/>
  <c r="AK243" i="1"/>
  <c r="AL243" i="1"/>
  <c r="AM243" i="1"/>
  <c r="AN243" i="1" s="1"/>
  <c r="B244" i="1"/>
  <c r="S244" i="1"/>
  <c r="T244" i="1"/>
  <c r="W244" i="1" s="1"/>
  <c r="U244" i="1"/>
  <c r="X244" i="1"/>
  <c r="Y244" i="1"/>
  <c r="AB244" i="1" s="1"/>
  <c r="AD244" i="1"/>
  <c r="AE244" i="1"/>
  <c r="AF244" i="1"/>
  <c r="AK244" i="1"/>
  <c r="AL244" i="1"/>
  <c r="AM244" i="1"/>
  <c r="AN244" i="1" s="1"/>
  <c r="B245" i="1"/>
  <c r="O245" i="1"/>
  <c r="T245" i="1" s="1"/>
  <c r="W245" i="1" s="1"/>
  <c r="AP245" i="1" s="1"/>
  <c r="P245" i="1"/>
  <c r="X245" i="1" s="1"/>
  <c r="S245" i="1"/>
  <c r="U245" i="1"/>
  <c r="Y245" i="1"/>
  <c r="AD245" i="1"/>
  <c r="AE245" i="1"/>
  <c r="AF245" i="1"/>
  <c r="AK245" i="1"/>
  <c r="AL245" i="1"/>
  <c r="AM245" i="1"/>
  <c r="AN245" i="1" s="1"/>
  <c r="B246" i="1"/>
  <c r="O246" i="1"/>
  <c r="P246" i="1"/>
  <c r="T246" i="1" s="1"/>
  <c r="W246" i="1" s="1"/>
  <c r="S246" i="1"/>
  <c r="X246" i="1"/>
  <c r="Y246" i="1"/>
  <c r="AD246" i="1"/>
  <c r="AE246" i="1"/>
  <c r="AF246" i="1"/>
  <c r="AK246" i="1"/>
  <c r="AL246" i="1"/>
  <c r="AM246" i="1"/>
  <c r="AN246" i="1" s="1"/>
  <c r="B247" i="1"/>
  <c r="O247" i="1"/>
  <c r="P247" i="1"/>
  <c r="X247" i="1" s="1"/>
  <c r="S247" i="1"/>
  <c r="Y247" i="1"/>
  <c r="AD247" i="1"/>
  <c r="AE247" i="1"/>
  <c r="AF247" i="1"/>
  <c r="AK247" i="1"/>
  <c r="AL247" i="1"/>
  <c r="AM247" i="1"/>
  <c r="AN247" i="1" s="1"/>
  <c r="B248" i="1"/>
  <c r="P248" i="1"/>
  <c r="S248" i="1"/>
  <c r="T248" i="1"/>
  <c r="W248" i="1" s="1"/>
  <c r="AP248" i="1" s="1"/>
  <c r="U248" i="1"/>
  <c r="X248" i="1"/>
  <c r="Y248" i="1"/>
  <c r="AB248" i="1" s="1"/>
  <c r="AD248" i="1"/>
  <c r="AE248" i="1"/>
  <c r="AF248" i="1"/>
  <c r="AK248" i="1"/>
  <c r="AL248" i="1"/>
  <c r="AM248" i="1"/>
  <c r="AN248" i="1" s="1"/>
  <c r="B249" i="1"/>
  <c r="O249" i="1"/>
  <c r="P249" i="1"/>
  <c r="S249" i="1"/>
  <c r="T249" i="1"/>
  <c r="W249" i="1" s="1"/>
  <c r="U249" i="1"/>
  <c r="X249" i="1"/>
  <c r="Y249" i="1"/>
  <c r="AB249" i="1"/>
  <c r="AD249" i="1"/>
  <c r="AE249" i="1"/>
  <c r="AF249" i="1"/>
  <c r="AK249" i="1"/>
  <c r="AL249" i="1"/>
  <c r="AM249" i="1"/>
  <c r="AN249" i="1"/>
  <c r="B250" i="1"/>
  <c r="O250" i="1"/>
  <c r="P250" i="1"/>
  <c r="S250" i="1"/>
  <c r="T250" i="1"/>
  <c r="W250" i="1" s="1"/>
  <c r="U250" i="1"/>
  <c r="X250" i="1"/>
  <c r="Y250" i="1"/>
  <c r="AD250" i="1"/>
  <c r="AE250" i="1"/>
  <c r="AF250" i="1"/>
  <c r="AK250" i="1"/>
  <c r="AL250" i="1"/>
  <c r="AM250" i="1"/>
  <c r="AN250" i="1" s="1"/>
  <c r="B251" i="1"/>
  <c r="O251" i="1"/>
  <c r="T251" i="1" s="1"/>
  <c r="W251" i="1" s="1"/>
  <c r="P251" i="1"/>
  <c r="X251" i="1" s="1"/>
  <c r="Z251" i="1" s="1"/>
  <c r="S251" i="1"/>
  <c r="U251" i="1"/>
  <c r="Y251" i="1"/>
  <c r="AD251" i="1"/>
  <c r="AE251" i="1"/>
  <c r="AF251" i="1"/>
  <c r="AK251" i="1"/>
  <c r="AL251" i="1"/>
  <c r="AM251" i="1"/>
  <c r="AN251" i="1" s="1"/>
  <c r="B252" i="1"/>
  <c r="S252" i="1"/>
  <c r="T252" i="1"/>
  <c r="W252" i="1" s="1"/>
  <c r="U252" i="1"/>
  <c r="X252" i="1"/>
  <c r="Z252" i="1" s="1"/>
  <c r="AC252" i="1" s="1"/>
  <c r="Y252" i="1"/>
  <c r="AD252" i="1"/>
  <c r="AE252" i="1"/>
  <c r="AF252" i="1"/>
  <c r="AK252" i="1"/>
  <c r="AL252" i="1"/>
  <c r="AM252" i="1"/>
  <c r="AN252" i="1" s="1"/>
  <c r="B253" i="1"/>
  <c r="S253" i="1"/>
  <c r="T253" i="1"/>
  <c r="W253" i="1" s="1"/>
  <c r="U253" i="1"/>
  <c r="X253" i="1"/>
  <c r="Y253" i="1"/>
  <c r="AB253" i="1"/>
  <c r="AD253" i="1"/>
  <c r="AE253" i="1"/>
  <c r="AF253" i="1"/>
  <c r="AK253" i="1"/>
  <c r="AL253" i="1"/>
  <c r="AM253" i="1"/>
  <c r="AN253" i="1"/>
  <c r="B254" i="1"/>
  <c r="S254" i="1"/>
  <c r="T254" i="1"/>
  <c r="U254" i="1"/>
  <c r="W254" i="1"/>
  <c r="AP254" i="1" s="1"/>
  <c r="X254" i="1"/>
  <c r="Z254" i="1" s="1"/>
  <c r="Y254" i="1"/>
  <c r="AD254" i="1"/>
  <c r="AE254" i="1"/>
  <c r="AF254" i="1"/>
  <c r="AK254" i="1"/>
  <c r="AL254" i="1"/>
  <c r="AM254" i="1"/>
  <c r="AN254" i="1" s="1"/>
  <c r="B255" i="1"/>
  <c r="O255" i="1"/>
  <c r="P255" i="1"/>
  <c r="T255" i="1" s="1"/>
  <c r="W255" i="1" s="1"/>
  <c r="S255" i="1"/>
  <c r="X255" i="1"/>
  <c r="Y255" i="1"/>
  <c r="AD255" i="1"/>
  <c r="AE255" i="1"/>
  <c r="AF255" i="1"/>
  <c r="AK255" i="1"/>
  <c r="AL255" i="1"/>
  <c r="AM255" i="1"/>
  <c r="AN255" i="1" s="1"/>
  <c r="B256" i="1"/>
  <c r="O256" i="1"/>
  <c r="P256" i="1"/>
  <c r="X256" i="1" s="1"/>
  <c r="S256" i="1"/>
  <c r="Y256" i="1"/>
  <c r="AD256" i="1"/>
  <c r="AE256" i="1"/>
  <c r="AF256" i="1"/>
  <c r="AK256" i="1"/>
  <c r="AL256" i="1"/>
  <c r="AM256" i="1"/>
  <c r="AN256" i="1" s="1"/>
  <c r="B257" i="1"/>
  <c r="O257" i="1"/>
  <c r="P257" i="1"/>
  <c r="X257" i="1" s="1"/>
  <c r="S257" i="1"/>
  <c r="Y257" i="1"/>
  <c r="AD257" i="1"/>
  <c r="AE257" i="1"/>
  <c r="AF257" i="1"/>
  <c r="AK257" i="1"/>
  <c r="AL257" i="1"/>
  <c r="AM257" i="1"/>
  <c r="AN257" i="1" s="1"/>
  <c r="B258" i="1"/>
  <c r="O258" i="1"/>
  <c r="T258" i="1" s="1"/>
  <c r="W258" i="1" s="1"/>
  <c r="P258" i="1"/>
  <c r="X258" i="1" s="1"/>
  <c r="S258" i="1"/>
  <c r="U258" i="1"/>
  <c r="Y258" i="1"/>
  <c r="AD258" i="1"/>
  <c r="AE258" i="1"/>
  <c r="AF258" i="1"/>
  <c r="AK258" i="1"/>
  <c r="AL258" i="1"/>
  <c r="AM258" i="1"/>
  <c r="AN258" i="1" s="1"/>
  <c r="B259" i="1"/>
  <c r="O259" i="1"/>
  <c r="P259" i="1"/>
  <c r="S259" i="1"/>
  <c r="T259" i="1"/>
  <c r="W259" i="1" s="1"/>
  <c r="U259" i="1"/>
  <c r="X259" i="1"/>
  <c r="Y259" i="1"/>
  <c r="AB259" i="1" s="1"/>
  <c r="AD259" i="1"/>
  <c r="AE259" i="1"/>
  <c r="AF259" i="1"/>
  <c r="AK259" i="1"/>
  <c r="AL259" i="1"/>
  <c r="AM259" i="1"/>
  <c r="AN259" i="1"/>
  <c r="B260" i="1"/>
  <c r="O260" i="1"/>
  <c r="P260" i="1"/>
  <c r="S260" i="1"/>
  <c r="T260" i="1"/>
  <c r="W260" i="1" s="1"/>
  <c r="U260" i="1"/>
  <c r="X260" i="1"/>
  <c r="Y260" i="1"/>
  <c r="AD260" i="1"/>
  <c r="AE260" i="1"/>
  <c r="AF260" i="1"/>
  <c r="AK260" i="1"/>
  <c r="AL260" i="1"/>
  <c r="AM260" i="1"/>
  <c r="AN260" i="1" s="1"/>
  <c r="B261" i="1"/>
  <c r="O261" i="1"/>
  <c r="T261" i="1" s="1"/>
  <c r="P261" i="1"/>
  <c r="S261" i="1"/>
  <c r="U261" i="1"/>
  <c r="X261" i="1"/>
  <c r="Y261" i="1"/>
  <c r="AD261" i="1"/>
  <c r="AE261" i="1"/>
  <c r="AF261" i="1"/>
  <c r="AK261" i="1"/>
  <c r="AL261" i="1"/>
  <c r="AM261" i="1"/>
  <c r="AN261" i="1" s="1"/>
  <c r="B262" i="1"/>
  <c r="O262" i="1"/>
  <c r="P262" i="1"/>
  <c r="U262" i="1" s="1"/>
  <c r="S262" i="1"/>
  <c r="T262" i="1"/>
  <c r="W262" i="1" s="1"/>
  <c r="AP262" i="1" s="1"/>
  <c r="X262" i="1"/>
  <c r="Y262" i="1"/>
  <c r="AD262" i="1"/>
  <c r="AE262" i="1"/>
  <c r="AF262" i="1"/>
  <c r="AK262" i="1"/>
  <c r="AL262" i="1"/>
  <c r="AM262" i="1"/>
  <c r="AN262" i="1" s="1"/>
  <c r="B263" i="1"/>
  <c r="S263" i="1"/>
  <c r="T263" i="1"/>
  <c r="W263" i="1" s="1"/>
  <c r="AP263" i="1" s="1"/>
  <c r="U263" i="1"/>
  <c r="X263" i="1"/>
  <c r="Y263" i="1"/>
  <c r="AB263" i="1" s="1"/>
  <c r="Z263" i="1"/>
  <c r="AA263" i="1" s="1"/>
  <c r="V263" i="1" s="1"/>
  <c r="AD263" i="1"/>
  <c r="AE263" i="1"/>
  <c r="AF263" i="1"/>
  <c r="AK263" i="1"/>
  <c r="AL263" i="1"/>
  <c r="AM263" i="1"/>
  <c r="AN263" i="1" s="1"/>
  <c r="AQ263" i="1"/>
  <c r="B264" i="1"/>
  <c r="S264" i="1"/>
  <c r="T264" i="1"/>
  <c r="W264" i="1" s="1"/>
  <c r="U264" i="1"/>
  <c r="X264" i="1"/>
  <c r="Y264" i="1"/>
  <c r="Z264" i="1"/>
  <c r="AC264" i="1" s="1"/>
  <c r="AD264" i="1"/>
  <c r="AE264" i="1"/>
  <c r="AF264" i="1"/>
  <c r="AK264" i="1"/>
  <c r="AL264" i="1"/>
  <c r="AM264" i="1"/>
  <c r="AN264" i="1" s="1"/>
  <c r="AP264" i="1"/>
  <c r="AQ264" i="1"/>
  <c r="B265" i="1"/>
  <c r="O265" i="1"/>
  <c r="P265" i="1"/>
  <c r="T265" i="1" s="1"/>
  <c r="W265" i="1" s="1"/>
  <c r="S265" i="1"/>
  <c r="Y265" i="1"/>
  <c r="AD265" i="1"/>
  <c r="AE265" i="1"/>
  <c r="AF265" i="1"/>
  <c r="AK265" i="1"/>
  <c r="AL265" i="1"/>
  <c r="AM265" i="1"/>
  <c r="AN265" i="1"/>
  <c r="B266" i="1"/>
  <c r="O266" i="1"/>
  <c r="P266" i="1"/>
  <c r="U266" i="1" s="1"/>
  <c r="S266" i="1"/>
  <c r="T266" i="1"/>
  <c r="W266" i="1" s="1"/>
  <c r="AP266" i="1" s="1"/>
  <c r="X266" i="1"/>
  <c r="Y266" i="1"/>
  <c r="AD266" i="1"/>
  <c r="AE266" i="1"/>
  <c r="AF266" i="1"/>
  <c r="AK266" i="1"/>
  <c r="AL266" i="1"/>
  <c r="AM266" i="1"/>
  <c r="AN266" i="1" s="1"/>
  <c r="B267" i="1"/>
  <c r="O267" i="1"/>
  <c r="P267" i="1"/>
  <c r="S267" i="1"/>
  <c r="T267" i="1"/>
  <c r="W267" i="1" s="1"/>
  <c r="U267" i="1"/>
  <c r="X267" i="1"/>
  <c r="Y267" i="1"/>
  <c r="AB267" i="1" s="1"/>
  <c r="AD267" i="1"/>
  <c r="AE267" i="1"/>
  <c r="AF267" i="1"/>
  <c r="AK267" i="1"/>
  <c r="AL267" i="1"/>
  <c r="AM267" i="1"/>
  <c r="AN267" i="1" s="1"/>
  <c r="B268" i="1"/>
  <c r="O268" i="1"/>
  <c r="P268" i="1"/>
  <c r="S268" i="1"/>
  <c r="T268" i="1"/>
  <c r="W268" i="1" s="1"/>
  <c r="U268" i="1"/>
  <c r="X268" i="1"/>
  <c r="Y268" i="1"/>
  <c r="AD268" i="1"/>
  <c r="AE268" i="1"/>
  <c r="AF268" i="1"/>
  <c r="AK268" i="1"/>
  <c r="AL268" i="1"/>
  <c r="AM268" i="1"/>
  <c r="AN268" i="1" s="1"/>
  <c r="B269" i="1"/>
  <c r="S269" i="1"/>
  <c r="T269" i="1"/>
  <c r="W269" i="1" s="1"/>
  <c r="U269" i="1"/>
  <c r="X269" i="1"/>
  <c r="Y269" i="1"/>
  <c r="AD269" i="1"/>
  <c r="AE269" i="1"/>
  <c r="AF269" i="1"/>
  <c r="AK269" i="1"/>
  <c r="AL269" i="1"/>
  <c r="AM269" i="1"/>
  <c r="AN269" i="1"/>
  <c r="B270" i="1"/>
  <c r="S270" i="1"/>
  <c r="T270" i="1"/>
  <c r="W270" i="1" s="1"/>
  <c r="AP270" i="1" s="1"/>
  <c r="U270" i="1"/>
  <c r="X270" i="1"/>
  <c r="Y270" i="1"/>
  <c r="AB270" i="1"/>
  <c r="AD270" i="1"/>
  <c r="AE270" i="1"/>
  <c r="AF270" i="1"/>
  <c r="AK270" i="1"/>
  <c r="AL270" i="1"/>
  <c r="AM270" i="1"/>
  <c r="AN270" i="1" s="1"/>
  <c r="B271" i="1"/>
  <c r="O271" i="1"/>
  <c r="P271" i="1"/>
  <c r="T271" i="1" s="1"/>
  <c r="W271" i="1" s="1"/>
  <c r="S271" i="1"/>
  <c r="U271" i="1"/>
  <c r="X271" i="1"/>
  <c r="Y271" i="1"/>
  <c r="AD271" i="1"/>
  <c r="AE271" i="1"/>
  <c r="AF271" i="1"/>
  <c r="AK271" i="1"/>
  <c r="AL271" i="1"/>
  <c r="AM271" i="1"/>
  <c r="AN271" i="1" s="1"/>
  <c r="B272" i="1"/>
  <c r="O272" i="1"/>
  <c r="P272" i="1"/>
  <c r="X272" i="1" s="1"/>
  <c r="S272" i="1"/>
  <c r="U272" i="1"/>
  <c r="Y272" i="1"/>
  <c r="AD272" i="1"/>
  <c r="AE272" i="1"/>
  <c r="AF272" i="1"/>
  <c r="AK272" i="1"/>
  <c r="AL272" i="1"/>
  <c r="AM272" i="1"/>
  <c r="AN272" i="1"/>
  <c r="B273" i="1"/>
  <c r="O273" i="1"/>
  <c r="P273" i="1"/>
  <c r="X273" i="1" s="1"/>
  <c r="S273" i="1"/>
  <c r="U273" i="1"/>
  <c r="Y273" i="1"/>
  <c r="AD273" i="1"/>
  <c r="AE273" i="1"/>
  <c r="AF273" i="1"/>
  <c r="AK273" i="1"/>
  <c r="AL273" i="1"/>
  <c r="AM273" i="1"/>
  <c r="AN273" i="1" s="1"/>
  <c r="B274" i="1"/>
  <c r="O274" i="1"/>
  <c r="P274" i="1"/>
  <c r="S274" i="1"/>
  <c r="T274" i="1"/>
  <c r="W274" i="1" s="1"/>
  <c r="AP274" i="1" s="1"/>
  <c r="U274" i="1"/>
  <c r="X274" i="1"/>
  <c r="Y274" i="1"/>
  <c r="AB274" i="1" s="1"/>
  <c r="AD274" i="1"/>
  <c r="AE274" i="1"/>
  <c r="AF274" i="1"/>
  <c r="AK274" i="1"/>
  <c r="AL274" i="1"/>
  <c r="AM274" i="1"/>
  <c r="AN274" i="1" s="1"/>
  <c r="B275" i="1"/>
  <c r="S275" i="1"/>
  <c r="T275" i="1"/>
  <c r="U275" i="1"/>
  <c r="W275" i="1"/>
  <c r="AP275" i="1" s="1"/>
  <c r="X275" i="1"/>
  <c r="Z275" i="1" s="1"/>
  <c r="AA275" i="1" s="1"/>
  <c r="V275" i="1" s="1"/>
  <c r="Y275" i="1"/>
  <c r="AB275" i="1" s="1"/>
  <c r="AD275" i="1"/>
  <c r="AE275" i="1"/>
  <c r="AF275" i="1"/>
  <c r="AK275" i="1"/>
  <c r="AL275" i="1"/>
  <c r="AM275" i="1"/>
  <c r="AN275" i="1" s="1"/>
  <c r="B276" i="1"/>
  <c r="I276" i="1"/>
  <c r="K276" i="1"/>
  <c r="S276" i="1"/>
  <c r="T276" i="1"/>
  <c r="W276" i="1" s="1"/>
  <c r="AP276" i="1" s="1"/>
  <c r="U276" i="1"/>
  <c r="X276" i="1"/>
  <c r="Y276" i="1"/>
  <c r="AB276" i="1" s="1"/>
  <c r="AD276" i="1"/>
  <c r="AE276" i="1"/>
  <c r="AF276" i="1"/>
  <c r="AK276" i="1"/>
  <c r="AL276" i="1"/>
  <c r="AM276" i="1"/>
  <c r="AN276" i="1" s="1"/>
  <c r="B277" i="1"/>
  <c r="O277" i="1"/>
  <c r="P277" i="1"/>
  <c r="S277" i="1"/>
  <c r="T277" i="1"/>
  <c r="W277" i="1" s="1"/>
  <c r="U277" i="1"/>
  <c r="X277" i="1"/>
  <c r="Y277" i="1"/>
  <c r="AB277" i="1"/>
  <c r="AD277" i="1"/>
  <c r="AE277" i="1"/>
  <c r="AF277" i="1"/>
  <c r="AK277" i="1"/>
  <c r="AL277" i="1"/>
  <c r="AM277" i="1"/>
  <c r="AN277" i="1" s="1"/>
  <c r="B278" i="1"/>
  <c r="O278" i="1"/>
  <c r="P278" i="1"/>
  <c r="S278" i="1"/>
  <c r="T278" i="1"/>
  <c r="W278" i="1" s="1"/>
  <c r="U278" i="1"/>
  <c r="X278" i="1"/>
  <c r="Z278" i="1" s="1"/>
  <c r="AC278" i="1" s="1"/>
  <c r="Y278" i="1"/>
  <c r="AD278" i="1"/>
  <c r="AE278" i="1"/>
  <c r="AF278" i="1"/>
  <c r="AK278" i="1"/>
  <c r="AL278" i="1"/>
  <c r="AM278" i="1"/>
  <c r="AN278" i="1" s="1"/>
  <c r="B279" i="1"/>
  <c r="S279" i="1"/>
  <c r="T279" i="1"/>
  <c r="W279" i="1" s="1"/>
  <c r="U279" i="1"/>
  <c r="X279" i="1"/>
  <c r="Z279" i="1" s="1"/>
  <c r="AC279" i="1" s="1"/>
  <c r="Y279" i="1"/>
  <c r="AD279" i="1"/>
  <c r="AE279" i="1"/>
  <c r="AF279" i="1"/>
  <c r="AK279" i="1"/>
  <c r="AL279" i="1"/>
  <c r="AM279" i="1"/>
  <c r="AN279" i="1"/>
  <c r="B280" i="1"/>
  <c r="S280" i="1"/>
  <c r="T280" i="1"/>
  <c r="W280" i="1" s="1"/>
  <c r="AP280" i="1" s="1"/>
  <c r="U280" i="1"/>
  <c r="X280" i="1"/>
  <c r="Y280" i="1"/>
  <c r="AB280" i="1"/>
  <c r="AD280" i="1"/>
  <c r="AE280" i="1"/>
  <c r="AF280" i="1"/>
  <c r="AK280" i="1"/>
  <c r="AL280" i="1"/>
  <c r="AM280" i="1"/>
  <c r="AN280" i="1" s="1"/>
  <c r="B281" i="1"/>
  <c r="O281" i="1"/>
  <c r="T281" i="1" s="1"/>
  <c r="W281" i="1" s="1"/>
  <c r="P281" i="1"/>
  <c r="S281" i="1"/>
  <c r="U281" i="1"/>
  <c r="X281" i="1"/>
  <c r="Y281" i="1"/>
  <c r="AB281" i="1" s="1"/>
  <c r="AD281" i="1"/>
  <c r="AE281" i="1"/>
  <c r="AF281" i="1"/>
  <c r="AK281" i="1"/>
  <c r="AL281" i="1"/>
  <c r="AM281" i="1"/>
  <c r="AN281" i="1" s="1"/>
  <c r="B282" i="1"/>
  <c r="O282" i="1"/>
  <c r="T282" i="1" s="1"/>
  <c r="P282" i="1"/>
  <c r="S282" i="1"/>
  <c r="U282" i="1"/>
  <c r="X282" i="1"/>
  <c r="Y282" i="1"/>
  <c r="AD282" i="1"/>
  <c r="AE282" i="1"/>
  <c r="AF282" i="1"/>
  <c r="AK282" i="1"/>
  <c r="AL282" i="1"/>
  <c r="AM282" i="1"/>
  <c r="AN282" i="1" s="1"/>
  <c r="B283" i="1"/>
  <c r="O283" i="1"/>
  <c r="P283" i="1"/>
  <c r="S283" i="1"/>
  <c r="T283" i="1"/>
  <c r="W283" i="1" s="1"/>
  <c r="U283" i="1"/>
  <c r="X283" i="1"/>
  <c r="Z283" i="1" s="1"/>
  <c r="AA283" i="1" s="1"/>
  <c r="V283" i="1" s="1"/>
  <c r="Y283" i="1"/>
  <c r="AD283" i="1"/>
  <c r="AE283" i="1"/>
  <c r="AF283" i="1"/>
  <c r="AK283" i="1"/>
  <c r="AL283" i="1"/>
  <c r="AM283" i="1"/>
  <c r="AN283" i="1" s="1"/>
  <c r="B284" i="1"/>
  <c r="O284" i="1"/>
  <c r="P284" i="1"/>
  <c r="U284" i="1" s="1"/>
  <c r="S284" i="1"/>
  <c r="X284" i="1"/>
  <c r="Y284" i="1"/>
  <c r="AD284" i="1"/>
  <c r="AE284" i="1"/>
  <c r="AF284" i="1"/>
  <c r="AK284" i="1"/>
  <c r="AL284" i="1"/>
  <c r="AM284" i="1"/>
  <c r="AN284" i="1" s="1"/>
  <c r="B285" i="1"/>
  <c r="O285" i="1"/>
  <c r="P285" i="1"/>
  <c r="U285" i="1" s="1"/>
  <c r="S285" i="1"/>
  <c r="X285" i="1"/>
  <c r="Y285" i="1"/>
  <c r="AB285" i="1" s="1"/>
  <c r="AD285" i="1"/>
  <c r="AE285" i="1"/>
  <c r="AF285" i="1"/>
  <c r="AK285" i="1"/>
  <c r="AL285" i="1"/>
  <c r="AM285" i="1"/>
  <c r="AN285" i="1"/>
  <c r="B286" i="1"/>
  <c r="O286" i="1"/>
  <c r="P286" i="1"/>
  <c r="U286" i="1" s="1"/>
  <c r="S286" i="1"/>
  <c r="X286" i="1"/>
  <c r="Y286" i="1"/>
  <c r="AD286" i="1"/>
  <c r="AE286" i="1"/>
  <c r="AF286" i="1"/>
  <c r="AK286" i="1"/>
  <c r="AL286" i="1"/>
  <c r="AM286" i="1"/>
  <c r="AN286" i="1" s="1"/>
  <c r="B287" i="1"/>
  <c r="O287" i="1"/>
  <c r="P287" i="1"/>
  <c r="T287" i="1" s="1"/>
  <c r="W287" i="1" s="1"/>
  <c r="S287" i="1"/>
  <c r="Y287" i="1"/>
  <c r="AD287" i="1"/>
  <c r="AE287" i="1"/>
  <c r="AF287" i="1"/>
  <c r="AK287" i="1"/>
  <c r="AL287" i="1"/>
  <c r="AM287" i="1"/>
  <c r="AN287" i="1" s="1"/>
  <c r="B288" i="1"/>
  <c r="O288" i="1"/>
  <c r="T288" i="1" s="1"/>
  <c r="W288" i="1" s="1"/>
  <c r="AP288" i="1" s="1"/>
  <c r="P288" i="1"/>
  <c r="X288" i="1" s="1"/>
  <c r="S288" i="1"/>
  <c r="U288" i="1"/>
  <c r="Y288" i="1"/>
  <c r="AD288" i="1"/>
  <c r="AE288" i="1"/>
  <c r="AF288" i="1"/>
  <c r="AK288" i="1"/>
  <c r="AL288" i="1"/>
  <c r="AM288" i="1"/>
  <c r="AN288" i="1" s="1"/>
  <c r="B289" i="1"/>
  <c r="S289" i="1"/>
  <c r="T289" i="1"/>
  <c r="U289" i="1"/>
  <c r="W289" i="1"/>
  <c r="AP289" i="1" s="1"/>
  <c r="X289" i="1"/>
  <c r="Z289" i="1" s="1"/>
  <c r="AA289" i="1" s="1"/>
  <c r="V289" i="1" s="1"/>
  <c r="Y289" i="1"/>
  <c r="AD289" i="1"/>
  <c r="AE289" i="1"/>
  <c r="AF289" i="1"/>
  <c r="AK289" i="1"/>
  <c r="AL289" i="1"/>
  <c r="AM289" i="1"/>
  <c r="AN289" i="1" s="1"/>
  <c r="B290" i="1"/>
  <c r="S290" i="1"/>
  <c r="T290" i="1"/>
  <c r="U290" i="1"/>
  <c r="W290" i="1"/>
  <c r="AP290" i="1" s="1"/>
  <c r="X290" i="1"/>
  <c r="Z290" i="1" s="1"/>
  <c r="AC290" i="1" s="1"/>
  <c r="Y290" i="1"/>
  <c r="AD290" i="1"/>
  <c r="AE290" i="1"/>
  <c r="AF290" i="1"/>
  <c r="AK290" i="1"/>
  <c r="AL290" i="1"/>
  <c r="AM290" i="1"/>
  <c r="AN290" i="1" s="1"/>
  <c r="AQ290" i="1"/>
  <c r="B291" i="1"/>
  <c r="O291" i="1"/>
  <c r="P291" i="1"/>
  <c r="S291" i="1"/>
  <c r="T291" i="1"/>
  <c r="W291" i="1" s="1"/>
  <c r="U291" i="1"/>
  <c r="X291" i="1"/>
  <c r="Z291" i="1" s="1"/>
  <c r="AA291" i="1" s="1"/>
  <c r="V291" i="1" s="1"/>
  <c r="Y291" i="1"/>
  <c r="AB291" i="1" s="1"/>
  <c r="AD291" i="1"/>
  <c r="AE291" i="1"/>
  <c r="AF291" i="1"/>
  <c r="AK291" i="1"/>
  <c r="AL291" i="1"/>
  <c r="AM291" i="1"/>
  <c r="AN291" i="1" s="1"/>
  <c r="B292" i="1"/>
  <c r="O292" i="1"/>
  <c r="P292" i="1"/>
  <c r="T292" i="1" s="1"/>
  <c r="W292" i="1" s="1"/>
  <c r="AP292" i="1" s="1"/>
  <c r="S292" i="1"/>
  <c r="Y292" i="1"/>
  <c r="AD292" i="1"/>
  <c r="AE292" i="1"/>
  <c r="AF292" i="1"/>
  <c r="AK292" i="1"/>
  <c r="AL292" i="1"/>
  <c r="AM292" i="1"/>
  <c r="AN292" i="1" s="1"/>
  <c r="B293" i="1"/>
  <c r="O293" i="1"/>
  <c r="P293" i="1"/>
  <c r="T293" i="1" s="1"/>
  <c r="W293" i="1" s="1"/>
  <c r="S293" i="1"/>
  <c r="X293" i="1"/>
  <c r="Y293" i="1"/>
  <c r="AD293" i="1"/>
  <c r="AE293" i="1"/>
  <c r="AF293" i="1"/>
  <c r="AK293" i="1"/>
  <c r="AL293" i="1"/>
  <c r="AM293" i="1"/>
  <c r="AN293" i="1" s="1"/>
  <c r="B294" i="1"/>
  <c r="O294" i="1"/>
  <c r="P294" i="1"/>
  <c r="T294" i="1" s="1"/>
  <c r="W294" i="1" s="1"/>
  <c r="S294" i="1"/>
  <c r="Y294" i="1"/>
  <c r="AD294" i="1"/>
  <c r="AE294" i="1"/>
  <c r="AF294" i="1"/>
  <c r="AK294" i="1"/>
  <c r="AL294" i="1"/>
  <c r="AM294" i="1"/>
  <c r="AN294" i="1" s="1"/>
  <c r="B295" i="1"/>
  <c r="S295" i="1"/>
  <c r="T295" i="1"/>
  <c r="W295" i="1" s="1"/>
  <c r="U295" i="1"/>
  <c r="X295" i="1"/>
  <c r="Y295" i="1"/>
  <c r="AB295" i="1"/>
  <c r="AD295" i="1"/>
  <c r="AE295" i="1"/>
  <c r="AF295" i="1"/>
  <c r="AK295" i="1"/>
  <c r="AL295" i="1"/>
  <c r="AM295" i="1"/>
  <c r="AN295" i="1" s="1"/>
  <c r="B296" i="1"/>
  <c r="S296" i="1"/>
  <c r="T296" i="1"/>
  <c r="U296" i="1"/>
  <c r="W296" i="1"/>
  <c r="X296" i="1"/>
  <c r="Z296" i="1" s="1"/>
  <c r="AC296" i="1" s="1"/>
  <c r="Y296" i="1"/>
  <c r="AB296" i="1" s="1"/>
  <c r="AD296" i="1"/>
  <c r="AE296" i="1"/>
  <c r="AF296" i="1"/>
  <c r="AK296" i="1"/>
  <c r="AL296" i="1"/>
  <c r="AM296" i="1"/>
  <c r="AN296" i="1" s="1"/>
  <c r="B297" i="1"/>
  <c r="O297" i="1"/>
  <c r="P297" i="1"/>
  <c r="U297" i="1" s="1"/>
  <c r="S297" i="1"/>
  <c r="T297" i="1"/>
  <c r="W297" i="1" s="1"/>
  <c r="X297" i="1"/>
  <c r="Y297" i="1"/>
  <c r="AD297" i="1"/>
  <c r="AE297" i="1"/>
  <c r="AF297" i="1"/>
  <c r="AK297" i="1"/>
  <c r="AL297" i="1"/>
  <c r="AM297" i="1"/>
  <c r="AN297" i="1"/>
  <c r="B298" i="1"/>
  <c r="O298" i="1"/>
  <c r="P298" i="1"/>
  <c r="S298" i="1"/>
  <c r="T298" i="1"/>
  <c r="W298" i="1" s="1"/>
  <c r="U298" i="1"/>
  <c r="X298" i="1"/>
  <c r="Z298" i="1" s="1"/>
  <c r="AC298" i="1" s="1"/>
  <c r="Y298" i="1"/>
  <c r="AD298" i="1"/>
  <c r="AE298" i="1"/>
  <c r="AF298" i="1"/>
  <c r="AK298" i="1"/>
  <c r="AL298" i="1"/>
  <c r="AM298" i="1"/>
  <c r="AN298" i="1" s="1"/>
  <c r="B299" i="1"/>
  <c r="O299" i="1"/>
  <c r="P299" i="1"/>
  <c r="S299" i="1"/>
  <c r="T299" i="1"/>
  <c r="W299" i="1" s="1"/>
  <c r="U299" i="1"/>
  <c r="X299" i="1"/>
  <c r="Y299" i="1"/>
  <c r="AB299" i="1" s="1"/>
  <c r="AD299" i="1"/>
  <c r="AE299" i="1"/>
  <c r="AF299" i="1"/>
  <c r="AK299" i="1"/>
  <c r="AL299" i="1"/>
  <c r="AM299" i="1"/>
  <c r="AN299" i="1" s="1"/>
  <c r="B300" i="1"/>
  <c r="O300" i="1"/>
  <c r="P300" i="1"/>
  <c r="U300" i="1" s="1"/>
  <c r="S300" i="1"/>
  <c r="T300" i="1"/>
  <c r="W300" i="1" s="1"/>
  <c r="X300" i="1"/>
  <c r="Z300" i="1" s="1"/>
  <c r="AC300" i="1" s="1"/>
  <c r="Y300" i="1"/>
  <c r="AA300" i="1" s="1"/>
  <c r="V300" i="1" s="1"/>
  <c r="AD300" i="1"/>
  <c r="AE300" i="1"/>
  <c r="AF300" i="1"/>
  <c r="AK300" i="1"/>
  <c r="AL300" i="1"/>
  <c r="AM300" i="1"/>
  <c r="AN300" i="1" s="1"/>
  <c r="B301" i="1"/>
  <c r="O301" i="1"/>
  <c r="P301" i="1"/>
  <c r="T301" i="1" s="1"/>
  <c r="W301" i="1" s="1"/>
  <c r="S301" i="1"/>
  <c r="U301" i="1"/>
  <c r="X301" i="1"/>
  <c r="Y301" i="1"/>
  <c r="AD301" i="1"/>
  <c r="AE301" i="1"/>
  <c r="AF301" i="1"/>
  <c r="AK301" i="1"/>
  <c r="AL301" i="1"/>
  <c r="AM301" i="1"/>
  <c r="AN301" i="1" s="1"/>
  <c r="B302" i="1"/>
  <c r="S302" i="1"/>
  <c r="T302" i="1"/>
  <c r="W302" i="1" s="1"/>
  <c r="U302" i="1"/>
  <c r="X302" i="1"/>
  <c r="Y302" i="1"/>
  <c r="AD302" i="1"/>
  <c r="AE302" i="1"/>
  <c r="AF302" i="1"/>
  <c r="AK302" i="1"/>
  <c r="AL302" i="1"/>
  <c r="AM302" i="1"/>
  <c r="AN302" i="1"/>
  <c r="B303" i="1"/>
  <c r="O303" i="1"/>
  <c r="P303" i="1"/>
  <c r="S303" i="1"/>
  <c r="T303" i="1"/>
  <c r="W303" i="1" s="1"/>
  <c r="AQ303" i="1" s="1"/>
  <c r="U303" i="1"/>
  <c r="X303" i="1"/>
  <c r="Y303" i="1"/>
  <c r="AD303" i="1"/>
  <c r="AE303" i="1"/>
  <c r="AF303" i="1"/>
  <c r="AK303" i="1"/>
  <c r="AL303" i="1"/>
  <c r="AM303" i="1"/>
  <c r="AN303" i="1"/>
  <c r="AP303" i="1"/>
  <c r="B304" i="1"/>
  <c r="O304" i="1"/>
  <c r="P304" i="1"/>
  <c r="U304" i="1" s="1"/>
  <c r="S304" i="1"/>
  <c r="X304" i="1"/>
  <c r="Y304" i="1"/>
  <c r="AD304" i="1"/>
  <c r="AE304" i="1"/>
  <c r="AF304" i="1"/>
  <c r="AK304" i="1"/>
  <c r="AL304" i="1"/>
  <c r="AM304" i="1"/>
  <c r="AN304" i="1" s="1"/>
  <c r="B305" i="1"/>
  <c r="S305" i="1"/>
  <c r="T305" i="1"/>
  <c r="W305" i="1" s="1"/>
  <c r="AQ305" i="1" s="1"/>
  <c r="U305" i="1"/>
  <c r="X305" i="1"/>
  <c r="Y305" i="1"/>
  <c r="AB305" i="1"/>
  <c r="AD305" i="1"/>
  <c r="AE305" i="1"/>
  <c r="AF305" i="1"/>
  <c r="AK305" i="1"/>
  <c r="AL305" i="1"/>
  <c r="AM305" i="1"/>
  <c r="AN305" i="1" s="1"/>
  <c r="B306" i="1"/>
  <c r="S306" i="1"/>
  <c r="T306" i="1"/>
  <c r="W306" i="1" s="1"/>
  <c r="U306" i="1"/>
  <c r="X306" i="1"/>
  <c r="Y306" i="1"/>
  <c r="AB306" i="1" s="1"/>
  <c r="AD306" i="1"/>
  <c r="AE306" i="1"/>
  <c r="AF306" i="1"/>
  <c r="AK306" i="1"/>
  <c r="AL306" i="1"/>
  <c r="AM306" i="1"/>
  <c r="AN306" i="1" s="1"/>
  <c r="B307" i="1"/>
  <c r="O307" i="1"/>
  <c r="P307" i="1"/>
  <c r="S307" i="1"/>
  <c r="T307" i="1"/>
  <c r="W307" i="1" s="1"/>
  <c r="AQ307" i="1" s="1"/>
  <c r="U307" i="1"/>
  <c r="X307" i="1"/>
  <c r="Y307" i="1"/>
  <c r="AB307" i="1" s="1"/>
  <c r="AD307" i="1"/>
  <c r="AE307" i="1"/>
  <c r="AF307" i="1"/>
  <c r="AK307" i="1"/>
  <c r="AL307" i="1"/>
  <c r="AM307" i="1"/>
  <c r="AN307" i="1" s="1"/>
  <c r="B308" i="1"/>
  <c r="O308" i="1"/>
  <c r="T308" i="1" s="1"/>
  <c r="P308" i="1"/>
  <c r="S308" i="1"/>
  <c r="U308" i="1"/>
  <c r="X308" i="1"/>
  <c r="Y308" i="1"/>
  <c r="AD308" i="1"/>
  <c r="AE308" i="1"/>
  <c r="AF308" i="1"/>
  <c r="AK308" i="1"/>
  <c r="AL308" i="1"/>
  <c r="AM308" i="1"/>
  <c r="AN308" i="1"/>
  <c r="B309" i="1"/>
  <c r="O309" i="1"/>
  <c r="P309" i="1"/>
  <c r="S309" i="1"/>
  <c r="T309" i="1"/>
  <c r="W309" i="1" s="1"/>
  <c r="U309" i="1"/>
  <c r="X309" i="1"/>
  <c r="Z309" i="1" s="1"/>
  <c r="AC309" i="1" s="1"/>
  <c r="Y309" i="1"/>
  <c r="AB309" i="1" s="1"/>
  <c r="AD309" i="1"/>
  <c r="AE309" i="1"/>
  <c r="AF309" i="1"/>
  <c r="AK309" i="1"/>
  <c r="AL309" i="1"/>
  <c r="AM309" i="1"/>
  <c r="AN309" i="1" s="1"/>
  <c r="B310" i="1"/>
  <c r="O310" i="1"/>
  <c r="P310" i="1"/>
  <c r="T310" i="1" s="1"/>
  <c r="W310" i="1" s="1"/>
  <c r="S310" i="1"/>
  <c r="X310" i="1"/>
  <c r="Y310" i="1"/>
  <c r="AB310" i="1" s="1"/>
  <c r="AD310" i="1"/>
  <c r="AE310" i="1"/>
  <c r="AF310" i="1"/>
  <c r="AK310" i="1"/>
  <c r="AL310" i="1"/>
  <c r="AM310" i="1"/>
  <c r="AN310" i="1" s="1"/>
  <c r="B311" i="1"/>
  <c r="O311" i="1"/>
  <c r="P311" i="1"/>
  <c r="U311" i="1" s="1"/>
  <c r="S311" i="1"/>
  <c r="X311" i="1"/>
  <c r="Y311" i="1"/>
  <c r="AB311" i="1" s="1"/>
  <c r="AD311" i="1"/>
  <c r="AE311" i="1"/>
  <c r="AF311" i="1"/>
  <c r="AK311" i="1"/>
  <c r="AL311" i="1"/>
  <c r="AM311" i="1"/>
  <c r="AN311" i="1"/>
  <c r="B312" i="1"/>
  <c r="O312" i="1"/>
  <c r="P312" i="1"/>
  <c r="U312" i="1" s="1"/>
  <c r="S312" i="1"/>
  <c r="X312" i="1"/>
  <c r="Y312" i="1"/>
  <c r="AB312" i="1" s="1"/>
  <c r="AD312" i="1"/>
  <c r="AE312" i="1"/>
  <c r="AF312" i="1"/>
  <c r="AK312" i="1"/>
  <c r="AL312" i="1"/>
  <c r="AM312" i="1"/>
  <c r="AN312" i="1"/>
  <c r="B313" i="1"/>
  <c r="O313" i="1"/>
  <c r="T313" i="1" s="1"/>
  <c r="W313" i="1" s="1"/>
  <c r="P313" i="1"/>
  <c r="X313" i="1" s="1"/>
  <c r="S313" i="1"/>
  <c r="U313" i="1"/>
  <c r="Y313" i="1"/>
  <c r="Z313" i="1"/>
  <c r="AC313" i="1" s="1"/>
  <c r="AD313" i="1"/>
  <c r="AE313" i="1"/>
  <c r="AF313" i="1"/>
  <c r="AK313" i="1"/>
  <c r="AL313" i="1"/>
  <c r="AM313" i="1"/>
  <c r="AN313" i="1" s="1"/>
  <c r="B314" i="1"/>
  <c r="O314" i="1"/>
  <c r="P314" i="1"/>
  <c r="S314" i="1"/>
  <c r="T314" i="1"/>
  <c r="W314" i="1" s="1"/>
  <c r="AP314" i="1" s="1"/>
  <c r="U314" i="1"/>
  <c r="X314" i="1"/>
  <c r="Y314" i="1"/>
  <c r="AB314" i="1" s="1"/>
  <c r="AD314" i="1"/>
  <c r="AE314" i="1"/>
  <c r="AF314" i="1"/>
  <c r="AK314" i="1"/>
  <c r="AL314" i="1"/>
  <c r="AM314" i="1"/>
  <c r="AN314" i="1" s="1"/>
  <c r="B315" i="1"/>
  <c r="O315" i="1"/>
  <c r="P315" i="1"/>
  <c r="S315" i="1"/>
  <c r="T315" i="1"/>
  <c r="W315" i="1" s="1"/>
  <c r="U315" i="1"/>
  <c r="X315" i="1"/>
  <c r="Y315" i="1"/>
  <c r="AB315" i="1"/>
  <c r="AD315" i="1"/>
  <c r="AE315" i="1"/>
  <c r="AF315" i="1"/>
  <c r="AK315" i="1"/>
  <c r="AL315" i="1"/>
  <c r="AM315" i="1"/>
  <c r="AN315" i="1"/>
  <c r="B316" i="1"/>
  <c r="S316" i="1"/>
  <c r="T316" i="1"/>
  <c r="U316" i="1"/>
  <c r="W316" i="1"/>
  <c r="AP316" i="1" s="1"/>
  <c r="X316" i="1"/>
  <c r="Z316" i="1" s="1"/>
  <c r="Y316" i="1"/>
  <c r="AB316" i="1"/>
  <c r="AD316" i="1"/>
  <c r="AE316" i="1"/>
  <c r="AF316" i="1"/>
  <c r="AK316" i="1"/>
  <c r="AL316" i="1"/>
  <c r="AM316" i="1"/>
  <c r="AN316" i="1" s="1"/>
  <c r="B317" i="1"/>
  <c r="O317" i="1"/>
  <c r="P317" i="1"/>
  <c r="S317" i="1"/>
  <c r="Y317" i="1"/>
  <c r="AD317" i="1"/>
  <c r="AE317" i="1"/>
  <c r="AF317" i="1"/>
  <c r="AK317" i="1"/>
  <c r="AL317" i="1"/>
  <c r="AM317" i="1"/>
  <c r="AN317" i="1" s="1"/>
  <c r="B318" i="1"/>
  <c r="O318" i="1"/>
  <c r="P318" i="1"/>
  <c r="S318" i="1"/>
  <c r="Y318" i="1"/>
  <c r="AD318" i="1"/>
  <c r="AE318" i="1"/>
  <c r="AF318" i="1"/>
  <c r="AK318" i="1"/>
  <c r="AL318" i="1"/>
  <c r="AM318" i="1"/>
  <c r="AN318" i="1" s="1"/>
  <c r="B319" i="1"/>
  <c r="O319" i="1"/>
  <c r="T319" i="1" s="1"/>
  <c r="W319" i="1" s="1"/>
  <c r="P319" i="1"/>
  <c r="X319" i="1" s="1"/>
  <c r="S319" i="1"/>
  <c r="U319" i="1"/>
  <c r="Y319" i="1"/>
  <c r="Z319" i="1"/>
  <c r="AA319" i="1" s="1"/>
  <c r="V319" i="1" s="1"/>
  <c r="AD319" i="1"/>
  <c r="AE319" i="1"/>
  <c r="AF319" i="1"/>
  <c r="AK319" i="1"/>
  <c r="AL319" i="1"/>
  <c r="AM319" i="1"/>
  <c r="AN319" i="1" s="1"/>
  <c r="B320" i="1"/>
  <c r="O320" i="1"/>
  <c r="P320" i="1"/>
  <c r="S320" i="1"/>
  <c r="T320" i="1"/>
  <c r="W320" i="1" s="1"/>
  <c r="AP320" i="1" s="1"/>
  <c r="U320" i="1"/>
  <c r="X320" i="1"/>
  <c r="Y320" i="1"/>
  <c r="AB320" i="1" s="1"/>
  <c r="AD320" i="1"/>
  <c r="AE320" i="1"/>
  <c r="AF320" i="1"/>
  <c r="AK320" i="1"/>
  <c r="AL320" i="1"/>
  <c r="AM320" i="1"/>
  <c r="AN320" i="1" s="1"/>
  <c r="B321" i="1"/>
  <c r="S321" i="1"/>
  <c r="T321" i="1"/>
  <c r="U321" i="1"/>
  <c r="W321" i="1"/>
  <c r="X321" i="1"/>
  <c r="Y321" i="1"/>
  <c r="Z321" i="1"/>
  <c r="AA321" i="1" s="1"/>
  <c r="V321" i="1" s="1"/>
  <c r="AB321" i="1"/>
  <c r="AD321" i="1"/>
  <c r="AE321" i="1"/>
  <c r="AF321" i="1"/>
  <c r="AK321" i="1"/>
  <c r="AL321" i="1"/>
  <c r="AM321" i="1"/>
  <c r="AN321" i="1" s="1"/>
  <c r="B322" i="1"/>
  <c r="O322" i="1"/>
  <c r="P322" i="1"/>
  <c r="S322" i="1"/>
  <c r="T322" i="1"/>
  <c r="W322" i="1" s="1"/>
  <c r="AP322" i="1" s="1"/>
  <c r="U322" i="1"/>
  <c r="X322" i="1"/>
  <c r="Y322" i="1"/>
  <c r="AB322" i="1" s="1"/>
  <c r="AD322" i="1"/>
  <c r="AE322" i="1"/>
  <c r="AF322" i="1"/>
  <c r="AK322" i="1"/>
  <c r="AL322" i="1"/>
  <c r="AM322" i="1"/>
  <c r="AN322" i="1" s="1"/>
  <c r="B323" i="1"/>
  <c r="O323" i="1"/>
  <c r="P323" i="1"/>
  <c r="S323" i="1"/>
  <c r="T323" i="1"/>
  <c r="W323" i="1" s="1"/>
  <c r="U323" i="1"/>
  <c r="X323" i="1"/>
  <c r="Y323" i="1"/>
  <c r="AB323" i="1"/>
  <c r="AD323" i="1"/>
  <c r="AE323" i="1"/>
  <c r="AF323" i="1"/>
  <c r="AK323" i="1"/>
  <c r="AL323" i="1"/>
  <c r="AM323" i="1"/>
  <c r="AN323" i="1"/>
  <c r="B324" i="1"/>
  <c r="O324" i="1"/>
  <c r="P324" i="1"/>
  <c r="S324" i="1"/>
  <c r="T324" i="1"/>
  <c r="W324" i="1" s="1"/>
  <c r="U324" i="1"/>
  <c r="X324" i="1"/>
  <c r="Z324" i="1" s="1"/>
  <c r="AC324" i="1" s="1"/>
  <c r="Y324" i="1"/>
  <c r="AD324" i="1"/>
  <c r="AE324" i="1"/>
  <c r="AF324" i="1"/>
  <c r="AK324" i="1"/>
  <c r="AL324" i="1"/>
  <c r="AM324" i="1"/>
  <c r="AN324" i="1" s="1"/>
  <c r="B325" i="1"/>
  <c r="S325" i="1"/>
  <c r="T325" i="1"/>
  <c r="W325" i="1" s="1"/>
  <c r="U325" i="1"/>
  <c r="X325" i="1"/>
  <c r="Z325" i="1" s="1"/>
  <c r="AC325" i="1" s="1"/>
  <c r="Y325" i="1"/>
  <c r="AD325" i="1"/>
  <c r="AE325" i="1"/>
  <c r="AF325" i="1"/>
  <c r="AK325" i="1"/>
  <c r="AL325" i="1"/>
  <c r="AM325" i="1"/>
  <c r="AN325" i="1"/>
  <c r="B326" i="1"/>
  <c r="S326" i="1"/>
  <c r="T326" i="1"/>
  <c r="W326" i="1" s="1"/>
  <c r="AP326" i="1" s="1"/>
  <c r="U326" i="1"/>
  <c r="X326" i="1"/>
  <c r="Y326" i="1"/>
  <c r="AB326" i="1" s="1"/>
  <c r="AD326" i="1"/>
  <c r="AE326" i="1"/>
  <c r="AF326" i="1"/>
  <c r="AK326" i="1"/>
  <c r="AL326" i="1"/>
  <c r="AM326" i="1"/>
  <c r="AN326" i="1" s="1"/>
  <c r="B327" i="1"/>
  <c r="O327" i="1"/>
  <c r="P327" i="1"/>
  <c r="S327" i="1"/>
  <c r="T327" i="1"/>
  <c r="W327" i="1" s="1"/>
  <c r="U327" i="1"/>
  <c r="X327" i="1"/>
  <c r="Y327" i="1"/>
  <c r="AB327" i="1"/>
  <c r="AD327" i="1"/>
  <c r="AE327" i="1"/>
  <c r="AF327" i="1"/>
  <c r="AK327" i="1"/>
  <c r="AL327" i="1"/>
  <c r="AM327" i="1"/>
  <c r="AN327" i="1" s="1"/>
  <c r="B328" i="1"/>
  <c r="O328" i="1"/>
  <c r="T328" i="1" s="1"/>
  <c r="P328" i="1"/>
  <c r="X328" i="1" s="1"/>
  <c r="S328" i="1"/>
  <c r="U328" i="1"/>
  <c r="Y328" i="1"/>
  <c r="AD328" i="1"/>
  <c r="AE328" i="1"/>
  <c r="AF328" i="1"/>
  <c r="AK328" i="1"/>
  <c r="AL328" i="1"/>
  <c r="AM328" i="1"/>
  <c r="AN328" i="1" s="1"/>
  <c r="B329" i="1"/>
  <c r="O329" i="1"/>
  <c r="P329" i="1"/>
  <c r="X329" i="1" s="1"/>
  <c r="Z329" i="1" s="1"/>
  <c r="AA329" i="1" s="1"/>
  <c r="V329" i="1" s="1"/>
  <c r="S329" i="1"/>
  <c r="T329" i="1"/>
  <c r="W329" i="1" s="1"/>
  <c r="AP329" i="1" s="1"/>
  <c r="U329" i="1"/>
  <c r="Y329" i="1"/>
  <c r="AB329" i="1" s="1"/>
  <c r="AD329" i="1"/>
  <c r="AE329" i="1"/>
  <c r="AF329" i="1"/>
  <c r="AK329" i="1"/>
  <c r="AL329" i="1"/>
  <c r="AM329" i="1"/>
  <c r="AN329" i="1" s="1"/>
  <c r="AQ329" i="1"/>
  <c r="B330" i="1"/>
  <c r="O330" i="1"/>
  <c r="P330" i="1"/>
  <c r="S330" i="1"/>
  <c r="T330" i="1"/>
  <c r="W330" i="1" s="1"/>
  <c r="AP330" i="1" s="1"/>
  <c r="U330" i="1"/>
  <c r="X330" i="1"/>
  <c r="Y330" i="1"/>
  <c r="AB330" i="1" s="1"/>
  <c r="AD330" i="1"/>
  <c r="AE330" i="1"/>
  <c r="AF330" i="1"/>
  <c r="AK330" i="1"/>
  <c r="AL330" i="1"/>
  <c r="AM330" i="1"/>
  <c r="AN330" i="1" s="1"/>
  <c r="B331" i="1"/>
  <c r="O331" i="1"/>
  <c r="P331" i="1"/>
  <c r="S331" i="1"/>
  <c r="T331" i="1"/>
  <c r="W331" i="1" s="1"/>
  <c r="U331" i="1"/>
  <c r="X331" i="1"/>
  <c r="Y331" i="1"/>
  <c r="AB331" i="1" s="1"/>
  <c r="AD331" i="1"/>
  <c r="AE331" i="1"/>
  <c r="AF331" i="1"/>
  <c r="AK331" i="1"/>
  <c r="AL331" i="1"/>
  <c r="AM331" i="1"/>
  <c r="AN331" i="1"/>
  <c r="B332" i="1"/>
  <c r="O332" i="1"/>
  <c r="P332" i="1"/>
  <c r="S332" i="1"/>
  <c r="T332" i="1"/>
  <c r="W332" i="1" s="1"/>
  <c r="AP332" i="1" s="1"/>
  <c r="U332" i="1"/>
  <c r="X332" i="1"/>
  <c r="Y332" i="1"/>
  <c r="AD332" i="1"/>
  <c r="AE332" i="1"/>
  <c r="AF332" i="1"/>
  <c r="AK332" i="1"/>
  <c r="AL332" i="1"/>
  <c r="AM332" i="1"/>
  <c r="AN332" i="1" s="1"/>
  <c r="B333" i="1"/>
  <c r="S333" i="1"/>
  <c r="T333" i="1"/>
  <c r="W333" i="1" s="1"/>
  <c r="U333" i="1"/>
  <c r="X333" i="1"/>
  <c r="Z333" i="1" s="1"/>
  <c r="AC333" i="1" s="1"/>
  <c r="Y333" i="1"/>
  <c r="AD333" i="1"/>
  <c r="AE333" i="1"/>
  <c r="AF333" i="1"/>
  <c r="AK333" i="1"/>
  <c r="AL333" i="1"/>
  <c r="AM333" i="1"/>
  <c r="AN333" i="1" s="1"/>
  <c r="B334" i="1"/>
  <c r="S334" i="1"/>
  <c r="T334" i="1"/>
  <c r="W334" i="1" s="1"/>
  <c r="AP334" i="1" s="1"/>
  <c r="U334" i="1"/>
  <c r="X334" i="1"/>
  <c r="Z334" i="1" s="1"/>
  <c r="Y334" i="1"/>
  <c r="AD334" i="1"/>
  <c r="AE334" i="1"/>
  <c r="AF334" i="1"/>
  <c r="AK334" i="1"/>
  <c r="AL334" i="1"/>
  <c r="AM334" i="1"/>
  <c r="AN334" i="1" s="1"/>
  <c r="B335" i="1"/>
  <c r="S335" i="1"/>
  <c r="T335" i="1"/>
  <c r="U335" i="1"/>
  <c r="W335" i="1"/>
  <c r="X335" i="1"/>
  <c r="Y335" i="1"/>
  <c r="Z335" i="1"/>
  <c r="AA335" i="1" s="1"/>
  <c r="V335" i="1" s="1"/>
  <c r="AD335" i="1"/>
  <c r="AE335" i="1"/>
  <c r="AF335" i="1"/>
  <c r="AK335" i="1"/>
  <c r="AL335" i="1"/>
  <c r="AM335" i="1"/>
  <c r="AN335" i="1" s="1"/>
  <c r="B336" i="1"/>
  <c r="S336" i="1"/>
  <c r="T336" i="1"/>
  <c r="U336" i="1"/>
  <c r="W336" i="1"/>
  <c r="AQ336" i="1" s="1"/>
  <c r="X336" i="1"/>
  <c r="Z336" i="1" s="1"/>
  <c r="Y336" i="1"/>
  <c r="AC336" i="1"/>
  <c r="AD336" i="1"/>
  <c r="AE336" i="1"/>
  <c r="AF336" i="1"/>
  <c r="AK336" i="1"/>
  <c r="AL336" i="1"/>
  <c r="AM336" i="1"/>
  <c r="AN336" i="1" s="1"/>
  <c r="B337" i="1"/>
  <c r="O337" i="1"/>
  <c r="P337" i="1"/>
  <c r="S337" i="1"/>
  <c r="Y337" i="1"/>
  <c r="AD337" i="1"/>
  <c r="AE337" i="1"/>
  <c r="AF337" i="1"/>
  <c r="AK337" i="1"/>
  <c r="AL337" i="1"/>
  <c r="AM337" i="1"/>
  <c r="AN337" i="1" s="1"/>
  <c r="B338" i="1"/>
  <c r="O338" i="1"/>
  <c r="P338" i="1"/>
  <c r="T338" i="1" s="1"/>
  <c r="W338" i="1" s="1"/>
  <c r="AP338" i="1" s="1"/>
  <c r="S338" i="1"/>
  <c r="U338" i="1"/>
  <c r="X338" i="1"/>
  <c r="Z338" i="1" s="1"/>
  <c r="Y338" i="1"/>
  <c r="AB338" i="1"/>
  <c r="AD338" i="1"/>
  <c r="AE338" i="1"/>
  <c r="AF338" i="1"/>
  <c r="AK338" i="1"/>
  <c r="AL338" i="1"/>
  <c r="AM338" i="1"/>
  <c r="AN338" i="1" s="1"/>
  <c r="B339" i="1"/>
  <c r="S339" i="1"/>
  <c r="T339" i="1"/>
  <c r="W339" i="1" s="1"/>
  <c r="AP339" i="1" s="1"/>
  <c r="U339" i="1"/>
  <c r="X339" i="1"/>
  <c r="Y339" i="1"/>
  <c r="AB339" i="1" s="1"/>
  <c r="Z339" i="1"/>
  <c r="AD339" i="1"/>
  <c r="AE339" i="1"/>
  <c r="AF339" i="1"/>
  <c r="AK339" i="1"/>
  <c r="AL339" i="1"/>
  <c r="AM339" i="1"/>
  <c r="AN339" i="1" s="1"/>
  <c r="AQ339" i="1"/>
  <c r="B340" i="1"/>
  <c r="S340" i="1"/>
  <c r="T340" i="1"/>
  <c r="W340" i="1" s="1"/>
  <c r="AQ340" i="1" s="1"/>
  <c r="U340" i="1"/>
  <c r="X340" i="1"/>
  <c r="Z340" i="1" s="1"/>
  <c r="AC340" i="1" s="1"/>
  <c r="Y340" i="1"/>
  <c r="AD340" i="1"/>
  <c r="AE340" i="1"/>
  <c r="AF340" i="1"/>
  <c r="AK340" i="1"/>
  <c r="AL340" i="1"/>
  <c r="AM340" i="1"/>
  <c r="AN340" i="1" s="1"/>
  <c r="AP340" i="1"/>
  <c r="B341" i="1"/>
  <c r="O341" i="1"/>
  <c r="P341" i="1"/>
  <c r="X341" i="1" s="1"/>
  <c r="S341" i="1"/>
  <c r="U341" i="1"/>
  <c r="Y341" i="1"/>
  <c r="AB341" i="1"/>
  <c r="AD341" i="1"/>
  <c r="AE341" i="1"/>
  <c r="AF341" i="1"/>
  <c r="AK341" i="1"/>
  <c r="AL341" i="1"/>
  <c r="AM341" i="1"/>
  <c r="AN341" i="1" s="1"/>
  <c r="B342" i="1"/>
  <c r="O342" i="1"/>
  <c r="P342" i="1"/>
  <c r="U342" i="1" s="1"/>
  <c r="S342" i="1"/>
  <c r="T342" i="1"/>
  <c r="W342" i="1" s="1"/>
  <c r="AP342" i="1" s="1"/>
  <c r="X342" i="1"/>
  <c r="Y342" i="1"/>
  <c r="AD342" i="1"/>
  <c r="AE342" i="1"/>
  <c r="AF342" i="1"/>
  <c r="AK342" i="1"/>
  <c r="AL342" i="1"/>
  <c r="AM342" i="1"/>
  <c r="AN342" i="1"/>
  <c r="B343" i="1"/>
  <c r="O343" i="1"/>
  <c r="P343" i="1"/>
  <c r="S343" i="1"/>
  <c r="X343" i="1"/>
  <c r="Y343" i="1"/>
  <c r="AD343" i="1"/>
  <c r="AE343" i="1"/>
  <c r="AF343" i="1"/>
  <c r="AK343" i="1"/>
  <c r="AL343" i="1"/>
  <c r="AM343" i="1"/>
  <c r="AN343" i="1"/>
  <c r="B344" i="1"/>
  <c r="O344" i="1"/>
  <c r="P344" i="1"/>
  <c r="U344" i="1" s="1"/>
  <c r="S344" i="1"/>
  <c r="T344" i="1"/>
  <c r="W344" i="1"/>
  <c r="AQ344" i="1" s="1"/>
  <c r="X344" i="1"/>
  <c r="Y344" i="1"/>
  <c r="AD344" i="1"/>
  <c r="AE344" i="1"/>
  <c r="AF344" i="1"/>
  <c r="AK344" i="1"/>
  <c r="AL344" i="1"/>
  <c r="AM344" i="1"/>
  <c r="AN344" i="1" s="1"/>
  <c r="B345" i="1"/>
  <c r="O345" i="1"/>
  <c r="P345" i="1"/>
  <c r="X345" i="1" s="1"/>
  <c r="S345" i="1"/>
  <c r="T345" i="1"/>
  <c r="W345" i="1" s="1"/>
  <c r="AQ345" i="1" s="1"/>
  <c r="Y345" i="1"/>
  <c r="Z345" i="1"/>
  <c r="AC345" i="1" s="1"/>
  <c r="AD345" i="1"/>
  <c r="AE345" i="1"/>
  <c r="AF345" i="1"/>
  <c r="AK345" i="1"/>
  <c r="AL345" i="1"/>
  <c r="AM345" i="1"/>
  <c r="AN345" i="1" s="1"/>
  <c r="B346" i="1"/>
  <c r="P346" i="1"/>
  <c r="S346" i="1"/>
  <c r="T346" i="1"/>
  <c r="W346" i="1" s="1"/>
  <c r="U346" i="1"/>
  <c r="X346" i="1"/>
  <c r="Y346" i="1"/>
  <c r="AB346" i="1" s="1"/>
  <c r="AD346" i="1"/>
  <c r="AE346" i="1"/>
  <c r="AF346" i="1"/>
  <c r="AK346" i="1"/>
  <c r="AL346" i="1"/>
  <c r="AM346" i="1"/>
  <c r="AN346" i="1" s="1"/>
  <c r="B347" i="1"/>
  <c r="S347" i="1"/>
  <c r="T347" i="1"/>
  <c r="W347" i="1" s="1"/>
  <c r="AP347" i="1" s="1"/>
  <c r="U347" i="1"/>
  <c r="X347" i="1"/>
  <c r="Z347" i="1" s="1"/>
  <c r="Y347" i="1"/>
  <c r="AD347" i="1"/>
  <c r="AE347" i="1"/>
  <c r="AF347" i="1"/>
  <c r="AK347" i="1"/>
  <c r="AL347" i="1"/>
  <c r="AM347" i="1"/>
  <c r="AN347" i="1"/>
  <c r="B348" i="1"/>
  <c r="S348" i="1"/>
  <c r="T348" i="1"/>
  <c r="W348" i="1" s="1"/>
  <c r="AQ348" i="1" s="1"/>
  <c r="U348" i="1"/>
  <c r="X348" i="1"/>
  <c r="Z348" i="1" s="1"/>
  <c r="AC348" i="1" s="1"/>
  <c r="Y348" i="1"/>
  <c r="AD348" i="1"/>
  <c r="AE348" i="1"/>
  <c r="AF348" i="1"/>
  <c r="AK348" i="1"/>
  <c r="AL348" i="1"/>
  <c r="AM348" i="1"/>
  <c r="AN348" i="1" s="1"/>
  <c r="B349" i="1"/>
  <c r="S349" i="1"/>
  <c r="T349" i="1"/>
  <c r="W349" i="1" s="1"/>
  <c r="U349" i="1"/>
  <c r="X349" i="1"/>
  <c r="Y349" i="1"/>
  <c r="AA349" i="1" s="1"/>
  <c r="V349" i="1" s="1"/>
  <c r="Z349" i="1"/>
  <c r="AC349" i="1" s="1"/>
  <c r="AD349" i="1"/>
  <c r="AE349" i="1"/>
  <c r="AF349" i="1"/>
  <c r="AK349" i="1"/>
  <c r="AL349" i="1"/>
  <c r="AM349" i="1"/>
  <c r="AN349" i="1" s="1"/>
  <c r="AP349" i="1"/>
  <c r="AQ349" i="1"/>
  <c r="B350" i="1"/>
  <c r="S350" i="1"/>
  <c r="T350" i="1"/>
  <c r="W350" i="1" s="1"/>
  <c r="U350" i="1"/>
  <c r="X350" i="1"/>
  <c r="Z350" i="1" s="1"/>
  <c r="AC350" i="1" s="1"/>
  <c r="Y350" i="1"/>
  <c r="AD350" i="1"/>
  <c r="AE350" i="1"/>
  <c r="AF350" i="1"/>
  <c r="AK350" i="1"/>
  <c r="AL350" i="1"/>
  <c r="AM350" i="1"/>
  <c r="AN350" i="1"/>
  <c r="B351" i="1"/>
  <c r="O351" i="1"/>
  <c r="P351" i="1"/>
  <c r="T351" i="1" s="1"/>
  <c r="W351" i="1" s="1"/>
  <c r="S351" i="1"/>
  <c r="U351" i="1"/>
  <c r="X351" i="1"/>
  <c r="Z351" i="1" s="1"/>
  <c r="AC351" i="1" s="1"/>
  <c r="Y351" i="1"/>
  <c r="AD351" i="1"/>
  <c r="AE351" i="1"/>
  <c r="AF351" i="1"/>
  <c r="AK351" i="1"/>
  <c r="AL351" i="1"/>
  <c r="AM351" i="1"/>
  <c r="AN351" i="1" s="1"/>
  <c r="B352" i="1"/>
  <c r="P352" i="1"/>
  <c r="S352" i="1"/>
  <c r="T352" i="1"/>
  <c r="W352" i="1" s="1"/>
  <c r="AP352" i="1" s="1"/>
  <c r="U352" i="1"/>
  <c r="X352" i="1"/>
  <c r="Z352" i="1" s="1"/>
  <c r="Y352" i="1"/>
  <c r="AB352" i="1"/>
  <c r="AD352" i="1"/>
  <c r="AE352" i="1"/>
  <c r="AF352" i="1"/>
  <c r="AK352" i="1"/>
  <c r="AL352" i="1"/>
  <c r="AM352" i="1"/>
  <c r="AN352" i="1" s="1"/>
  <c r="B353" i="1"/>
  <c r="O353" i="1"/>
  <c r="P353" i="1"/>
  <c r="U353" i="1" s="1"/>
  <c r="S353" i="1"/>
  <c r="T353" i="1"/>
  <c r="W353" i="1" s="1"/>
  <c r="X353" i="1"/>
  <c r="Y353" i="1"/>
  <c r="AD353" i="1"/>
  <c r="AE353" i="1"/>
  <c r="AF353" i="1"/>
  <c r="AK353" i="1"/>
  <c r="AL353" i="1"/>
  <c r="AM353" i="1"/>
  <c r="AN353" i="1"/>
  <c r="B354" i="1"/>
  <c r="O354" i="1"/>
  <c r="T354" i="1" s="1"/>
  <c r="W354" i="1" s="1"/>
  <c r="P354" i="1"/>
  <c r="S354" i="1"/>
  <c r="U354" i="1"/>
  <c r="X354" i="1"/>
  <c r="Z354" i="1" s="1"/>
  <c r="AC354" i="1" s="1"/>
  <c r="Y354" i="1"/>
  <c r="AD354" i="1"/>
  <c r="AE354" i="1"/>
  <c r="AF354" i="1"/>
  <c r="AK354" i="1"/>
  <c r="AL354" i="1"/>
  <c r="AM354" i="1"/>
  <c r="AN354" i="1"/>
  <c r="B355" i="1"/>
  <c r="S355" i="1"/>
  <c r="T355" i="1"/>
  <c r="W355" i="1" s="1"/>
  <c r="U355" i="1"/>
  <c r="X355" i="1"/>
  <c r="Z355" i="1" s="1"/>
  <c r="AC355" i="1" s="1"/>
  <c r="Y355" i="1"/>
  <c r="AD355" i="1"/>
  <c r="AE355" i="1"/>
  <c r="AF355" i="1"/>
  <c r="AK355" i="1"/>
  <c r="AL355" i="1"/>
  <c r="AM355" i="1"/>
  <c r="AN355" i="1"/>
  <c r="B356" i="1"/>
  <c r="S356" i="1"/>
  <c r="T356" i="1"/>
  <c r="W356" i="1" s="1"/>
  <c r="AP356" i="1" s="1"/>
  <c r="U356" i="1"/>
  <c r="X356" i="1"/>
  <c r="Z356" i="1" s="1"/>
  <c r="Y356" i="1"/>
  <c r="AB356" i="1"/>
  <c r="AD356" i="1"/>
  <c r="AE356" i="1"/>
  <c r="AF356" i="1"/>
  <c r="AK356" i="1"/>
  <c r="AL356" i="1"/>
  <c r="AM356" i="1"/>
  <c r="AN356" i="1" s="1"/>
  <c r="B357" i="1"/>
  <c r="O357" i="1"/>
  <c r="T357" i="1" s="1"/>
  <c r="W357" i="1" s="1"/>
  <c r="P357" i="1"/>
  <c r="S357" i="1"/>
  <c r="U357" i="1"/>
  <c r="X357" i="1"/>
  <c r="Y357" i="1"/>
  <c r="AB357" i="1" s="1"/>
  <c r="AD357" i="1"/>
  <c r="AE357" i="1"/>
  <c r="AF357" i="1"/>
  <c r="AK357" i="1"/>
  <c r="AL357" i="1"/>
  <c r="AM357" i="1"/>
  <c r="AN357" i="1"/>
  <c r="B358" i="1"/>
  <c r="P358" i="1"/>
  <c r="U358" i="1" s="1"/>
  <c r="Q358" i="1"/>
  <c r="S358" i="1"/>
  <c r="X358" i="1"/>
  <c r="Y358" i="1"/>
  <c r="AD358" i="1"/>
  <c r="AE358" i="1"/>
  <c r="AF358" i="1"/>
  <c r="AK358" i="1"/>
  <c r="AL358" i="1"/>
  <c r="AM358" i="1"/>
  <c r="AN358" i="1"/>
  <c r="B359" i="1"/>
  <c r="O359" i="1"/>
  <c r="P359" i="1"/>
  <c r="T359" i="1" s="1"/>
  <c r="W359" i="1" s="1"/>
  <c r="S359" i="1"/>
  <c r="U359" i="1"/>
  <c r="X359" i="1"/>
  <c r="Y359" i="1"/>
  <c r="AD359" i="1"/>
  <c r="AE359" i="1"/>
  <c r="AF359" i="1"/>
  <c r="AK359" i="1"/>
  <c r="AL359" i="1"/>
  <c r="AM359" i="1"/>
  <c r="AN359" i="1" s="1"/>
  <c r="B360" i="1"/>
  <c r="O360" i="1"/>
  <c r="P360" i="1"/>
  <c r="T360" i="1" s="1"/>
  <c r="W360" i="1" s="1"/>
  <c r="AP360" i="1" s="1"/>
  <c r="S360" i="1"/>
  <c r="Y360" i="1"/>
  <c r="AD360" i="1"/>
  <c r="AE360" i="1"/>
  <c r="AF360" i="1"/>
  <c r="AK360" i="1"/>
  <c r="AL360" i="1"/>
  <c r="AM360" i="1"/>
  <c r="AN360" i="1" s="1"/>
  <c r="B361" i="1"/>
  <c r="O361" i="1"/>
  <c r="P361" i="1"/>
  <c r="T361" i="1" s="1"/>
  <c r="W361" i="1" s="1"/>
  <c r="S361" i="1"/>
  <c r="X361" i="1"/>
  <c r="Y361" i="1"/>
  <c r="AD361" i="1"/>
  <c r="AE361" i="1"/>
  <c r="AF361" i="1"/>
  <c r="AK361" i="1"/>
  <c r="AL361" i="1"/>
  <c r="AM361" i="1"/>
  <c r="AN361" i="1" s="1"/>
  <c r="B362" i="1"/>
  <c r="O362" i="1"/>
  <c r="P362" i="1"/>
  <c r="T362" i="1" s="1"/>
  <c r="W362" i="1" s="1"/>
  <c r="Q362" i="1"/>
  <c r="S362" i="1"/>
  <c r="U362" i="1"/>
  <c r="Y362" i="1"/>
  <c r="AD362" i="1"/>
  <c r="AE362" i="1"/>
  <c r="AF362" i="1"/>
  <c r="AK362" i="1"/>
  <c r="AL362" i="1"/>
  <c r="AM362" i="1"/>
  <c r="AN362" i="1"/>
  <c r="B363" i="1"/>
  <c r="O363" i="1"/>
  <c r="T363" i="1" s="1"/>
  <c r="P363" i="1"/>
  <c r="S363" i="1"/>
  <c r="U363" i="1"/>
  <c r="X363" i="1"/>
  <c r="Y363" i="1"/>
  <c r="AD363" i="1"/>
  <c r="AE363" i="1"/>
  <c r="AF363" i="1"/>
  <c r="AK363" i="1"/>
  <c r="AL363" i="1"/>
  <c r="AM363" i="1"/>
  <c r="AN363" i="1" s="1"/>
  <c r="B364" i="1"/>
  <c r="O364" i="1"/>
  <c r="P364" i="1"/>
  <c r="X364" i="1" s="1"/>
  <c r="S364" i="1"/>
  <c r="Y364" i="1"/>
  <c r="AD364" i="1"/>
  <c r="AE364" i="1"/>
  <c r="AF364" i="1"/>
  <c r="AK364" i="1"/>
  <c r="AL364" i="1"/>
  <c r="AM364" i="1"/>
  <c r="AN364" i="1" s="1"/>
  <c r="B365" i="1"/>
  <c r="O365" i="1"/>
  <c r="P365" i="1"/>
  <c r="T365" i="1" s="1"/>
  <c r="W365" i="1" s="1"/>
  <c r="AP365" i="1" s="1"/>
  <c r="S365" i="1"/>
  <c r="U365" i="1"/>
  <c r="X365" i="1"/>
  <c r="Y365" i="1"/>
  <c r="AD365" i="1"/>
  <c r="AE365" i="1"/>
  <c r="AF365" i="1"/>
  <c r="AK365" i="1"/>
  <c r="AL365" i="1"/>
  <c r="AM365" i="1"/>
  <c r="AN365" i="1" s="1"/>
  <c r="B366" i="1"/>
  <c r="O366" i="1"/>
  <c r="P366" i="1"/>
  <c r="T366" i="1" s="1"/>
  <c r="W366" i="1" s="1"/>
  <c r="S366" i="1"/>
  <c r="U366" i="1"/>
  <c r="X366" i="1"/>
  <c r="Y366" i="1"/>
  <c r="AB366" i="1" s="1"/>
  <c r="AD366" i="1"/>
  <c r="AE366" i="1"/>
  <c r="AF366" i="1"/>
  <c r="AK366" i="1"/>
  <c r="AL366" i="1"/>
  <c r="AM366" i="1"/>
  <c r="AN366" i="1"/>
  <c r="B367" i="1"/>
  <c r="O367" i="1"/>
  <c r="P367" i="1"/>
  <c r="T367" i="1" s="1"/>
  <c r="W367" i="1" s="1"/>
  <c r="S367" i="1"/>
  <c r="U367" i="1"/>
  <c r="X367" i="1"/>
  <c r="Z367" i="1" s="1"/>
  <c r="AC367" i="1" s="1"/>
  <c r="Y367" i="1"/>
  <c r="AD367" i="1"/>
  <c r="AE367" i="1"/>
  <c r="AF367" i="1"/>
  <c r="AK367" i="1"/>
  <c r="AL367" i="1"/>
  <c r="AM367" i="1"/>
  <c r="AN367" i="1" s="1"/>
  <c r="B368" i="1"/>
  <c r="O368" i="1"/>
  <c r="P368" i="1"/>
  <c r="T368" i="1" s="1"/>
  <c r="W368" i="1" s="1"/>
  <c r="S368" i="1"/>
  <c r="Y368" i="1"/>
  <c r="AD368" i="1"/>
  <c r="AE368" i="1"/>
  <c r="AF368" i="1"/>
  <c r="AK368" i="1"/>
  <c r="AL368" i="1"/>
  <c r="AM368" i="1"/>
  <c r="AN368" i="1" s="1"/>
  <c r="B369" i="1"/>
  <c r="O369" i="1"/>
  <c r="P369" i="1"/>
  <c r="T369" i="1" s="1"/>
  <c r="W369" i="1" s="1"/>
  <c r="AP369" i="1" s="1"/>
  <c r="S369" i="1"/>
  <c r="U369" i="1"/>
  <c r="X369" i="1"/>
  <c r="Y369" i="1"/>
  <c r="AB369" i="1"/>
  <c r="AD369" i="1"/>
  <c r="AE369" i="1"/>
  <c r="AF369" i="1"/>
  <c r="AK369" i="1"/>
  <c r="AL369" i="1"/>
  <c r="AM369" i="1"/>
  <c r="AN369" i="1" s="1"/>
  <c r="B370" i="1"/>
  <c r="O370" i="1"/>
  <c r="T370" i="1" s="1"/>
  <c r="W370" i="1" s="1"/>
  <c r="P370" i="1"/>
  <c r="S370" i="1"/>
  <c r="U370" i="1"/>
  <c r="X370" i="1"/>
  <c r="Y370" i="1"/>
  <c r="AB370" i="1" s="1"/>
  <c r="AD370" i="1"/>
  <c r="AE370" i="1"/>
  <c r="AF370" i="1"/>
  <c r="AK370" i="1"/>
  <c r="AL370" i="1"/>
  <c r="AM370" i="1"/>
  <c r="AN370" i="1"/>
  <c r="B371" i="1"/>
  <c r="O371" i="1"/>
  <c r="T371" i="1" s="1"/>
  <c r="P371" i="1"/>
  <c r="S371" i="1"/>
  <c r="U371" i="1"/>
  <c r="X371" i="1"/>
  <c r="Y371" i="1"/>
  <c r="AD371" i="1"/>
  <c r="AE371" i="1"/>
  <c r="AF371" i="1"/>
  <c r="AK371" i="1"/>
  <c r="AL371" i="1"/>
  <c r="AM371" i="1"/>
  <c r="AN371" i="1" s="1"/>
  <c r="B372" i="1"/>
  <c r="P372" i="1"/>
  <c r="S372" i="1"/>
  <c r="T372" i="1"/>
  <c r="W372" i="1" s="1"/>
  <c r="AP372" i="1" s="1"/>
  <c r="U372" i="1"/>
  <c r="X372" i="1"/>
  <c r="Z372" i="1" s="1"/>
  <c r="Y372" i="1"/>
  <c r="AD372" i="1"/>
  <c r="AE372" i="1"/>
  <c r="AF372" i="1"/>
  <c r="AK372" i="1"/>
  <c r="AL372" i="1"/>
  <c r="AM372" i="1"/>
  <c r="AN372" i="1" s="1"/>
  <c r="B373" i="1"/>
  <c r="O373" i="1"/>
  <c r="T373" i="1" s="1"/>
  <c r="W373" i="1" s="1"/>
  <c r="P373" i="1"/>
  <c r="S373" i="1"/>
  <c r="U373" i="1"/>
  <c r="X373" i="1"/>
  <c r="Y373" i="1"/>
  <c r="AB373" i="1" s="1"/>
  <c r="AD373" i="1"/>
  <c r="AE373" i="1"/>
  <c r="AF373" i="1"/>
  <c r="AK373" i="1"/>
  <c r="AL373" i="1"/>
  <c r="AM373" i="1"/>
  <c r="AN373" i="1"/>
  <c r="B374" i="1"/>
  <c r="P374" i="1"/>
  <c r="U374" i="1" s="1"/>
  <c r="S374" i="1"/>
  <c r="T374" i="1"/>
  <c r="W374" i="1" s="1"/>
  <c r="Y374" i="1"/>
  <c r="AD374" i="1"/>
  <c r="AE374" i="1"/>
  <c r="AF374" i="1"/>
  <c r="AK374" i="1"/>
  <c r="AL374" i="1"/>
  <c r="AM374" i="1"/>
  <c r="AN374" i="1" s="1"/>
  <c r="B375" i="1"/>
  <c r="O375" i="1"/>
  <c r="T375" i="1" s="1"/>
  <c r="W375" i="1" s="1"/>
  <c r="AP375" i="1" s="1"/>
  <c r="P375" i="1"/>
  <c r="S375" i="1"/>
  <c r="U375" i="1"/>
  <c r="X375" i="1"/>
  <c r="AB375" i="1" s="1"/>
  <c r="Y375" i="1"/>
  <c r="AD375" i="1"/>
  <c r="AE375" i="1"/>
  <c r="AF375" i="1"/>
  <c r="AK375" i="1"/>
  <c r="AL375" i="1"/>
  <c r="AM375" i="1"/>
  <c r="AN375" i="1" s="1"/>
  <c r="B376" i="1"/>
  <c r="P376" i="1"/>
  <c r="T376" i="1" s="1"/>
  <c r="W376" i="1" s="1"/>
  <c r="Q376" i="1"/>
  <c r="S376" i="1"/>
  <c r="U376" i="1"/>
  <c r="Y376" i="1"/>
  <c r="AD376" i="1"/>
  <c r="AE376" i="1"/>
  <c r="AF376" i="1"/>
  <c r="AK376" i="1"/>
  <c r="AL376" i="1"/>
  <c r="AM376" i="1"/>
  <c r="AN376" i="1"/>
  <c r="B377" i="1"/>
  <c r="S377" i="1"/>
  <c r="T377" i="1"/>
  <c r="U377" i="1"/>
  <c r="W377" i="1"/>
  <c r="AP377" i="1" s="1"/>
  <c r="X377" i="1"/>
  <c r="Z377" i="1" s="1"/>
  <c r="Y377" i="1"/>
  <c r="AB377" i="1"/>
  <c r="AD377" i="1"/>
  <c r="AE377" i="1"/>
  <c r="AF377" i="1"/>
  <c r="AK377" i="1"/>
  <c r="AL377" i="1"/>
  <c r="AM377" i="1"/>
  <c r="AN377" i="1" s="1"/>
  <c r="B378" i="1"/>
  <c r="S378" i="1"/>
  <c r="T378" i="1"/>
  <c r="W378" i="1" s="1"/>
  <c r="U378" i="1"/>
  <c r="X378" i="1"/>
  <c r="Z378" i="1" s="1"/>
  <c r="AA378" i="1" s="1"/>
  <c r="V378" i="1" s="1"/>
  <c r="Y378" i="1"/>
  <c r="AD378" i="1"/>
  <c r="AE378" i="1"/>
  <c r="AF378" i="1"/>
  <c r="AK378" i="1"/>
  <c r="AL378" i="1"/>
  <c r="AM378" i="1"/>
  <c r="AN378" i="1" s="1"/>
  <c r="B379" i="1"/>
  <c r="O379" i="1"/>
  <c r="P379" i="1"/>
  <c r="X379" i="1" s="1"/>
  <c r="S379" i="1"/>
  <c r="Y379" i="1"/>
  <c r="AD379" i="1"/>
  <c r="AE379" i="1"/>
  <c r="AF379" i="1"/>
  <c r="AK379" i="1"/>
  <c r="AL379" i="1"/>
  <c r="AM379" i="1"/>
  <c r="AN379" i="1" s="1"/>
  <c r="B380" i="1"/>
  <c r="P380" i="1"/>
  <c r="S380" i="1"/>
  <c r="T380" i="1"/>
  <c r="W380" i="1" s="1"/>
  <c r="U380" i="1"/>
  <c r="X380" i="1"/>
  <c r="Y380" i="1"/>
  <c r="AA380" i="1" s="1"/>
  <c r="V380" i="1" s="1"/>
  <c r="Z380" i="1"/>
  <c r="AC380" i="1"/>
  <c r="AD380" i="1"/>
  <c r="AE380" i="1"/>
  <c r="AF380" i="1"/>
  <c r="AK380" i="1"/>
  <c r="AL380" i="1"/>
  <c r="AM380" i="1"/>
  <c r="AN380" i="1" s="1"/>
  <c r="B381" i="1"/>
  <c r="O381" i="1"/>
  <c r="P381" i="1"/>
  <c r="X381" i="1" s="1"/>
  <c r="S381" i="1"/>
  <c r="Y381" i="1"/>
  <c r="AD381" i="1"/>
  <c r="AE381" i="1"/>
  <c r="AF381" i="1"/>
  <c r="AK381" i="1"/>
  <c r="AL381" i="1"/>
  <c r="AM381" i="1"/>
  <c r="AN381" i="1" s="1"/>
  <c r="B382" i="1"/>
  <c r="P382" i="1"/>
  <c r="T382" i="1" s="1"/>
  <c r="W382" i="1" s="1"/>
  <c r="S382" i="1"/>
  <c r="X382" i="1"/>
  <c r="AB382" i="1" s="1"/>
  <c r="Y382" i="1"/>
  <c r="AD382" i="1"/>
  <c r="AE382" i="1"/>
  <c r="AF382" i="1"/>
  <c r="AK382" i="1"/>
  <c r="AL382" i="1"/>
  <c r="AM382" i="1"/>
  <c r="AN382" i="1" s="1"/>
  <c r="B383" i="1"/>
  <c r="O383" i="1"/>
  <c r="P383" i="1"/>
  <c r="T383" i="1" s="1"/>
  <c r="W383" i="1" s="1"/>
  <c r="S383" i="1"/>
  <c r="X383" i="1"/>
  <c r="Y383" i="1"/>
  <c r="AD383" i="1"/>
  <c r="AE383" i="1"/>
  <c r="AF383" i="1"/>
  <c r="AK383" i="1"/>
  <c r="AL383" i="1"/>
  <c r="AM383" i="1"/>
  <c r="AN383" i="1"/>
  <c r="B384" i="1"/>
  <c r="P384" i="1"/>
  <c r="X384" i="1" s="1"/>
  <c r="S384" i="1"/>
  <c r="Y384" i="1"/>
  <c r="AD384" i="1"/>
  <c r="AE384" i="1"/>
  <c r="AF384" i="1"/>
  <c r="AK384" i="1"/>
  <c r="AL384" i="1"/>
  <c r="AM384" i="1"/>
  <c r="AN384" i="1" s="1"/>
  <c r="B385" i="1"/>
  <c r="O385" i="1"/>
  <c r="P385" i="1"/>
  <c r="U385" i="1" s="1"/>
  <c r="S385" i="1"/>
  <c r="T385" i="1"/>
  <c r="W385" i="1" s="1"/>
  <c r="X385" i="1"/>
  <c r="Y385" i="1"/>
  <c r="AB385" i="1"/>
  <c r="AD385" i="1"/>
  <c r="AE385" i="1"/>
  <c r="AF385" i="1"/>
  <c r="AK385" i="1"/>
  <c r="AL385" i="1"/>
  <c r="AM385" i="1"/>
  <c r="AN385" i="1" s="1"/>
  <c r="B386" i="1"/>
  <c r="O386" i="1"/>
  <c r="P386" i="1"/>
  <c r="U386" i="1" s="1"/>
  <c r="S386" i="1"/>
  <c r="T386" i="1"/>
  <c r="W386" i="1" s="1"/>
  <c r="X386" i="1"/>
  <c r="Y386" i="1"/>
  <c r="Z386" i="1"/>
  <c r="AC386" i="1" s="1"/>
  <c r="AD386" i="1"/>
  <c r="AE386" i="1"/>
  <c r="AF386" i="1"/>
  <c r="AK386" i="1"/>
  <c r="AL386" i="1"/>
  <c r="AM386" i="1"/>
  <c r="AN386" i="1"/>
  <c r="B387" i="1"/>
  <c r="O387" i="1"/>
  <c r="P387" i="1"/>
  <c r="T387" i="1" s="1"/>
  <c r="W387" i="1" s="1"/>
  <c r="S387" i="1"/>
  <c r="U387" i="1"/>
  <c r="X387" i="1"/>
  <c r="Y387" i="1"/>
  <c r="AD387" i="1"/>
  <c r="AE387" i="1"/>
  <c r="AF387" i="1"/>
  <c r="AK387" i="1"/>
  <c r="AL387" i="1"/>
  <c r="AM387" i="1"/>
  <c r="AN387" i="1" s="1"/>
  <c r="B388" i="1"/>
  <c r="P388" i="1"/>
  <c r="T388" i="1" s="1"/>
  <c r="W388" i="1" s="1"/>
  <c r="S388" i="1"/>
  <c r="U388" i="1"/>
  <c r="X388" i="1"/>
  <c r="Y388" i="1"/>
  <c r="AB388" i="1" s="1"/>
  <c r="AD388" i="1"/>
  <c r="AE388" i="1"/>
  <c r="AF388" i="1"/>
  <c r="AK388" i="1"/>
  <c r="AL388" i="1"/>
  <c r="AM388" i="1"/>
  <c r="AN388" i="1"/>
  <c r="B389" i="1"/>
  <c r="S389" i="1"/>
  <c r="T389" i="1"/>
  <c r="W389" i="1" s="1"/>
  <c r="AP389" i="1" s="1"/>
  <c r="U389" i="1"/>
  <c r="X389" i="1"/>
  <c r="Z389" i="1" s="1"/>
  <c r="Y389" i="1"/>
  <c r="AB389" i="1"/>
  <c r="AD389" i="1"/>
  <c r="AE389" i="1"/>
  <c r="AF389" i="1"/>
  <c r="AK389" i="1"/>
  <c r="AL389" i="1"/>
  <c r="AM389" i="1"/>
  <c r="AN389" i="1" s="1"/>
  <c r="B390" i="1"/>
  <c r="S390" i="1"/>
  <c r="T390" i="1"/>
  <c r="U390" i="1"/>
  <c r="W390" i="1"/>
  <c r="AP390" i="1" s="1"/>
  <c r="X390" i="1"/>
  <c r="Z390" i="1" s="1"/>
  <c r="AA390" i="1" s="1"/>
  <c r="V390" i="1" s="1"/>
  <c r="Y390" i="1"/>
  <c r="AD390" i="1"/>
  <c r="AE390" i="1"/>
  <c r="AF390" i="1"/>
  <c r="AK390" i="1"/>
  <c r="AL390" i="1"/>
  <c r="AM390" i="1"/>
  <c r="AN390" i="1" s="1"/>
  <c r="B391" i="1"/>
  <c r="O391" i="1"/>
  <c r="P391" i="1"/>
  <c r="T391" i="1" s="1"/>
  <c r="W391" i="1" s="1"/>
  <c r="AP391" i="1" s="1"/>
  <c r="S391" i="1"/>
  <c r="Y391" i="1"/>
  <c r="AD391" i="1"/>
  <c r="AE391" i="1"/>
  <c r="AF391" i="1"/>
  <c r="AK391" i="1"/>
  <c r="AL391" i="1"/>
  <c r="AM391" i="1"/>
  <c r="AN391" i="1" s="1"/>
  <c r="B392" i="1"/>
  <c r="O392" i="1"/>
  <c r="P392" i="1"/>
  <c r="T392" i="1" s="1"/>
  <c r="W392" i="1" s="1"/>
  <c r="S392" i="1"/>
  <c r="X392" i="1"/>
  <c r="Y392" i="1"/>
  <c r="AD392" i="1"/>
  <c r="AE392" i="1"/>
  <c r="AF392" i="1"/>
  <c r="AK392" i="1"/>
  <c r="AL392" i="1"/>
  <c r="AM392" i="1"/>
  <c r="AN392" i="1" s="1"/>
  <c r="B393" i="1"/>
  <c r="O393" i="1"/>
  <c r="P393" i="1"/>
  <c r="T393" i="1" s="1"/>
  <c r="W393" i="1" s="1"/>
  <c r="S393" i="1"/>
  <c r="X393" i="1"/>
  <c r="Y393" i="1"/>
  <c r="AD393" i="1"/>
  <c r="AE393" i="1"/>
  <c r="AF393" i="1"/>
  <c r="AK393" i="1"/>
  <c r="AL393" i="1"/>
  <c r="AM393" i="1"/>
  <c r="AN393" i="1"/>
  <c r="B394" i="1"/>
  <c r="P394" i="1"/>
  <c r="T394" i="1" s="1"/>
  <c r="W394" i="1" s="1"/>
  <c r="AP394" i="1" s="1"/>
  <c r="S394" i="1"/>
  <c r="Y394" i="1"/>
  <c r="AD394" i="1"/>
  <c r="AE394" i="1"/>
  <c r="AF394" i="1"/>
  <c r="AK394" i="1"/>
  <c r="AL394" i="1"/>
  <c r="AM394" i="1"/>
  <c r="AN394" i="1" s="1"/>
  <c r="B395" i="1"/>
  <c r="S395" i="1"/>
  <c r="T395" i="1"/>
  <c r="U395" i="1"/>
  <c r="W395" i="1"/>
  <c r="AP395" i="1" s="1"/>
  <c r="X395" i="1"/>
  <c r="Z395" i="1" s="1"/>
  <c r="AA395" i="1" s="1"/>
  <c r="V395" i="1" s="1"/>
  <c r="Y395" i="1"/>
  <c r="AB395" i="1" s="1"/>
  <c r="AD395" i="1"/>
  <c r="AE395" i="1"/>
  <c r="AF395" i="1"/>
  <c r="AK395" i="1"/>
  <c r="AL395" i="1"/>
  <c r="AM395" i="1"/>
  <c r="AN395" i="1" s="1"/>
  <c r="AQ395" i="1"/>
  <c r="B396" i="1"/>
  <c r="S396" i="1"/>
  <c r="T396" i="1"/>
  <c r="W396" i="1" s="1"/>
  <c r="U396" i="1"/>
  <c r="X396" i="1"/>
  <c r="Y396" i="1"/>
  <c r="AA396" i="1" s="1"/>
  <c r="V396" i="1" s="1"/>
  <c r="Z396" i="1"/>
  <c r="AC396" i="1"/>
  <c r="AD396" i="1"/>
  <c r="AE396" i="1"/>
  <c r="AF396" i="1"/>
  <c r="AK396" i="1"/>
  <c r="AL396" i="1"/>
  <c r="AM396" i="1"/>
  <c r="AN396" i="1" s="1"/>
  <c r="B397" i="1"/>
  <c r="O397" i="1"/>
  <c r="P397" i="1"/>
  <c r="X397" i="1" s="1"/>
  <c r="Z397" i="1" s="1"/>
  <c r="AA397" i="1" s="1"/>
  <c r="V397" i="1" s="1"/>
  <c r="S397" i="1"/>
  <c r="T397" i="1"/>
  <c r="W397" i="1" s="1"/>
  <c r="Y397" i="1"/>
  <c r="AD397" i="1"/>
  <c r="AE397" i="1"/>
  <c r="AF397" i="1"/>
  <c r="AK397" i="1"/>
  <c r="AL397" i="1"/>
  <c r="AM397" i="1"/>
  <c r="AN397" i="1" s="1"/>
  <c r="B398" i="1"/>
  <c r="P398" i="1"/>
  <c r="U398" i="1" s="1"/>
  <c r="S398" i="1"/>
  <c r="T398" i="1"/>
  <c r="W398" i="1" s="1"/>
  <c r="X398" i="1"/>
  <c r="Y398" i="1"/>
  <c r="AB398" i="1"/>
  <c r="AD398" i="1"/>
  <c r="AE398" i="1"/>
  <c r="AF398" i="1"/>
  <c r="AK398" i="1"/>
  <c r="AL398" i="1"/>
  <c r="AM398" i="1"/>
  <c r="AN398" i="1" s="1"/>
  <c r="B399" i="1"/>
  <c r="O399" i="1"/>
  <c r="P399" i="1"/>
  <c r="U399" i="1" s="1"/>
  <c r="S399" i="1"/>
  <c r="T399" i="1"/>
  <c r="W399" i="1" s="1"/>
  <c r="X399" i="1"/>
  <c r="Y399" i="1"/>
  <c r="Z399" i="1"/>
  <c r="AC399" i="1" s="1"/>
  <c r="AD399" i="1"/>
  <c r="AE399" i="1"/>
  <c r="AF399" i="1"/>
  <c r="AK399" i="1"/>
  <c r="AL399" i="1"/>
  <c r="AM399" i="1"/>
  <c r="AN399" i="1"/>
  <c r="B400" i="1"/>
  <c r="O400" i="1"/>
  <c r="P400" i="1"/>
  <c r="T400" i="1" s="1"/>
  <c r="W400" i="1" s="1"/>
  <c r="S400" i="1"/>
  <c r="U400" i="1"/>
  <c r="X400" i="1"/>
  <c r="Y400" i="1"/>
  <c r="AD400" i="1"/>
  <c r="AE400" i="1"/>
  <c r="AF400" i="1"/>
  <c r="AK400" i="1"/>
  <c r="AL400" i="1"/>
  <c r="AM400" i="1"/>
  <c r="AN400" i="1" s="1"/>
  <c r="B401" i="1"/>
  <c r="O401" i="1"/>
  <c r="P401" i="1"/>
  <c r="T401" i="1" s="1"/>
  <c r="W401" i="1" s="1"/>
  <c r="AP401" i="1" s="1"/>
  <c r="S401" i="1"/>
  <c r="Y401" i="1"/>
  <c r="AD401" i="1"/>
  <c r="AE401" i="1"/>
  <c r="AF401" i="1"/>
  <c r="AK401" i="1"/>
  <c r="AL401" i="1"/>
  <c r="AM401" i="1"/>
  <c r="AN401" i="1" s="1"/>
  <c r="B402" i="1"/>
  <c r="P402" i="1"/>
  <c r="T402" i="1" s="1"/>
  <c r="W402" i="1" s="1"/>
  <c r="S402" i="1"/>
  <c r="U402" i="1"/>
  <c r="X402" i="1"/>
  <c r="Z402" i="1" s="1"/>
  <c r="AC402" i="1" s="1"/>
  <c r="Y402" i="1"/>
  <c r="AD402" i="1"/>
  <c r="AE402" i="1"/>
  <c r="AF402" i="1"/>
  <c r="AK402" i="1"/>
  <c r="AL402" i="1"/>
  <c r="AM402" i="1"/>
  <c r="AN402" i="1" s="1"/>
  <c r="B403" i="1"/>
  <c r="S403" i="1"/>
  <c r="T403" i="1"/>
  <c r="W403" i="1" s="1"/>
  <c r="U403" i="1"/>
  <c r="X403" i="1"/>
  <c r="Y403" i="1"/>
  <c r="AB403" i="1"/>
  <c r="AD403" i="1"/>
  <c r="AE403" i="1"/>
  <c r="AF403" i="1"/>
  <c r="AK403" i="1"/>
  <c r="AL403" i="1"/>
  <c r="AM403" i="1"/>
  <c r="AN403" i="1" s="1"/>
  <c r="B404" i="1"/>
  <c r="S404" i="1"/>
  <c r="T404" i="1"/>
  <c r="U404" i="1"/>
  <c r="W404" i="1"/>
  <c r="AP404" i="1" s="1"/>
  <c r="X404" i="1"/>
  <c r="Y404" i="1"/>
  <c r="AB404" i="1" s="1"/>
  <c r="AD404" i="1"/>
  <c r="AE404" i="1"/>
  <c r="AF404" i="1"/>
  <c r="AK404" i="1"/>
  <c r="AL404" i="1"/>
  <c r="AM404" i="1"/>
  <c r="AN404" i="1" s="1"/>
  <c r="B405" i="1"/>
  <c r="O405" i="1"/>
  <c r="P405" i="1"/>
  <c r="U405" i="1" s="1"/>
  <c r="S405" i="1"/>
  <c r="T405" i="1"/>
  <c r="W405" i="1" s="1"/>
  <c r="X405" i="1"/>
  <c r="Y405" i="1"/>
  <c r="AB405" i="1"/>
  <c r="AD405" i="1"/>
  <c r="AE405" i="1"/>
  <c r="AF405" i="1"/>
  <c r="AK405" i="1"/>
  <c r="AL405" i="1"/>
  <c r="AM405" i="1"/>
  <c r="AN405" i="1" s="1"/>
  <c r="B406" i="1"/>
  <c r="P406" i="1"/>
  <c r="T406" i="1" s="1"/>
  <c r="W406" i="1" s="1"/>
  <c r="S406" i="1"/>
  <c r="U406" i="1"/>
  <c r="X406" i="1"/>
  <c r="Z406" i="1" s="1"/>
  <c r="AA406" i="1" s="1"/>
  <c r="V406" i="1" s="1"/>
  <c r="Y406" i="1"/>
  <c r="AD406" i="1"/>
  <c r="AE406" i="1"/>
  <c r="AF406" i="1"/>
  <c r="AK406" i="1"/>
  <c r="AL406" i="1"/>
  <c r="AM406" i="1"/>
  <c r="AN406" i="1" s="1"/>
  <c r="B407" i="1"/>
  <c r="O407" i="1"/>
  <c r="P407" i="1"/>
  <c r="T407" i="1" s="1"/>
  <c r="W407" i="1" s="1"/>
  <c r="AP407" i="1" s="1"/>
  <c r="S407" i="1"/>
  <c r="Y407" i="1"/>
  <c r="AD407" i="1"/>
  <c r="AE407" i="1"/>
  <c r="AF407" i="1"/>
  <c r="AK407" i="1"/>
  <c r="AL407" i="1"/>
  <c r="AM407" i="1"/>
  <c r="AN407" i="1" s="1"/>
  <c r="B408" i="1"/>
  <c r="P408" i="1"/>
  <c r="T408" i="1" s="1"/>
  <c r="W408" i="1" s="1"/>
  <c r="S408" i="1"/>
  <c r="U408" i="1"/>
  <c r="X408" i="1"/>
  <c r="Y408" i="1"/>
  <c r="AD408" i="1"/>
  <c r="AE408" i="1"/>
  <c r="AF408" i="1"/>
  <c r="AK408" i="1"/>
  <c r="AL408" i="1"/>
  <c r="AM408" i="1"/>
  <c r="AN408" i="1" s="1"/>
  <c r="B409" i="1"/>
  <c r="S409" i="1"/>
  <c r="T409" i="1"/>
  <c r="W409" i="1" s="1"/>
  <c r="U409" i="1"/>
  <c r="X409" i="1"/>
  <c r="Z409" i="1" s="1"/>
  <c r="AC409" i="1" s="1"/>
  <c r="Y409" i="1"/>
  <c r="AD409" i="1"/>
  <c r="AE409" i="1"/>
  <c r="AF409" i="1"/>
  <c r="AK409" i="1"/>
  <c r="AL409" i="1"/>
  <c r="AM409" i="1"/>
  <c r="AN409" i="1" s="1"/>
  <c r="B410" i="1"/>
  <c r="S410" i="1"/>
  <c r="T410" i="1"/>
  <c r="W410" i="1" s="1"/>
  <c r="AP410" i="1" s="1"/>
  <c r="U410" i="1"/>
  <c r="X410" i="1"/>
  <c r="Y410" i="1"/>
  <c r="AB410" i="1" s="1"/>
  <c r="AD410" i="1"/>
  <c r="AE410" i="1"/>
  <c r="AF410" i="1"/>
  <c r="AK410" i="1"/>
  <c r="AL410" i="1"/>
  <c r="AM410" i="1"/>
  <c r="AN410" i="1" s="1"/>
  <c r="B411" i="1"/>
  <c r="O411" i="1"/>
  <c r="P411" i="1"/>
  <c r="U411" i="1" s="1"/>
  <c r="S411" i="1"/>
  <c r="T411" i="1"/>
  <c r="W411" i="1" s="1"/>
  <c r="X411" i="1"/>
  <c r="Y411" i="1"/>
  <c r="AB411" i="1"/>
  <c r="AD411" i="1"/>
  <c r="AE411" i="1"/>
  <c r="AF411" i="1"/>
  <c r="AK411" i="1"/>
  <c r="AL411" i="1"/>
  <c r="AM411" i="1"/>
  <c r="AN411" i="1" s="1"/>
  <c r="B412" i="1"/>
  <c r="P412" i="1"/>
  <c r="T412" i="1" s="1"/>
  <c r="S412" i="1"/>
  <c r="U412" i="1"/>
  <c r="X412" i="1"/>
  <c r="Y412" i="1"/>
  <c r="AD412" i="1"/>
  <c r="AE412" i="1"/>
  <c r="AF412" i="1"/>
  <c r="AK412" i="1"/>
  <c r="AL412" i="1"/>
  <c r="AM412" i="1"/>
  <c r="AN412" i="1" s="1"/>
  <c r="B413" i="1"/>
  <c r="O413" i="1"/>
  <c r="P413" i="1"/>
  <c r="U413" i="1" s="1"/>
  <c r="S413" i="1"/>
  <c r="T413" i="1"/>
  <c r="W413" i="1" s="1"/>
  <c r="AP413" i="1" s="1"/>
  <c r="Y413" i="1"/>
  <c r="AD413" i="1"/>
  <c r="AE413" i="1"/>
  <c r="AF413" i="1"/>
  <c r="AK413" i="1"/>
  <c r="AL413" i="1"/>
  <c r="AM413" i="1"/>
  <c r="AN413" i="1" s="1"/>
  <c r="B414" i="1"/>
  <c r="O414" i="1"/>
  <c r="P414" i="1"/>
  <c r="U414" i="1" s="1"/>
  <c r="S414" i="1"/>
  <c r="T414" i="1"/>
  <c r="W414" i="1" s="1"/>
  <c r="X414" i="1"/>
  <c r="Y414" i="1"/>
  <c r="AB414" i="1"/>
  <c r="AD414" i="1"/>
  <c r="AE414" i="1"/>
  <c r="AF414" i="1"/>
  <c r="AK414" i="1"/>
  <c r="AL414" i="1"/>
  <c r="AM414" i="1"/>
  <c r="AN414" i="1" s="1"/>
  <c r="B415" i="1"/>
  <c r="O415" i="1"/>
  <c r="P415" i="1"/>
  <c r="U415" i="1" s="1"/>
  <c r="S415" i="1"/>
  <c r="T415" i="1"/>
  <c r="W415" i="1" s="1"/>
  <c r="X415" i="1"/>
  <c r="Y415" i="1"/>
  <c r="Z415" i="1"/>
  <c r="AC415" i="1" s="1"/>
  <c r="AD415" i="1"/>
  <c r="AE415" i="1"/>
  <c r="AF415" i="1"/>
  <c r="AK415" i="1"/>
  <c r="AL415" i="1"/>
  <c r="AM415" i="1"/>
  <c r="AN415" i="1"/>
  <c r="B416" i="1"/>
  <c r="P416" i="1"/>
  <c r="U416" i="1" s="1"/>
  <c r="S416" i="1"/>
  <c r="T416" i="1"/>
  <c r="W416" i="1" s="1"/>
  <c r="AP416" i="1" s="1"/>
  <c r="Y416" i="1"/>
  <c r="AD416" i="1"/>
  <c r="AE416" i="1"/>
  <c r="AF416" i="1"/>
  <c r="AK416" i="1"/>
  <c r="AL416" i="1"/>
  <c r="AM416" i="1"/>
  <c r="AN416" i="1" s="1"/>
  <c r="B417" i="1"/>
  <c r="S417" i="1"/>
  <c r="T417" i="1"/>
  <c r="U417" i="1"/>
  <c r="W417" i="1"/>
  <c r="AP417" i="1" s="1"/>
  <c r="X417" i="1"/>
  <c r="Z417" i="1" s="1"/>
  <c r="AA417" i="1" s="1"/>
  <c r="V417" i="1" s="1"/>
  <c r="Y417" i="1"/>
  <c r="AB417" i="1" s="1"/>
  <c r="AD417" i="1"/>
  <c r="AE417" i="1"/>
  <c r="AF417" i="1"/>
  <c r="AK417" i="1"/>
  <c r="AL417" i="1"/>
  <c r="AM417" i="1"/>
  <c r="AN417" i="1" s="1"/>
  <c r="B418" i="1"/>
  <c r="S418" i="1"/>
  <c r="T418" i="1"/>
  <c r="W418" i="1" s="1"/>
  <c r="U418" i="1"/>
  <c r="X418" i="1"/>
  <c r="Y418" i="1"/>
  <c r="AA418" i="1" s="1"/>
  <c r="V418" i="1" s="1"/>
  <c r="Z418" i="1"/>
  <c r="AC418" i="1"/>
  <c r="AD418" i="1"/>
  <c r="AE418" i="1"/>
  <c r="AF418" i="1"/>
  <c r="AK418" i="1"/>
  <c r="AL418" i="1"/>
  <c r="AM418" i="1"/>
  <c r="AN418" i="1" s="1"/>
  <c r="B419" i="1"/>
  <c r="O419" i="1"/>
  <c r="P419" i="1"/>
  <c r="X419" i="1" s="1"/>
  <c r="S419" i="1"/>
  <c r="Y419" i="1"/>
  <c r="AD419" i="1"/>
  <c r="AE419" i="1"/>
  <c r="AF419" i="1"/>
  <c r="AK419" i="1"/>
  <c r="AL419" i="1"/>
  <c r="AM419" i="1"/>
  <c r="AN419" i="1" s="1"/>
  <c r="B420" i="1"/>
  <c r="O420" i="1"/>
  <c r="P420" i="1"/>
  <c r="T420" i="1" s="1"/>
  <c r="W420" i="1" s="1"/>
  <c r="AP420" i="1" s="1"/>
  <c r="S420" i="1"/>
  <c r="U420" i="1"/>
  <c r="X420" i="1"/>
  <c r="Y420" i="1"/>
  <c r="AB420" i="1"/>
  <c r="AD420" i="1"/>
  <c r="AE420" i="1"/>
  <c r="AF420" i="1"/>
  <c r="AK420" i="1"/>
  <c r="AL420" i="1"/>
  <c r="AM420" i="1"/>
  <c r="AN420" i="1" s="1"/>
  <c r="B421" i="1"/>
  <c r="S421" i="1"/>
  <c r="T421" i="1"/>
  <c r="U421" i="1"/>
  <c r="W421" i="1"/>
  <c r="AQ421" i="1" s="1"/>
  <c r="X421" i="1"/>
  <c r="Z421" i="1" s="1"/>
  <c r="Y421" i="1"/>
  <c r="AB421" i="1" s="1"/>
  <c r="AD421" i="1"/>
  <c r="AE421" i="1"/>
  <c r="AF421" i="1"/>
  <c r="AK421" i="1"/>
  <c r="AL421" i="1"/>
  <c r="AM421" i="1"/>
  <c r="AN421" i="1" s="1"/>
  <c r="B422" i="1"/>
  <c r="S422" i="1"/>
  <c r="T422" i="1"/>
  <c r="U422" i="1"/>
  <c r="W422" i="1"/>
  <c r="AQ422" i="1" s="1"/>
  <c r="X422" i="1"/>
  <c r="Z422" i="1" s="1"/>
  <c r="AC422" i="1" s="1"/>
  <c r="Y422" i="1"/>
  <c r="AD422" i="1"/>
  <c r="AE422" i="1"/>
  <c r="AF422" i="1"/>
  <c r="AK422" i="1"/>
  <c r="AL422" i="1"/>
  <c r="AM422" i="1"/>
  <c r="AN422" i="1" s="1"/>
  <c r="B423" i="1"/>
  <c r="O423" i="1"/>
  <c r="P423" i="1"/>
  <c r="T423" i="1" s="1"/>
  <c r="S423" i="1"/>
  <c r="U423" i="1"/>
  <c r="X423" i="1"/>
  <c r="Y423" i="1"/>
  <c r="AD423" i="1"/>
  <c r="AE423" i="1"/>
  <c r="AF423" i="1"/>
  <c r="AK423" i="1"/>
  <c r="AL423" i="1"/>
  <c r="AM423" i="1"/>
  <c r="AN423" i="1" s="1"/>
  <c r="B424" i="1"/>
  <c r="O424" i="1"/>
  <c r="P424" i="1"/>
  <c r="U424" i="1" s="1"/>
  <c r="S424" i="1"/>
  <c r="T424" i="1"/>
  <c r="W424" i="1" s="1"/>
  <c r="X424" i="1"/>
  <c r="Y424" i="1"/>
  <c r="AB424" i="1"/>
  <c r="AD424" i="1"/>
  <c r="AE424" i="1"/>
  <c r="AF424" i="1"/>
  <c r="AK424" i="1"/>
  <c r="AL424" i="1"/>
  <c r="AM424" i="1"/>
  <c r="AN424" i="1" s="1"/>
  <c r="B425" i="1"/>
  <c r="S425" i="1"/>
  <c r="T425" i="1"/>
  <c r="Z425" i="1" s="1"/>
  <c r="AC425" i="1" s="1"/>
  <c r="U425" i="1"/>
  <c r="W425" i="1"/>
  <c r="AQ425" i="1" s="1"/>
  <c r="X425" i="1"/>
  <c r="Y425" i="1"/>
  <c r="AB425" i="1" s="1"/>
  <c r="AD425" i="1"/>
  <c r="AE425" i="1"/>
  <c r="AF425" i="1"/>
  <c r="AK425" i="1"/>
  <c r="AL425" i="1"/>
  <c r="AM425" i="1"/>
  <c r="AN425" i="1" s="1"/>
  <c r="B426" i="1"/>
  <c r="S426" i="1"/>
  <c r="T426" i="1"/>
  <c r="Z426" i="1" s="1"/>
  <c r="AC426" i="1" s="1"/>
  <c r="U426" i="1"/>
  <c r="W426" i="1"/>
  <c r="AQ426" i="1" s="1"/>
  <c r="X426" i="1"/>
  <c r="Y426" i="1"/>
  <c r="AD426" i="1"/>
  <c r="AE426" i="1"/>
  <c r="AF426" i="1"/>
  <c r="AK426" i="1"/>
  <c r="AL426" i="1"/>
  <c r="AM426" i="1"/>
  <c r="AN426" i="1" s="1"/>
  <c r="B427" i="1"/>
  <c r="O427" i="1"/>
  <c r="T427" i="1" s="1"/>
  <c r="W427" i="1" s="1"/>
  <c r="AQ427" i="1" s="1"/>
  <c r="P427" i="1"/>
  <c r="S427" i="1"/>
  <c r="U427" i="1"/>
  <c r="X427" i="1"/>
  <c r="Y427" i="1"/>
  <c r="Z427" i="1"/>
  <c r="AC427" i="1" s="1"/>
  <c r="AB427" i="1"/>
  <c r="AD427" i="1"/>
  <c r="AE427" i="1"/>
  <c r="AF427" i="1"/>
  <c r="AK427" i="1"/>
  <c r="AL427" i="1"/>
  <c r="AM427" i="1"/>
  <c r="AN427" i="1" s="1"/>
  <c r="B428" i="1"/>
  <c r="P428" i="1"/>
  <c r="U428" i="1" s="1"/>
  <c r="S428" i="1"/>
  <c r="T428" i="1"/>
  <c r="W428" i="1" s="1"/>
  <c r="X428" i="1"/>
  <c r="Y428" i="1"/>
  <c r="AD428" i="1"/>
  <c r="AE428" i="1"/>
  <c r="AF428" i="1"/>
  <c r="AK428" i="1"/>
  <c r="AL428" i="1"/>
  <c r="AM428" i="1"/>
  <c r="AN428" i="1"/>
  <c r="B429" i="1"/>
  <c r="O429" i="1"/>
  <c r="U429" i="1" s="1"/>
  <c r="P429" i="1"/>
  <c r="T429" i="1" s="1"/>
  <c r="W429" i="1" s="1"/>
  <c r="AP429" i="1" s="1"/>
  <c r="S429" i="1"/>
  <c r="X429" i="1"/>
  <c r="Y429" i="1"/>
  <c r="Z429" i="1"/>
  <c r="AC429" i="1" s="1"/>
  <c r="AD429" i="1"/>
  <c r="AE429" i="1"/>
  <c r="AF429" i="1"/>
  <c r="AK429" i="1"/>
  <c r="AL429" i="1"/>
  <c r="AM429" i="1"/>
  <c r="AN429" i="1" s="1"/>
  <c r="AQ429" i="1"/>
  <c r="B430" i="1"/>
  <c r="O430" i="1"/>
  <c r="P430" i="1"/>
  <c r="T430" i="1" s="1"/>
  <c r="W430" i="1" s="1"/>
  <c r="AQ430" i="1" s="1"/>
  <c r="S430" i="1"/>
  <c r="U430" i="1"/>
  <c r="X430" i="1"/>
  <c r="Y430" i="1"/>
  <c r="AB430" i="1"/>
  <c r="AD430" i="1"/>
  <c r="AE430" i="1"/>
  <c r="AF430" i="1"/>
  <c r="AK430" i="1"/>
  <c r="AL430" i="1"/>
  <c r="AM430" i="1"/>
  <c r="AN430" i="1" s="1"/>
  <c r="B431" i="1"/>
  <c r="S431" i="1"/>
  <c r="T431" i="1"/>
  <c r="U431" i="1"/>
  <c r="W431" i="1"/>
  <c r="AP431" i="1" s="1"/>
  <c r="X431" i="1"/>
  <c r="Z431" i="1" s="1"/>
  <c r="AC431" i="1" s="1"/>
  <c r="Y431" i="1"/>
  <c r="AD431" i="1"/>
  <c r="AE431" i="1"/>
  <c r="AF431" i="1"/>
  <c r="AK431" i="1"/>
  <c r="AL431" i="1"/>
  <c r="AM431" i="1"/>
  <c r="AN431" i="1" s="1"/>
  <c r="B432" i="1"/>
  <c r="S432" i="1"/>
  <c r="T432" i="1"/>
  <c r="W432" i="1" s="1"/>
  <c r="U432" i="1"/>
  <c r="X432" i="1"/>
  <c r="Z432" i="1" s="1"/>
  <c r="AC432" i="1" s="1"/>
  <c r="Y432" i="1"/>
  <c r="AB432" i="1" s="1"/>
  <c r="AD432" i="1"/>
  <c r="AE432" i="1"/>
  <c r="AF432" i="1"/>
  <c r="AK432" i="1"/>
  <c r="AL432" i="1"/>
  <c r="AM432" i="1"/>
  <c r="AN432" i="1" s="1"/>
  <c r="B433" i="1"/>
  <c r="O433" i="1"/>
  <c r="P433" i="1"/>
  <c r="U433" i="1" s="1"/>
  <c r="S433" i="1"/>
  <c r="T433" i="1"/>
  <c r="W433" i="1" s="1"/>
  <c r="Y433" i="1"/>
  <c r="AD433" i="1"/>
  <c r="AE433" i="1"/>
  <c r="AF433" i="1"/>
  <c r="AK433" i="1"/>
  <c r="AL433" i="1"/>
  <c r="AM433" i="1"/>
  <c r="AN433" i="1" s="1"/>
  <c r="B434" i="1"/>
  <c r="P434" i="1"/>
  <c r="S434" i="1"/>
  <c r="T434" i="1"/>
  <c r="W434" i="1" s="1"/>
  <c r="U434" i="1"/>
  <c r="X434" i="1"/>
  <c r="Z434" i="1" s="1"/>
  <c r="Y434" i="1"/>
  <c r="AB434" i="1"/>
  <c r="AD434" i="1"/>
  <c r="AE434" i="1"/>
  <c r="AF434" i="1"/>
  <c r="AK434" i="1"/>
  <c r="AL434" i="1"/>
  <c r="AM434" i="1"/>
  <c r="AN434" i="1" s="1"/>
  <c r="B435" i="1"/>
  <c r="O435" i="1"/>
  <c r="P435" i="1"/>
  <c r="U435" i="1" s="1"/>
  <c r="S435" i="1"/>
  <c r="T435" i="1"/>
  <c r="W435" i="1" s="1"/>
  <c r="X435" i="1"/>
  <c r="Y435" i="1"/>
  <c r="AD435" i="1"/>
  <c r="AE435" i="1"/>
  <c r="AF435" i="1"/>
  <c r="AK435" i="1"/>
  <c r="AL435" i="1"/>
  <c r="AM435" i="1"/>
  <c r="AN435" i="1"/>
  <c r="B436" i="1"/>
  <c r="O436" i="1"/>
  <c r="T436" i="1" s="1"/>
  <c r="P436" i="1"/>
  <c r="S436" i="1"/>
  <c r="U436" i="1"/>
  <c r="X436" i="1"/>
  <c r="Y436" i="1"/>
  <c r="AD436" i="1"/>
  <c r="AE436" i="1"/>
  <c r="AF436" i="1"/>
  <c r="AK436" i="1"/>
  <c r="AL436" i="1"/>
  <c r="AM436" i="1"/>
  <c r="AN436" i="1" s="1"/>
  <c r="B437" i="1"/>
  <c r="O437" i="1"/>
  <c r="P437" i="1"/>
  <c r="U437" i="1" s="1"/>
  <c r="S437" i="1"/>
  <c r="T437" i="1"/>
  <c r="W437" i="1" s="1"/>
  <c r="AP437" i="1" s="1"/>
  <c r="Y437" i="1"/>
  <c r="AD437" i="1"/>
  <c r="AE437" i="1"/>
  <c r="AF437" i="1"/>
  <c r="AK437" i="1"/>
  <c r="AL437" i="1"/>
  <c r="AM437" i="1"/>
  <c r="AN437" i="1" s="1"/>
  <c r="AQ437" i="1"/>
  <c r="B438" i="1"/>
  <c r="O438" i="1"/>
  <c r="P438" i="1"/>
  <c r="T438" i="1" s="1"/>
  <c r="W438" i="1" s="1"/>
  <c r="AP438" i="1" s="1"/>
  <c r="S438" i="1"/>
  <c r="U438" i="1"/>
  <c r="X438" i="1"/>
  <c r="Y438" i="1"/>
  <c r="AD438" i="1"/>
  <c r="AE438" i="1"/>
  <c r="AF438" i="1"/>
  <c r="AK438" i="1"/>
  <c r="AL438" i="1"/>
  <c r="AM438" i="1"/>
  <c r="AN438" i="1" s="1"/>
  <c r="B439" i="1"/>
  <c r="O439" i="1"/>
  <c r="P439" i="1"/>
  <c r="X439" i="1" s="1"/>
  <c r="S439" i="1"/>
  <c r="Y439" i="1"/>
  <c r="AD439" i="1"/>
  <c r="AE439" i="1"/>
  <c r="AF439" i="1"/>
  <c r="AK439" i="1"/>
  <c r="AL439" i="1"/>
  <c r="AM439" i="1"/>
  <c r="AN439" i="1"/>
  <c r="B440" i="1"/>
  <c r="O440" i="1"/>
  <c r="P440" i="1"/>
  <c r="T440" i="1" s="1"/>
  <c r="W440" i="1" s="1"/>
  <c r="S440" i="1"/>
  <c r="U440" i="1"/>
  <c r="X440" i="1"/>
  <c r="Z440" i="1" s="1"/>
  <c r="AC440" i="1" s="1"/>
  <c r="Y440" i="1"/>
  <c r="AD440" i="1"/>
  <c r="AE440" i="1"/>
  <c r="AF440" i="1"/>
  <c r="AK440" i="1"/>
  <c r="AL440" i="1"/>
  <c r="AM440" i="1"/>
  <c r="AN440" i="1" s="1"/>
  <c r="B441" i="1"/>
  <c r="O441" i="1"/>
  <c r="P441" i="1"/>
  <c r="U441" i="1" s="1"/>
  <c r="S441" i="1"/>
  <c r="T441" i="1"/>
  <c r="W441" i="1" s="1"/>
  <c r="AP441" i="1" s="1"/>
  <c r="Y441" i="1"/>
  <c r="AD441" i="1"/>
  <c r="AE441" i="1"/>
  <c r="AF441" i="1"/>
  <c r="AK441" i="1"/>
  <c r="AL441" i="1"/>
  <c r="AM441" i="1"/>
  <c r="AN441" i="1" s="1"/>
  <c r="AQ441" i="1"/>
  <c r="B442" i="1"/>
  <c r="O442" i="1"/>
  <c r="P442" i="1"/>
  <c r="T442" i="1" s="1"/>
  <c r="W442" i="1" s="1"/>
  <c r="S442" i="1"/>
  <c r="U442" i="1"/>
  <c r="X442" i="1"/>
  <c r="Y442" i="1"/>
  <c r="AD442" i="1"/>
  <c r="AE442" i="1"/>
  <c r="AF442" i="1"/>
  <c r="AK442" i="1"/>
  <c r="AL442" i="1"/>
  <c r="AM442" i="1"/>
  <c r="AN442" i="1" s="1"/>
  <c r="B443" i="1"/>
  <c r="O443" i="1"/>
  <c r="P443" i="1"/>
  <c r="U443" i="1" s="1"/>
  <c r="S443" i="1"/>
  <c r="T443" i="1"/>
  <c r="W443" i="1" s="1"/>
  <c r="AQ443" i="1" s="1"/>
  <c r="X443" i="1"/>
  <c r="Y443" i="1"/>
  <c r="AD443" i="1"/>
  <c r="AE443" i="1"/>
  <c r="AF443" i="1"/>
  <c r="AK443" i="1"/>
  <c r="AL443" i="1"/>
  <c r="AM443" i="1"/>
  <c r="AN443" i="1"/>
  <c r="B444" i="1"/>
  <c r="O444" i="1"/>
  <c r="P444" i="1"/>
  <c r="S444" i="1"/>
  <c r="X444" i="1"/>
  <c r="Y444" i="1"/>
  <c r="AD444" i="1"/>
  <c r="AE444" i="1"/>
  <c r="AF444" i="1"/>
  <c r="AK444" i="1"/>
  <c r="AL444" i="1"/>
  <c r="AM444" i="1"/>
  <c r="AN444" i="1" s="1"/>
  <c r="B445" i="1"/>
  <c r="O445" i="1"/>
  <c r="P445" i="1"/>
  <c r="U445" i="1" s="1"/>
  <c r="S445" i="1"/>
  <c r="T445" i="1"/>
  <c r="W445" i="1" s="1"/>
  <c r="AP445" i="1" s="1"/>
  <c r="X445" i="1"/>
  <c r="Z445" i="1" s="1"/>
  <c r="AC445" i="1" s="1"/>
  <c r="Y445" i="1"/>
  <c r="AD445" i="1"/>
  <c r="AE445" i="1"/>
  <c r="AF445" i="1"/>
  <c r="AK445" i="1"/>
  <c r="AL445" i="1"/>
  <c r="AM445" i="1"/>
  <c r="AN445" i="1" s="1"/>
  <c r="AQ445" i="1"/>
  <c r="B446" i="1"/>
  <c r="P446" i="1"/>
  <c r="U446" i="1" s="1"/>
  <c r="S446" i="1"/>
  <c r="T446" i="1"/>
  <c r="W446" i="1" s="1"/>
  <c r="AQ446" i="1" s="1"/>
  <c r="X446" i="1"/>
  <c r="Y446" i="1"/>
  <c r="AB446" i="1" s="1"/>
  <c r="AD446" i="1"/>
  <c r="AE446" i="1"/>
  <c r="AF446" i="1"/>
  <c r="AK446" i="1"/>
  <c r="AL446" i="1"/>
  <c r="AM446" i="1"/>
  <c r="AN446" i="1"/>
  <c r="B447" i="1"/>
  <c r="O447" i="1"/>
  <c r="P447" i="1"/>
  <c r="U447" i="1" s="1"/>
  <c r="S447" i="1"/>
  <c r="T447" i="1"/>
  <c r="W447" i="1" s="1"/>
  <c r="X447" i="1"/>
  <c r="Y447" i="1"/>
  <c r="Z447" i="1"/>
  <c r="AC447" i="1" s="1"/>
  <c r="AD447" i="1"/>
  <c r="AE447" i="1"/>
  <c r="AF447" i="1"/>
  <c r="AK447" i="1"/>
  <c r="AL447" i="1"/>
  <c r="AM447" i="1"/>
  <c r="AN447" i="1" s="1"/>
  <c r="B448" i="1"/>
  <c r="P448" i="1"/>
  <c r="S448" i="1"/>
  <c r="U448" i="1"/>
  <c r="Y448" i="1"/>
  <c r="AD448" i="1"/>
  <c r="AE448" i="1"/>
  <c r="AF448" i="1"/>
  <c r="AK448" i="1"/>
  <c r="AL448" i="1"/>
  <c r="AM448" i="1"/>
  <c r="AN448" i="1"/>
  <c r="B449" i="1"/>
  <c r="O449" i="1"/>
  <c r="P449" i="1"/>
  <c r="U449" i="1" s="1"/>
  <c r="S449" i="1"/>
  <c r="X449" i="1"/>
  <c r="Y449" i="1"/>
  <c r="AD449" i="1"/>
  <c r="AE449" i="1"/>
  <c r="AF449" i="1"/>
  <c r="AK449" i="1"/>
  <c r="AL449" i="1"/>
  <c r="AM449" i="1"/>
  <c r="AN449" i="1"/>
  <c r="B450" i="1"/>
  <c r="O450" i="1"/>
  <c r="P450" i="1"/>
  <c r="T450" i="1" s="1"/>
  <c r="W450" i="1" s="1"/>
  <c r="S450" i="1"/>
  <c r="X450" i="1"/>
  <c r="Y450" i="1"/>
  <c r="AD450" i="1"/>
  <c r="AE450" i="1"/>
  <c r="AF450" i="1"/>
  <c r="AK450" i="1"/>
  <c r="AL450" i="1"/>
  <c r="AM450" i="1"/>
  <c r="AN450" i="1"/>
  <c r="B451" i="1"/>
  <c r="S451" i="1"/>
  <c r="T451" i="1"/>
  <c r="W451" i="1" s="1"/>
  <c r="AQ451" i="1" s="1"/>
  <c r="U451" i="1"/>
  <c r="X451" i="1"/>
  <c r="Y451" i="1"/>
  <c r="AB451" i="1" s="1"/>
  <c r="AD451" i="1"/>
  <c r="AE451" i="1"/>
  <c r="AF451" i="1"/>
  <c r="AK451" i="1"/>
  <c r="AL451" i="1"/>
  <c r="AM451" i="1"/>
  <c r="AN451" i="1"/>
  <c r="AP451" i="1"/>
  <c r="B452" i="1"/>
  <c r="S452" i="1"/>
  <c r="T452" i="1"/>
  <c r="W452" i="1" s="1"/>
  <c r="U452" i="1"/>
  <c r="X452" i="1"/>
  <c r="AB452" i="1" s="1"/>
  <c r="Y452" i="1"/>
  <c r="AD452" i="1"/>
  <c r="AE452" i="1"/>
  <c r="AF452" i="1"/>
  <c r="AK452" i="1"/>
  <c r="AL452" i="1"/>
  <c r="AM452" i="1"/>
  <c r="AN452" i="1"/>
  <c r="B453" i="1"/>
  <c r="O453" i="1"/>
  <c r="T453" i="1" s="1"/>
  <c r="W453" i="1" s="1"/>
  <c r="P453" i="1"/>
  <c r="S453" i="1"/>
  <c r="U453" i="1"/>
  <c r="X453" i="1"/>
  <c r="Y453" i="1"/>
  <c r="AD453" i="1"/>
  <c r="AE453" i="1"/>
  <c r="AF453" i="1"/>
  <c r="AK453" i="1"/>
  <c r="AL453" i="1"/>
  <c r="AM453" i="1"/>
  <c r="AN453" i="1" s="1"/>
  <c r="B454" i="1"/>
  <c r="P454" i="1"/>
  <c r="U454" i="1" s="1"/>
  <c r="S454" i="1"/>
  <c r="T454" i="1"/>
  <c r="W454" i="1" s="1"/>
  <c r="Y454" i="1"/>
  <c r="AD454" i="1"/>
  <c r="AE454" i="1"/>
  <c r="AF454" i="1"/>
  <c r="AK454" i="1"/>
  <c r="AL454" i="1"/>
  <c r="AM454" i="1"/>
  <c r="AN454" i="1" s="1"/>
  <c r="B455" i="1"/>
  <c r="O455" i="1"/>
  <c r="T455" i="1" s="1"/>
  <c r="W455" i="1" s="1"/>
  <c r="P455" i="1"/>
  <c r="S455" i="1"/>
  <c r="U455" i="1"/>
  <c r="X455" i="1"/>
  <c r="AB455" i="1" s="1"/>
  <c r="Y455" i="1"/>
  <c r="AD455" i="1"/>
  <c r="AE455" i="1"/>
  <c r="AF455" i="1"/>
  <c r="AK455" i="1"/>
  <c r="AL455" i="1"/>
  <c r="AM455" i="1"/>
  <c r="AN455" i="1" s="1"/>
  <c r="B456" i="1"/>
  <c r="AP456" i="1" s="1"/>
  <c r="P456" i="1"/>
  <c r="S456" i="1"/>
  <c r="T456" i="1"/>
  <c r="W456" i="1" s="1"/>
  <c r="AQ456" i="1" s="1"/>
  <c r="U456" i="1"/>
  <c r="X456" i="1"/>
  <c r="Y456" i="1"/>
  <c r="Z456" i="1"/>
  <c r="AC456" i="1" s="1"/>
  <c r="AD456" i="1"/>
  <c r="AE456" i="1"/>
  <c r="AF456" i="1"/>
  <c r="AK456" i="1"/>
  <c r="AL456" i="1"/>
  <c r="AM456" i="1"/>
  <c r="AN456" i="1"/>
  <c r="B457" i="1"/>
  <c r="S457" i="1"/>
  <c r="T457" i="1"/>
  <c r="W457" i="1" s="1"/>
  <c r="U457" i="1"/>
  <c r="X457" i="1"/>
  <c r="Z457" i="1" s="1"/>
  <c r="AC457" i="1" s="1"/>
  <c r="Y457" i="1"/>
  <c r="AB457" i="1" s="1"/>
  <c r="AD457" i="1"/>
  <c r="AE457" i="1"/>
  <c r="AF457" i="1"/>
  <c r="AK457" i="1"/>
  <c r="AL457" i="1"/>
  <c r="AM457" i="1"/>
  <c r="AN457" i="1"/>
  <c r="B458" i="1"/>
  <c r="S458" i="1"/>
  <c r="T458" i="1"/>
  <c r="W458" i="1" s="1"/>
  <c r="U458" i="1"/>
  <c r="X458" i="1"/>
  <c r="Y458" i="1"/>
  <c r="AD458" i="1"/>
  <c r="AE458" i="1"/>
  <c r="AF458" i="1"/>
  <c r="AK458" i="1"/>
  <c r="AL458" i="1"/>
  <c r="AM458" i="1"/>
  <c r="AN458" i="1" s="1"/>
  <c r="B459" i="1"/>
  <c r="O459" i="1"/>
  <c r="P459" i="1"/>
  <c r="U459" i="1" s="1"/>
  <c r="S459" i="1"/>
  <c r="T459" i="1"/>
  <c r="W459" i="1" s="1"/>
  <c r="X459" i="1"/>
  <c r="Y459" i="1"/>
  <c r="AD459" i="1"/>
  <c r="AE459" i="1"/>
  <c r="AF459" i="1"/>
  <c r="AK459" i="1"/>
  <c r="AL459" i="1"/>
  <c r="AM459" i="1"/>
  <c r="AN459" i="1" s="1"/>
  <c r="B460" i="1"/>
  <c r="P460" i="1"/>
  <c r="X460" i="1" s="1"/>
  <c r="S460" i="1"/>
  <c r="Y460" i="1"/>
  <c r="AD460" i="1"/>
  <c r="AE460" i="1"/>
  <c r="AF460" i="1"/>
  <c r="AK460" i="1"/>
  <c r="AL460" i="1"/>
  <c r="AM460" i="1"/>
  <c r="AN460" i="1" s="1"/>
  <c r="B461" i="1"/>
  <c r="O461" i="1"/>
  <c r="P461" i="1"/>
  <c r="U461" i="1" s="1"/>
  <c r="S461" i="1"/>
  <c r="T461" i="1"/>
  <c r="W461" i="1" s="1"/>
  <c r="X461" i="1"/>
  <c r="AB461" i="1" s="1"/>
  <c r="Y461" i="1"/>
  <c r="AD461" i="1"/>
  <c r="AE461" i="1"/>
  <c r="AF461" i="1"/>
  <c r="AK461" i="1"/>
  <c r="AL461" i="1"/>
  <c r="AM461" i="1"/>
  <c r="AN461" i="1"/>
  <c r="B462" i="1"/>
  <c r="O462" i="1"/>
  <c r="T462" i="1" s="1"/>
  <c r="W462" i="1" s="1"/>
  <c r="AQ462" i="1" s="1"/>
  <c r="P462" i="1"/>
  <c r="S462" i="1"/>
  <c r="U462" i="1"/>
  <c r="X462" i="1"/>
  <c r="AB462" i="1" s="1"/>
  <c r="Y462" i="1"/>
  <c r="AD462" i="1"/>
  <c r="AE462" i="1"/>
  <c r="AF462" i="1"/>
  <c r="AK462" i="1"/>
  <c r="AL462" i="1"/>
  <c r="AM462" i="1"/>
  <c r="AN462" i="1" s="1"/>
  <c r="B463" i="1"/>
  <c r="O463" i="1"/>
  <c r="P463" i="1"/>
  <c r="T463" i="1" s="1"/>
  <c r="W463" i="1" s="1"/>
  <c r="S463" i="1"/>
  <c r="X463" i="1"/>
  <c r="Z463" i="1" s="1"/>
  <c r="AC463" i="1" s="1"/>
  <c r="Y463" i="1"/>
  <c r="AD463" i="1"/>
  <c r="AE463" i="1"/>
  <c r="AF463" i="1"/>
  <c r="AK463" i="1"/>
  <c r="AL463" i="1"/>
  <c r="AM463" i="1"/>
  <c r="AN463" i="1"/>
  <c r="B464" i="1"/>
  <c r="O464" i="1"/>
  <c r="P464" i="1"/>
  <c r="U464" i="1" s="1"/>
  <c r="S464" i="1"/>
  <c r="T464" i="1"/>
  <c r="W464" i="1" s="1"/>
  <c r="Y464" i="1"/>
  <c r="AD464" i="1"/>
  <c r="AE464" i="1"/>
  <c r="AF464" i="1"/>
  <c r="AK464" i="1"/>
  <c r="AL464" i="1"/>
  <c r="AM464" i="1"/>
  <c r="AN464" i="1" s="1"/>
  <c r="B465" i="1"/>
  <c r="O465" i="1"/>
  <c r="P465" i="1"/>
  <c r="U465" i="1" s="1"/>
  <c r="S465" i="1"/>
  <c r="T465" i="1"/>
  <c r="W465" i="1" s="1"/>
  <c r="AP465" i="1" s="1"/>
  <c r="Y465" i="1"/>
  <c r="AD465" i="1"/>
  <c r="AE465" i="1"/>
  <c r="AF465" i="1"/>
  <c r="AK465" i="1"/>
  <c r="AL465" i="1"/>
  <c r="AM465" i="1"/>
  <c r="AN465" i="1" s="1"/>
  <c r="B466" i="1"/>
  <c r="O466" i="1"/>
  <c r="T466" i="1" s="1"/>
  <c r="W466" i="1" s="1"/>
  <c r="P466" i="1"/>
  <c r="S466" i="1"/>
  <c r="U466" i="1"/>
  <c r="X466" i="1"/>
  <c r="Y466" i="1"/>
  <c r="AD466" i="1"/>
  <c r="AE466" i="1"/>
  <c r="AF466" i="1"/>
  <c r="AK466" i="1"/>
  <c r="AL466" i="1"/>
  <c r="AM466" i="1"/>
  <c r="AN466" i="1"/>
  <c r="B467" i="1"/>
  <c r="O467" i="1"/>
  <c r="T467" i="1" s="1"/>
  <c r="P467" i="1"/>
  <c r="S467" i="1"/>
  <c r="U467" i="1"/>
  <c r="X467" i="1"/>
  <c r="Y467" i="1"/>
  <c r="AD467" i="1"/>
  <c r="AE467" i="1"/>
  <c r="AF467" i="1"/>
  <c r="AK467" i="1"/>
  <c r="AL467" i="1"/>
  <c r="AM467" i="1"/>
  <c r="AN467" i="1" s="1"/>
  <c r="B468" i="1"/>
  <c r="O468" i="1"/>
  <c r="P468" i="1"/>
  <c r="X468" i="1" s="1"/>
  <c r="S468" i="1"/>
  <c r="Y468" i="1"/>
  <c r="AD468" i="1"/>
  <c r="AE468" i="1"/>
  <c r="AF468" i="1"/>
  <c r="AK468" i="1"/>
  <c r="AL468" i="1"/>
  <c r="AM468" i="1"/>
  <c r="AN468" i="1" s="1"/>
  <c r="B469" i="1"/>
  <c r="S469" i="1"/>
  <c r="T469" i="1"/>
  <c r="W469" i="1" s="1"/>
  <c r="U469" i="1"/>
  <c r="X469" i="1"/>
  <c r="Y469" i="1"/>
  <c r="AD469" i="1"/>
  <c r="AE469" i="1"/>
  <c r="AF469" i="1"/>
  <c r="AK469" i="1"/>
  <c r="AL469" i="1"/>
  <c r="AM469" i="1"/>
  <c r="AN469" i="1" s="1"/>
  <c r="B470" i="1"/>
  <c r="S470" i="1"/>
  <c r="T470" i="1"/>
  <c r="W470" i="1" s="1"/>
  <c r="U470" i="1"/>
  <c r="X470" i="1"/>
  <c r="Z470" i="1" s="1"/>
  <c r="Y470" i="1"/>
  <c r="AD470" i="1"/>
  <c r="AE470" i="1"/>
  <c r="AF470" i="1"/>
  <c r="AK470" i="1"/>
  <c r="AL470" i="1"/>
  <c r="AM470" i="1"/>
  <c r="AN470" i="1"/>
  <c r="B471" i="1"/>
  <c r="O471" i="1"/>
  <c r="P471" i="1"/>
  <c r="T471" i="1" s="1"/>
  <c r="W471" i="1" s="1"/>
  <c r="S471" i="1"/>
  <c r="U471" i="1"/>
  <c r="X471" i="1"/>
  <c r="Y471" i="1"/>
  <c r="AD471" i="1"/>
  <c r="AE471" i="1"/>
  <c r="AF471" i="1"/>
  <c r="AK471" i="1"/>
  <c r="AL471" i="1"/>
  <c r="AM471" i="1"/>
  <c r="AN471" i="1" s="1"/>
  <c r="B472" i="1"/>
  <c r="O472" i="1"/>
  <c r="P472" i="1"/>
  <c r="X472" i="1" s="1"/>
  <c r="S472" i="1"/>
  <c r="Y472" i="1"/>
  <c r="AD472" i="1"/>
  <c r="AE472" i="1"/>
  <c r="AF472" i="1"/>
  <c r="AK472" i="1"/>
  <c r="AL472" i="1"/>
  <c r="AM472" i="1"/>
  <c r="AN472" i="1" s="1"/>
  <c r="B473" i="1"/>
  <c r="O473" i="1"/>
  <c r="T473" i="1" s="1"/>
  <c r="W473" i="1" s="1"/>
  <c r="AP473" i="1" s="1"/>
  <c r="P473" i="1"/>
  <c r="S473" i="1"/>
  <c r="U473" i="1"/>
  <c r="X473" i="1"/>
  <c r="Z473" i="1" s="1"/>
  <c r="AC473" i="1" s="1"/>
  <c r="Y473" i="1"/>
  <c r="AD473" i="1"/>
  <c r="AE473" i="1"/>
  <c r="AF473" i="1"/>
  <c r="AK473" i="1"/>
  <c r="AL473" i="1"/>
  <c r="AM473" i="1"/>
  <c r="AN473" i="1" s="1"/>
  <c r="B474" i="1"/>
  <c r="O474" i="1"/>
  <c r="P474" i="1"/>
  <c r="U474" i="1" s="1"/>
  <c r="S474" i="1"/>
  <c r="T474" i="1"/>
  <c r="W474" i="1" s="1"/>
  <c r="X474" i="1"/>
  <c r="AB474" i="1" s="1"/>
  <c r="Y474" i="1"/>
  <c r="AD474" i="1"/>
  <c r="AE474" i="1"/>
  <c r="AF474" i="1"/>
  <c r="AK474" i="1"/>
  <c r="AL474" i="1"/>
  <c r="AM474" i="1"/>
  <c r="AN474" i="1" s="1"/>
  <c r="B475" i="1"/>
  <c r="O475" i="1"/>
  <c r="P475" i="1"/>
  <c r="U475" i="1" s="1"/>
  <c r="S475" i="1"/>
  <c r="T475" i="1"/>
  <c r="W475" i="1" s="1"/>
  <c r="X475" i="1"/>
  <c r="Y475" i="1"/>
  <c r="AD475" i="1"/>
  <c r="AE475" i="1"/>
  <c r="AF475" i="1"/>
  <c r="AK475" i="1"/>
  <c r="AL475" i="1"/>
  <c r="AM475" i="1"/>
  <c r="AN475" i="1"/>
  <c r="B476" i="1"/>
  <c r="O476" i="1"/>
  <c r="T476" i="1" s="1"/>
  <c r="P476" i="1"/>
  <c r="S476" i="1"/>
  <c r="U476" i="1"/>
  <c r="X476" i="1"/>
  <c r="Y476" i="1"/>
  <c r="AD476" i="1"/>
  <c r="AE476" i="1"/>
  <c r="AF476" i="1"/>
  <c r="AK476" i="1"/>
  <c r="AL476" i="1"/>
  <c r="AM476" i="1"/>
  <c r="AN476" i="1"/>
  <c r="B477" i="1"/>
  <c r="O477" i="1"/>
  <c r="T477" i="1" s="1"/>
  <c r="W477" i="1" s="1"/>
  <c r="AP477" i="1" s="1"/>
  <c r="P477" i="1"/>
  <c r="S477" i="1"/>
  <c r="U477" i="1"/>
  <c r="X477" i="1"/>
  <c r="Z477" i="1" s="1"/>
  <c r="AC477" i="1" s="1"/>
  <c r="Y477" i="1"/>
  <c r="AD477" i="1"/>
  <c r="AE477" i="1"/>
  <c r="AF477" i="1"/>
  <c r="AK477" i="1"/>
  <c r="AL477" i="1"/>
  <c r="AM477" i="1"/>
  <c r="AN477" i="1" s="1"/>
  <c r="B478" i="1"/>
  <c r="O478" i="1"/>
  <c r="P478" i="1"/>
  <c r="T478" i="1" s="1"/>
  <c r="W478" i="1" s="1"/>
  <c r="S478" i="1"/>
  <c r="X478" i="1"/>
  <c r="AB478" i="1" s="1"/>
  <c r="Y478" i="1"/>
  <c r="AD478" i="1"/>
  <c r="AE478" i="1"/>
  <c r="AF478" i="1"/>
  <c r="AK478" i="1"/>
  <c r="AL478" i="1"/>
  <c r="AM478" i="1"/>
  <c r="AN478" i="1" s="1"/>
  <c r="B479" i="1"/>
  <c r="O479" i="1"/>
  <c r="P479" i="1"/>
  <c r="T479" i="1" s="1"/>
  <c r="W479" i="1" s="1"/>
  <c r="S479" i="1"/>
  <c r="X479" i="1"/>
  <c r="Y479" i="1"/>
  <c r="AD479" i="1"/>
  <c r="AE479" i="1"/>
  <c r="AF479" i="1"/>
  <c r="AK479" i="1"/>
  <c r="AL479" i="1"/>
  <c r="AM479" i="1"/>
  <c r="AN479" i="1"/>
  <c r="B480" i="1"/>
  <c r="P480" i="1"/>
  <c r="U480" i="1" s="1"/>
  <c r="S480" i="1"/>
  <c r="T480" i="1"/>
  <c r="W480" i="1" s="1"/>
  <c r="AP480" i="1" s="1"/>
  <c r="Y480" i="1"/>
  <c r="AD480" i="1"/>
  <c r="AE480" i="1"/>
  <c r="AF480" i="1"/>
  <c r="AK480" i="1"/>
  <c r="AL480" i="1"/>
  <c r="AM480" i="1"/>
  <c r="AN480" i="1" s="1"/>
  <c r="B481" i="1"/>
  <c r="S481" i="1"/>
  <c r="T481" i="1"/>
  <c r="Z481" i="1" s="1"/>
  <c r="AC481" i="1" s="1"/>
  <c r="U481" i="1"/>
  <c r="W481" i="1"/>
  <c r="AP481" i="1" s="1"/>
  <c r="X481" i="1"/>
  <c r="Y481" i="1"/>
  <c r="AD481" i="1"/>
  <c r="AE481" i="1"/>
  <c r="AF481" i="1"/>
  <c r="AK481" i="1"/>
  <c r="AL481" i="1"/>
  <c r="AM481" i="1"/>
  <c r="AN481" i="1" s="1"/>
  <c r="B482" i="1"/>
  <c r="S482" i="1"/>
  <c r="T482" i="1"/>
  <c r="W482" i="1" s="1"/>
  <c r="U482" i="1"/>
  <c r="X482" i="1"/>
  <c r="Y482" i="1"/>
  <c r="AD482" i="1"/>
  <c r="AE482" i="1"/>
  <c r="AF482" i="1"/>
  <c r="AK482" i="1"/>
  <c r="AL482" i="1"/>
  <c r="AM482" i="1"/>
  <c r="AN482" i="1"/>
  <c r="B483" i="1"/>
  <c r="O483" i="1"/>
  <c r="P483" i="1"/>
  <c r="T483" i="1" s="1"/>
  <c r="W483" i="1" s="1"/>
  <c r="S483" i="1"/>
  <c r="U483" i="1"/>
  <c r="X483" i="1"/>
  <c r="Z483" i="1" s="1"/>
  <c r="AC483" i="1" s="1"/>
  <c r="Y483" i="1"/>
  <c r="AD483" i="1"/>
  <c r="AE483" i="1"/>
  <c r="AF483" i="1"/>
  <c r="AK483" i="1"/>
  <c r="AL483" i="1"/>
  <c r="AM483" i="1"/>
  <c r="AN483" i="1"/>
  <c r="B484" i="1"/>
  <c r="O484" i="1"/>
  <c r="P484" i="1"/>
  <c r="T484" i="1" s="1"/>
  <c r="W484" i="1" s="1"/>
  <c r="S484" i="1"/>
  <c r="U484" i="1"/>
  <c r="X484" i="1"/>
  <c r="Z484" i="1" s="1"/>
  <c r="Y484" i="1"/>
  <c r="AD484" i="1"/>
  <c r="AE484" i="1"/>
  <c r="AF484" i="1"/>
  <c r="AK484" i="1"/>
  <c r="AL484" i="1"/>
  <c r="AM484" i="1"/>
  <c r="AN484" i="1" s="1"/>
  <c r="B485" i="1"/>
  <c r="S485" i="1"/>
  <c r="T485" i="1"/>
  <c r="W485" i="1" s="1"/>
  <c r="U485" i="1"/>
  <c r="X485" i="1"/>
  <c r="Z485" i="1" s="1"/>
  <c r="AC485" i="1" s="1"/>
  <c r="Y485" i="1"/>
  <c r="AD485" i="1"/>
  <c r="AE485" i="1"/>
  <c r="AF485" i="1"/>
  <c r="AK485" i="1"/>
  <c r="AL485" i="1"/>
  <c r="AM485" i="1"/>
  <c r="AN485" i="1" s="1"/>
  <c r="B486" i="1"/>
  <c r="S486" i="1"/>
  <c r="T486" i="1"/>
  <c r="W486" i="1" s="1"/>
  <c r="U486" i="1"/>
  <c r="X486" i="1"/>
  <c r="Y486" i="1"/>
  <c r="AD486" i="1"/>
  <c r="AE486" i="1"/>
  <c r="AF486" i="1"/>
  <c r="AK486" i="1"/>
  <c r="AL486" i="1"/>
  <c r="AM486" i="1"/>
  <c r="AN486" i="1"/>
  <c r="B487" i="1"/>
  <c r="O487" i="1"/>
  <c r="P487" i="1"/>
  <c r="T487" i="1" s="1"/>
  <c r="W487" i="1" s="1"/>
  <c r="S487" i="1"/>
  <c r="U487" i="1"/>
  <c r="X487" i="1"/>
  <c r="Z487" i="1" s="1"/>
  <c r="AC487" i="1" s="1"/>
  <c r="Y487" i="1"/>
  <c r="AD487" i="1"/>
  <c r="AE487" i="1"/>
  <c r="AF487" i="1"/>
  <c r="AK487" i="1"/>
  <c r="AL487" i="1"/>
  <c r="AM487" i="1"/>
  <c r="AN487" i="1" s="1"/>
  <c r="B488" i="1"/>
  <c r="P488" i="1"/>
  <c r="T488" i="1" s="1"/>
  <c r="W488" i="1" s="1"/>
  <c r="S488" i="1"/>
  <c r="U488" i="1"/>
  <c r="X488" i="1"/>
  <c r="Y488" i="1"/>
  <c r="AD488" i="1"/>
  <c r="AE488" i="1"/>
  <c r="AF488" i="1"/>
  <c r="AK488" i="1"/>
  <c r="AL488" i="1"/>
  <c r="AM488" i="1"/>
  <c r="AN488" i="1" s="1"/>
  <c r="B489" i="1"/>
  <c r="S489" i="1"/>
  <c r="T489" i="1"/>
  <c r="W489" i="1" s="1"/>
  <c r="AP489" i="1" s="1"/>
  <c r="U489" i="1"/>
  <c r="X489" i="1"/>
  <c r="Y489" i="1"/>
  <c r="AD489" i="1"/>
  <c r="AE489" i="1"/>
  <c r="AF489" i="1"/>
  <c r="AK489" i="1"/>
  <c r="AL489" i="1"/>
  <c r="AM489" i="1"/>
  <c r="AN489" i="1" s="1"/>
  <c r="B490" i="1"/>
  <c r="S490" i="1"/>
  <c r="T490" i="1"/>
  <c r="W490" i="1" s="1"/>
  <c r="U490" i="1"/>
  <c r="X490" i="1"/>
  <c r="Y490" i="1"/>
  <c r="Z490" i="1"/>
  <c r="AC490" i="1" s="1"/>
  <c r="AD490" i="1"/>
  <c r="AE490" i="1"/>
  <c r="AF490" i="1"/>
  <c r="AK490" i="1"/>
  <c r="AL490" i="1"/>
  <c r="AM490" i="1"/>
  <c r="AN490" i="1" s="1"/>
  <c r="B491" i="1"/>
  <c r="O491" i="1"/>
  <c r="T491" i="1" s="1"/>
  <c r="W491" i="1" s="1"/>
  <c r="AP491" i="1" s="1"/>
  <c r="P491" i="1"/>
  <c r="S491" i="1"/>
  <c r="U491" i="1"/>
  <c r="X491" i="1"/>
  <c r="Z491" i="1" s="1"/>
  <c r="AC491" i="1" s="1"/>
  <c r="Y491" i="1"/>
  <c r="AD491" i="1"/>
  <c r="AE491" i="1"/>
  <c r="AF491" i="1"/>
  <c r="AK491" i="1"/>
  <c r="AL491" i="1"/>
  <c r="AM491" i="1"/>
  <c r="AN491" i="1" s="1"/>
  <c r="B492" i="1"/>
  <c r="O492" i="1"/>
  <c r="P492" i="1"/>
  <c r="T492" i="1" s="1"/>
  <c r="W492" i="1" s="1"/>
  <c r="S492" i="1"/>
  <c r="U492" i="1"/>
  <c r="X492" i="1"/>
  <c r="Y492" i="1"/>
  <c r="AD492" i="1"/>
  <c r="AE492" i="1"/>
  <c r="AF492" i="1"/>
  <c r="AK492" i="1"/>
  <c r="AL492" i="1"/>
  <c r="AM492" i="1"/>
  <c r="AN492" i="1"/>
  <c r="B493" i="1"/>
  <c r="S493" i="1"/>
  <c r="T493" i="1"/>
  <c r="W493" i="1" s="1"/>
  <c r="AP493" i="1" s="1"/>
  <c r="U493" i="1"/>
  <c r="X493" i="1"/>
  <c r="Z493" i="1" s="1"/>
  <c r="AC493" i="1" s="1"/>
  <c r="Y493" i="1"/>
  <c r="AD493" i="1"/>
  <c r="AE493" i="1"/>
  <c r="AF493" i="1"/>
  <c r="AK493" i="1"/>
  <c r="AL493" i="1"/>
  <c r="AM493" i="1"/>
  <c r="AN493" i="1" s="1"/>
  <c r="B494" i="1"/>
  <c r="S494" i="1"/>
  <c r="T494" i="1"/>
  <c r="W494" i="1" s="1"/>
  <c r="U494" i="1"/>
  <c r="X494" i="1"/>
  <c r="Z494" i="1" s="1"/>
  <c r="Y494" i="1"/>
  <c r="AD494" i="1"/>
  <c r="AE494" i="1"/>
  <c r="AF494" i="1"/>
  <c r="AK494" i="1"/>
  <c r="AL494" i="1"/>
  <c r="AM494" i="1"/>
  <c r="AN494" i="1" s="1"/>
  <c r="B495" i="1"/>
  <c r="O495" i="1"/>
  <c r="P495" i="1"/>
  <c r="X495" i="1" s="1"/>
  <c r="Z495" i="1" s="1"/>
  <c r="S495" i="1"/>
  <c r="T495" i="1"/>
  <c r="W495" i="1" s="1"/>
  <c r="AP495" i="1" s="1"/>
  <c r="Y495" i="1"/>
  <c r="AD495" i="1"/>
  <c r="AE495" i="1"/>
  <c r="AF495" i="1"/>
  <c r="AK495" i="1"/>
  <c r="AL495" i="1"/>
  <c r="AM495" i="1"/>
  <c r="AN495" i="1" s="1"/>
  <c r="B496" i="1"/>
  <c r="P496" i="1"/>
  <c r="T496" i="1" s="1"/>
  <c r="W496" i="1" s="1"/>
  <c r="S496" i="1"/>
  <c r="Y496" i="1"/>
  <c r="AD496" i="1"/>
  <c r="AE496" i="1"/>
  <c r="AF496" i="1"/>
  <c r="AK496" i="1"/>
  <c r="AL496" i="1"/>
  <c r="AM496" i="1"/>
  <c r="AN496" i="1" s="1"/>
  <c r="B497" i="1"/>
  <c r="S497" i="1"/>
  <c r="T497" i="1"/>
  <c r="W497" i="1" s="1"/>
  <c r="U497" i="1"/>
  <c r="X497" i="1"/>
  <c r="Z497" i="1" s="1"/>
  <c r="AC497" i="1" s="1"/>
  <c r="Y497" i="1"/>
  <c r="AD497" i="1"/>
  <c r="AE497" i="1"/>
  <c r="AF497" i="1"/>
  <c r="AK497" i="1"/>
  <c r="AL497" i="1"/>
  <c r="AM497" i="1"/>
  <c r="AN497" i="1" s="1"/>
  <c r="B498" i="1"/>
  <c r="S498" i="1"/>
  <c r="T498" i="1"/>
  <c r="W498" i="1" s="1"/>
  <c r="U498" i="1"/>
  <c r="X498" i="1"/>
  <c r="Y498" i="1"/>
  <c r="AD498" i="1"/>
  <c r="AE498" i="1"/>
  <c r="AF498" i="1"/>
  <c r="AK498" i="1"/>
  <c r="AL498" i="1"/>
  <c r="AM498" i="1"/>
  <c r="AN498" i="1" s="1"/>
  <c r="B499" i="1"/>
  <c r="O499" i="1"/>
  <c r="T499" i="1" s="1"/>
  <c r="W499" i="1" s="1"/>
  <c r="P499" i="1"/>
  <c r="S499" i="1"/>
  <c r="U499" i="1"/>
  <c r="X499" i="1"/>
  <c r="Y499" i="1"/>
  <c r="AB499" i="1" s="1"/>
  <c r="AD499" i="1"/>
  <c r="AE499" i="1"/>
  <c r="AF499" i="1"/>
  <c r="AK499" i="1"/>
  <c r="AL499" i="1"/>
  <c r="AM499" i="1"/>
  <c r="AN499" i="1" s="1"/>
  <c r="B500" i="1"/>
  <c r="O500" i="1"/>
  <c r="T500" i="1" s="1"/>
  <c r="W500" i="1" s="1"/>
  <c r="P500" i="1"/>
  <c r="S500" i="1"/>
  <c r="U500" i="1"/>
  <c r="X500" i="1"/>
  <c r="Z500" i="1" s="1"/>
  <c r="AC500" i="1" s="1"/>
  <c r="Y500" i="1"/>
  <c r="AD500" i="1"/>
  <c r="AE500" i="1"/>
  <c r="AF500" i="1"/>
  <c r="AK500" i="1"/>
  <c r="AL500" i="1"/>
  <c r="AM500" i="1"/>
  <c r="AN500" i="1" s="1"/>
  <c r="B501" i="1"/>
  <c r="O501" i="1"/>
  <c r="T501" i="1" s="1"/>
  <c r="P501" i="1"/>
  <c r="S501" i="1"/>
  <c r="U501" i="1"/>
  <c r="X501" i="1"/>
  <c r="Y501" i="1"/>
  <c r="AD501" i="1"/>
  <c r="AE501" i="1"/>
  <c r="AF501" i="1"/>
  <c r="AK501" i="1"/>
  <c r="AL501" i="1"/>
  <c r="AM501" i="1"/>
  <c r="AN501" i="1" s="1"/>
  <c r="B502" i="1"/>
  <c r="O502" i="1"/>
  <c r="P502" i="1"/>
  <c r="T502" i="1" s="1"/>
  <c r="W502" i="1" s="1"/>
  <c r="AP502" i="1" s="1"/>
  <c r="S502" i="1"/>
  <c r="U502" i="1"/>
  <c r="X502" i="1"/>
  <c r="Y502" i="1"/>
  <c r="AD502" i="1"/>
  <c r="AE502" i="1"/>
  <c r="AF502" i="1"/>
  <c r="AK502" i="1"/>
  <c r="AL502" i="1"/>
  <c r="AM502" i="1"/>
  <c r="AN502" i="1" s="1"/>
  <c r="B503" i="1"/>
  <c r="P503" i="1"/>
  <c r="S503" i="1"/>
  <c r="T503" i="1"/>
  <c r="W503" i="1" s="1"/>
  <c r="U503" i="1"/>
  <c r="X503" i="1"/>
  <c r="Z503" i="1" s="1"/>
  <c r="AC503" i="1" s="1"/>
  <c r="Y503" i="1"/>
  <c r="AD503" i="1"/>
  <c r="AE503" i="1"/>
  <c r="AF503" i="1"/>
  <c r="AK503" i="1"/>
  <c r="AL503" i="1"/>
  <c r="AM503" i="1"/>
  <c r="AN503" i="1"/>
  <c r="B504" i="1"/>
  <c r="S504" i="1"/>
  <c r="T504" i="1"/>
  <c r="W504" i="1" s="1"/>
  <c r="U504" i="1"/>
  <c r="X504" i="1"/>
  <c r="Y504" i="1"/>
  <c r="AB504" i="1" s="1"/>
  <c r="AD504" i="1"/>
  <c r="AE504" i="1"/>
  <c r="AF504" i="1"/>
  <c r="AK504" i="1"/>
  <c r="AL504" i="1"/>
  <c r="AM504" i="1"/>
  <c r="AN504" i="1" s="1"/>
  <c r="B505" i="1"/>
  <c r="O505" i="1"/>
  <c r="P505" i="1"/>
  <c r="T505" i="1" s="1"/>
  <c r="W505" i="1" s="1"/>
  <c r="S505" i="1"/>
  <c r="U505" i="1"/>
  <c r="X505" i="1"/>
  <c r="Y505" i="1"/>
  <c r="AD505" i="1"/>
  <c r="AE505" i="1"/>
  <c r="AF505" i="1"/>
  <c r="AK505" i="1"/>
  <c r="AL505" i="1"/>
  <c r="AM505" i="1"/>
  <c r="AN505" i="1" s="1"/>
  <c r="B506" i="1"/>
  <c r="O506" i="1"/>
  <c r="P506" i="1"/>
  <c r="T506" i="1" s="1"/>
  <c r="W506" i="1" s="1"/>
  <c r="S506" i="1"/>
  <c r="Y506" i="1"/>
  <c r="AD506" i="1"/>
  <c r="AE506" i="1"/>
  <c r="AF506" i="1"/>
  <c r="AK506" i="1"/>
  <c r="AL506" i="1"/>
  <c r="AM506" i="1"/>
  <c r="AN506" i="1"/>
  <c r="B507" i="1"/>
  <c r="O507" i="1"/>
  <c r="P507" i="1"/>
  <c r="T507" i="1" s="1"/>
  <c r="W507" i="1" s="1"/>
  <c r="AP507" i="1" s="1"/>
  <c r="S507" i="1"/>
  <c r="U507" i="1"/>
  <c r="X507" i="1"/>
  <c r="Y507" i="1"/>
  <c r="AD507" i="1"/>
  <c r="AE507" i="1"/>
  <c r="AF507" i="1"/>
  <c r="AK507" i="1"/>
  <c r="AL507" i="1"/>
  <c r="AM507" i="1"/>
  <c r="AN507" i="1" s="1"/>
  <c r="B508" i="1"/>
  <c r="P508" i="1"/>
  <c r="T508" i="1" s="1"/>
  <c r="W508" i="1" s="1"/>
  <c r="S508" i="1"/>
  <c r="U508" i="1"/>
  <c r="X508" i="1"/>
  <c r="Y508" i="1"/>
  <c r="AD508" i="1"/>
  <c r="AE508" i="1"/>
  <c r="AF508" i="1"/>
  <c r="AK508" i="1"/>
  <c r="AL508" i="1"/>
  <c r="AM508" i="1"/>
  <c r="AN508" i="1" s="1"/>
  <c r="B509" i="1"/>
  <c r="O509" i="1"/>
  <c r="P509" i="1"/>
  <c r="T509" i="1" s="1"/>
  <c r="W509" i="1" s="1"/>
  <c r="S509" i="1"/>
  <c r="Y509" i="1"/>
  <c r="AD509" i="1"/>
  <c r="AE509" i="1"/>
  <c r="AF509" i="1"/>
  <c r="AK509" i="1"/>
  <c r="AL509" i="1"/>
  <c r="AM509" i="1"/>
  <c r="AN509" i="1" s="1"/>
  <c r="B510" i="1"/>
  <c r="O510" i="1"/>
  <c r="P510" i="1"/>
  <c r="T510" i="1" s="1"/>
  <c r="W510" i="1" s="1"/>
  <c r="S510" i="1"/>
  <c r="Y510" i="1"/>
  <c r="AD510" i="1"/>
  <c r="AE510" i="1"/>
  <c r="AF510" i="1"/>
  <c r="AK510" i="1"/>
  <c r="AL510" i="1"/>
  <c r="AM510" i="1"/>
  <c r="AN510" i="1"/>
  <c r="B511" i="1"/>
  <c r="O511" i="1"/>
  <c r="P511" i="1"/>
  <c r="X511" i="1" s="1"/>
  <c r="S511" i="1"/>
  <c r="T511" i="1"/>
  <c r="W511" i="1" s="1"/>
  <c r="Y511" i="1"/>
  <c r="AD511" i="1"/>
  <c r="AE511" i="1"/>
  <c r="AF511" i="1"/>
  <c r="AK511" i="1"/>
  <c r="AL511" i="1"/>
  <c r="AM511" i="1"/>
  <c r="AN511" i="1" s="1"/>
  <c r="B512" i="1"/>
  <c r="O512" i="1"/>
  <c r="P512" i="1"/>
  <c r="T512" i="1" s="1"/>
  <c r="W512" i="1" s="1"/>
  <c r="S512" i="1"/>
  <c r="U512" i="1"/>
  <c r="X512" i="1"/>
  <c r="Y512" i="1"/>
  <c r="AD512" i="1"/>
  <c r="AE512" i="1"/>
  <c r="AF512" i="1"/>
  <c r="AK512" i="1"/>
  <c r="AL512" i="1"/>
  <c r="AM512" i="1"/>
  <c r="AN512" i="1" s="1"/>
  <c r="B513" i="1"/>
  <c r="O513" i="1"/>
  <c r="P513" i="1"/>
  <c r="T513" i="1" s="1"/>
  <c r="W513" i="1" s="1"/>
  <c r="S513" i="1"/>
  <c r="Y513" i="1"/>
  <c r="AD513" i="1"/>
  <c r="AE513" i="1"/>
  <c r="AF513" i="1"/>
  <c r="AK513" i="1"/>
  <c r="AL513" i="1"/>
  <c r="AM513" i="1"/>
  <c r="AN513" i="1" s="1"/>
  <c r="B514" i="1"/>
  <c r="O514" i="1"/>
  <c r="P514" i="1"/>
  <c r="T514" i="1" s="1"/>
  <c r="W514" i="1" s="1"/>
  <c r="S514" i="1"/>
  <c r="Y514" i="1"/>
  <c r="AD514" i="1"/>
  <c r="AE514" i="1"/>
  <c r="AF514" i="1"/>
  <c r="AK514" i="1"/>
  <c r="AL514" i="1"/>
  <c r="AM514" i="1"/>
  <c r="AN514" i="1"/>
  <c r="B515" i="1"/>
  <c r="O515" i="1"/>
  <c r="P515" i="1"/>
  <c r="X515" i="1" s="1"/>
  <c r="S515" i="1"/>
  <c r="Y515" i="1"/>
  <c r="AD515" i="1"/>
  <c r="AE515" i="1"/>
  <c r="AF515" i="1"/>
  <c r="AK515" i="1"/>
  <c r="AL515" i="1"/>
  <c r="AM515" i="1"/>
  <c r="AN515" i="1" s="1"/>
  <c r="B516" i="1"/>
  <c r="O516" i="1"/>
  <c r="P516" i="1"/>
  <c r="T516" i="1" s="1"/>
  <c r="W516" i="1" s="1"/>
  <c r="S516" i="1"/>
  <c r="U516" i="1"/>
  <c r="X516" i="1"/>
  <c r="Y516" i="1"/>
  <c r="AD516" i="1"/>
  <c r="AE516" i="1"/>
  <c r="AF516" i="1"/>
  <c r="AK516" i="1"/>
  <c r="AL516" i="1"/>
  <c r="AM516" i="1"/>
  <c r="AN516" i="1" s="1"/>
  <c r="B517" i="1"/>
  <c r="O517" i="1"/>
  <c r="P517" i="1"/>
  <c r="U517" i="1" s="1"/>
  <c r="S517" i="1"/>
  <c r="T517" i="1"/>
  <c r="W517" i="1" s="1"/>
  <c r="Y517" i="1"/>
  <c r="AD517" i="1"/>
  <c r="AE517" i="1"/>
  <c r="AF517" i="1"/>
  <c r="AK517" i="1"/>
  <c r="AL517" i="1"/>
  <c r="AM517" i="1"/>
  <c r="AN517" i="1" s="1"/>
  <c r="B518" i="1"/>
  <c r="S518" i="1"/>
  <c r="T518" i="1"/>
  <c r="W518" i="1" s="1"/>
  <c r="U518" i="1"/>
  <c r="X518" i="1"/>
  <c r="Z518" i="1" s="1"/>
  <c r="AC518" i="1" s="1"/>
  <c r="Y518" i="1"/>
  <c r="AB518" i="1" s="1"/>
  <c r="AD518" i="1"/>
  <c r="AE518" i="1"/>
  <c r="AF518" i="1"/>
  <c r="AK518" i="1"/>
  <c r="AL518" i="1"/>
  <c r="AM518" i="1"/>
  <c r="AN518" i="1" s="1"/>
  <c r="B519" i="1"/>
  <c r="O519" i="1"/>
  <c r="P519" i="1"/>
  <c r="T519" i="1" s="1"/>
  <c r="W519" i="1" s="1"/>
  <c r="S519" i="1"/>
  <c r="X519" i="1"/>
  <c r="Y519" i="1"/>
  <c r="AD519" i="1"/>
  <c r="AE519" i="1"/>
  <c r="AF519" i="1"/>
  <c r="AK519" i="1"/>
  <c r="AL519" i="1"/>
  <c r="AM519" i="1"/>
  <c r="AN519" i="1" s="1"/>
  <c r="B520" i="1"/>
  <c r="O520" i="1"/>
  <c r="P520" i="1"/>
  <c r="U520" i="1" s="1"/>
  <c r="S520" i="1"/>
  <c r="Y520" i="1"/>
  <c r="AD520" i="1"/>
  <c r="AE520" i="1"/>
  <c r="AF520" i="1"/>
  <c r="AK520" i="1"/>
  <c r="AL520" i="1"/>
  <c r="AM520" i="1"/>
  <c r="AN520" i="1" s="1"/>
  <c r="B521" i="1"/>
  <c r="O521" i="1"/>
  <c r="P521" i="1"/>
  <c r="U521" i="1" s="1"/>
  <c r="S521" i="1"/>
  <c r="T521" i="1"/>
  <c r="W521" i="1" s="1"/>
  <c r="AP521" i="1" s="1"/>
  <c r="X521" i="1"/>
  <c r="Z521" i="1" s="1"/>
  <c r="AC521" i="1" s="1"/>
  <c r="Y521" i="1"/>
  <c r="AD521" i="1"/>
  <c r="AE521" i="1"/>
  <c r="AF521" i="1"/>
  <c r="AK521" i="1"/>
  <c r="AL521" i="1"/>
  <c r="AM521" i="1"/>
  <c r="AN521" i="1" s="1"/>
  <c r="B522" i="1"/>
  <c r="O522" i="1"/>
  <c r="P522" i="1"/>
  <c r="U522" i="1" s="1"/>
  <c r="S522" i="1"/>
  <c r="X522" i="1"/>
  <c r="Y522" i="1"/>
  <c r="AD522" i="1"/>
  <c r="AE522" i="1"/>
  <c r="AF522" i="1"/>
  <c r="AK522" i="1"/>
  <c r="AL522" i="1"/>
  <c r="AM522" i="1"/>
  <c r="AN522" i="1"/>
  <c r="B523" i="1"/>
  <c r="O523" i="1"/>
  <c r="P523" i="1"/>
  <c r="U523" i="1" s="1"/>
  <c r="S523" i="1"/>
  <c r="X523" i="1"/>
  <c r="Y523" i="1"/>
  <c r="AD523" i="1"/>
  <c r="AE523" i="1"/>
  <c r="AF523" i="1"/>
  <c r="AK523" i="1"/>
  <c r="AL523" i="1"/>
  <c r="AM523" i="1"/>
  <c r="AN523" i="1" s="1"/>
  <c r="B524" i="1"/>
  <c r="S524" i="1"/>
  <c r="T524" i="1"/>
  <c r="W524" i="1" s="1"/>
  <c r="U524" i="1"/>
  <c r="X524" i="1"/>
  <c r="Y524" i="1"/>
  <c r="AB524" i="1" s="1"/>
  <c r="AD524" i="1"/>
  <c r="AE524" i="1"/>
  <c r="AF524" i="1"/>
  <c r="AK524" i="1"/>
  <c r="AL524" i="1"/>
  <c r="AM524" i="1"/>
  <c r="AN524" i="1"/>
  <c r="B525" i="1"/>
  <c r="O525" i="1"/>
  <c r="P525" i="1"/>
  <c r="U525" i="1" s="1"/>
  <c r="S525" i="1"/>
  <c r="T525" i="1"/>
  <c r="W525" i="1" s="1"/>
  <c r="X525" i="1"/>
  <c r="Y525" i="1"/>
  <c r="AD525" i="1"/>
  <c r="AE525" i="1"/>
  <c r="AF525" i="1"/>
  <c r="AK525" i="1"/>
  <c r="AL525" i="1"/>
  <c r="AM525" i="1"/>
  <c r="AN525" i="1"/>
  <c r="B526" i="1"/>
  <c r="O526" i="1"/>
  <c r="P526" i="1"/>
  <c r="S526" i="1"/>
  <c r="T526" i="1"/>
  <c r="U526" i="1"/>
  <c r="X526" i="1"/>
  <c r="Y526" i="1"/>
  <c r="AD526" i="1"/>
  <c r="AE526" i="1"/>
  <c r="AF526" i="1"/>
  <c r="AK526" i="1"/>
  <c r="AL526" i="1"/>
  <c r="AM526" i="1"/>
  <c r="AN526" i="1" s="1"/>
  <c r="B527" i="1"/>
  <c r="O527" i="1"/>
  <c r="P527" i="1"/>
  <c r="T527" i="1" s="1"/>
  <c r="W527" i="1" s="1"/>
  <c r="AP527" i="1" s="1"/>
  <c r="S527" i="1"/>
  <c r="U527" i="1"/>
  <c r="Y527" i="1"/>
  <c r="AD527" i="1"/>
  <c r="AE527" i="1"/>
  <c r="AF527" i="1"/>
  <c r="AK527" i="1"/>
  <c r="AL527" i="1"/>
  <c r="AM527" i="1"/>
  <c r="AN527" i="1" s="1"/>
  <c r="B528" i="1"/>
  <c r="O528" i="1"/>
  <c r="P528" i="1"/>
  <c r="S528" i="1"/>
  <c r="T528" i="1"/>
  <c r="W528" i="1" s="1"/>
  <c r="U528" i="1"/>
  <c r="X528" i="1"/>
  <c r="Y528" i="1"/>
  <c r="AB528" i="1"/>
  <c r="AD528" i="1"/>
  <c r="AE528" i="1"/>
  <c r="AF528" i="1"/>
  <c r="AK528" i="1"/>
  <c r="AL528" i="1"/>
  <c r="AM528" i="1"/>
  <c r="AN528" i="1" s="1"/>
  <c r="B529" i="1"/>
  <c r="S529" i="1"/>
  <c r="T529" i="1"/>
  <c r="Z529" i="1" s="1"/>
  <c r="U529" i="1"/>
  <c r="W529" i="1"/>
  <c r="AP529" i="1" s="1"/>
  <c r="X529" i="1"/>
  <c r="Y529" i="1"/>
  <c r="AB529" i="1" s="1"/>
  <c r="AD529" i="1"/>
  <c r="AE529" i="1"/>
  <c r="AF529" i="1"/>
  <c r="AK529" i="1"/>
  <c r="AL529" i="1"/>
  <c r="AM529" i="1"/>
  <c r="AN529" i="1" s="1"/>
  <c r="B530" i="1"/>
  <c r="S530" i="1"/>
  <c r="T530" i="1"/>
  <c r="Z530" i="1" s="1"/>
  <c r="AA530" i="1" s="1"/>
  <c r="V530" i="1" s="1"/>
  <c r="U530" i="1"/>
  <c r="W530" i="1"/>
  <c r="AP530" i="1" s="1"/>
  <c r="X530" i="1"/>
  <c r="Y530" i="1"/>
  <c r="AD530" i="1"/>
  <c r="AE530" i="1"/>
  <c r="AF530" i="1"/>
  <c r="AK530" i="1"/>
  <c r="AL530" i="1"/>
  <c r="AM530" i="1"/>
  <c r="AN530" i="1" s="1"/>
  <c r="B531" i="1"/>
  <c r="O531" i="1"/>
  <c r="T531" i="1" s="1"/>
  <c r="W531" i="1" s="1"/>
  <c r="AP531" i="1" s="1"/>
  <c r="P531" i="1"/>
  <c r="X531" i="1" s="1"/>
  <c r="S531" i="1"/>
  <c r="U531" i="1"/>
  <c r="Y531" i="1"/>
  <c r="AD531" i="1"/>
  <c r="AE531" i="1"/>
  <c r="AF531" i="1"/>
  <c r="AK531" i="1"/>
  <c r="AL531" i="1"/>
  <c r="AM531" i="1"/>
  <c r="AN531" i="1"/>
  <c r="B532" i="1"/>
  <c r="P532" i="1"/>
  <c r="S532" i="1"/>
  <c r="T532" i="1"/>
  <c r="W532" i="1" s="1"/>
  <c r="U532" i="1"/>
  <c r="X532" i="1"/>
  <c r="Z532" i="1" s="1"/>
  <c r="AC532" i="1" s="1"/>
  <c r="Y532" i="1"/>
  <c r="AD532" i="1"/>
  <c r="AE532" i="1"/>
  <c r="AF532" i="1"/>
  <c r="AK532" i="1"/>
  <c r="AL532" i="1"/>
  <c r="AM532" i="1"/>
  <c r="AN532" i="1" s="1"/>
  <c r="B533" i="1"/>
  <c r="O533" i="1"/>
  <c r="T533" i="1" s="1"/>
  <c r="W533" i="1" s="1"/>
  <c r="AP533" i="1" s="1"/>
  <c r="P533" i="1"/>
  <c r="X533" i="1" s="1"/>
  <c r="S533" i="1"/>
  <c r="U533" i="1"/>
  <c r="Y533" i="1"/>
  <c r="AD533" i="1"/>
  <c r="AE533" i="1"/>
  <c r="AF533" i="1"/>
  <c r="AK533" i="1"/>
  <c r="AL533" i="1"/>
  <c r="AM533" i="1"/>
  <c r="AN533" i="1" s="1"/>
  <c r="B534" i="1"/>
  <c r="O534" i="1"/>
  <c r="P534" i="1"/>
  <c r="S534" i="1"/>
  <c r="T534" i="1"/>
  <c r="W534" i="1" s="1"/>
  <c r="U534" i="1"/>
  <c r="X534" i="1"/>
  <c r="Y534" i="1"/>
  <c r="AB534" i="1" s="1"/>
  <c r="AD534" i="1"/>
  <c r="AE534" i="1"/>
  <c r="AF534" i="1"/>
  <c r="AK534" i="1"/>
  <c r="AL534" i="1"/>
  <c r="AM534" i="1"/>
  <c r="AN534" i="1"/>
  <c r="B535" i="1"/>
  <c r="S535" i="1"/>
  <c r="T535" i="1"/>
  <c r="W535" i="1" s="1"/>
  <c r="AP535" i="1" s="1"/>
  <c r="U535" i="1"/>
  <c r="X535" i="1"/>
  <c r="Y535" i="1"/>
  <c r="AA535" i="1" s="1"/>
  <c r="V535" i="1" s="1"/>
  <c r="Z535" i="1"/>
  <c r="AC535" i="1" s="1"/>
  <c r="AD535" i="1"/>
  <c r="AE535" i="1"/>
  <c r="AF535" i="1"/>
  <c r="AK535" i="1"/>
  <c r="AL535" i="1"/>
  <c r="AM535" i="1"/>
  <c r="AN535" i="1" s="1"/>
  <c r="B536" i="1"/>
  <c r="O536" i="1"/>
  <c r="T536" i="1" s="1"/>
  <c r="W536" i="1" s="1"/>
  <c r="P536" i="1"/>
  <c r="S536" i="1"/>
  <c r="U536" i="1"/>
  <c r="X536" i="1"/>
  <c r="Y536" i="1"/>
  <c r="AB536" i="1" s="1"/>
  <c r="AD536" i="1"/>
  <c r="AE536" i="1"/>
  <c r="AF536" i="1"/>
  <c r="AK536" i="1"/>
  <c r="AL536" i="1"/>
  <c r="AM536" i="1"/>
  <c r="AN536" i="1" s="1"/>
  <c r="B537" i="1"/>
  <c r="P537" i="1"/>
  <c r="U537" i="1" s="1"/>
  <c r="S537" i="1"/>
  <c r="Y537" i="1"/>
  <c r="AD537" i="1"/>
  <c r="AE537" i="1"/>
  <c r="AF537" i="1"/>
  <c r="AK537" i="1"/>
  <c r="AL537" i="1"/>
  <c r="AM537" i="1"/>
  <c r="AN537" i="1" s="1"/>
  <c r="B538" i="1"/>
  <c r="O538" i="1"/>
  <c r="P538" i="1"/>
  <c r="S538" i="1"/>
  <c r="T538" i="1"/>
  <c r="W538" i="1" s="1"/>
  <c r="AP538" i="1" s="1"/>
  <c r="U538" i="1"/>
  <c r="X538" i="1"/>
  <c r="Y538" i="1"/>
  <c r="AD538" i="1"/>
  <c r="AE538" i="1"/>
  <c r="AF538" i="1"/>
  <c r="AK538" i="1"/>
  <c r="AL538" i="1"/>
  <c r="AM538" i="1"/>
  <c r="AN538" i="1" s="1"/>
  <c r="B539" i="1"/>
  <c r="O539" i="1"/>
  <c r="P539" i="1"/>
  <c r="S539" i="1"/>
  <c r="T539" i="1"/>
  <c r="W539" i="1" s="1"/>
  <c r="U539" i="1"/>
  <c r="X539" i="1"/>
  <c r="AB539" i="1" s="1"/>
  <c r="Y539" i="1"/>
  <c r="AD539" i="1"/>
  <c r="AE539" i="1"/>
  <c r="AF539" i="1"/>
  <c r="AK539" i="1"/>
  <c r="AL539" i="1"/>
  <c r="AM539" i="1"/>
  <c r="AN539" i="1" s="1"/>
  <c r="B540" i="1"/>
  <c r="O540" i="1"/>
  <c r="P540" i="1"/>
  <c r="X540" i="1" s="1"/>
  <c r="S540" i="1"/>
  <c r="T540" i="1"/>
  <c r="W540" i="1" s="1"/>
  <c r="U540" i="1"/>
  <c r="Y540" i="1"/>
  <c r="AD540" i="1"/>
  <c r="AE540" i="1"/>
  <c r="AF540" i="1"/>
  <c r="AK540" i="1"/>
  <c r="AL540" i="1"/>
  <c r="AM540" i="1"/>
  <c r="AN540" i="1" s="1"/>
  <c r="B541" i="1"/>
  <c r="P541" i="1"/>
  <c r="S541" i="1"/>
  <c r="U541" i="1"/>
  <c r="Y541" i="1"/>
  <c r="AD541" i="1"/>
  <c r="AE541" i="1"/>
  <c r="AF541" i="1"/>
  <c r="AK541" i="1"/>
  <c r="AL541" i="1"/>
  <c r="AM541" i="1"/>
  <c r="AN541" i="1" s="1"/>
  <c r="B542" i="1"/>
  <c r="S542" i="1"/>
  <c r="T542" i="1"/>
  <c r="W542" i="1" s="1"/>
  <c r="AP542" i="1" s="1"/>
  <c r="U542" i="1"/>
  <c r="X542" i="1"/>
  <c r="Y542" i="1"/>
  <c r="AB542" i="1" s="1"/>
  <c r="AD542" i="1"/>
  <c r="AE542" i="1"/>
  <c r="AF542" i="1"/>
  <c r="AK542" i="1"/>
  <c r="AL542" i="1"/>
  <c r="AM542" i="1"/>
  <c r="AN542" i="1" s="1"/>
  <c r="B543" i="1"/>
  <c r="S543" i="1"/>
  <c r="T543" i="1"/>
  <c r="W543" i="1" s="1"/>
  <c r="U543" i="1"/>
  <c r="X543" i="1"/>
  <c r="Y543" i="1"/>
  <c r="Z543" i="1"/>
  <c r="AC543" i="1" s="1"/>
  <c r="AD543" i="1"/>
  <c r="AE543" i="1"/>
  <c r="AF543" i="1"/>
  <c r="AK543" i="1"/>
  <c r="AL543" i="1"/>
  <c r="AM543" i="1"/>
  <c r="AN543" i="1" s="1"/>
  <c r="B544" i="1"/>
  <c r="O544" i="1"/>
  <c r="T544" i="1" s="1"/>
  <c r="P544" i="1"/>
  <c r="X544" i="1" s="1"/>
  <c r="S544" i="1"/>
  <c r="U544" i="1"/>
  <c r="Y544" i="1"/>
  <c r="AD544" i="1"/>
  <c r="AE544" i="1"/>
  <c r="AF544" i="1"/>
  <c r="AK544" i="1"/>
  <c r="AL544" i="1"/>
  <c r="AM544" i="1"/>
  <c r="AN544" i="1" s="1"/>
  <c r="B545" i="1"/>
  <c r="O545" i="1"/>
  <c r="P545" i="1"/>
  <c r="S545" i="1"/>
  <c r="T545" i="1"/>
  <c r="W545" i="1" s="1"/>
  <c r="AP545" i="1" s="1"/>
  <c r="U545" i="1"/>
  <c r="X545" i="1"/>
  <c r="Y545" i="1"/>
  <c r="AD545" i="1"/>
  <c r="AE545" i="1"/>
  <c r="AF545" i="1"/>
  <c r="AK545" i="1"/>
  <c r="AL545" i="1"/>
  <c r="AM545" i="1"/>
  <c r="AN545" i="1"/>
  <c r="B546" i="1"/>
  <c r="S546" i="1"/>
  <c r="T546" i="1"/>
  <c r="W546" i="1" s="1"/>
  <c r="AQ546" i="1" s="1"/>
  <c r="U546" i="1"/>
  <c r="X546" i="1"/>
  <c r="Z546" i="1" s="1"/>
  <c r="AC546" i="1" s="1"/>
  <c r="Y546" i="1"/>
  <c r="AD546" i="1"/>
  <c r="AE546" i="1"/>
  <c r="AF546" i="1"/>
  <c r="AK546" i="1"/>
  <c r="AL546" i="1"/>
  <c r="AM546" i="1"/>
  <c r="AN546" i="1" s="1"/>
  <c r="B547" i="1"/>
  <c r="S547" i="1"/>
  <c r="T547" i="1"/>
  <c r="W547" i="1" s="1"/>
  <c r="U547" i="1"/>
  <c r="X547" i="1"/>
  <c r="Z547" i="1" s="1"/>
  <c r="AC547" i="1" s="1"/>
  <c r="Y547" i="1"/>
  <c r="AD547" i="1"/>
  <c r="AE547" i="1"/>
  <c r="AF547" i="1"/>
  <c r="AK547" i="1"/>
  <c r="AL547" i="1"/>
  <c r="AM547" i="1"/>
  <c r="AN547" i="1" s="1"/>
  <c r="B548" i="1"/>
  <c r="O548" i="1"/>
  <c r="P548" i="1"/>
  <c r="S548" i="1"/>
  <c r="T548" i="1"/>
  <c r="W548" i="1" s="1"/>
  <c r="AQ548" i="1" s="1"/>
  <c r="U548" i="1"/>
  <c r="X548" i="1"/>
  <c r="Y548" i="1"/>
  <c r="AB548" i="1" s="1"/>
  <c r="AD548" i="1"/>
  <c r="AE548" i="1"/>
  <c r="AF548" i="1"/>
  <c r="AK548" i="1"/>
  <c r="AL548" i="1"/>
  <c r="AM548" i="1"/>
  <c r="AN548" i="1" s="1"/>
  <c r="B549" i="1"/>
  <c r="O549" i="1"/>
  <c r="P549" i="1"/>
  <c r="S549" i="1"/>
  <c r="Y549" i="1"/>
  <c r="AD549" i="1"/>
  <c r="AE549" i="1"/>
  <c r="AF549" i="1"/>
  <c r="AK549" i="1"/>
  <c r="AL549" i="1"/>
  <c r="AM549" i="1"/>
  <c r="AN549" i="1" s="1"/>
  <c r="B550" i="1"/>
  <c r="O550" i="1"/>
  <c r="P550" i="1"/>
  <c r="S550" i="1"/>
  <c r="T550" i="1"/>
  <c r="W550" i="1" s="1"/>
  <c r="U550" i="1"/>
  <c r="X550" i="1"/>
  <c r="Y550" i="1"/>
  <c r="Z550" i="1"/>
  <c r="AC550" i="1" s="1"/>
  <c r="AD550" i="1"/>
  <c r="AE550" i="1"/>
  <c r="AF550" i="1"/>
  <c r="AK550" i="1"/>
  <c r="AL550" i="1"/>
  <c r="AM550" i="1"/>
  <c r="AN550" i="1" s="1"/>
  <c r="B551" i="1"/>
  <c r="P551" i="1"/>
  <c r="S551" i="1"/>
  <c r="T551" i="1"/>
  <c r="W551" i="1" s="1"/>
  <c r="AQ551" i="1" s="1"/>
  <c r="U551" i="1"/>
  <c r="X551" i="1"/>
  <c r="Y551" i="1"/>
  <c r="AB551" i="1" s="1"/>
  <c r="AD551" i="1"/>
  <c r="AE551" i="1"/>
  <c r="AF551" i="1"/>
  <c r="AK551" i="1"/>
  <c r="AL551" i="1"/>
  <c r="AM551" i="1"/>
  <c r="AN551" i="1" s="1"/>
  <c r="B552" i="1"/>
  <c r="O552" i="1"/>
  <c r="P552" i="1"/>
  <c r="S552" i="1"/>
  <c r="X552" i="1"/>
  <c r="Y552" i="1"/>
  <c r="AD552" i="1"/>
  <c r="AE552" i="1"/>
  <c r="AF552" i="1"/>
  <c r="AK552" i="1"/>
  <c r="AL552" i="1"/>
  <c r="AM552" i="1"/>
  <c r="AN552" i="1"/>
  <c r="B553" i="1"/>
  <c r="O553" i="1"/>
  <c r="P553" i="1"/>
  <c r="S553" i="1"/>
  <c r="T553" i="1"/>
  <c r="W553" i="1" s="1"/>
  <c r="U553" i="1"/>
  <c r="X553" i="1"/>
  <c r="Y553" i="1"/>
  <c r="AB553" i="1" s="1"/>
  <c r="Z553" i="1"/>
  <c r="AC553" i="1" s="1"/>
  <c r="AD553" i="1"/>
  <c r="AE553" i="1"/>
  <c r="AF553" i="1"/>
  <c r="AK553" i="1"/>
  <c r="AL553" i="1"/>
  <c r="AM553" i="1"/>
  <c r="AN553" i="1"/>
  <c r="B554" i="1"/>
  <c r="O554" i="1"/>
  <c r="P554" i="1"/>
  <c r="S554" i="1"/>
  <c r="Y554" i="1"/>
  <c r="AD554" i="1"/>
  <c r="AE554" i="1"/>
  <c r="AF554" i="1"/>
  <c r="AK554" i="1"/>
  <c r="AL554" i="1"/>
  <c r="AM554" i="1"/>
  <c r="AN554" i="1" s="1"/>
  <c r="B555" i="1"/>
  <c r="O555" i="1"/>
  <c r="P555" i="1"/>
  <c r="U555" i="1" s="1"/>
  <c r="S555" i="1"/>
  <c r="Y555" i="1"/>
  <c r="AD555" i="1"/>
  <c r="AE555" i="1"/>
  <c r="AF555" i="1"/>
  <c r="AK555" i="1"/>
  <c r="AL555" i="1"/>
  <c r="AM555" i="1"/>
  <c r="AN555" i="1" s="1"/>
  <c r="B556" i="1"/>
  <c r="S556" i="1"/>
  <c r="T556" i="1"/>
  <c r="W556" i="1" s="1"/>
  <c r="AP556" i="1" s="1"/>
  <c r="U556" i="1"/>
  <c r="X556" i="1"/>
  <c r="Z556" i="1" s="1"/>
  <c r="AC556" i="1" s="1"/>
  <c r="Y556" i="1"/>
  <c r="AD556" i="1"/>
  <c r="AE556" i="1"/>
  <c r="AF556" i="1"/>
  <c r="AK556" i="1"/>
  <c r="AL556" i="1"/>
  <c r="AM556" i="1"/>
  <c r="AN556" i="1" s="1"/>
  <c r="B557" i="1"/>
  <c r="S557" i="1"/>
  <c r="T557" i="1"/>
  <c r="W557" i="1" s="1"/>
  <c r="U557" i="1"/>
  <c r="X557" i="1"/>
  <c r="Y557" i="1"/>
  <c r="Z557" i="1"/>
  <c r="AC557" i="1" s="1"/>
  <c r="AD557" i="1"/>
  <c r="AE557" i="1"/>
  <c r="AF557" i="1"/>
  <c r="AK557" i="1"/>
  <c r="AL557" i="1"/>
  <c r="AM557" i="1"/>
  <c r="AN557" i="1" s="1"/>
  <c r="B558" i="1"/>
  <c r="O558" i="1"/>
  <c r="P558" i="1"/>
  <c r="S558" i="1"/>
  <c r="T558" i="1"/>
  <c r="W558" i="1" s="1"/>
  <c r="AP558" i="1" s="1"/>
  <c r="U558" i="1"/>
  <c r="X558" i="1"/>
  <c r="Y558" i="1"/>
  <c r="AD558" i="1"/>
  <c r="AE558" i="1"/>
  <c r="AF558" i="1"/>
  <c r="AK558" i="1"/>
  <c r="AL558" i="1"/>
  <c r="AM558" i="1"/>
  <c r="AN558" i="1" s="1"/>
  <c r="B559" i="1"/>
  <c r="O559" i="1"/>
  <c r="U559" i="1" s="1"/>
  <c r="P559" i="1"/>
  <c r="S559" i="1"/>
  <c r="X559" i="1"/>
  <c r="Y559" i="1"/>
  <c r="AD559" i="1"/>
  <c r="AE559" i="1"/>
  <c r="AF559" i="1"/>
  <c r="AK559" i="1"/>
  <c r="AL559" i="1"/>
  <c r="AM559" i="1"/>
  <c r="AN559" i="1" s="1"/>
  <c r="B560" i="1"/>
  <c r="O560" i="1"/>
  <c r="P560" i="1"/>
  <c r="S560" i="1"/>
  <c r="U560" i="1"/>
  <c r="Y560" i="1"/>
  <c r="AD560" i="1"/>
  <c r="AE560" i="1"/>
  <c r="AF560" i="1"/>
  <c r="AK560" i="1"/>
  <c r="AL560" i="1"/>
  <c r="AM560" i="1"/>
  <c r="AN560" i="1"/>
  <c r="B561" i="1"/>
  <c r="O561" i="1"/>
  <c r="P561" i="1"/>
  <c r="S561" i="1"/>
  <c r="Y561" i="1"/>
  <c r="AD561" i="1"/>
  <c r="AE561" i="1"/>
  <c r="AF561" i="1"/>
  <c r="AK561" i="1"/>
  <c r="AL561" i="1"/>
  <c r="AM561" i="1"/>
  <c r="AN561" i="1" s="1"/>
  <c r="B562" i="1"/>
  <c r="S562" i="1"/>
  <c r="T562" i="1"/>
  <c r="W562" i="1" s="1"/>
  <c r="AQ562" i="1" s="1"/>
  <c r="U562" i="1"/>
  <c r="X562" i="1"/>
  <c r="Y562" i="1"/>
  <c r="AD562" i="1"/>
  <c r="AE562" i="1"/>
  <c r="AF562" i="1"/>
  <c r="AK562" i="1"/>
  <c r="AL562" i="1"/>
  <c r="AM562" i="1"/>
  <c r="AN562" i="1"/>
  <c r="B563" i="1"/>
  <c r="S563" i="1"/>
  <c r="T563" i="1"/>
  <c r="W563" i="1" s="1"/>
  <c r="AQ563" i="1" s="1"/>
  <c r="U563" i="1"/>
  <c r="X563" i="1"/>
  <c r="Y563" i="1"/>
  <c r="AB563" i="1" s="1"/>
  <c r="AD563" i="1"/>
  <c r="AE563" i="1"/>
  <c r="AF563" i="1"/>
  <c r="AK563" i="1"/>
  <c r="AL563" i="1"/>
  <c r="AM563" i="1"/>
  <c r="AN563" i="1"/>
  <c r="B564" i="1"/>
  <c r="O564" i="1"/>
  <c r="T564" i="1" s="1"/>
  <c r="W564" i="1" s="1"/>
  <c r="P564" i="1"/>
  <c r="S564" i="1"/>
  <c r="U564" i="1"/>
  <c r="X564" i="1"/>
  <c r="Y564" i="1"/>
  <c r="AD564" i="1"/>
  <c r="AE564" i="1"/>
  <c r="AF564" i="1"/>
  <c r="AK564" i="1"/>
  <c r="AL564" i="1"/>
  <c r="AM564" i="1"/>
  <c r="AN564" i="1" s="1"/>
  <c r="B565" i="1"/>
  <c r="P565" i="1"/>
  <c r="S565" i="1"/>
  <c r="X565" i="1"/>
  <c r="Y565" i="1"/>
  <c r="AD565" i="1"/>
  <c r="AE565" i="1"/>
  <c r="AF565" i="1"/>
  <c r="AK565" i="1"/>
  <c r="AL565" i="1"/>
  <c r="AM565" i="1"/>
  <c r="AN565" i="1" s="1"/>
  <c r="B566" i="1"/>
  <c r="O566" i="1"/>
  <c r="T566" i="1" s="1"/>
  <c r="W566" i="1" s="1"/>
  <c r="AQ566" i="1" s="1"/>
  <c r="P566" i="1"/>
  <c r="X566" i="1" s="1"/>
  <c r="S566" i="1"/>
  <c r="U566" i="1"/>
  <c r="Y566" i="1"/>
  <c r="AD566" i="1"/>
  <c r="AE566" i="1"/>
  <c r="AF566" i="1"/>
  <c r="AK566" i="1"/>
  <c r="AL566" i="1"/>
  <c r="AM566" i="1"/>
  <c r="AN566" i="1" s="1"/>
  <c r="B567" i="1"/>
  <c r="P567" i="1"/>
  <c r="S567" i="1"/>
  <c r="T567" i="1"/>
  <c r="W567" i="1" s="1"/>
  <c r="U567" i="1"/>
  <c r="X567" i="1"/>
  <c r="Y567" i="1"/>
  <c r="Z567" i="1"/>
  <c r="AC567" i="1" s="1"/>
  <c r="AD567" i="1"/>
  <c r="AE567" i="1"/>
  <c r="AF567" i="1"/>
  <c r="AK567" i="1"/>
  <c r="AL567" i="1"/>
  <c r="AM567" i="1"/>
  <c r="AN567" i="1" s="1"/>
  <c r="B568" i="1"/>
  <c r="S568" i="1"/>
  <c r="T568" i="1"/>
  <c r="W568" i="1" s="1"/>
  <c r="AQ568" i="1" s="1"/>
  <c r="U568" i="1"/>
  <c r="X568" i="1"/>
  <c r="Z568" i="1" s="1"/>
  <c r="AC568" i="1" s="1"/>
  <c r="Y568" i="1"/>
  <c r="AD568" i="1"/>
  <c r="AE568" i="1"/>
  <c r="AF568" i="1"/>
  <c r="AK568" i="1"/>
  <c r="AL568" i="1"/>
  <c r="AM568" i="1"/>
  <c r="AN568" i="1"/>
  <c r="B569" i="1"/>
  <c r="S569" i="1"/>
  <c r="T569" i="1"/>
  <c r="W569" i="1" s="1"/>
  <c r="U569" i="1"/>
  <c r="X569" i="1"/>
  <c r="Y569" i="1"/>
  <c r="AD569" i="1"/>
  <c r="AE569" i="1"/>
  <c r="AF569" i="1"/>
  <c r="AK569" i="1"/>
  <c r="AL569" i="1"/>
  <c r="AM569" i="1"/>
  <c r="AN569" i="1"/>
  <c r="B570" i="1"/>
  <c r="O570" i="1"/>
  <c r="P570" i="1"/>
  <c r="T570" i="1" s="1"/>
  <c r="W570" i="1" s="1"/>
  <c r="S570" i="1"/>
  <c r="U570" i="1"/>
  <c r="X570" i="1"/>
  <c r="Y570" i="1"/>
  <c r="AD570" i="1"/>
  <c r="AE570" i="1"/>
  <c r="AF570" i="1"/>
  <c r="AK570" i="1"/>
  <c r="AL570" i="1"/>
  <c r="AM570" i="1"/>
  <c r="AN570" i="1" s="1"/>
  <c r="B571" i="1"/>
  <c r="O571" i="1"/>
  <c r="P571" i="1"/>
  <c r="T571" i="1" s="1"/>
  <c r="W571" i="1" s="1"/>
  <c r="S571" i="1"/>
  <c r="U571" i="1"/>
  <c r="X571" i="1"/>
  <c r="Y571" i="1"/>
  <c r="AD571" i="1"/>
  <c r="AE571" i="1"/>
  <c r="AF571" i="1"/>
  <c r="AK571" i="1"/>
  <c r="AL571" i="1"/>
  <c r="AM571" i="1"/>
  <c r="AN571" i="1" s="1"/>
  <c r="B572" i="1"/>
  <c r="O572" i="1"/>
  <c r="T572" i="1" s="1"/>
  <c r="W572" i="1" s="1"/>
  <c r="P572" i="1"/>
  <c r="S572" i="1"/>
  <c r="U572" i="1"/>
  <c r="X572" i="1"/>
  <c r="Z572" i="1" s="1"/>
  <c r="AC572" i="1" s="1"/>
  <c r="Y572" i="1"/>
  <c r="AD572" i="1"/>
  <c r="AE572" i="1"/>
  <c r="AF572" i="1"/>
  <c r="AK572" i="1"/>
  <c r="AL572" i="1"/>
  <c r="AM572" i="1"/>
  <c r="AN572" i="1" s="1"/>
  <c r="B573" i="1"/>
  <c r="O573" i="1"/>
  <c r="P573" i="1"/>
  <c r="T573" i="1" s="1"/>
  <c r="W573" i="1" s="1"/>
  <c r="S573" i="1"/>
  <c r="X573" i="1"/>
  <c r="Y573" i="1"/>
  <c r="AB573" i="1" s="1"/>
  <c r="AD573" i="1"/>
  <c r="AE573" i="1"/>
  <c r="AF573" i="1"/>
  <c r="AK573" i="1"/>
  <c r="AL573" i="1"/>
  <c r="AM573" i="1"/>
  <c r="AN573" i="1" s="1"/>
  <c r="B574" i="1"/>
  <c r="O574" i="1"/>
  <c r="P574" i="1"/>
  <c r="T574" i="1" s="1"/>
  <c r="W574" i="1" s="1"/>
  <c r="AQ574" i="1" s="1"/>
  <c r="S574" i="1"/>
  <c r="X574" i="1"/>
  <c r="Y574" i="1"/>
  <c r="AD574" i="1"/>
  <c r="AE574" i="1"/>
  <c r="AF574" i="1"/>
  <c r="AK574" i="1"/>
  <c r="AL574" i="1"/>
  <c r="AM574" i="1"/>
  <c r="AN574" i="1"/>
  <c r="B575" i="1"/>
  <c r="P575" i="1"/>
  <c r="U575" i="1" s="1"/>
  <c r="S575" i="1"/>
  <c r="T575" i="1"/>
  <c r="W575" i="1" s="1"/>
  <c r="AP575" i="1" s="1"/>
  <c r="X575" i="1"/>
  <c r="Y575" i="1"/>
  <c r="AB575" i="1" s="1"/>
  <c r="AD575" i="1"/>
  <c r="AE575" i="1"/>
  <c r="AF575" i="1"/>
  <c r="AK575" i="1"/>
  <c r="AL575" i="1"/>
  <c r="AM575" i="1"/>
  <c r="AN575" i="1" s="1"/>
  <c r="B576" i="1"/>
  <c r="O576" i="1"/>
  <c r="P576" i="1"/>
  <c r="T576" i="1" s="1"/>
  <c r="W576" i="1" s="1"/>
  <c r="S576" i="1"/>
  <c r="X576" i="1"/>
  <c r="Y576" i="1"/>
  <c r="AD576" i="1"/>
  <c r="AE576" i="1"/>
  <c r="AF576" i="1"/>
  <c r="AK576" i="1"/>
  <c r="AL576" i="1"/>
  <c r="AM576" i="1"/>
  <c r="AN576" i="1" s="1"/>
  <c r="B577" i="1"/>
  <c r="O577" i="1"/>
  <c r="T577" i="1" s="1"/>
  <c r="W577" i="1" s="1"/>
  <c r="AQ577" i="1" s="1"/>
  <c r="P577" i="1"/>
  <c r="S577" i="1"/>
  <c r="U577" i="1"/>
  <c r="X577" i="1"/>
  <c r="Y577" i="1"/>
  <c r="AB577" i="1"/>
  <c r="AD577" i="1"/>
  <c r="AE577" i="1"/>
  <c r="AF577" i="1"/>
  <c r="AK577" i="1"/>
  <c r="AL577" i="1"/>
  <c r="AM577" i="1"/>
  <c r="AN577" i="1" s="1"/>
  <c r="B578" i="1"/>
  <c r="O578" i="1"/>
  <c r="P578" i="1"/>
  <c r="U578" i="1" s="1"/>
  <c r="S578" i="1"/>
  <c r="T578" i="1"/>
  <c r="W578" i="1" s="1"/>
  <c r="AP578" i="1" s="1"/>
  <c r="X578" i="1"/>
  <c r="Z578" i="1" s="1"/>
  <c r="AC578" i="1" s="1"/>
  <c r="Y578" i="1"/>
  <c r="AB578" i="1" s="1"/>
  <c r="AD578" i="1"/>
  <c r="AE578" i="1"/>
  <c r="AF578" i="1"/>
  <c r="AK578" i="1"/>
  <c r="AL578" i="1"/>
  <c r="AM578" i="1"/>
  <c r="AN578" i="1"/>
  <c r="B579" i="1"/>
  <c r="O579" i="1"/>
  <c r="P579" i="1"/>
  <c r="U579" i="1" s="1"/>
  <c r="S579" i="1"/>
  <c r="Y579" i="1"/>
  <c r="AD579" i="1"/>
  <c r="AE579" i="1"/>
  <c r="AF579" i="1"/>
  <c r="AK579" i="1"/>
  <c r="AL579" i="1"/>
  <c r="AM579" i="1"/>
  <c r="AN579" i="1"/>
  <c r="B580" i="1"/>
  <c r="O580" i="1"/>
  <c r="P580" i="1"/>
  <c r="X580" i="1" s="1"/>
  <c r="S580" i="1"/>
  <c r="U580" i="1"/>
  <c r="Y580" i="1"/>
  <c r="AD580" i="1"/>
  <c r="AE580" i="1"/>
  <c r="AF580" i="1"/>
  <c r="AK580" i="1"/>
  <c r="AL580" i="1"/>
  <c r="AM580" i="1"/>
  <c r="AN580" i="1" s="1"/>
  <c r="B581" i="1"/>
  <c r="O581" i="1"/>
  <c r="P581" i="1"/>
  <c r="S581" i="1"/>
  <c r="T581" i="1"/>
  <c r="W581" i="1" s="1"/>
  <c r="U581" i="1"/>
  <c r="X581" i="1"/>
  <c r="Y581" i="1"/>
  <c r="AB581" i="1" s="1"/>
  <c r="AD581" i="1"/>
  <c r="AE581" i="1"/>
  <c r="AF581" i="1"/>
  <c r="AK581" i="1"/>
  <c r="AL581" i="1"/>
  <c r="AM581" i="1"/>
  <c r="AN581" i="1"/>
  <c r="B582" i="1"/>
  <c r="O582" i="1"/>
  <c r="P582" i="1"/>
  <c r="S582" i="1"/>
  <c r="T582" i="1"/>
  <c r="W582" i="1" s="1"/>
  <c r="U582" i="1"/>
  <c r="X582" i="1"/>
  <c r="Y582" i="1"/>
  <c r="AD582" i="1"/>
  <c r="AE582" i="1"/>
  <c r="AF582" i="1"/>
  <c r="AK582" i="1"/>
  <c r="AL582" i="1"/>
  <c r="AM582" i="1"/>
  <c r="AN582" i="1" s="1"/>
  <c r="B583" i="1"/>
  <c r="O583" i="1"/>
  <c r="P583" i="1"/>
  <c r="X583" i="1" s="1"/>
  <c r="S583" i="1"/>
  <c r="U583" i="1"/>
  <c r="Y583" i="1"/>
  <c r="AD583" i="1"/>
  <c r="AE583" i="1"/>
  <c r="AF583" i="1"/>
  <c r="AK583" i="1"/>
  <c r="AL583" i="1"/>
  <c r="AM583" i="1"/>
  <c r="AN583" i="1" s="1"/>
  <c r="B584" i="1"/>
  <c r="O584" i="1"/>
  <c r="P584" i="1"/>
  <c r="X584" i="1" s="1"/>
  <c r="S584" i="1"/>
  <c r="Y584" i="1"/>
  <c r="AD584" i="1"/>
  <c r="AE584" i="1"/>
  <c r="AF584" i="1"/>
  <c r="AK584" i="1"/>
  <c r="AL584" i="1"/>
  <c r="AM584" i="1"/>
  <c r="AN584" i="1" s="1"/>
  <c r="B585" i="1"/>
  <c r="O585" i="1"/>
  <c r="T585" i="1" s="1"/>
  <c r="W585" i="1" s="1"/>
  <c r="P585" i="1"/>
  <c r="S585" i="1"/>
  <c r="U585" i="1"/>
  <c r="X585" i="1"/>
  <c r="Y585" i="1"/>
  <c r="AB585" i="1"/>
  <c r="AD585" i="1"/>
  <c r="AE585" i="1"/>
  <c r="AF585" i="1"/>
  <c r="AK585" i="1"/>
  <c r="AL585" i="1"/>
  <c r="AM585" i="1"/>
  <c r="AN585" i="1" s="1"/>
  <c r="B586" i="1"/>
  <c r="O586" i="1"/>
  <c r="T586" i="1" s="1"/>
  <c r="W586" i="1" s="1"/>
  <c r="P586" i="1"/>
  <c r="S586" i="1"/>
  <c r="U586" i="1"/>
  <c r="X586" i="1"/>
  <c r="Y586" i="1"/>
  <c r="AD586" i="1"/>
  <c r="AE586" i="1"/>
  <c r="AF586" i="1"/>
  <c r="AK586" i="1"/>
  <c r="AL586" i="1"/>
  <c r="AM586" i="1"/>
  <c r="AN586" i="1" s="1"/>
  <c r="B587" i="1"/>
  <c r="O587" i="1"/>
  <c r="P587" i="1"/>
  <c r="X587" i="1" s="1"/>
  <c r="S587" i="1"/>
  <c r="Y587" i="1"/>
  <c r="AD587" i="1"/>
  <c r="AE587" i="1"/>
  <c r="AF587" i="1"/>
  <c r="AK587" i="1"/>
  <c r="AL587" i="1"/>
  <c r="AM587" i="1"/>
  <c r="AN587" i="1" s="1"/>
  <c r="B588" i="1"/>
  <c r="S588" i="1"/>
  <c r="T588" i="1"/>
  <c r="W588" i="1" s="1"/>
  <c r="U588" i="1"/>
  <c r="X588" i="1"/>
  <c r="Y588" i="1"/>
  <c r="AD588" i="1"/>
  <c r="AE588" i="1"/>
  <c r="AF588" i="1"/>
  <c r="AK588" i="1"/>
  <c r="AL588" i="1"/>
  <c r="AM588" i="1"/>
  <c r="AN588" i="1" s="1"/>
  <c r="B589" i="1"/>
  <c r="S589" i="1"/>
  <c r="T589" i="1"/>
  <c r="W589" i="1" s="1"/>
  <c r="U589" i="1"/>
  <c r="X589" i="1"/>
  <c r="Y589" i="1"/>
  <c r="AB589" i="1"/>
  <c r="AD589" i="1"/>
  <c r="AE589" i="1"/>
  <c r="AF589" i="1"/>
  <c r="AK589" i="1"/>
  <c r="AL589" i="1"/>
  <c r="AM589" i="1"/>
  <c r="AN589" i="1" s="1"/>
  <c r="B590" i="1"/>
  <c r="S590" i="1"/>
  <c r="T590" i="1"/>
  <c r="U590" i="1"/>
  <c r="W590" i="1"/>
  <c r="AP590" i="1" s="1"/>
  <c r="X590" i="1"/>
  <c r="Y590" i="1"/>
  <c r="AD590" i="1"/>
  <c r="AE590" i="1"/>
  <c r="AF590" i="1"/>
  <c r="AK590" i="1"/>
  <c r="AL590" i="1"/>
  <c r="AM590" i="1"/>
  <c r="AN590" i="1" s="1"/>
  <c r="B591" i="1"/>
  <c r="S591" i="1"/>
  <c r="T591" i="1"/>
  <c r="W591" i="1" s="1"/>
  <c r="AQ591" i="1" s="1"/>
  <c r="U591" i="1"/>
  <c r="X591" i="1"/>
  <c r="Z591" i="1" s="1"/>
  <c r="AC591" i="1" s="1"/>
  <c r="Y591" i="1"/>
  <c r="AD591" i="1"/>
  <c r="AE591" i="1"/>
  <c r="AF591" i="1"/>
  <c r="AK591" i="1"/>
  <c r="AL591" i="1"/>
  <c r="AM591" i="1"/>
  <c r="AN591" i="1"/>
  <c r="B592" i="1"/>
  <c r="S592" i="1"/>
  <c r="T592" i="1"/>
  <c r="W592" i="1" s="1"/>
  <c r="U592" i="1"/>
  <c r="X592" i="1"/>
  <c r="Y592" i="1"/>
  <c r="AD592" i="1"/>
  <c r="AE592" i="1"/>
  <c r="AF592" i="1"/>
  <c r="AK592" i="1"/>
  <c r="AL592" i="1"/>
  <c r="AM592" i="1"/>
  <c r="AN592" i="1" s="1"/>
  <c r="B593" i="1"/>
  <c r="S593" i="1"/>
  <c r="T593" i="1"/>
  <c r="W593" i="1" s="1"/>
  <c r="U593" i="1"/>
  <c r="X593" i="1"/>
  <c r="Y593" i="1"/>
  <c r="AD593" i="1"/>
  <c r="AE593" i="1"/>
  <c r="AF593" i="1"/>
  <c r="AK593" i="1"/>
  <c r="AL593" i="1"/>
  <c r="AM593" i="1"/>
  <c r="AN593" i="1"/>
  <c r="B594" i="1"/>
  <c r="S594" i="1"/>
  <c r="T594" i="1"/>
  <c r="W594" i="1" s="1"/>
  <c r="AP594" i="1" s="1"/>
  <c r="U594" i="1"/>
  <c r="X594" i="1"/>
  <c r="Y594" i="1"/>
  <c r="AA594" i="1" s="1"/>
  <c r="V594" i="1" s="1"/>
  <c r="Z594" i="1"/>
  <c r="AC594" i="1" s="1"/>
  <c r="AD594" i="1"/>
  <c r="AE594" i="1"/>
  <c r="AF594" i="1"/>
  <c r="AK594" i="1"/>
  <c r="AL594" i="1"/>
  <c r="AM594" i="1"/>
  <c r="AN594" i="1" s="1"/>
  <c r="B595" i="1"/>
  <c r="S595" i="1"/>
  <c r="T595" i="1"/>
  <c r="Z595" i="1" s="1"/>
  <c r="AC595" i="1" s="1"/>
  <c r="U595" i="1"/>
  <c r="W595" i="1"/>
  <c r="AQ595" i="1" s="1"/>
  <c r="X595" i="1"/>
  <c r="Y595" i="1"/>
  <c r="AD595" i="1"/>
  <c r="AE595" i="1"/>
  <c r="AF595" i="1"/>
  <c r="AK595" i="1"/>
  <c r="AL595" i="1"/>
  <c r="AM595" i="1"/>
  <c r="AN595" i="1" s="1"/>
  <c r="B596" i="1"/>
  <c r="S596" i="1"/>
  <c r="T596" i="1"/>
  <c r="W596" i="1" s="1"/>
  <c r="U596" i="1"/>
  <c r="X596" i="1"/>
  <c r="Z596" i="1" s="1"/>
  <c r="AC596" i="1" s="1"/>
  <c r="Y596" i="1"/>
  <c r="AD596" i="1"/>
  <c r="AE596" i="1"/>
  <c r="AF596" i="1"/>
  <c r="AK596" i="1"/>
  <c r="AL596" i="1"/>
  <c r="AM596" i="1"/>
  <c r="AN596" i="1"/>
  <c r="B597" i="1"/>
  <c r="S597" i="1"/>
  <c r="T597" i="1"/>
  <c r="W597" i="1" s="1"/>
  <c r="U597" i="1"/>
  <c r="X597" i="1"/>
  <c r="Y597" i="1"/>
  <c r="AB597" i="1" s="1"/>
  <c r="AD597" i="1"/>
  <c r="AE597" i="1"/>
  <c r="AF597" i="1"/>
  <c r="AK597" i="1"/>
  <c r="AL597" i="1"/>
  <c r="AM597" i="1"/>
  <c r="AN597" i="1" s="1"/>
  <c r="B598" i="1"/>
  <c r="S598" i="1"/>
  <c r="T598" i="1"/>
  <c r="W598" i="1" s="1"/>
  <c r="AP598" i="1" s="1"/>
  <c r="U598" i="1"/>
  <c r="X598" i="1"/>
  <c r="Y598" i="1"/>
  <c r="AD598" i="1"/>
  <c r="AE598" i="1"/>
  <c r="AF598" i="1"/>
  <c r="AK598" i="1"/>
  <c r="AL598" i="1"/>
  <c r="AM598" i="1"/>
  <c r="AN598" i="1" s="1"/>
  <c r="B599" i="1"/>
  <c r="S599" i="1"/>
  <c r="T599" i="1"/>
  <c r="U599" i="1"/>
  <c r="W599" i="1"/>
  <c r="AQ599" i="1" s="1"/>
  <c r="X599" i="1"/>
  <c r="Z599" i="1" s="1"/>
  <c r="AC599" i="1" s="1"/>
  <c r="Y599" i="1"/>
  <c r="AD599" i="1"/>
  <c r="AE599" i="1"/>
  <c r="AF599" i="1"/>
  <c r="AK599" i="1"/>
  <c r="AL599" i="1"/>
  <c r="AM599" i="1"/>
  <c r="AN599" i="1"/>
  <c r="B600" i="1"/>
  <c r="S600" i="1"/>
  <c r="T600" i="1"/>
  <c r="W600" i="1" s="1"/>
  <c r="U600" i="1"/>
  <c r="X600" i="1"/>
  <c r="Y600" i="1"/>
  <c r="AD600" i="1"/>
  <c r="AE600" i="1"/>
  <c r="AF600" i="1"/>
  <c r="AK600" i="1"/>
  <c r="AL600" i="1"/>
  <c r="AM600" i="1"/>
  <c r="AN600" i="1" s="1"/>
  <c r="B601" i="1"/>
  <c r="S601" i="1"/>
  <c r="T601" i="1"/>
  <c r="W601" i="1" s="1"/>
  <c r="U601" i="1"/>
  <c r="X601" i="1"/>
  <c r="Z601" i="1" s="1"/>
  <c r="Y601" i="1"/>
  <c r="AD601" i="1"/>
  <c r="AE601" i="1"/>
  <c r="AF601" i="1"/>
  <c r="AK601" i="1"/>
  <c r="AL601" i="1"/>
  <c r="AM601" i="1"/>
  <c r="AN601" i="1"/>
  <c r="B602" i="1"/>
  <c r="S602" i="1"/>
  <c r="T602" i="1"/>
  <c r="W602" i="1" s="1"/>
  <c r="AP602" i="1" s="1"/>
  <c r="U602" i="1"/>
  <c r="X602" i="1"/>
  <c r="Z602" i="1" s="1"/>
  <c r="AC602" i="1" s="1"/>
  <c r="Y602" i="1"/>
  <c r="AD602" i="1"/>
  <c r="AE602" i="1"/>
  <c r="AF602" i="1"/>
  <c r="AK602" i="1"/>
  <c r="AL602" i="1"/>
  <c r="AM602" i="1"/>
  <c r="AN602" i="1" s="1"/>
  <c r="B603" i="1"/>
  <c r="S603" i="1"/>
  <c r="T603" i="1"/>
  <c r="Z603" i="1" s="1"/>
  <c r="AC603" i="1" s="1"/>
  <c r="U603" i="1"/>
  <c r="X603" i="1"/>
  <c r="Y603" i="1"/>
  <c r="AD603" i="1"/>
  <c r="AE603" i="1"/>
  <c r="AF603" i="1"/>
  <c r="AK603" i="1"/>
  <c r="AL603" i="1"/>
  <c r="AM603" i="1"/>
  <c r="AN603" i="1" s="1"/>
  <c r="B604" i="1"/>
  <c r="S604" i="1"/>
  <c r="T604" i="1"/>
  <c r="W604" i="1" s="1"/>
  <c r="U604" i="1"/>
  <c r="X604" i="1"/>
  <c r="Y604" i="1"/>
  <c r="AD604" i="1"/>
  <c r="AE604" i="1"/>
  <c r="AF604" i="1"/>
  <c r="AK604" i="1"/>
  <c r="AL604" i="1"/>
  <c r="AM604" i="1"/>
  <c r="AN604" i="1"/>
  <c r="B605" i="1"/>
  <c r="S605" i="1"/>
  <c r="T605" i="1"/>
  <c r="W605" i="1" s="1"/>
  <c r="U605" i="1"/>
  <c r="X605" i="1"/>
  <c r="Y605" i="1"/>
  <c r="AB605" i="1" s="1"/>
  <c r="AD605" i="1"/>
  <c r="AE605" i="1"/>
  <c r="AF605" i="1"/>
  <c r="AK605" i="1"/>
  <c r="AL605" i="1"/>
  <c r="AM605" i="1"/>
  <c r="AN605" i="1" s="1"/>
  <c r="B606" i="1"/>
  <c r="S606" i="1"/>
  <c r="T606" i="1"/>
  <c r="U606" i="1"/>
  <c r="W606" i="1"/>
  <c r="AP606" i="1" s="1"/>
  <c r="X606" i="1"/>
  <c r="Y606" i="1"/>
  <c r="AD606" i="1"/>
  <c r="AE606" i="1"/>
  <c r="AF606" i="1"/>
  <c r="AK606" i="1"/>
  <c r="AL606" i="1"/>
  <c r="AM606" i="1"/>
  <c r="AN606" i="1" s="1"/>
  <c r="B607" i="1"/>
  <c r="S607" i="1"/>
  <c r="T607" i="1"/>
  <c r="W607" i="1" s="1"/>
  <c r="AQ607" i="1" s="1"/>
  <c r="U607" i="1"/>
  <c r="X607" i="1"/>
  <c r="Z607" i="1" s="1"/>
  <c r="AC607" i="1" s="1"/>
  <c r="Y607" i="1"/>
  <c r="AD607" i="1"/>
  <c r="AE607" i="1"/>
  <c r="AF607" i="1"/>
  <c r="AK607" i="1"/>
  <c r="AL607" i="1"/>
  <c r="AM607" i="1"/>
  <c r="AN607" i="1"/>
  <c r="B608" i="1"/>
  <c r="S608" i="1"/>
  <c r="T608" i="1"/>
  <c r="W608" i="1" s="1"/>
  <c r="U608" i="1"/>
  <c r="X608" i="1"/>
  <c r="Y608" i="1"/>
  <c r="AD608" i="1"/>
  <c r="AE608" i="1"/>
  <c r="AF608" i="1"/>
  <c r="AK608" i="1"/>
  <c r="AL608" i="1"/>
  <c r="AM608" i="1"/>
  <c r="AN608" i="1" s="1"/>
  <c r="B609" i="1"/>
  <c r="S609" i="1"/>
  <c r="T609" i="1"/>
  <c r="W609" i="1" s="1"/>
  <c r="U609" i="1"/>
  <c r="X609" i="1"/>
  <c r="Y609" i="1"/>
  <c r="AD609" i="1"/>
  <c r="AE609" i="1"/>
  <c r="AF609" i="1"/>
  <c r="AK609" i="1"/>
  <c r="AL609" i="1"/>
  <c r="AM609" i="1"/>
  <c r="AN609" i="1"/>
  <c r="B610" i="1"/>
  <c r="S610" i="1"/>
  <c r="T610" i="1"/>
  <c r="W610" i="1" s="1"/>
  <c r="AP610" i="1" s="1"/>
  <c r="U610" i="1"/>
  <c r="X610" i="1"/>
  <c r="Y610" i="1"/>
  <c r="AA610" i="1" s="1"/>
  <c r="V610" i="1" s="1"/>
  <c r="Z610" i="1"/>
  <c r="AC610" i="1" s="1"/>
  <c r="AD610" i="1"/>
  <c r="AE610" i="1"/>
  <c r="AF610" i="1"/>
  <c r="AK610" i="1"/>
  <c r="AL610" i="1"/>
  <c r="AM610" i="1"/>
  <c r="AN610" i="1" s="1"/>
  <c r="B611" i="1"/>
  <c r="S611" i="1"/>
  <c r="T611" i="1"/>
  <c r="Z611" i="1" s="1"/>
  <c r="AC611" i="1" s="1"/>
  <c r="U611" i="1"/>
  <c r="W611" i="1"/>
  <c r="AQ611" i="1" s="1"/>
  <c r="X611" i="1"/>
  <c r="Y611" i="1"/>
  <c r="AD611" i="1"/>
  <c r="AE611" i="1"/>
  <c r="AF611" i="1"/>
  <c r="AK611" i="1"/>
  <c r="AL611" i="1"/>
  <c r="AM611" i="1"/>
  <c r="AN611" i="1"/>
  <c r="B612" i="1"/>
  <c r="S612" i="1"/>
  <c r="T612" i="1"/>
  <c r="W612" i="1" s="1"/>
  <c r="U612" i="1"/>
  <c r="X612" i="1"/>
  <c r="Y612" i="1"/>
  <c r="AD612" i="1"/>
  <c r="AE612" i="1"/>
  <c r="AF612" i="1"/>
  <c r="AK612" i="1"/>
  <c r="AL612" i="1"/>
  <c r="AM612" i="1"/>
  <c r="AN612" i="1" s="1"/>
  <c r="B613" i="1"/>
  <c r="S613" i="1"/>
  <c r="T613" i="1"/>
  <c r="W613" i="1" s="1"/>
  <c r="U613" i="1"/>
  <c r="X613" i="1"/>
  <c r="Y613" i="1"/>
  <c r="AB613" i="1" s="1"/>
  <c r="AD613" i="1"/>
  <c r="AE613" i="1"/>
  <c r="AF613" i="1"/>
  <c r="AK613" i="1"/>
  <c r="AL613" i="1"/>
  <c r="AM613" i="1"/>
  <c r="AN613" i="1" s="1"/>
  <c r="B614" i="1"/>
  <c r="S614" i="1"/>
  <c r="T614" i="1"/>
  <c r="W614" i="1" s="1"/>
  <c r="AP614" i="1" s="1"/>
  <c r="U614" i="1"/>
  <c r="X614" i="1"/>
  <c r="Y614" i="1"/>
  <c r="AD614" i="1"/>
  <c r="AE614" i="1"/>
  <c r="AF614" i="1"/>
  <c r="AK614" i="1"/>
  <c r="AL614" i="1"/>
  <c r="AM614" i="1"/>
  <c r="AN614" i="1" s="1"/>
  <c r="B615" i="1"/>
  <c r="S615" i="1"/>
  <c r="T615" i="1"/>
  <c r="U615" i="1"/>
  <c r="W615" i="1"/>
  <c r="AQ615" i="1" s="1"/>
  <c r="X615" i="1"/>
  <c r="Z615" i="1" s="1"/>
  <c r="AC615" i="1" s="1"/>
  <c r="Y615" i="1"/>
  <c r="AD615" i="1"/>
  <c r="AE615" i="1"/>
  <c r="AF615" i="1"/>
  <c r="AK615" i="1"/>
  <c r="AL615" i="1"/>
  <c r="AM615" i="1"/>
  <c r="AN615" i="1"/>
  <c r="B616" i="1"/>
  <c r="S616" i="1"/>
  <c r="T616" i="1"/>
  <c r="W616" i="1" s="1"/>
  <c r="U616" i="1"/>
  <c r="X616" i="1"/>
  <c r="Y616" i="1"/>
  <c r="AD616" i="1"/>
  <c r="AE616" i="1"/>
  <c r="AF616" i="1"/>
  <c r="AK616" i="1"/>
  <c r="AL616" i="1"/>
  <c r="AM616" i="1"/>
  <c r="AN616" i="1" s="1"/>
  <c r="B617" i="1"/>
  <c r="S617" i="1"/>
  <c r="T617" i="1"/>
  <c r="W617" i="1" s="1"/>
  <c r="U617" i="1"/>
  <c r="X617" i="1"/>
  <c r="Y617" i="1"/>
  <c r="AD617" i="1"/>
  <c r="AE617" i="1"/>
  <c r="AF617" i="1"/>
  <c r="AK617" i="1"/>
  <c r="AL617" i="1"/>
  <c r="AM617" i="1"/>
  <c r="AN617" i="1"/>
  <c r="B618" i="1"/>
  <c r="S618" i="1"/>
  <c r="T618" i="1"/>
  <c r="W618" i="1" s="1"/>
  <c r="AP618" i="1" s="1"/>
  <c r="U618" i="1"/>
  <c r="X618" i="1"/>
  <c r="Z618" i="1" s="1"/>
  <c r="AC618" i="1" s="1"/>
  <c r="Y618" i="1"/>
  <c r="AA618" i="1" s="1"/>
  <c r="V618" i="1" s="1"/>
  <c r="AD618" i="1"/>
  <c r="AE618" i="1"/>
  <c r="AF618" i="1"/>
  <c r="AK618" i="1"/>
  <c r="AL618" i="1"/>
  <c r="AM618" i="1"/>
  <c r="AN618" i="1" s="1"/>
  <c r="B619" i="1"/>
  <c r="S619" i="1"/>
  <c r="T619" i="1"/>
  <c r="Z619" i="1" s="1"/>
  <c r="AC619" i="1" s="1"/>
  <c r="U619" i="1"/>
  <c r="X619" i="1"/>
  <c r="Y619" i="1"/>
  <c r="AD619" i="1"/>
  <c r="AE619" i="1"/>
  <c r="AF619" i="1"/>
  <c r="AK619" i="1"/>
  <c r="AL619" i="1"/>
  <c r="AM619" i="1"/>
  <c r="AN619" i="1" s="1"/>
  <c r="B620" i="1"/>
  <c r="S620" i="1"/>
  <c r="T620" i="1"/>
  <c r="W620" i="1" s="1"/>
  <c r="U620" i="1"/>
  <c r="X620" i="1"/>
  <c r="Z620" i="1" s="1"/>
  <c r="AC620" i="1" s="1"/>
  <c r="Y620" i="1"/>
  <c r="AD620" i="1"/>
  <c r="AE620" i="1"/>
  <c r="AF620" i="1"/>
  <c r="AK620" i="1"/>
  <c r="AL620" i="1"/>
  <c r="AM620" i="1"/>
  <c r="AN620" i="1"/>
  <c r="B621" i="1"/>
  <c r="S621" i="1"/>
  <c r="T621" i="1"/>
  <c r="W621" i="1" s="1"/>
  <c r="U621" i="1"/>
  <c r="X621" i="1"/>
  <c r="Y621" i="1"/>
  <c r="AD621" i="1"/>
  <c r="AE621" i="1"/>
  <c r="AF621" i="1"/>
  <c r="AK621" i="1"/>
  <c r="AL621" i="1"/>
  <c r="AM621" i="1"/>
  <c r="AN621" i="1"/>
  <c r="B622" i="1"/>
  <c r="S622" i="1"/>
  <c r="T622" i="1"/>
  <c r="W622" i="1" s="1"/>
  <c r="AP622" i="1" s="1"/>
  <c r="U622" i="1"/>
  <c r="X622" i="1"/>
  <c r="Y622" i="1"/>
  <c r="AD622" i="1"/>
  <c r="AE622" i="1"/>
  <c r="AF622" i="1"/>
  <c r="AK622" i="1"/>
  <c r="AL622" i="1"/>
  <c r="AM622" i="1"/>
  <c r="AN622" i="1" s="1"/>
  <c r="B623" i="1"/>
  <c r="S623" i="1"/>
  <c r="T623" i="1"/>
  <c r="W623" i="1" s="1"/>
  <c r="AQ623" i="1" s="1"/>
  <c r="U623" i="1"/>
  <c r="X623" i="1"/>
  <c r="Y623" i="1"/>
  <c r="AD623" i="1"/>
  <c r="AE623" i="1"/>
  <c r="AF623" i="1"/>
  <c r="AK623" i="1"/>
  <c r="AL623" i="1"/>
  <c r="AM623" i="1"/>
  <c r="AN623" i="1"/>
  <c r="B624" i="1"/>
  <c r="S624" i="1"/>
  <c r="T624" i="1"/>
  <c r="W624" i="1" s="1"/>
  <c r="U624" i="1"/>
  <c r="X624" i="1"/>
  <c r="Y624" i="1"/>
  <c r="AD624" i="1"/>
  <c r="AE624" i="1"/>
  <c r="AF624" i="1"/>
  <c r="AK624" i="1"/>
  <c r="AL624" i="1"/>
  <c r="AM624" i="1"/>
  <c r="AN624" i="1"/>
  <c r="B625" i="1"/>
  <c r="S625" i="1"/>
  <c r="T625" i="1"/>
  <c r="W625" i="1" s="1"/>
  <c r="U625" i="1"/>
  <c r="X625" i="1"/>
  <c r="Z625" i="1" s="1"/>
  <c r="Y625" i="1"/>
  <c r="AD625" i="1"/>
  <c r="AE625" i="1"/>
  <c r="AF625" i="1"/>
  <c r="AK625" i="1"/>
  <c r="AL625" i="1"/>
  <c r="AM625" i="1"/>
  <c r="AN625" i="1"/>
  <c r="B626" i="1"/>
  <c r="S626" i="1"/>
  <c r="T626" i="1"/>
  <c r="W626" i="1" s="1"/>
  <c r="AP626" i="1" s="1"/>
  <c r="U626" i="1"/>
  <c r="X626" i="1"/>
  <c r="Y626" i="1"/>
  <c r="Z626" i="1"/>
  <c r="AC626" i="1" s="1"/>
  <c r="AD626" i="1"/>
  <c r="AE626" i="1"/>
  <c r="AF626" i="1"/>
  <c r="AK626" i="1"/>
  <c r="AL626" i="1"/>
  <c r="AM626" i="1"/>
  <c r="AN626" i="1" s="1"/>
  <c r="B627" i="1"/>
  <c r="S627" i="1"/>
  <c r="T627" i="1"/>
  <c r="Z627" i="1" s="1"/>
  <c r="AC627" i="1" s="1"/>
  <c r="U627" i="1"/>
  <c r="X627" i="1"/>
  <c r="Y627" i="1"/>
  <c r="AD627" i="1"/>
  <c r="AE627" i="1"/>
  <c r="AF627" i="1"/>
  <c r="AK627" i="1"/>
  <c r="AL627" i="1"/>
  <c r="AM627" i="1"/>
  <c r="AN627" i="1"/>
  <c r="B628" i="1"/>
  <c r="S628" i="1"/>
  <c r="T628" i="1"/>
  <c r="W628" i="1" s="1"/>
  <c r="U628" i="1"/>
  <c r="X628" i="1"/>
  <c r="Z628" i="1" s="1"/>
  <c r="AC628" i="1" s="1"/>
  <c r="Y628" i="1"/>
  <c r="AD628" i="1"/>
  <c r="AE628" i="1"/>
  <c r="AF628" i="1"/>
  <c r="AK628" i="1"/>
  <c r="AL628" i="1"/>
  <c r="AM628" i="1"/>
  <c r="AN628" i="1"/>
  <c r="B629" i="1"/>
  <c r="S629" i="1"/>
  <c r="T629" i="1"/>
  <c r="W629" i="1" s="1"/>
  <c r="U629" i="1"/>
  <c r="X629" i="1"/>
  <c r="Y629" i="1"/>
  <c r="AB629" i="1" s="1"/>
  <c r="AD629" i="1"/>
  <c r="AE629" i="1"/>
  <c r="AF629" i="1"/>
  <c r="AK629" i="1"/>
  <c r="AL629" i="1"/>
  <c r="AM629" i="1"/>
  <c r="AN629" i="1" s="1"/>
  <c r="B630" i="1"/>
  <c r="S630" i="1"/>
  <c r="T630" i="1"/>
  <c r="W630" i="1" s="1"/>
  <c r="U630" i="1"/>
  <c r="X630" i="1"/>
  <c r="Y630" i="1"/>
  <c r="AD630" i="1"/>
  <c r="AE630" i="1"/>
  <c r="AF630" i="1"/>
  <c r="AK630" i="1"/>
  <c r="AL630" i="1"/>
  <c r="AM630" i="1"/>
  <c r="AN630" i="1" s="1"/>
  <c r="B631" i="1"/>
  <c r="S631" i="1"/>
  <c r="T631" i="1"/>
  <c r="U631" i="1"/>
  <c r="W631" i="1"/>
  <c r="AQ631" i="1" s="1"/>
  <c r="X631" i="1"/>
  <c r="Z631" i="1" s="1"/>
  <c r="AC631" i="1" s="1"/>
  <c r="Y631" i="1"/>
  <c r="AD631" i="1"/>
  <c r="AE631" i="1"/>
  <c r="AF631" i="1"/>
  <c r="AK631" i="1"/>
  <c r="AL631" i="1"/>
  <c r="AM631" i="1"/>
  <c r="AN631" i="1" s="1"/>
  <c r="B632" i="1"/>
  <c r="S632" i="1"/>
  <c r="T632" i="1"/>
  <c r="W632" i="1" s="1"/>
  <c r="AQ632" i="1" s="1"/>
  <c r="U632" i="1"/>
  <c r="X632" i="1"/>
  <c r="Y632" i="1"/>
  <c r="AD632" i="1"/>
  <c r="AE632" i="1"/>
  <c r="AF632" i="1"/>
  <c r="AK632" i="1"/>
  <c r="AL632" i="1"/>
  <c r="AM632" i="1"/>
  <c r="AN632" i="1" s="1"/>
  <c r="B633" i="1"/>
  <c r="S633" i="1"/>
  <c r="T633" i="1"/>
  <c r="W633" i="1" s="1"/>
  <c r="U633" i="1"/>
  <c r="X633" i="1"/>
  <c r="Y633" i="1"/>
  <c r="AD633" i="1"/>
  <c r="AE633" i="1"/>
  <c r="AF633" i="1"/>
  <c r="AK633" i="1"/>
  <c r="AL633" i="1"/>
  <c r="AM633" i="1"/>
  <c r="AN633" i="1"/>
  <c r="B634" i="1"/>
  <c r="S634" i="1"/>
  <c r="T634" i="1"/>
  <c r="W634" i="1" s="1"/>
  <c r="U634" i="1"/>
  <c r="X634" i="1"/>
  <c r="Z634" i="1" s="1"/>
  <c r="AC634" i="1" s="1"/>
  <c r="Y634" i="1"/>
  <c r="AA634" i="1" s="1"/>
  <c r="V634" i="1" s="1"/>
  <c r="AD634" i="1"/>
  <c r="AE634" i="1"/>
  <c r="AF634" i="1"/>
  <c r="AK634" i="1"/>
  <c r="AL634" i="1"/>
  <c r="AM634" i="1"/>
  <c r="AN634" i="1" s="1"/>
  <c r="B635" i="1"/>
  <c r="S635" i="1"/>
  <c r="T635" i="1"/>
  <c r="W635" i="1" s="1"/>
  <c r="AQ635" i="1" s="1"/>
  <c r="U635" i="1"/>
  <c r="X635" i="1"/>
  <c r="Y635" i="1"/>
  <c r="AD635" i="1"/>
  <c r="AE635" i="1"/>
  <c r="AF635" i="1"/>
  <c r="AK635" i="1"/>
  <c r="AL635" i="1"/>
  <c r="AM635" i="1"/>
  <c r="AN635" i="1" s="1"/>
  <c r="B636" i="1"/>
  <c r="S636" i="1"/>
  <c r="T636" i="1"/>
  <c r="W636" i="1" s="1"/>
  <c r="U636" i="1"/>
  <c r="X636" i="1"/>
  <c r="Y636" i="1"/>
  <c r="AD636" i="1"/>
  <c r="AE636" i="1"/>
  <c r="AF636" i="1"/>
  <c r="AK636" i="1"/>
  <c r="AL636" i="1"/>
  <c r="AM636" i="1"/>
  <c r="AN636" i="1" s="1"/>
  <c r="B637" i="1"/>
  <c r="S637" i="1"/>
  <c r="T637" i="1"/>
  <c r="W637" i="1" s="1"/>
  <c r="U637" i="1"/>
  <c r="X637" i="1"/>
  <c r="Z637" i="1" s="1"/>
  <c r="AC637" i="1" s="1"/>
  <c r="Y637" i="1"/>
  <c r="AD637" i="1"/>
  <c r="AE637" i="1"/>
  <c r="AF637" i="1"/>
  <c r="AK637" i="1"/>
  <c r="AL637" i="1"/>
  <c r="AM637" i="1"/>
  <c r="AN637" i="1"/>
  <c r="B638" i="1"/>
  <c r="S638" i="1"/>
  <c r="T638" i="1"/>
  <c r="U638" i="1"/>
  <c r="W638" i="1"/>
  <c r="AP638" i="1" s="1"/>
  <c r="X638" i="1"/>
  <c r="Y638" i="1"/>
  <c r="Z638" i="1"/>
  <c r="AC638" i="1" s="1"/>
  <c r="AD638" i="1"/>
  <c r="AE638" i="1"/>
  <c r="AF638" i="1"/>
  <c r="AK638" i="1"/>
  <c r="AL638" i="1"/>
  <c r="AM638" i="1"/>
  <c r="AN638" i="1" s="1"/>
  <c r="B639" i="1"/>
  <c r="S639" i="1"/>
  <c r="T639" i="1"/>
  <c r="W639" i="1" s="1"/>
  <c r="AQ639" i="1" s="1"/>
  <c r="U639" i="1"/>
  <c r="X639" i="1"/>
  <c r="Y639" i="1"/>
  <c r="AD639" i="1"/>
  <c r="AE639" i="1"/>
  <c r="AF639" i="1"/>
  <c r="AK639" i="1"/>
  <c r="AL639" i="1"/>
  <c r="AM639" i="1"/>
  <c r="AN639" i="1" s="1"/>
  <c r="B640" i="1"/>
  <c r="T640" i="1"/>
  <c r="W640" i="1" s="1"/>
  <c r="AQ640" i="1" s="1"/>
  <c r="U640" i="1"/>
  <c r="X640" i="1"/>
  <c r="Y640" i="1"/>
  <c r="Z640" i="1"/>
  <c r="AC640" i="1" s="1"/>
  <c r="AD640" i="1"/>
  <c r="AE640" i="1"/>
  <c r="AF640" i="1"/>
  <c r="AK640" i="1"/>
  <c r="AL640" i="1"/>
  <c r="AM640" i="1"/>
  <c r="AN640" i="1"/>
  <c r="AP640" i="1"/>
  <c r="B641" i="1"/>
  <c r="T641" i="1"/>
  <c r="W641" i="1" s="1"/>
  <c r="U641" i="1"/>
  <c r="X641" i="1"/>
  <c r="Y641" i="1"/>
  <c r="AD641" i="1"/>
  <c r="AE641" i="1"/>
  <c r="AF641" i="1"/>
  <c r="AK641" i="1"/>
  <c r="AL641" i="1"/>
  <c r="AM641" i="1"/>
  <c r="AN641" i="1" s="1"/>
  <c r="B642" i="1"/>
  <c r="T642" i="1"/>
  <c r="W642" i="1" s="1"/>
  <c r="U642" i="1"/>
  <c r="X642" i="1"/>
  <c r="Y642" i="1"/>
  <c r="AD642" i="1"/>
  <c r="AE642" i="1"/>
  <c r="AF642" i="1"/>
  <c r="AK642" i="1"/>
  <c r="AL642" i="1"/>
  <c r="AM642" i="1"/>
  <c r="AN642" i="1"/>
  <c r="B643" i="1"/>
  <c r="T643" i="1"/>
  <c r="W643" i="1" s="1"/>
  <c r="AQ643" i="1" s="1"/>
  <c r="U643" i="1"/>
  <c r="X643" i="1"/>
  <c r="Y643" i="1"/>
  <c r="AB643" i="1" s="1"/>
  <c r="AD643" i="1"/>
  <c r="AE643" i="1"/>
  <c r="AF643" i="1"/>
  <c r="AK643" i="1"/>
  <c r="AL643" i="1"/>
  <c r="AM643" i="1"/>
  <c r="AN643" i="1" s="1"/>
  <c r="B644" i="1"/>
  <c r="T644" i="1"/>
  <c r="W644" i="1" s="1"/>
  <c r="U644" i="1"/>
  <c r="X644" i="1"/>
  <c r="Y644" i="1"/>
  <c r="AD644" i="1"/>
  <c r="AE644" i="1"/>
  <c r="AF644" i="1"/>
  <c r="AK644" i="1"/>
  <c r="AL644" i="1"/>
  <c r="AM644" i="1"/>
  <c r="AN644" i="1" s="1"/>
  <c r="B645" i="1"/>
  <c r="T645" i="1"/>
  <c r="W645" i="1" s="1"/>
  <c r="U645" i="1"/>
  <c r="X645" i="1"/>
  <c r="Y645" i="1"/>
  <c r="AD645" i="1"/>
  <c r="AE645" i="1"/>
  <c r="AF645" i="1"/>
  <c r="AK645" i="1"/>
  <c r="AL645" i="1"/>
  <c r="AM645" i="1"/>
  <c r="AN645" i="1" s="1"/>
  <c r="B646" i="1"/>
  <c r="T646" i="1"/>
  <c r="W646" i="1" s="1"/>
  <c r="AP646" i="1" s="1"/>
  <c r="U646" i="1"/>
  <c r="X646" i="1"/>
  <c r="Y646" i="1"/>
  <c r="AB646" i="1" s="1"/>
  <c r="AD646" i="1"/>
  <c r="AE646" i="1"/>
  <c r="AF646" i="1"/>
  <c r="AK646" i="1"/>
  <c r="AL646" i="1"/>
  <c r="AM646" i="1"/>
  <c r="AN646" i="1" s="1"/>
  <c r="B647" i="1"/>
  <c r="T647" i="1"/>
  <c r="W647" i="1" s="1"/>
  <c r="AQ647" i="1" s="1"/>
  <c r="U647" i="1"/>
  <c r="X647" i="1"/>
  <c r="Y647" i="1"/>
  <c r="AD647" i="1"/>
  <c r="AE647" i="1"/>
  <c r="AF647" i="1"/>
  <c r="AK647" i="1"/>
  <c r="AL647" i="1"/>
  <c r="AM647" i="1"/>
  <c r="AN647" i="1" s="1"/>
  <c r="B648" i="1"/>
  <c r="T648" i="1"/>
  <c r="W648" i="1" s="1"/>
  <c r="AP648" i="1" s="1"/>
  <c r="U648" i="1"/>
  <c r="X648" i="1"/>
  <c r="Y648" i="1"/>
  <c r="AB648" i="1"/>
  <c r="AD648" i="1"/>
  <c r="AE648" i="1"/>
  <c r="AF648" i="1"/>
  <c r="AK648" i="1"/>
  <c r="AL648" i="1"/>
  <c r="AM648" i="1"/>
  <c r="AN648" i="1" s="1"/>
  <c r="AQ648" i="1"/>
  <c r="B649" i="1"/>
  <c r="T649" i="1"/>
  <c r="W649" i="1" s="1"/>
  <c r="U649" i="1"/>
  <c r="X649" i="1"/>
  <c r="Y649" i="1"/>
  <c r="AD649" i="1"/>
  <c r="AE649" i="1"/>
  <c r="AF649" i="1"/>
  <c r="AK649" i="1"/>
  <c r="AL649" i="1"/>
  <c r="AM649" i="1"/>
  <c r="AN649" i="1"/>
  <c r="B650" i="1"/>
  <c r="T650" i="1"/>
  <c r="W650" i="1" s="1"/>
  <c r="AP650" i="1" s="1"/>
  <c r="U650" i="1"/>
  <c r="X650" i="1"/>
  <c r="Y650" i="1"/>
  <c r="AD650" i="1"/>
  <c r="AE650" i="1"/>
  <c r="AF650" i="1"/>
  <c r="AK650" i="1"/>
  <c r="AL650" i="1"/>
  <c r="AM650" i="1"/>
  <c r="AN650" i="1"/>
  <c r="AQ650" i="1"/>
  <c r="B651" i="1"/>
  <c r="T651" i="1"/>
  <c r="W651" i="1" s="1"/>
  <c r="U651" i="1"/>
  <c r="X651" i="1"/>
  <c r="Y651" i="1"/>
  <c r="AD651" i="1"/>
  <c r="AE651" i="1"/>
  <c r="AF651" i="1"/>
  <c r="AK651" i="1"/>
  <c r="AL651" i="1"/>
  <c r="AM651" i="1"/>
  <c r="AN651" i="1" s="1"/>
  <c r="AQ651" i="1"/>
  <c r="B652" i="1"/>
  <c r="T652" i="1"/>
  <c r="W652" i="1" s="1"/>
  <c r="AP652" i="1" s="1"/>
  <c r="U652" i="1"/>
  <c r="X652" i="1"/>
  <c r="Z652" i="1" s="1"/>
  <c r="AC652" i="1" s="1"/>
  <c r="Y652" i="1"/>
  <c r="AD652" i="1"/>
  <c r="AE652" i="1"/>
  <c r="AF652" i="1"/>
  <c r="AK652" i="1"/>
  <c r="AL652" i="1"/>
  <c r="AM652" i="1"/>
  <c r="AN652" i="1" s="1"/>
  <c r="AQ652" i="1"/>
  <c r="B653" i="1"/>
  <c r="T653" i="1"/>
  <c r="W653" i="1" s="1"/>
  <c r="U653" i="1"/>
  <c r="X653" i="1"/>
  <c r="Y653" i="1"/>
  <c r="AD653" i="1"/>
  <c r="AE653" i="1"/>
  <c r="AF653" i="1"/>
  <c r="AK653" i="1"/>
  <c r="AL653" i="1"/>
  <c r="AM653" i="1"/>
  <c r="AN653" i="1" s="1"/>
  <c r="B654" i="1"/>
  <c r="T654" i="1"/>
  <c r="W654" i="1" s="1"/>
  <c r="U654" i="1"/>
  <c r="X654" i="1"/>
  <c r="Z654" i="1" s="1"/>
  <c r="AC654" i="1" s="1"/>
  <c r="Y654" i="1"/>
  <c r="AD654" i="1"/>
  <c r="AE654" i="1"/>
  <c r="AF654" i="1"/>
  <c r="AK654" i="1"/>
  <c r="AL654" i="1"/>
  <c r="AM654" i="1"/>
  <c r="AN654" i="1"/>
  <c r="B655" i="1"/>
  <c r="T655" i="1"/>
  <c r="W655" i="1" s="1"/>
  <c r="AQ655" i="1" s="1"/>
  <c r="U655" i="1"/>
  <c r="X655" i="1"/>
  <c r="Y655" i="1"/>
  <c r="AB655" i="1" s="1"/>
  <c r="AD655" i="1"/>
  <c r="AE655" i="1"/>
  <c r="AF655" i="1"/>
  <c r="AK655" i="1"/>
  <c r="AL655" i="1"/>
  <c r="AM655" i="1"/>
  <c r="AN655" i="1" s="1"/>
  <c r="B656" i="1"/>
  <c r="T656" i="1"/>
  <c r="W656" i="1" s="1"/>
  <c r="AP656" i="1" s="1"/>
  <c r="U656" i="1"/>
  <c r="X656" i="1"/>
  <c r="Y656" i="1"/>
  <c r="AB656" i="1" s="1"/>
  <c r="AD656" i="1"/>
  <c r="AE656" i="1"/>
  <c r="AF656" i="1"/>
  <c r="AK656" i="1"/>
  <c r="AL656" i="1"/>
  <c r="AM656" i="1"/>
  <c r="AN656" i="1" s="1"/>
  <c r="AQ656" i="1"/>
  <c r="B657" i="1"/>
  <c r="T657" i="1"/>
  <c r="U657" i="1"/>
  <c r="X657" i="1"/>
  <c r="Y657" i="1"/>
  <c r="AD657" i="1"/>
  <c r="AE657" i="1"/>
  <c r="AF657" i="1"/>
  <c r="AK657" i="1"/>
  <c r="AL657" i="1"/>
  <c r="AM657" i="1"/>
  <c r="AN657" i="1"/>
  <c r="B658" i="1"/>
  <c r="T658" i="1"/>
  <c r="W658" i="1" s="1"/>
  <c r="AP658" i="1" s="1"/>
  <c r="U658" i="1"/>
  <c r="X658" i="1"/>
  <c r="Y658" i="1"/>
  <c r="AB658" i="1" s="1"/>
  <c r="AD658" i="1"/>
  <c r="AE658" i="1"/>
  <c r="AF658" i="1"/>
  <c r="AK658" i="1"/>
  <c r="AL658" i="1"/>
  <c r="AM658" i="1"/>
  <c r="AN658" i="1" s="1"/>
  <c r="B659" i="1"/>
  <c r="T659" i="1"/>
  <c r="U659" i="1"/>
  <c r="X659" i="1"/>
  <c r="Y659" i="1"/>
  <c r="AD659" i="1"/>
  <c r="AE659" i="1"/>
  <c r="AF659" i="1"/>
  <c r="AK659" i="1"/>
  <c r="AL659" i="1"/>
  <c r="AM659" i="1"/>
  <c r="AN659" i="1"/>
  <c r="B660" i="1"/>
  <c r="T660" i="1"/>
  <c r="W660" i="1" s="1"/>
  <c r="AP660" i="1" s="1"/>
  <c r="U660" i="1"/>
  <c r="X660" i="1"/>
  <c r="Z660" i="1" s="1"/>
  <c r="AC660" i="1" s="1"/>
  <c r="Y660" i="1"/>
  <c r="AD660" i="1"/>
  <c r="AE660" i="1"/>
  <c r="AF660" i="1"/>
  <c r="AK660" i="1"/>
  <c r="AL660" i="1"/>
  <c r="AM660" i="1"/>
  <c r="AN660" i="1" s="1"/>
  <c r="AQ660" i="1"/>
  <c r="B661" i="1"/>
  <c r="T661" i="1"/>
  <c r="U661" i="1"/>
  <c r="X661" i="1"/>
  <c r="Y661" i="1"/>
  <c r="AD661" i="1"/>
  <c r="AE661" i="1"/>
  <c r="AF661" i="1"/>
  <c r="AK661" i="1"/>
  <c r="AL661" i="1"/>
  <c r="AM661" i="1"/>
  <c r="AN661" i="1"/>
  <c r="B662" i="1"/>
  <c r="T662" i="1"/>
  <c r="W662" i="1" s="1"/>
  <c r="AP662" i="1" s="1"/>
  <c r="U662" i="1"/>
  <c r="X662" i="1"/>
  <c r="Z662" i="1" s="1"/>
  <c r="AC662" i="1" s="1"/>
  <c r="Y662" i="1"/>
  <c r="AD662" i="1"/>
  <c r="AE662" i="1"/>
  <c r="AF662" i="1"/>
  <c r="AK662" i="1"/>
  <c r="AL662" i="1"/>
  <c r="AM662" i="1"/>
  <c r="AN662" i="1" s="1"/>
  <c r="B663" i="1"/>
  <c r="T663" i="1"/>
  <c r="U663" i="1"/>
  <c r="X663" i="1"/>
  <c r="Y663" i="1"/>
  <c r="AD663" i="1"/>
  <c r="AE663" i="1"/>
  <c r="AF663" i="1"/>
  <c r="AK663" i="1"/>
  <c r="AL663" i="1"/>
  <c r="AM663" i="1"/>
  <c r="AN663" i="1" s="1"/>
  <c r="B664" i="1"/>
  <c r="T664" i="1"/>
  <c r="W664" i="1" s="1"/>
  <c r="AP664" i="1" s="1"/>
  <c r="U664" i="1"/>
  <c r="X664" i="1"/>
  <c r="Y664" i="1"/>
  <c r="AD664" i="1"/>
  <c r="AE664" i="1"/>
  <c r="AF664" i="1"/>
  <c r="AK664" i="1"/>
  <c r="AL664" i="1"/>
  <c r="AM664" i="1"/>
  <c r="AN664" i="1" s="1"/>
  <c r="B665" i="1"/>
  <c r="T665" i="1"/>
  <c r="U665" i="1"/>
  <c r="X665" i="1"/>
  <c r="Y665" i="1"/>
  <c r="AD665" i="1"/>
  <c r="AE665" i="1"/>
  <c r="AF665" i="1"/>
  <c r="AK665" i="1"/>
  <c r="AL665" i="1"/>
  <c r="AM665" i="1"/>
  <c r="AN665" i="1" s="1"/>
  <c r="B666" i="1"/>
  <c r="T666" i="1"/>
  <c r="W666" i="1" s="1"/>
  <c r="U666" i="1"/>
  <c r="X666" i="1"/>
  <c r="Y666" i="1"/>
  <c r="AD666" i="1"/>
  <c r="AE666" i="1"/>
  <c r="AF666" i="1"/>
  <c r="AK666" i="1"/>
  <c r="AL666" i="1"/>
  <c r="AM666" i="1"/>
  <c r="AN666" i="1"/>
  <c r="B667" i="1"/>
  <c r="T667" i="1"/>
  <c r="U667" i="1"/>
  <c r="X667" i="1"/>
  <c r="Y667" i="1"/>
  <c r="AB667" i="1" s="1"/>
  <c r="AD667" i="1"/>
  <c r="AE667" i="1"/>
  <c r="AF667" i="1"/>
  <c r="AK667" i="1"/>
  <c r="AL667" i="1"/>
  <c r="AM667" i="1"/>
  <c r="AN667" i="1" s="1"/>
  <c r="B668" i="1"/>
  <c r="T668" i="1"/>
  <c r="W668" i="1" s="1"/>
  <c r="AP668" i="1" s="1"/>
  <c r="U668" i="1"/>
  <c r="X668" i="1"/>
  <c r="Y668" i="1"/>
  <c r="AD668" i="1"/>
  <c r="AE668" i="1"/>
  <c r="AF668" i="1"/>
  <c r="AK668" i="1"/>
  <c r="AL668" i="1"/>
  <c r="AM668" i="1"/>
  <c r="AN668" i="1" s="1"/>
  <c r="B669" i="1"/>
  <c r="T669" i="1"/>
  <c r="U669" i="1"/>
  <c r="X669" i="1"/>
  <c r="Y669" i="1"/>
  <c r="AB669" i="1"/>
  <c r="AD669" i="1"/>
  <c r="AE669" i="1"/>
  <c r="AF669" i="1"/>
  <c r="AK669" i="1"/>
  <c r="AL669" i="1"/>
  <c r="AM669" i="1"/>
  <c r="AN669" i="1" s="1"/>
  <c r="B670" i="1"/>
  <c r="T670" i="1"/>
  <c r="W670" i="1" s="1"/>
  <c r="AP670" i="1" s="1"/>
  <c r="U670" i="1"/>
  <c r="X670" i="1"/>
  <c r="Y670" i="1"/>
  <c r="AB670" i="1" s="1"/>
  <c r="AD670" i="1"/>
  <c r="AE670" i="1"/>
  <c r="AF670" i="1"/>
  <c r="AK670" i="1"/>
  <c r="AL670" i="1"/>
  <c r="AM670" i="1"/>
  <c r="AN670" i="1" s="1"/>
  <c r="B671" i="1"/>
  <c r="T671" i="1"/>
  <c r="U671" i="1"/>
  <c r="X671" i="1"/>
  <c r="Y671" i="1"/>
  <c r="AB671" i="1" s="1"/>
  <c r="AD671" i="1"/>
  <c r="AE671" i="1"/>
  <c r="AF671" i="1"/>
  <c r="AK671" i="1"/>
  <c r="AL671" i="1"/>
  <c r="AM671" i="1"/>
  <c r="AN671" i="1" s="1"/>
  <c r="B672" i="1"/>
  <c r="T672" i="1"/>
  <c r="W672" i="1" s="1"/>
  <c r="AP672" i="1" s="1"/>
  <c r="U672" i="1"/>
  <c r="X672" i="1"/>
  <c r="Y672" i="1"/>
  <c r="AB672" i="1" s="1"/>
  <c r="AD672" i="1"/>
  <c r="AE672" i="1"/>
  <c r="AF672" i="1"/>
  <c r="AK672" i="1"/>
  <c r="AL672" i="1"/>
  <c r="AM672" i="1"/>
  <c r="AN672" i="1" s="1"/>
  <c r="B673" i="1"/>
  <c r="T673" i="1"/>
  <c r="U673" i="1"/>
  <c r="X673" i="1"/>
  <c r="Y673" i="1"/>
  <c r="AD673" i="1"/>
  <c r="AE673" i="1"/>
  <c r="AF673" i="1"/>
  <c r="AK673" i="1"/>
  <c r="AL673" i="1"/>
  <c r="AM673" i="1"/>
  <c r="AN673" i="1"/>
  <c r="B674" i="1"/>
  <c r="T674" i="1"/>
  <c r="W674" i="1" s="1"/>
  <c r="AP674" i="1" s="1"/>
  <c r="U674" i="1"/>
  <c r="X674" i="1"/>
  <c r="Z674" i="1" s="1"/>
  <c r="AC674" i="1" s="1"/>
  <c r="Y674" i="1"/>
  <c r="AD674" i="1"/>
  <c r="AE674" i="1"/>
  <c r="AF674" i="1"/>
  <c r="AK674" i="1"/>
  <c r="AL674" i="1"/>
  <c r="AM674" i="1"/>
  <c r="AN674" i="1" s="1"/>
  <c r="AQ674" i="1"/>
  <c r="B675" i="1"/>
  <c r="T675" i="1"/>
  <c r="U675" i="1"/>
  <c r="X675" i="1"/>
  <c r="Y675" i="1"/>
  <c r="AD675" i="1"/>
  <c r="AE675" i="1"/>
  <c r="AF675" i="1"/>
  <c r="AK675" i="1"/>
  <c r="AL675" i="1"/>
  <c r="AM675" i="1"/>
  <c r="AN675" i="1"/>
  <c r="B676" i="1"/>
  <c r="T676" i="1"/>
  <c r="W676" i="1" s="1"/>
  <c r="AP676" i="1" s="1"/>
  <c r="U676" i="1"/>
  <c r="X676" i="1"/>
  <c r="Y676" i="1"/>
  <c r="AD676" i="1"/>
  <c r="AE676" i="1"/>
  <c r="AF676" i="1"/>
  <c r="AK676" i="1"/>
  <c r="AL676" i="1"/>
  <c r="AM676" i="1"/>
  <c r="AN676" i="1"/>
  <c r="B677" i="1"/>
  <c r="T677" i="1"/>
  <c r="U677" i="1"/>
  <c r="X677" i="1"/>
  <c r="AB677" i="1" s="1"/>
  <c r="Y677" i="1"/>
  <c r="AD677" i="1"/>
  <c r="AE677" i="1"/>
  <c r="AF677" i="1"/>
  <c r="AK677" i="1"/>
  <c r="AL677" i="1"/>
  <c r="AM677" i="1"/>
  <c r="AN677" i="1" s="1"/>
  <c r="B678" i="1"/>
  <c r="T678" i="1"/>
  <c r="W678" i="1" s="1"/>
  <c r="AP678" i="1" s="1"/>
  <c r="U678" i="1"/>
  <c r="X678" i="1"/>
  <c r="Y678" i="1"/>
  <c r="AB678" i="1" s="1"/>
  <c r="AD678" i="1"/>
  <c r="AE678" i="1"/>
  <c r="AF678" i="1"/>
  <c r="AK678" i="1"/>
  <c r="AL678" i="1"/>
  <c r="AM678" i="1"/>
  <c r="AN678" i="1"/>
  <c r="AQ678" i="1"/>
  <c r="B679" i="1"/>
  <c r="T679" i="1"/>
  <c r="U679" i="1"/>
  <c r="X679" i="1"/>
  <c r="Y679" i="1"/>
  <c r="AD679" i="1"/>
  <c r="AE679" i="1"/>
  <c r="AF679" i="1"/>
  <c r="AK679" i="1"/>
  <c r="AL679" i="1"/>
  <c r="AM679" i="1"/>
  <c r="AN679" i="1" s="1"/>
  <c r="B680" i="1"/>
  <c r="T680" i="1"/>
  <c r="W680" i="1" s="1"/>
  <c r="AP680" i="1" s="1"/>
  <c r="U680" i="1"/>
  <c r="X680" i="1"/>
  <c r="Y680" i="1"/>
  <c r="AB680" i="1" s="1"/>
  <c r="AD680" i="1"/>
  <c r="AE680" i="1"/>
  <c r="AF680" i="1"/>
  <c r="AK680" i="1"/>
  <c r="AL680" i="1"/>
  <c r="AM680" i="1"/>
  <c r="AN680" i="1" s="1"/>
  <c r="B681" i="1"/>
  <c r="T681" i="1"/>
  <c r="U681" i="1"/>
  <c r="X681" i="1"/>
  <c r="Y681" i="1"/>
  <c r="AB681" i="1" s="1"/>
  <c r="AD681" i="1"/>
  <c r="AE681" i="1"/>
  <c r="AF681" i="1"/>
  <c r="AK681" i="1"/>
  <c r="AL681" i="1"/>
  <c r="AM681" i="1"/>
  <c r="AN681" i="1"/>
  <c r="B682" i="1"/>
  <c r="T682" i="1"/>
  <c r="W682" i="1" s="1"/>
  <c r="AP682" i="1" s="1"/>
  <c r="U682" i="1"/>
  <c r="X682" i="1"/>
  <c r="Y682" i="1"/>
  <c r="AD682" i="1"/>
  <c r="AE682" i="1"/>
  <c r="AF682" i="1"/>
  <c r="AK682" i="1"/>
  <c r="AL682" i="1"/>
  <c r="AM682" i="1"/>
  <c r="AN682" i="1" s="1"/>
  <c r="B683" i="1"/>
  <c r="T683" i="1"/>
  <c r="U683" i="1"/>
  <c r="X683" i="1"/>
  <c r="Y683" i="1"/>
  <c r="AD683" i="1"/>
  <c r="AE683" i="1"/>
  <c r="AF683" i="1"/>
  <c r="AK683" i="1"/>
  <c r="AL683" i="1"/>
  <c r="AM683" i="1"/>
  <c r="AN683" i="1"/>
  <c r="B684" i="1"/>
  <c r="T684" i="1"/>
  <c r="W684" i="1" s="1"/>
  <c r="AP684" i="1" s="1"/>
  <c r="U684" i="1"/>
  <c r="X684" i="1"/>
  <c r="Y684" i="1"/>
  <c r="AD684" i="1"/>
  <c r="AE684" i="1"/>
  <c r="AF684" i="1"/>
  <c r="AK684" i="1"/>
  <c r="AL684" i="1"/>
  <c r="AM684" i="1"/>
  <c r="AN684" i="1"/>
  <c r="B685" i="1"/>
  <c r="T685" i="1"/>
  <c r="U685" i="1"/>
  <c r="X685" i="1"/>
  <c r="AB685" i="1" s="1"/>
  <c r="Y685" i="1"/>
  <c r="AD685" i="1"/>
  <c r="AE685" i="1"/>
  <c r="AF685" i="1"/>
  <c r="AK685" i="1"/>
  <c r="AL685" i="1"/>
  <c r="AM685" i="1"/>
  <c r="AN685" i="1" s="1"/>
  <c r="B686" i="1"/>
  <c r="T686" i="1"/>
  <c r="W686" i="1" s="1"/>
  <c r="AP686" i="1" s="1"/>
  <c r="U686" i="1"/>
  <c r="X686" i="1"/>
  <c r="Y686" i="1"/>
  <c r="AB686" i="1" s="1"/>
  <c r="AD686" i="1"/>
  <c r="AE686" i="1"/>
  <c r="AF686" i="1"/>
  <c r="AK686" i="1"/>
  <c r="AL686" i="1"/>
  <c r="AM686" i="1"/>
  <c r="AN686" i="1" s="1"/>
  <c r="B687" i="1"/>
  <c r="T687" i="1"/>
  <c r="U687" i="1"/>
  <c r="X687" i="1"/>
  <c r="Y687" i="1"/>
  <c r="AB687" i="1" s="1"/>
  <c r="AD687" i="1"/>
  <c r="AE687" i="1"/>
  <c r="AF687" i="1"/>
  <c r="AK687" i="1"/>
  <c r="AL687" i="1"/>
  <c r="AM687" i="1"/>
  <c r="AN687" i="1" s="1"/>
  <c r="B688" i="1"/>
  <c r="T688" i="1"/>
  <c r="W688" i="1" s="1"/>
  <c r="AP688" i="1" s="1"/>
  <c r="U688" i="1"/>
  <c r="X688" i="1"/>
  <c r="Y688" i="1"/>
  <c r="AB688" i="1" s="1"/>
  <c r="AD688" i="1"/>
  <c r="AE688" i="1"/>
  <c r="AF688" i="1"/>
  <c r="AK688" i="1"/>
  <c r="AL688" i="1"/>
  <c r="AM688" i="1"/>
  <c r="AN688" i="1" s="1"/>
  <c r="B689" i="1"/>
  <c r="T689" i="1"/>
  <c r="U689" i="1"/>
  <c r="X689" i="1"/>
  <c r="Y689" i="1"/>
  <c r="AD689" i="1"/>
  <c r="AE689" i="1"/>
  <c r="AF689" i="1"/>
  <c r="AK689" i="1"/>
  <c r="AL689" i="1"/>
  <c r="AM689" i="1"/>
  <c r="AN689" i="1" s="1"/>
  <c r="B690" i="1"/>
  <c r="T690" i="1"/>
  <c r="W690" i="1" s="1"/>
  <c r="AP690" i="1" s="1"/>
  <c r="U690" i="1"/>
  <c r="X690" i="1"/>
  <c r="Z690" i="1" s="1"/>
  <c r="AC690" i="1" s="1"/>
  <c r="Y690" i="1"/>
  <c r="AD690" i="1"/>
  <c r="AE690" i="1"/>
  <c r="AF690" i="1"/>
  <c r="AK690" i="1"/>
  <c r="AL690" i="1"/>
  <c r="AM690" i="1"/>
  <c r="AN690" i="1" s="1"/>
  <c r="AQ690" i="1"/>
  <c r="B691" i="1"/>
  <c r="T691" i="1"/>
  <c r="U691" i="1"/>
  <c r="X691" i="1"/>
  <c r="Y691" i="1"/>
  <c r="AD691" i="1"/>
  <c r="AE691" i="1"/>
  <c r="AF691" i="1"/>
  <c r="AK691" i="1"/>
  <c r="AL691" i="1"/>
  <c r="AM691" i="1"/>
  <c r="AN691" i="1"/>
  <c r="B692" i="1"/>
  <c r="T692" i="1"/>
  <c r="W692" i="1" s="1"/>
  <c r="AP692" i="1" s="1"/>
  <c r="U692" i="1"/>
  <c r="X692" i="1"/>
  <c r="Y692" i="1"/>
  <c r="AD692" i="1"/>
  <c r="AE692" i="1"/>
  <c r="AF692" i="1"/>
  <c r="AK692" i="1"/>
  <c r="AL692" i="1"/>
  <c r="AM692" i="1"/>
  <c r="AN692" i="1"/>
  <c r="B693" i="1"/>
  <c r="T693" i="1"/>
  <c r="U693" i="1"/>
  <c r="X693" i="1"/>
  <c r="AB693" i="1" s="1"/>
  <c r="Y693" i="1"/>
  <c r="AD693" i="1"/>
  <c r="AE693" i="1"/>
  <c r="AF693" i="1"/>
  <c r="AK693" i="1"/>
  <c r="AL693" i="1"/>
  <c r="AM693" i="1"/>
  <c r="AN693" i="1" s="1"/>
  <c r="B694" i="1"/>
  <c r="T694" i="1"/>
  <c r="W694" i="1" s="1"/>
  <c r="AP694" i="1" s="1"/>
  <c r="U694" i="1"/>
  <c r="X694" i="1"/>
  <c r="Y694" i="1"/>
  <c r="AB694" i="1" s="1"/>
  <c r="AD694" i="1"/>
  <c r="AE694" i="1"/>
  <c r="AF694" i="1"/>
  <c r="AK694" i="1"/>
  <c r="AL694" i="1"/>
  <c r="AM694" i="1"/>
  <c r="AN694" i="1"/>
  <c r="AQ694" i="1"/>
  <c r="B695" i="1"/>
  <c r="T695" i="1"/>
  <c r="U695" i="1"/>
  <c r="X695" i="1"/>
  <c r="Y695" i="1"/>
  <c r="AD695" i="1"/>
  <c r="AE695" i="1"/>
  <c r="AF695" i="1"/>
  <c r="AK695" i="1"/>
  <c r="AL695" i="1"/>
  <c r="AM695" i="1"/>
  <c r="AN695" i="1" s="1"/>
  <c r="B696" i="1"/>
  <c r="T696" i="1"/>
  <c r="W696" i="1" s="1"/>
  <c r="AP696" i="1" s="1"/>
  <c r="U696" i="1"/>
  <c r="X696" i="1"/>
  <c r="Y696" i="1"/>
  <c r="AB696" i="1" s="1"/>
  <c r="AD696" i="1"/>
  <c r="AE696" i="1"/>
  <c r="AF696" i="1"/>
  <c r="AK696" i="1"/>
  <c r="AL696" i="1"/>
  <c r="AM696" i="1"/>
  <c r="AN696" i="1" s="1"/>
  <c r="B697" i="1"/>
  <c r="T697" i="1"/>
  <c r="U697" i="1"/>
  <c r="X697" i="1"/>
  <c r="Y697" i="1"/>
  <c r="AB697" i="1" s="1"/>
  <c r="AD697" i="1"/>
  <c r="AE697" i="1"/>
  <c r="AF697" i="1"/>
  <c r="AK697" i="1"/>
  <c r="AL697" i="1"/>
  <c r="AM697" i="1"/>
  <c r="AN697" i="1"/>
  <c r="B698" i="1"/>
  <c r="T698" i="1"/>
  <c r="W698" i="1" s="1"/>
  <c r="AP698" i="1" s="1"/>
  <c r="U698" i="1"/>
  <c r="X698" i="1"/>
  <c r="Y698" i="1"/>
  <c r="AD698" i="1"/>
  <c r="AE698" i="1"/>
  <c r="AF698" i="1"/>
  <c r="AK698" i="1"/>
  <c r="AL698" i="1"/>
  <c r="AM698" i="1"/>
  <c r="AN698" i="1" s="1"/>
  <c r="B699" i="1"/>
  <c r="T699" i="1"/>
  <c r="U699" i="1"/>
  <c r="X699" i="1"/>
  <c r="Y699" i="1"/>
  <c r="AD699" i="1"/>
  <c r="AE699" i="1"/>
  <c r="AF699" i="1"/>
  <c r="AK699" i="1"/>
  <c r="AL699" i="1"/>
  <c r="AM699" i="1"/>
  <c r="AN699" i="1"/>
  <c r="B700" i="1"/>
  <c r="T700" i="1"/>
  <c r="W700" i="1" s="1"/>
  <c r="AP700" i="1" s="1"/>
  <c r="U700" i="1"/>
  <c r="X700" i="1"/>
  <c r="Y700" i="1"/>
  <c r="AD700" i="1"/>
  <c r="AE700" i="1"/>
  <c r="AF700" i="1"/>
  <c r="AK700" i="1"/>
  <c r="AL700" i="1"/>
  <c r="AM700" i="1"/>
  <c r="AN700" i="1"/>
  <c r="B701" i="1"/>
  <c r="T701" i="1"/>
  <c r="U701" i="1"/>
  <c r="X701" i="1"/>
  <c r="Y701" i="1"/>
  <c r="AD701" i="1"/>
  <c r="AE701" i="1"/>
  <c r="AF701" i="1"/>
  <c r="AK701" i="1"/>
  <c r="AL701" i="1"/>
  <c r="AM701" i="1"/>
  <c r="AN701" i="1" s="1"/>
  <c r="B702" i="1"/>
  <c r="T702" i="1"/>
  <c r="W702" i="1" s="1"/>
  <c r="AP702" i="1" s="1"/>
  <c r="U702" i="1"/>
  <c r="X702" i="1"/>
  <c r="Y702" i="1"/>
  <c r="AB702" i="1" s="1"/>
  <c r="AD702" i="1"/>
  <c r="AE702" i="1"/>
  <c r="AF702" i="1"/>
  <c r="AK702" i="1"/>
  <c r="AL702" i="1"/>
  <c r="AM702" i="1"/>
  <c r="AN702" i="1"/>
  <c r="AQ702" i="1"/>
  <c r="B703" i="1"/>
  <c r="T703" i="1"/>
  <c r="U703" i="1"/>
  <c r="X703" i="1"/>
  <c r="Y703" i="1"/>
  <c r="AD703" i="1"/>
  <c r="AE703" i="1"/>
  <c r="AF703" i="1"/>
  <c r="AK703" i="1"/>
  <c r="AL703" i="1"/>
  <c r="AM703" i="1"/>
  <c r="AN703" i="1" s="1"/>
  <c r="B704" i="1"/>
  <c r="T704" i="1"/>
  <c r="W704" i="1" s="1"/>
  <c r="AP704" i="1" s="1"/>
  <c r="U704" i="1"/>
  <c r="X704" i="1"/>
  <c r="Y704" i="1"/>
  <c r="AD704" i="1"/>
  <c r="AE704" i="1"/>
  <c r="AF704" i="1"/>
  <c r="AK704" i="1"/>
  <c r="AL704" i="1"/>
  <c r="AM704" i="1"/>
  <c r="AN704" i="1" s="1"/>
  <c r="B705" i="1"/>
  <c r="T705" i="1"/>
  <c r="U705" i="1"/>
  <c r="X705" i="1"/>
  <c r="Y705" i="1"/>
  <c r="AB705" i="1" s="1"/>
  <c r="AD705" i="1"/>
  <c r="AE705" i="1"/>
  <c r="AF705" i="1"/>
  <c r="AK705" i="1"/>
  <c r="AL705" i="1"/>
  <c r="AM705" i="1"/>
  <c r="AN705" i="1"/>
  <c r="B706" i="1"/>
  <c r="T706" i="1"/>
  <c r="W706" i="1" s="1"/>
  <c r="AP706" i="1" s="1"/>
  <c r="U706" i="1"/>
  <c r="X706" i="1"/>
  <c r="Z706" i="1" s="1"/>
  <c r="AC706" i="1" s="1"/>
  <c r="Y706" i="1"/>
  <c r="AD706" i="1"/>
  <c r="AE706" i="1"/>
  <c r="AF706" i="1"/>
  <c r="AK706" i="1"/>
  <c r="AL706" i="1"/>
  <c r="AM706" i="1"/>
  <c r="AN706" i="1" s="1"/>
  <c r="AQ706" i="1"/>
  <c r="B707" i="1"/>
  <c r="T707" i="1"/>
  <c r="U707" i="1"/>
  <c r="X707" i="1"/>
  <c r="Y707" i="1"/>
  <c r="AD707" i="1"/>
  <c r="AE707" i="1"/>
  <c r="AF707" i="1"/>
  <c r="AK707" i="1"/>
  <c r="AL707" i="1"/>
  <c r="AM707" i="1"/>
  <c r="AN707" i="1"/>
  <c r="B708" i="1"/>
  <c r="T708" i="1"/>
  <c r="W708" i="1" s="1"/>
  <c r="AP708" i="1" s="1"/>
  <c r="U708" i="1"/>
  <c r="X708" i="1"/>
  <c r="Y708" i="1"/>
  <c r="AD708" i="1"/>
  <c r="AE708" i="1"/>
  <c r="AF708" i="1"/>
  <c r="AK708" i="1"/>
  <c r="AL708" i="1"/>
  <c r="AM708" i="1"/>
  <c r="AN708" i="1"/>
  <c r="B709" i="1"/>
  <c r="T709" i="1"/>
  <c r="U709" i="1"/>
  <c r="X709" i="1"/>
  <c r="Y709" i="1"/>
  <c r="AD709" i="1"/>
  <c r="AE709" i="1"/>
  <c r="AF709" i="1"/>
  <c r="AK709" i="1"/>
  <c r="AL709" i="1"/>
  <c r="AM709" i="1"/>
  <c r="AN709" i="1" s="1"/>
  <c r="B710" i="1"/>
  <c r="T710" i="1"/>
  <c r="W710" i="1" s="1"/>
  <c r="AP710" i="1" s="1"/>
  <c r="U710" i="1"/>
  <c r="X710" i="1"/>
  <c r="Y710" i="1"/>
  <c r="AB710" i="1" s="1"/>
  <c r="AD710" i="1"/>
  <c r="AE710" i="1"/>
  <c r="AF710" i="1"/>
  <c r="AK710" i="1"/>
  <c r="AL710" i="1"/>
  <c r="AM710" i="1"/>
  <c r="AN710" i="1" s="1"/>
  <c r="AQ710" i="1"/>
  <c r="B711" i="1"/>
  <c r="T711" i="1"/>
  <c r="U711" i="1"/>
  <c r="X711" i="1"/>
  <c r="Y711" i="1"/>
  <c r="AD711" i="1"/>
  <c r="AE711" i="1"/>
  <c r="AF711" i="1"/>
  <c r="AK711" i="1"/>
  <c r="AL711" i="1"/>
  <c r="AM711" i="1"/>
  <c r="AN711" i="1" s="1"/>
  <c r="B712" i="1"/>
  <c r="T712" i="1"/>
  <c r="W712" i="1" s="1"/>
  <c r="AP712" i="1" s="1"/>
  <c r="U712" i="1"/>
  <c r="X712" i="1"/>
  <c r="Y712" i="1"/>
  <c r="AB712" i="1" s="1"/>
  <c r="AD712" i="1"/>
  <c r="AE712" i="1"/>
  <c r="AF712" i="1"/>
  <c r="AK712" i="1"/>
  <c r="AL712" i="1"/>
  <c r="AM712" i="1"/>
  <c r="AN712" i="1" s="1"/>
  <c r="B713" i="1"/>
  <c r="T713" i="1"/>
  <c r="U713" i="1"/>
  <c r="X713" i="1"/>
  <c r="Y713" i="1"/>
  <c r="AD713" i="1"/>
  <c r="AE713" i="1"/>
  <c r="AF713" i="1"/>
  <c r="AK713" i="1"/>
  <c r="AL713" i="1"/>
  <c r="AM713" i="1"/>
  <c r="AN713" i="1" s="1"/>
  <c r="B714" i="1"/>
  <c r="T714" i="1"/>
  <c r="W714" i="1" s="1"/>
  <c r="AP714" i="1" s="1"/>
  <c r="U714" i="1"/>
  <c r="X714" i="1"/>
  <c r="Y714" i="1"/>
  <c r="AD714" i="1"/>
  <c r="AE714" i="1"/>
  <c r="AF714" i="1"/>
  <c r="AK714" i="1"/>
  <c r="AL714" i="1"/>
  <c r="AM714" i="1"/>
  <c r="AN714" i="1" s="1"/>
  <c r="B715" i="1"/>
  <c r="T715" i="1"/>
  <c r="U715" i="1"/>
  <c r="X715" i="1"/>
  <c r="Y715" i="1"/>
  <c r="AD715" i="1"/>
  <c r="AE715" i="1"/>
  <c r="AF715" i="1"/>
  <c r="AK715" i="1"/>
  <c r="AL715" i="1"/>
  <c r="AM715" i="1"/>
  <c r="AN715" i="1" s="1"/>
  <c r="B716" i="1"/>
  <c r="T716" i="1"/>
  <c r="W716" i="1" s="1"/>
  <c r="AP716" i="1" s="1"/>
  <c r="U716" i="1"/>
  <c r="X716" i="1"/>
  <c r="Y716" i="1"/>
  <c r="AD716" i="1"/>
  <c r="AE716" i="1"/>
  <c r="AF716" i="1"/>
  <c r="AK716" i="1"/>
  <c r="AL716" i="1"/>
  <c r="AM716" i="1"/>
  <c r="AN716" i="1" s="1"/>
  <c r="B717" i="1"/>
  <c r="T717" i="1"/>
  <c r="U717" i="1"/>
  <c r="X717" i="1"/>
  <c r="AB717" i="1" s="1"/>
  <c r="Y717" i="1"/>
  <c r="AD717" i="1"/>
  <c r="AE717" i="1"/>
  <c r="AF717" i="1"/>
  <c r="AK717" i="1"/>
  <c r="AL717" i="1"/>
  <c r="AM717" i="1"/>
  <c r="AN717" i="1" s="1"/>
  <c r="B718" i="1"/>
  <c r="T718" i="1"/>
  <c r="W718" i="1" s="1"/>
  <c r="AP718" i="1" s="1"/>
  <c r="U718" i="1"/>
  <c r="X718" i="1"/>
  <c r="Z718" i="1" s="1"/>
  <c r="AC718" i="1" s="1"/>
  <c r="Y718" i="1"/>
  <c r="AD718" i="1"/>
  <c r="AE718" i="1"/>
  <c r="AF718" i="1"/>
  <c r="AK718" i="1"/>
  <c r="AL718" i="1"/>
  <c r="AM718" i="1"/>
  <c r="AN718" i="1" s="1"/>
  <c r="AQ718" i="1"/>
  <c r="B719" i="1"/>
  <c r="T719" i="1"/>
  <c r="U719" i="1"/>
  <c r="X719" i="1"/>
  <c r="Y719" i="1"/>
  <c r="AD719" i="1"/>
  <c r="AE719" i="1"/>
  <c r="AF719" i="1"/>
  <c r="AK719" i="1"/>
  <c r="AL719" i="1"/>
  <c r="AM719" i="1"/>
  <c r="AN719" i="1" s="1"/>
  <c r="B720" i="1"/>
  <c r="T720" i="1"/>
  <c r="W720" i="1" s="1"/>
  <c r="AP720" i="1" s="1"/>
  <c r="U720" i="1"/>
  <c r="X720" i="1"/>
  <c r="Y720" i="1"/>
  <c r="AD720" i="1"/>
  <c r="AE720" i="1"/>
  <c r="AF720" i="1"/>
  <c r="AK720" i="1"/>
  <c r="AL720" i="1"/>
  <c r="AM720" i="1"/>
  <c r="AN720" i="1" s="1"/>
  <c r="B721" i="1"/>
  <c r="T721" i="1"/>
  <c r="U721" i="1"/>
  <c r="X721" i="1"/>
  <c r="Y721" i="1"/>
  <c r="AB721" i="1" s="1"/>
  <c r="AD721" i="1"/>
  <c r="AE721" i="1"/>
  <c r="AF721" i="1"/>
  <c r="AK721" i="1"/>
  <c r="AL721" i="1"/>
  <c r="AM721" i="1"/>
  <c r="AN721" i="1"/>
  <c r="B722" i="1"/>
  <c r="T722" i="1"/>
  <c r="W722" i="1" s="1"/>
  <c r="AP722" i="1" s="1"/>
  <c r="U722" i="1"/>
  <c r="X722" i="1"/>
  <c r="Z722" i="1" s="1"/>
  <c r="AC722" i="1" s="1"/>
  <c r="Y722" i="1"/>
  <c r="AD722" i="1"/>
  <c r="AE722" i="1"/>
  <c r="AF722" i="1"/>
  <c r="AK722" i="1"/>
  <c r="AL722" i="1"/>
  <c r="AM722" i="1"/>
  <c r="AN722" i="1" s="1"/>
  <c r="AQ722" i="1"/>
  <c r="B723" i="1"/>
  <c r="T723" i="1"/>
  <c r="U723" i="1"/>
  <c r="X723" i="1"/>
  <c r="Y723" i="1"/>
  <c r="AD723" i="1"/>
  <c r="AE723" i="1"/>
  <c r="AF723" i="1"/>
  <c r="AK723" i="1"/>
  <c r="AL723" i="1"/>
  <c r="AM723" i="1"/>
  <c r="AN723" i="1"/>
  <c r="B724" i="1"/>
  <c r="T724" i="1"/>
  <c r="W724" i="1" s="1"/>
  <c r="AP724" i="1" s="1"/>
  <c r="U724" i="1"/>
  <c r="X724" i="1"/>
  <c r="Y724" i="1"/>
  <c r="AD724" i="1"/>
  <c r="AE724" i="1"/>
  <c r="AF724" i="1"/>
  <c r="AK724" i="1"/>
  <c r="AL724" i="1"/>
  <c r="AM724" i="1"/>
  <c r="AN724" i="1"/>
  <c r="B725" i="1"/>
  <c r="T725" i="1"/>
  <c r="U725" i="1"/>
  <c r="X725" i="1"/>
  <c r="AB725" i="1" s="1"/>
  <c r="Y725" i="1"/>
  <c r="AD725" i="1"/>
  <c r="AE725" i="1"/>
  <c r="AF725" i="1"/>
  <c r="AK725" i="1"/>
  <c r="AL725" i="1"/>
  <c r="AM725" i="1"/>
  <c r="AN725" i="1" s="1"/>
  <c r="B726" i="1"/>
  <c r="T726" i="1"/>
  <c r="W726" i="1" s="1"/>
  <c r="AP726" i="1" s="1"/>
  <c r="U726" i="1"/>
  <c r="X726" i="1"/>
  <c r="Y726" i="1"/>
  <c r="AB726" i="1" s="1"/>
  <c r="AD726" i="1"/>
  <c r="AE726" i="1"/>
  <c r="AF726" i="1"/>
  <c r="AK726" i="1"/>
  <c r="AL726" i="1"/>
  <c r="AM726" i="1"/>
  <c r="AN726" i="1" s="1"/>
  <c r="AQ726" i="1"/>
  <c r="B727" i="1"/>
  <c r="T727" i="1"/>
  <c r="U727" i="1"/>
  <c r="X727" i="1"/>
  <c r="Y727" i="1"/>
  <c r="AD727" i="1"/>
  <c r="AE727" i="1"/>
  <c r="AF727" i="1"/>
  <c r="AK727" i="1"/>
  <c r="AL727" i="1"/>
  <c r="AM727" i="1"/>
  <c r="AN727" i="1" s="1"/>
  <c r="B728" i="1"/>
  <c r="T728" i="1"/>
  <c r="W728" i="1" s="1"/>
  <c r="AP728" i="1" s="1"/>
  <c r="U728" i="1"/>
  <c r="X728" i="1"/>
  <c r="Y728" i="1"/>
  <c r="AB728" i="1" s="1"/>
  <c r="AD728" i="1"/>
  <c r="AE728" i="1"/>
  <c r="AF728" i="1"/>
  <c r="AK728" i="1"/>
  <c r="AL728" i="1"/>
  <c r="AM728" i="1"/>
  <c r="AN728" i="1" s="1"/>
  <c r="B729" i="1"/>
  <c r="T729" i="1"/>
  <c r="U729" i="1"/>
  <c r="X729" i="1"/>
  <c r="Y729" i="1"/>
  <c r="AD729" i="1"/>
  <c r="AE729" i="1"/>
  <c r="AF729" i="1"/>
  <c r="AK729" i="1"/>
  <c r="AL729" i="1"/>
  <c r="AM729" i="1"/>
  <c r="AN729" i="1" s="1"/>
  <c r="B730" i="1"/>
  <c r="T730" i="1"/>
  <c r="W730" i="1" s="1"/>
  <c r="AP730" i="1" s="1"/>
  <c r="U730" i="1"/>
  <c r="X730" i="1"/>
  <c r="Y730" i="1"/>
  <c r="AD730" i="1"/>
  <c r="AE730" i="1"/>
  <c r="AF730" i="1"/>
  <c r="AK730" i="1"/>
  <c r="AL730" i="1"/>
  <c r="AM730" i="1"/>
  <c r="AN730" i="1" s="1"/>
  <c r="B731" i="1"/>
  <c r="T731" i="1"/>
  <c r="U731" i="1"/>
  <c r="X731" i="1"/>
  <c r="Y731" i="1"/>
  <c r="AD731" i="1"/>
  <c r="AE731" i="1"/>
  <c r="AF731" i="1"/>
  <c r="AK731" i="1"/>
  <c r="AL731" i="1"/>
  <c r="AM731" i="1"/>
  <c r="AN731" i="1" s="1"/>
  <c r="B732" i="1"/>
  <c r="T732" i="1"/>
  <c r="W732" i="1" s="1"/>
  <c r="AP732" i="1" s="1"/>
  <c r="U732" i="1"/>
  <c r="X732" i="1"/>
  <c r="Y732" i="1"/>
  <c r="AD732" i="1"/>
  <c r="AE732" i="1"/>
  <c r="AF732" i="1"/>
  <c r="AK732" i="1"/>
  <c r="AL732" i="1"/>
  <c r="AM732" i="1"/>
  <c r="AN732" i="1" s="1"/>
  <c r="B733" i="1"/>
  <c r="T733" i="1"/>
  <c r="U733" i="1"/>
  <c r="X733" i="1"/>
  <c r="AB733" i="1" s="1"/>
  <c r="Y733" i="1"/>
  <c r="AD733" i="1"/>
  <c r="AE733" i="1"/>
  <c r="AF733" i="1"/>
  <c r="AK733" i="1"/>
  <c r="AL733" i="1"/>
  <c r="AM733" i="1"/>
  <c r="AN733" i="1" s="1"/>
  <c r="B734" i="1"/>
  <c r="T734" i="1"/>
  <c r="W734" i="1" s="1"/>
  <c r="AP734" i="1" s="1"/>
  <c r="U734" i="1"/>
  <c r="X734" i="1"/>
  <c r="Z734" i="1" s="1"/>
  <c r="AC734" i="1" s="1"/>
  <c r="Y734" i="1"/>
  <c r="AB734" i="1" s="1"/>
  <c r="AD734" i="1"/>
  <c r="AE734" i="1"/>
  <c r="AF734" i="1"/>
  <c r="AK734" i="1"/>
  <c r="AL734" i="1"/>
  <c r="AM734" i="1"/>
  <c r="AN734" i="1" s="1"/>
  <c r="AQ734" i="1"/>
  <c r="B735" i="1"/>
  <c r="T735" i="1"/>
  <c r="U735" i="1"/>
  <c r="X735" i="1"/>
  <c r="Y735" i="1"/>
  <c r="AB735" i="1" s="1"/>
  <c r="AD735" i="1"/>
  <c r="AE735" i="1"/>
  <c r="AF735" i="1"/>
  <c r="AK735" i="1"/>
  <c r="AL735" i="1"/>
  <c r="AM735" i="1"/>
  <c r="AN735" i="1" s="1"/>
  <c r="B736" i="1"/>
  <c r="T736" i="1"/>
  <c r="W736" i="1" s="1"/>
  <c r="AP736" i="1" s="1"/>
  <c r="U736" i="1"/>
  <c r="X736" i="1"/>
  <c r="Y736" i="1"/>
  <c r="AD736" i="1"/>
  <c r="AE736" i="1"/>
  <c r="AF736" i="1"/>
  <c r="AK736" i="1"/>
  <c r="AL736" i="1"/>
  <c r="AM736" i="1"/>
  <c r="AN736" i="1" s="1"/>
  <c r="B737" i="1"/>
  <c r="T737" i="1"/>
  <c r="U737" i="1"/>
  <c r="X737" i="1"/>
  <c r="Y737" i="1"/>
  <c r="AB737" i="1" s="1"/>
  <c r="AD737" i="1"/>
  <c r="AE737" i="1"/>
  <c r="AF737" i="1"/>
  <c r="AK737" i="1"/>
  <c r="AL737" i="1"/>
  <c r="AM737" i="1"/>
  <c r="AN737" i="1"/>
  <c r="B738" i="1"/>
  <c r="T738" i="1"/>
  <c r="W738" i="1" s="1"/>
  <c r="AP738" i="1" s="1"/>
  <c r="U738" i="1"/>
  <c r="X738" i="1"/>
  <c r="Y738" i="1"/>
  <c r="AB738" i="1" s="1"/>
  <c r="AD738" i="1"/>
  <c r="AE738" i="1"/>
  <c r="AF738" i="1"/>
  <c r="AK738" i="1"/>
  <c r="AL738" i="1"/>
  <c r="AM738" i="1"/>
  <c r="AN738" i="1" s="1"/>
  <c r="AQ738" i="1"/>
  <c r="B739" i="1"/>
  <c r="T739" i="1"/>
  <c r="U739" i="1"/>
  <c r="X739" i="1"/>
  <c r="Y739" i="1"/>
  <c r="AD739" i="1"/>
  <c r="AE739" i="1"/>
  <c r="AF739" i="1"/>
  <c r="AK739" i="1"/>
  <c r="AL739" i="1"/>
  <c r="AM739" i="1"/>
  <c r="AN739" i="1"/>
  <c r="B740" i="1"/>
  <c r="T740" i="1"/>
  <c r="W740" i="1" s="1"/>
  <c r="AP740" i="1" s="1"/>
  <c r="U740" i="1"/>
  <c r="X740" i="1"/>
  <c r="AB740" i="1" s="1"/>
  <c r="Y740" i="1"/>
  <c r="AD740" i="1"/>
  <c r="AE740" i="1"/>
  <c r="AF740" i="1"/>
  <c r="AK740" i="1"/>
  <c r="AL740" i="1"/>
  <c r="AM740" i="1"/>
  <c r="AN740" i="1"/>
  <c r="B741" i="1"/>
  <c r="T741" i="1"/>
  <c r="W741" i="1" s="1"/>
  <c r="AP741" i="1" s="1"/>
  <c r="U741" i="1"/>
  <c r="X741" i="1"/>
  <c r="AB741" i="1" s="1"/>
  <c r="Y741" i="1"/>
  <c r="AD741" i="1"/>
  <c r="AE741" i="1"/>
  <c r="AF741" i="1"/>
  <c r="AK741" i="1"/>
  <c r="AL741" i="1"/>
  <c r="AM741" i="1"/>
  <c r="AN741" i="1"/>
  <c r="B742" i="1"/>
  <c r="T742" i="1"/>
  <c r="W742" i="1" s="1"/>
  <c r="AP742" i="1" s="1"/>
  <c r="U742" i="1"/>
  <c r="X742" i="1"/>
  <c r="AB742" i="1" s="1"/>
  <c r="Y742" i="1"/>
  <c r="AD742" i="1"/>
  <c r="AE742" i="1"/>
  <c r="AF742" i="1"/>
  <c r="AK742" i="1"/>
  <c r="AL742" i="1"/>
  <c r="AM742" i="1"/>
  <c r="AN742" i="1" s="1"/>
  <c r="B743" i="1"/>
  <c r="T743" i="1"/>
  <c r="W743" i="1" s="1"/>
  <c r="U743" i="1"/>
  <c r="X743" i="1"/>
  <c r="Z743" i="1" s="1"/>
  <c r="Y743" i="1"/>
  <c r="AD743" i="1"/>
  <c r="AE743" i="1"/>
  <c r="AF743" i="1"/>
  <c r="AK743" i="1"/>
  <c r="AL743" i="1"/>
  <c r="AM743" i="1"/>
  <c r="AN743" i="1"/>
  <c r="B744" i="1"/>
  <c r="T744" i="1"/>
  <c r="W744" i="1" s="1"/>
  <c r="AP744" i="1" s="1"/>
  <c r="U744" i="1"/>
  <c r="X744" i="1"/>
  <c r="AB744" i="1" s="1"/>
  <c r="Y744" i="1"/>
  <c r="AD744" i="1"/>
  <c r="AE744" i="1"/>
  <c r="AF744" i="1"/>
  <c r="AK744" i="1"/>
  <c r="AL744" i="1"/>
  <c r="AM744" i="1"/>
  <c r="AN744" i="1" s="1"/>
  <c r="B745" i="1"/>
  <c r="T745" i="1"/>
  <c r="W745" i="1" s="1"/>
  <c r="U745" i="1"/>
  <c r="X745" i="1"/>
  <c r="Y745" i="1"/>
  <c r="AD745" i="1"/>
  <c r="AE745" i="1"/>
  <c r="AF745" i="1"/>
  <c r="AK745" i="1"/>
  <c r="AL745" i="1"/>
  <c r="AM745" i="1"/>
  <c r="AN745" i="1" s="1"/>
  <c r="B746" i="1"/>
  <c r="T746" i="1"/>
  <c r="W746" i="1" s="1"/>
  <c r="AP746" i="1" s="1"/>
  <c r="U746" i="1"/>
  <c r="X746" i="1"/>
  <c r="AB746" i="1" s="1"/>
  <c r="Y746" i="1"/>
  <c r="AD746" i="1"/>
  <c r="AE746" i="1"/>
  <c r="AF746" i="1"/>
  <c r="AK746" i="1"/>
  <c r="AL746" i="1"/>
  <c r="AM746" i="1"/>
  <c r="AN746" i="1" s="1"/>
  <c r="B747" i="1"/>
  <c r="T747" i="1"/>
  <c r="W747" i="1" s="1"/>
  <c r="AP747" i="1" s="1"/>
  <c r="U747" i="1"/>
  <c r="X747" i="1"/>
  <c r="Z747" i="1" s="1"/>
  <c r="Y747" i="1"/>
  <c r="AD747" i="1"/>
  <c r="AE747" i="1"/>
  <c r="AF747" i="1"/>
  <c r="AK747" i="1"/>
  <c r="AL747" i="1"/>
  <c r="AM747" i="1"/>
  <c r="AN747" i="1" s="1"/>
  <c r="B748" i="1"/>
  <c r="T748" i="1"/>
  <c r="W748" i="1" s="1"/>
  <c r="AP748" i="1" s="1"/>
  <c r="U748" i="1"/>
  <c r="X748" i="1"/>
  <c r="Z748" i="1" s="1"/>
  <c r="Y748" i="1"/>
  <c r="AD748" i="1"/>
  <c r="AE748" i="1"/>
  <c r="AF748" i="1"/>
  <c r="AK748" i="1"/>
  <c r="AL748" i="1"/>
  <c r="AM748" i="1"/>
  <c r="AN748" i="1"/>
  <c r="B749" i="1"/>
  <c r="T749" i="1"/>
  <c r="W749" i="1" s="1"/>
  <c r="U749" i="1"/>
  <c r="X749" i="1"/>
  <c r="Y749" i="1"/>
  <c r="AD749" i="1"/>
  <c r="AE749" i="1"/>
  <c r="AF749" i="1"/>
  <c r="AK749" i="1"/>
  <c r="AL749" i="1"/>
  <c r="AM749" i="1"/>
  <c r="AN749" i="1"/>
  <c r="B750" i="1"/>
  <c r="T750" i="1"/>
  <c r="W750" i="1" s="1"/>
  <c r="AP750" i="1" s="1"/>
  <c r="U750" i="1"/>
  <c r="X750" i="1"/>
  <c r="AB750" i="1" s="1"/>
  <c r="Y750" i="1"/>
  <c r="AD750" i="1"/>
  <c r="AE750" i="1"/>
  <c r="AF750" i="1"/>
  <c r="AK750" i="1"/>
  <c r="AL750" i="1"/>
  <c r="AM750" i="1"/>
  <c r="AN750" i="1" s="1"/>
  <c r="B751" i="1"/>
  <c r="T751" i="1"/>
  <c r="W751" i="1" s="1"/>
  <c r="U751" i="1"/>
  <c r="X751" i="1"/>
  <c r="Z751" i="1" s="1"/>
  <c r="Y751" i="1"/>
  <c r="AD751" i="1"/>
  <c r="AE751" i="1"/>
  <c r="AF751" i="1"/>
  <c r="AK751" i="1"/>
  <c r="AL751" i="1"/>
  <c r="AM751" i="1"/>
  <c r="AN751" i="1"/>
  <c r="B752" i="1"/>
  <c r="T752" i="1"/>
  <c r="W752" i="1" s="1"/>
  <c r="AP752" i="1" s="1"/>
  <c r="U752" i="1"/>
  <c r="X752" i="1"/>
  <c r="AB752" i="1" s="1"/>
  <c r="Y752" i="1"/>
  <c r="AD752" i="1"/>
  <c r="AE752" i="1"/>
  <c r="AF752" i="1"/>
  <c r="AK752" i="1"/>
  <c r="AL752" i="1"/>
  <c r="AM752" i="1"/>
  <c r="AN752" i="1" s="1"/>
  <c r="B753" i="1"/>
  <c r="T753" i="1"/>
  <c r="W753" i="1" s="1"/>
  <c r="U753" i="1"/>
  <c r="X753" i="1"/>
  <c r="Y753" i="1"/>
  <c r="AD753" i="1"/>
  <c r="AE753" i="1"/>
  <c r="AF753" i="1"/>
  <c r="AK753" i="1"/>
  <c r="AL753" i="1"/>
  <c r="AM753" i="1"/>
  <c r="AN753" i="1" s="1"/>
  <c r="B754" i="1"/>
  <c r="T754" i="1"/>
  <c r="W754" i="1" s="1"/>
  <c r="AP754" i="1" s="1"/>
  <c r="U754" i="1"/>
  <c r="X754" i="1"/>
  <c r="Y754" i="1"/>
  <c r="Z754" i="1"/>
  <c r="AD754" i="1"/>
  <c r="AE754" i="1"/>
  <c r="AF754" i="1"/>
  <c r="AK754" i="1"/>
  <c r="AL754" i="1"/>
  <c r="AM754" i="1"/>
  <c r="AN754" i="1"/>
  <c r="B755" i="1"/>
  <c r="T755" i="1"/>
  <c r="W755" i="1" s="1"/>
  <c r="U755" i="1"/>
  <c r="X755" i="1"/>
  <c r="Z755" i="1" s="1"/>
  <c r="Y755" i="1"/>
  <c r="AD755" i="1"/>
  <c r="AE755" i="1"/>
  <c r="AF755" i="1"/>
  <c r="AK755" i="1"/>
  <c r="AL755" i="1"/>
  <c r="AM755" i="1"/>
  <c r="AN755" i="1"/>
  <c r="B756" i="1"/>
  <c r="T756" i="1"/>
  <c r="W756" i="1" s="1"/>
  <c r="AP756" i="1" s="1"/>
  <c r="U756" i="1"/>
  <c r="X756" i="1"/>
  <c r="Z756" i="1" s="1"/>
  <c r="Y756" i="1"/>
  <c r="AD756" i="1"/>
  <c r="AE756" i="1"/>
  <c r="AF756" i="1"/>
  <c r="AK756" i="1"/>
  <c r="AL756" i="1"/>
  <c r="AM756" i="1"/>
  <c r="AN756" i="1"/>
  <c r="B757" i="1"/>
  <c r="T757" i="1"/>
  <c r="W757" i="1" s="1"/>
  <c r="AP757" i="1" s="1"/>
  <c r="U757" i="1"/>
  <c r="X757" i="1"/>
  <c r="AB757" i="1" s="1"/>
  <c r="Y757" i="1"/>
  <c r="AD757" i="1"/>
  <c r="AE757" i="1"/>
  <c r="AF757" i="1"/>
  <c r="AK757" i="1"/>
  <c r="AL757" i="1"/>
  <c r="AM757" i="1"/>
  <c r="AN757" i="1" s="1"/>
  <c r="B758" i="1"/>
  <c r="T758" i="1"/>
  <c r="W758" i="1" s="1"/>
  <c r="AP758" i="1" s="1"/>
  <c r="U758" i="1"/>
  <c r="X758" i="1"/>
  <c r="Z758" i="1" s="1"/>
  <c r="Y758" i="1"/>
  <c r="AD758" i="1"/>
  <c r="AE758" i="1"/>
  <c r="AF758" i="1"/>
  <c r="AK758" i="1"/>
  <c r="AL758" i="1"/>
  <c r="AM758" i="1"/>
  <c r="AN758" i="1"/>
  <c r="B759" i="1"/>
  <c r="T759" i="1"/>
  <c r="W759" i="1" s="1"/>
  <c r="AP759" i="1" s="1"/>
  <c r="U759" i="1"/>
  <c r="X759" i="1"/>
  <c r="Z759" i="1" s="1"/>
  <c r="Y759" i="1"/>
  <c r="AD759" i="1"/>
  <c r="AE759" i="1"/>
  <c r="AF759" i="1"/>
  <c r="AK759" i="1"/>
  <c r="AL759" i="1"/>
  <c r="AM759" i="1"/>
  <c r="AN759" i="1" s="1"/>
  <c r="B760" i="1"/>
  <c r="T760" i="1"/>
  <c r="W760" i="1" s="1"/>
  <c r="AP760" i="1" s="1"/>
  <c r="U760" i="1"/>
  <c r="X760" i="1"/>
  <c r="Y760" i="1"/>
  <c r="AD760" i="1"/>
  <c r="AE760" i="1"/>
  <c r="AF760" i="1"/>
  <c r="AK760" i="1"/>
  <c r="AL760" i="1"/>
  <c r="AM760" i="1"/>
  <c r="AN760" i="1" s="1"/>
  <c r="B761" i="1"/>
  <c r="T761" i="1"/>
  <c r="W761" i="1" s="1"/>
  <c r="AP761" i="1" s="1"/>
  <c r="U761" i="1"/>
  <c r="X761" i="1"/>
  <c r="Y761" i="1"/>
  <c r="AD761" i="1"/>
  <c r="AE761" i="1"/>
  <c r="AF761" i="1"/>
  <c r="AK761" i="1"/>
  <c r="AL761" i="1"/>
  <c r="AM761" i="1"/>
  <c r="AN761" i="1" s="1"/>
  <c r="B762" i="1"/>
  <c r="T762" i="1"/>
  <c r="W762" i="1" s="1"/>
  <c r="AP762" i="1" s="1"/>
  <c r="U762" i="1"/>
  <c r="X762" i="1"/>
  <c r="Z762" i="1" s="1"/>
  <c r="Y762" i="1"/>
  <c r="AD762" i="1"/>
  <c r="AE762" i="1"/>
  <c r="AF762" i="1"/>
  <c r="AK762" i="1"/>
  <c r="AL762" i="1"/>
  <c r="AM762" i="1"/>
  <c r="AN762" i="1" s="1"/>
  <c r="B763" i="1"/>
  <c r="T763" i="1"/>
  <c r="W763" i="1" s="1"/>
  <c r="AP763" i="1" s="1"/>
  <c r="U763" i="1"/>
  <c r="X763" i="1"/>
  <c r="Y763" i="1"/>
  <c r="Z763" i="1"/>
  <c r="AD763" i="1"/>
  <c r="AE763" i="1"/>
  <c r="AF763" i="1"/>
  <c r="AK763" i="1"/>
  <c r="AL763" i="1"/>
  <c r="AM763" i="1"/>
  <c r="AN763" i="1"/>
  <c r="B764" i="1"/>
  <c r="T764" i="1"/>
  <c r="W764" i="1" s="1"/>
  <c r="AP764" i="1" s="1"/>
  <c r="U764" i="1"/>
  <c r="X764" i="1"/>
  <c r="Y764" i="1"/>
  <c r="AD764" i="1"/>
  <c r="AE764" i="1"/>
  <c r="AF764" i="1"/>
  <c r="AK764" i="1"/>
  <c r="AL764" i="1"/>
  <c r="AM764" i="1"/>
  <c r="AN764" i="1"/>
  <c r="B765" i="1"/>
  <c r="T765" i="1"/>
  <c r="W765" i="1" s="1"/>
  <c r="AP765" i="1" s="1"/>
  <c r="U765" i="1"/>
  <c r="X765" i="1"/>
  <c r="AB765" i="1" s="1"/>
  <c r="Y765" i="1"/>
  <c r="AD765" i="1"/>
  <c r="AE765" i="1"/>
  <c r="AF765" i="1"/>
  <c r="AK765" i="1"/>
  <c r="AL765" i="1"/>
  <c r="AM765" i="1"/>
  <c r="AN765" i="1" s="1"/>
  <c r="B766" i="1"/>
  <c r="T766" i="1"/>
  <c r="W766" i="1" s="1"/>
  <c r="AP766" i="1" s="1"/>
  <c r="U766" i="1"/>
  <c r="X766" i="1"/>
  <c r="Y766" i="1"/>
  <c r="Z766" i="1"/>
  <c r="AD766" i="1"/>
  <c r="AE766" i="1"/>
  <c r="AF766" i="1"/>
  <c r="AK766" i="1"/>
  <c r="AL766" i="1"/>
  <c r="AM766" i="1"/>
  <c r="AN766" i="1"/>
  <c r="B767" i="1"/>
  <c r="T767" i="1"/>
  <c r="W767" i="1" s="1"/>
  <c r="AP767" i="1" s="1"/>
  <c r="U767" i="1"/>
  <c r="X767" i="1"/>
  <c r="Y767" i="1"/>
  <c r="Z767" i="1"/>
  <c r="AD767" i="1"/>
  <c r="AE767" i="1"/>
  <c r="AF767" i="1"/>
  <c r="AK767" i="1"/>
  <c r="AL767" i="1"/>
  <c r="AM767" i="1"/>
  <c r="AN767" i="1" s="1"/>
  <c r="B768" i="1"/>
  <c r="T768" i="1"/>
  <c r="W768" i="1" s="1"/>
  <c r="AP768" i="1" s="1"/>
  <c r="U768" i="1"/>
  <c r="X768" i="1"/>
  <c r="Z768" i="1" s="1"/>
  <c r="Y768" i="1"/>
  <c r="AD768" i="1"/>
  <c r="AE768" i="1"/>
  <c r="AF768" i="1"/>
  <c r="AK768" i="1"/>
  <c r="AL768" i="1"/>
  <c r="AM768" i="1"/>
  <c r="AN768" i="1" s="1"/>
  <c r="B769" i="1"/>
  <c r="T769" i="1"/>
  <c r="W769" i="1" s="1"/>
  <c r="U769" i="1"/>
  <c r="X769" i="1"/>
  <c r="Y769" i="1"/>
  <c r="AD769" i="1"/>
  <c r="AE769" i="1"/>
  <c r="AF769" i="1"/>
  <c r="AK769" i="1"/>
  <c r="AL769" i="1"/>
  <c r="AM769" i="1"/>
  <c r="AN769" i="1" s="1"/>
  <c r="B770" i="1"/>
  <c r="T770" i="1"/>
  <c r="W770" i="1" s="1"/>
  <c r="AP770" i="1" s="1"/>
  <c r="U770" i="1"/>
  <c r="X770" i="1"/>
  <c r="Y770" i="1"/>
  <c r="Z770" i="1"/>
  <c r="AD770" i="1"/>
  <c r="AE770" i="1"/>
  <c r="AF770" i="1"/>
  <c r="AK770" i="1"/>
  <c r="AL770" i="1"/>
  <c r="AM770" i="1"/>
  <c r="AN770" i="1"/>
  <c r="B771" i="1"/>
  <c r="T771" i="1"/>
  <c r="W771" i="1" s="1"/>
  <c r="U771" i="1"/>
  <c r="X771" i="1"/>
  <c r="Z771" i="1" s="1"/>
  <c r="Y771" i="1"/>
  <c r="AD771" i="1"/>
  <c r="AE771" i="1"/>
  <c r="AF771" i="1"/>
  <c r="AK771" i="1"/>
  <c r="AL771" i="1"/>
  <c r="AM771" i="1"/>
  <c r="AN771" i="1"/>
  <c r="B772" i="1"/>
  <c r="T772" i="1"/>
  <c r="W772" i="1" s="1"/>
  <c r="AP772" i="1" s="1"/>
  <c r="U772" i="1"/>
  <c r="X772" i="1"/>
  <c r="Z772" i="1" s="1"/>
  <c r="Y772" i="1"/>
  <c r="AD772" i="1"/>
  <c r="AE772" i="1"/>
  <c r="AF772" i="1"/>
  <c r="AK772" i="1"/>
  <c r="AL772" i="1"/>
  <c r="AM772" i="1"/>
  <c r="AN772" i="1"/>
  <c r="B773" i="1"/>
  <c r="T773" i="1"/>
  <c r="W773" i="1" s="1"/>
  <c r="AP773" i="1" s="1"/>
  <c r="U773" i="1"/>
  <c r="X773" i="1"/>
  <c r="AB773" i="1" s="1"/>
  <c r="Y773" i="1"/>
  <c r="AD773" i="1"/>
  <c r="AE773" i="1"/>
  <c r="AF773" i="1"/>
  <c r="AK773" i="1"/>
  <c r="AL773" i="1"/>
  <c r="AM773" i="1"/>
  <c r="AN773" i="1" s="1"/>
  <c r="B774" i="1"/>
  <c r="T774" i="1"/>
  <c r="W774" i="1" s="1"/>
  <c r="AP774" i="1" s="1"/>
  <c r="U774" i="1"/>
  <c r="X774" i="1"/>
  <c r="Z774" i="1" s="1"/>
  <c r="Y774" i="1"/>
  <c r="AD774" i="1"/>
  <c r="AE774" i="1"/>
  <c r="AF774" i="1"/>
  <c r="AK774" i="1"/>
  <c r="AL774" i="1"/>
  <c r="AM774" i="1"/>
  <c r="AN774" i="1"/>
  <c r="B775" i="1"/>
  <c r="T775" i="1"/>
  <c r="W775" i="1" s="1"/>
  <c r="AP775" i="1" s="1"/>
  <c r="U775" i="1"/>
  <c r="X775" i="1"/>
  <c r="Z775" i="1" s="1"/>
  <c r="Y775" i="1"/>
  <c r="AD775" i="1"/>
  <c r="AE775" i="1"/>
  <c r="AF775" i="1"/>
  <c r="AK775" i="1"/>
  <c r="AL775" i="1"/>
  <c r="AM775" i="1"/>
  <c r="AN775" i="1" s="1"/>
  <c r="B776" i="1"/>
  <c r="T776" i="1"/>
  <c r="W776" i="1" s="1"/>
  <c r="AP776" i="1" s="1"/>
  <c r="U776" i="1"/>
  <c r="X776" i="1"/>
  <c r="Y776" i="1"/>
  <c r="AD776" i="1"/>
  <c r="AE776" i="1"/>
  <c r="AF776" i="1"/>
  <c r="AK776" i="1"/>
  <c r="AL776" i="1"/>
  <c r="AM776" i="1"/>
  <c r="AN776" i="1" s="1"/>
  <c r="B777" i="1"/>
  <c r="T777" i="1"/>
  <c r="W777" i="1" s="1"/>
  <c r="AP777" i="1" s="1"/>
  <c r="U777" i="1"/>
  <c r="X777" i="1"/>
  <c r="Y777" i="1"/>
  <c r="AD777" i="1"/>
  <c r="AE777" i="1"/>
  <c r="AF777" i="1"/>
  <c r="AK777" i="1"/>
  <c r="AL777" i="1"/>
  <c r="AM777" i="1"/>
  <c r="AN777" i="1" s="1"/>
  <c r="B778" i="1"/>
  <c r="T778" i="1"/>
  <c r="W778" i="1" s="1"/>
  <c r="AP778" i="1" s="1"/>
  <c r="U778" i="1"/>
  <c r="X778" i="1"/>
  <c r="Z778" i="1" s="1"/>
  <c r="Y778" i="1"/>
  <c r="AD778" i="1"/>
  <c r="AE778" i="1"/>
  <c r="AF778" i="1"/>
  <c r="AK778" i="1"/>
  <c r="AL778" i="1"/>
  <c r="AM778" i="1"/>
  <c r="AN778" i="1" s="1"/>
  <c r="B779" i="1"/>
  <c r="T779" i="1"/>
  <c r="W779" i="1" s="1"/>
  <c r="AP779" i="1" s="1"/>
  <c r="U779" i="1"/>
  <c r="X779" i="1"/>
  <c r="Y779" i="1"/>
  <c r="Z779" i="1"/>
  <c r="AD779" i="1"/>
  <c r="AE779" i="1"/>
  <c r="AF779" i="1"/>
  <c r="AK779" i="1"/>
  <c r="AL779" i="1"/>
  <c r="AM779" i="1"/>
  <c r="AN779" i="1"/>
  <c r="B780" i="1"/>
  <c r="T780" i="1"/>
  <c r="W780" i="1" s="1"/>
  <c r="AP780" i="1" s="1"/>
  <c r="U780" i="1"/>
  <c r="X780" i="1"/>
  <c r="Y780" i="1"/>
  <c r="AD780" i="1"/>
  <c r="AE780" i="1"/>
  <c r="AF780" i="1"/>
  <c r="AK780" i="1"/>
  <c r="AL780" i="1"/>
  <c r="AM780" i="1"/>
  <c r="AN780" i="1"/>
  <c r="B781" i="1"/>
  <c r="T781" i="1"/>
  <c r="W781" i="1" s="1"/>
  <c r="AP781" i="1" s="1"/>
  <c r="U781" i="1"/>
  <c r="X781" i="1"/>
  <c r="AB781" i="1" s="1"/>
  <c r="Y781" i="1"/>
  <c r="AD781" i="1"/>
  <c r="AE781" i="1"/>
  <c r="AF781" i="1"/>
  <c r="AK781" i="1"/>
  <c r="AL781" i="1"/>
  <c r="AM781" i="1"/>
  <c r="AN781" i="1" s="1"/>
  <c r="B782" i="1"/>
  <c r="T782" i="1"/>
  <c r="W782" i="1" s="1"/>
  <c r="AP782" i="1" s="1"/>
  <c r="U782" i="1"/>
  <c r="X782" i="1"/>
  <c r="Y782" i="1"/>
  <c r="Z782" i="1"/>
  <c r="AD782" i="1"/>
  <c r="AE782" i="1"/>
  <c r="AF782" i="1"/>
  <c r="AK782" i="1"/>
  <c r="AL782" i="1"/>
  <c r="AM782" i="1"/>
  <c r="AN782" i="1"/>
  <c r="B783" i="1"/>
  <c r="T783" i="1"/>
  <c r="W783" i="1" s="1"/>
  <c r="AP783" i="1" s="1"/>
  <c r="U783" i="1"/>
  <c r="X783" i="1"/>
  <c r="Y783" i="1"/>
  <c r="Z783" i="1"/>
  <c r="AD783" i="1"/>
  <c r="AE783" i="1"/>
  <c r="AF783" i="1"/>
  <c r="AK783" i="1"/>
  <c r="AL783" i="1"/>
  <c r="AM783" i="1"/>
  <c r="AN783" i="1" s="1"/>
  <c r="B784" i="1"/>
  <c r="S784" i="1"/>
  <c r="T784" i="1"/>
  <c r="Z784" i="1" s="1"/>
  <c r="AC784" i="1" s="1"/>
  <c r="U784" i="1"/>
  <c r="W784" i="1"/>
  <c r="AQ784" i="1" s="1"/>
  <c r="X784" i="1"/>
  <c r="Y784" i="1"/>
  <c r="AD784" i="1"/>
  <c r="AE784" i="1"/>
  <c r="AF784" i="1"/>
  <c r="AK784" i="1"/>
  <c r="AL784" i="1"/>
  <c r="AM784" i="1"/>
  <c r="AN784" i="1" s="1"/>
  <c r="B785" i="1"/>
  <c r="S785" i="1"/>
  <c r="T785" i="1"/>
  <c r="W785" i="1" s="1"/>
  <c r="U785" i="1"/>
  <c r="X785" i="1"/>
  <c r="Y785" i="1"/>
  <c r="AD785" i="1"/>
  <c r="AE785" i="1"/>
  <c r="AF785" i="1"/>
  <c r="AK785" i="1"/>
  <c r="AL785" i="1"/>
  <c r="AM785" i="1"/>
  <c r="AN785" i="1" s="1"/>
  <c r="B786" i="1"/>
  <c r="S786" i="1"/>
  <c r="T786" i="1"/>
  <c r="W786" i="1" s="1"/>
  <c r="U786" i="1"/>
  <c r="X786" i="1"/>
  <c r="Y786" i="1"/>
  <c r="AD786" i="1"/>
  <c r="AE786" i="1"/>
  <c r="AF786" i="1"/>
  <c r="AK786" i="1"/>
  <c r="AL786" i="1"/>
  <c r="AM786" i="1"/>
  <c r="AN786" i="1" s="1"/>
  <c r="B787" i="1"/>
  <c r="S787" i="1"/>
  <c r="T787" i="1"/>
  <c r="W787" i="1" s="1"/>
  <c r="AQ787" i="1" s="1"/>
  <c r="U787" i="1"/>
  <c r="X787" i="1"/>
  <c r="Z787" i="1" s="1"/>
  <c r="Y787" i="1"/>
  <c r="AD787" i="1"/>
  <c r="AE787" i="1"/>
  <c r="AF787" i="1"/>
  <c r="AK787" i="1"/>
  <c r="AL787" i="1"/>
  <c r="AM787" i="1"/>
  <c r="AN787" i="1"/>
  <c r="B788" i="1"/>
  <c r="S788" i="1"/>
  <c r="T788" i="1"/>
  <c r="W788" i="1" s="1"/>
  <c r="U788" i="1"/>
  <c r="X788" i="1"/>
  <c r="Z788" i="1" s="1"/>
  <c r="AC788" i="1" s="1"/>
  <c r="Y788" i="1"/>
  <c r="AD788" i="1"/>
  <c r="AE788" i="1"/>
  <c r="AF788" i="1"/>
  <c r="AK788" i="1"/>
  <c r="AL788" i="1"/>
  <c r="AM788" i="1"/>
  <c r="AN788" i="1" s="1"/>
  <c r="B789" i="1"/>
  <c r="S789" i="1"/>
  <c r="T789" i="1"/>
  <c r="W789" i="1" s="1"/>
  <c r="U789" i="1"/>
  <c r="X789" i="1"/>
  <c r="Y789" i="1"/>
  <c r="AD789" i="1"/>
  <c r="AE789" i="1"/>
  <c r="AF789" i="1"/>
  <c r="AK789" i="1"/>
  <c r="AL789" i="1"/>
  <c r="AM789" i="1"/>
  <c r="AN789" i="1" s="1"/>
  <c r="B790" i="1"/>
  <c r="S790" i="1"/>
  <c r="T790" i="1"/>
  <c r="W790" i="1" s="1"/>
  <c r="AQ790" i="1" s="1"/>
  <c r="U790" i="1"/>
  <c r="X790" i="1"/>
  <c r="Y790" i="1"/>
  <c r="AB790" i="1" s="1"/>
  <c r="AD790" i="1"/>
  <c r="AE790" i="1"/>
  <c r="AF790" i="1"/>
  <c r="AK790" i="1"/>
  <c r="AL790" i="1"/>
  <c r="AM790" i="1"/>
  <c r="AN790" i="1" s="1"/>
  <c r="B791" i="1"/>
  <c r="S791" i="1"/>
  <c r="T791" i="1"/>
  <c r="W791" i="1" s="1"/>
  <c r="U791" i="1"/>
  <c r="X791" i="1"/>
  <c r="Y791" i="1"/>
  <c r="AD791" i="1"/>
  <c r="AE791" i="1"/>
  <c r="AF791" i="1"/>
  <c r="AK791" i="1"/>
  <c r="AL791" i="1"/>
  <c r="AM791" i="1"/>
  <c r="AN791" i="1" s="1"/>
  <c r="AQ791" i="1"/>
  <c r="B792" i="1"/>
  <c r="S792" i="1"/>
  <c r="T792" i="1"/>
  <c r="W792" i="1" s="1"/>
  <c r="U792" i="1"/>
  <c r="X792" i="1"/>
  <c r="Z792" i="1" s="1"/>
  <c r="AC792" i="1" s="1"/>
  <c r="Y792" i="1"/>
  <c r="AB792" i="1" s="1"/>
  <c r="AD792" i="1"/>
  <c r="AE792" i="1"/>
  <c r="AF792" i="1"/>
  <c r="AK792" i="1"/>
  <c r="AL792" i="1"/>
  <c r="AM792" i="1"/>
  <c r="AN792" i="1" s="1"/>
  <c r="B793" i="1"/>
  <c r="S793" i="1"/>
  <c r="T793" i="1"/>
  <c r="W793" i="1" s="1"/>
  <c r="U793" i="1"/>
  <c r="X793" i="1"/>
  <c r="Z793" i="1" s="1"/>
  <c r="AC793" i="1" s="1"/>
  <c r="Y793" i="1"/>
  <c r="AD793" i="1"/>
  <c r="AE793" i="1"/>
  <c r="AF793" i="1"/>
  <c r="AK793" i="1"/>
  <c r="AL793" i="1"/>
  <c r="AM793" i="1"/>
  <c r="AN793" i="1" s="1"/>
  <c r="B794" i="1"/>
  <c r="S794" i="1"/>
  <c r="T794" i="1"/>
  <c r="W794" i="1" s="1"/>
  <c r="AQ794" i="1" s="1"/>
  <c r="U794" i="1"/>
  <c r="X794" i="1"/>
  <c r="Y794" i="1"/>
  <c r="AD794" i="1"/>
  <c r="AE794" i="1"/>
  <c r="AF794" i="1"/>
  <c r="AK794" i="1"/>
  <c r="AL794" i="1"/>
  <c r="AM794" i="1"/>
  <c r="AN794" i="1" s="1"/>
  <c r="B795" i="1"/>
  <c r="S795" i="1"/>
  <c r="T795" i="1"/>
  <c r="W795" i="1" s="1"/>
  <c r="U795" i="1"/>
  <c r="X795" i="1"/>
  <c r="Y795" i="1"/>
  <c r="AD795" i="1"/>
  <c r="AE795" i="1"/>
  <c r="AF795" i="1"/>
  <c r="AK795" i="1"/>
  <c r="AL795" i="1"/>
  <c r="AM795" i="1"/>
  <c r="AN795" i="1" s="1"/>
  <c r="B796" i="1"/>
  <c r="S796" i="1"/>
  <c r="T796" i="1"/>
  <c r="W796" i="1" s="1"/>
  <c r="U796" i="1"/>
  <c r="X796" i="1"/>
  <c r="Z796" i="1" s="1"/>
  <c r="AC796" i="1" s="1"/>
  <c r="Y796" i="1"/>
  <c r="AB796" i="1" s="1"/>
  <c r="AD796" i="1"/>
  <c r="AE796" i="1"/>
  <c r="AF796" i="1"/>
  <c r="AK796" i="1"/>
  <c r="AL796" i="1"/>
  <c r="AM796" i="1"/>
  <c r="AN796" i="1" s="1"/>
  <c r="B797" i="1"/>
  <c r="S797" i="1"/>
  <c r="T797" i="1"/>
  <c r="W797" i="1" s="1"/>
  <c r="U797" i="1"/>
  <c r="X797" i="1"/>
  <c r="Z797" i="1" s="1"/>
  <c r="AC797" i="1" s="1"/>
  <c r="Y797" i="1"/>
  <c r="AB797" i="1" s="1"/>
  <c r="AD797" i="1"/>
  <c r="AE797" i="1"/>
  <c r="AF797" i="1"/>
  <c r="AK797" i="1"/>
  <c r="AL797" i="1"/>
  <c r="AM797" i="1"/>
  <c r="AN797" i="1" s="1"/>
  <c r="B798" i="1"/>
  <c r="S798" i="1"/>
  <c r="T798" i="1"/>
  <c r="U798" i="1"/>
  <c r="W798" i="1"/>
  <c r="AQ798" i="1" s="1"/>
  <c r="X798" i="1"/>
  <c r="Z798" i="1" s="1"/>
  <c r="AC798" i="1" s="1"/>
  <c r="Y798" i="1"/>
  <c r="AD798" i="1"/>
  <c r="AE798" i="1"/>
  <c r="AF798" i="1"/>
  <c r="AK798" i="1"/>
  <c r="AL798" i="1"/>
  <c r="AM798" i="1"/>
  <c r="AN798" i="1" s="1"/>
  <c r="B799" i="1"/>
  <c r="S799" i="1"/>
  <c r="T799" i="1"/>
  <c r="W799" i="1" s="1"/>
  <c r="U799" i="1"/>
  <c r="X799" i="1"/>
  <c r="Z799" i="1" s="1"/>
  <c r="Y799" i="1"/>
  <c r="AD799" i="1"/>
  <c r="AE799" i="1"/>
  <c r="AF799" i="1"/>
  <c r="AK799" i="1"/>
  <c r="AL799" i="1"/>
  <c r="AM799" i="1"/>
  <c r="AN799" i="1" s="1"/>
  <c r="B800" i="1"/>
  <c r="S800" i="1"/>
  <c r="T800" i="1"/>
  <c r="W800" i="1" s="1"/>
  <c r="AQ800" i="1" s="1"/>
  <c r="U800" i="1"/>
  <c r="X800" i="1"/>
  <c r="Z800" i="1" s="1"/>
  <c r="AC800" i="1" s="1"/>
  <c r="Y800" i="1"/>
  <c r="AD800" i="1"/>
  <c r="AE800" i="1"/>
  <c r="AF800" i="1"/>
  <c r="AK800" i="1"/>
  <c r="AL800" i="1"/>
  <c r="AM800" i="1"/>
  <c r="AN800" i="1" s="1"/>
  <c r="B801" i="1"/>
  <c r="S801" i="1"/>
  <c r="T801" i="1"/>
  <c r="W801" i="1" s="1"/>
  <c r="U801" i="1"/>
  <c r="X801" i="1"/>
  <c r="Y801" i="1"/>
  <c r="AD801" i="1"/>
  <c r="AE801" i="1"/>
  <c r="AF801" i="1"/>
  <c r="AK801" i="1"/>
  <c r="AL801" i="1"/>
  <c r="AM801" i="1"/>
  <c r="AN801" i="1" s="1"/>
  <c r="B802" i="1"/>
  <c r="S802" i="1"/>
  <c r="T802" i="1"/>
  <c r="W802" i="1" s="1"/>
  <c r="U802" i="1"/>
  <c r="X802" i="1"/>
  <c r="Y802" i="1"/>
  <c r="AB802" i="1" s="1"/>
  <c r="AD802" i="1"/>
  <c r="AE802" i="1"/>
  <c r="AF802" i="1"/>
  <c r="AK802" i="1"/>
  <c r="AL802" i="1"/>
  <c r="AM802" i="1"/>
  <c r="AN802" i="1" s="1"/>
  <c r="B803" i="1"/>
  <c r="S803" i="1"/>
  <c r="T803" i="1"/>
  <c r="W803" i="1" s="1"/>
  <c r="AQ803" i="1" s="1"/>
  <c r="U803" i="1"/>
  <c r="X803" i="1"/>
  <c r="Y803" i="1"/>
  <c r="AB803" i="1" s="1"/>
  <c r="Z803" i="1"/>
  <c r="AD803" i="1"/>
  <c r="AE803" i="1"/>
  <c r="AF803" i="1"/>
  <c r="AK803" i="1"/>
  <c r="AL803" i="1"/>
  <c r="AM803" i="1"/>
  <c r="AN803" i="1"/>
  <c r="B804" i="1"/>
  <c r="S804" i="1"/>
  <c r="T804" i="1"/>
  <c r="W804" i="1" s="1"/>
  <c r="U804" i="1"/>
  <c r="X804" i="1"/>
  <c r="Y804" i="1"/>
  <c r="AB804" i="1" s="1"/>
  <c r="Z804" i="1"/>
  <c r="AC804" i="1" s="1"/>
  <c r="AD804" i="1"/>
  <c r="AE804" i="1"/>
  <c r="AF804" i="1"/>
  <c r="AK804" i="1"/>
  <c r="AL804" i="1"/>
  <c r="AM804" i="1"/>
  <c r="AN804" i="1" s="1"/>
  <c r="B805" i="1"/>
  <c r="S805" i="1"/>
  <c r="T805" i="1"/>
  <c r="W805" i="1" s="1"/>
  <c r="U805" i="1"/>
  <c r="X805" i="1"/>
  <c r="Y805" i="1"/>
  <c r="AD805" i="1"/>
  <c r="AE805" i="1"/>
  <c r="AF805" i="1"/>
  <c r="AK805" i="1"/>
  <c r="AL805" i="1"/>
  <c r="AM805" i="1"/>
  <c r="AN805" i="1" s="1"/>
  <c r="B806" i="1"/>
  <c r="S806" i="1"/>
  <c r="T806" i="1"/>
  <c r="W806" i="1" s="1"/>
  <c r="AQ806" i="1" s="1"/>
  <c r="U806" i="1"/>
  <c r="X806" i="1"/>
  <c r="Y806" i="1"/>
  <c r="AB806" i="1" s="1"/>
  <c r="AD806" i="1"/>
  <c r="AE806" i="1"/>
  <c r="AF806" i="1"/>
  <c r="AK806" i="1"/>
  <c r="AL806" i="1"/>
  <c r="AM806" i="1"/>
  <c r="AN806" i="1" s="1"/>
  <c r="B807" i="1"/>
  <c r="S807" i="1"/>
  <c r="T807" i="1"/>
  <c r="W807" i="1" s="1"/>
  <c r="U807" i="1"/>
  <c r="X807" i="1"/>
  <c r="Y807" i="1"/>
  <c r="AD807" i="1"/>
  <c r="AE807" i="1"/>
  <c r="AF807" i="1"/>
  <c r="AK807" i="1"/>
  <c r="AL807" i="1"/>
  <c r="AM807" i="1"/>
  <c r="AN807" i="1"/>
  <c r="AQ807" i="1"/>
  <c r="B808" i="1"/>
  <c r="S808" i="1"/>
  <c r="T808" i="1"/>
  <c r="W808" i="1" s="1"/>
  <c r="U808" i="1"/>
  <c r="X808" i="1"/>
  <c r="Y808" i="1"/>
  <c r="AB808" i="1" s="1"/>
  <c r="Z808" i="1"/>
  <c r="AC808" i="1" s="1"/>
  <c r="AD808" i="1"/>
  <c r="AE808" i="1"/>
  <c r="AF808" i="1"/>
  <c r="AK808" i="1"/>
  <c r="AL808" i="1"/>
  <c r="AM808" i="1"/>
  <c r="AN808" i="1" s="1"/>
  <c r="B809" i="1"/>
  <c r="S809" i="1"/>
  <c r="T809" i="1"/>
  <c r="W809" i="1" s="1"/>
  <c r="AP809" i="1" s="1"/>
  <c r="U809" i="1"/>
  <c r="X809" i="1"/>
  <c r="Y809" i="1"/>
  <c r="Z809" i="1"/>
  <c r="AC809" i="1" s="1"/>
  <c r="AD809" i="1"/>
  <c r="AE809" i="1"/>
  <c r="AF809" i="1"/>
  <c r="AK809" i="1"/>
  <c r="AL809" i="1"/>
  <c r="AM809" i="1"/>
  <c r="AN809" i="1"/>
  <c r="B810" i="1"/>
  <c r="S810" i="1"/>
  <c r="T810" i="1"/>
  <c r="U810" i="1"/>
  <c r="W810" i="1"/>
  <c r="AQ810" i="1" s="1"/>
  <c r="X810" i="1"/>
  <c r="Y810" i="1"/>
  <c r="AD810" i="1"/>
  <c r="AE810" i="1"/>
  <c r="AF810" i="1"/>
  <c r="AK810" i="1"/>
  <c r="AL810" i="1"/>
  <c r="AM810" i="1"/>
  <c r="AN810" i="1" s="1"/>
  <c r="B811" i="1"/>
  <c r="S811" i="1"/>
  <c r="T811" i="1"/>
  <c r="W811" i="1" s="1"/>
  <c r="U811" i="1"/>
  <c r="X811" i="1"/>
  <c r="Y811" i="1"/>
  <c r="AD811" i="1"/>
  <c r="AE811" i="1"/>
  <c r="AF811" i="1"/>
  <c r="AK811" i="1"/>
  <c r="AL811" i="1"/>
  <c r="AM811" i="1"/>
  <c r="AN811" i="1" s="1"/>
  <c r="B812" i="1"/>
  <c r="S812" i="1"/>
  <c r="T812" i="1"/>
  <c r="W812" i="1" s="1"/>
  <c r="U812" i="1"/>
  <c r="X812" i="1"/>
  <c r="Y812" i="1"/>
  <c r="AB812" i="1" s="1"/>
  <c r="AD812" i="1"/>
  <c r="AE812" i="1"/>
  <c r="AF812" i="1"/>
  <c r="AK812" i="1"/>
  <c r="AL812" i="1"/>
  <c r="AM812" i="1"/>
  <c r="AN812" i="1" s="1"/>
  <c r="B813" i="1"/>
  <c r="S813" i="1"/>
  <c r="T813" i="1"/>
  <c r="W813" i="1" s="1"/>
  <c r="AQ813" i="1" s="1"/>
  <c r="U813" i="1"/>
  <c r="X813" i="1"/>
  <c r="Y813" i="1"/>
  <c r="AB813" i="1" s="1"/>
  <c r="AD813" i="1"/>
  <c r="AE813" i="1"/>
  <c r="AF813" i="1"/>
  <c r="AK813" i="1"/>
  <c r="AL813" i="1"/>
  <c r="AM813" i="1"/>
  <c r="AN813" i="1" s="1"/>
  <c r="B814" i="1"/>
  <c r="S814" i="1"/>
  <c r="T814" i="1"/>
  <c r="W814" i="1" s="1"/>
  <c r="AQ814" i="1" s="1"/>
  <c r="U814" i="1"/>
  <c r="X814" i="1"/>
  <c r="Y814" i="1"/>
  <c r="AD814" i="1"/>
  <c r="AE814" i="1"/>
  <c r="AF814" i="1"/>
  <c r="AK814" i="1"/>
  <c r="AL814" i="1"/>
  <c r="AM814" i="1"/>
  <c r="AN814" i="1" s="1"/>
  <c r="B815" i="1"/>
  <c r="S815" i="1"/>
  <c r="T815" i="1"/>
  <c r="W815" i="1" s="1"/>
  <c r="AP815" i="1" s="1"/>
  <c r="U815" i="1"/>
  <c r="X815" i="1"/>
  <c r="Y815" i="1"/>
  <c r="Z815" i="1"/>
  <c r="AD815" i="1"/>
  <c r="AE815" i="1"/>
  <c r="AF815" i="1"/>
  <c r="AK815" i="1"/>
  <c r="AL815" i="1"/>
  <c r="AM815" i="1"/>
  <c r="AN815" i="1"/>
  <c r="B816" i="1"/>
  <c r="S816" i="1"/>
  <c r="T816" i="1"/>
  <c r="U816" i="1"/>
  <c r="W816" i="1"/>
  <c r="AQ816" i="1" s="1"/>
  <c r="X816" i="1"/>
  <c r="Y816" i="1"/>
  <c r="Z816" i="1"/>
  <c r="AC816" i="1" s="1"/>
  <c r="AD816" i="1"/>
  <c r="AE816" i="1"/>
  <c r="AF816" i="1"/>
  <c r="AK816" i="1"/>
  <c r="AL816" i="1"/>
  <c r="AM816" i="1"/>
  <c r="AN816" i="1" s="1"/>
  <c r="B817" i="1"/>
  <c r="AQ817" i="1" s="1"/>
  <c r="S817" i="1"/>
  <c r="T817" i="1"/>
  <c r="W817" i="1" s="1"/>
  <c r="U817" i="1"/>
  <c r="X817" i="1"/>
  <c r="Y817" i="1"/>
  <c r="AD817" i="1"/>
  <c r="AE817" i="1"/>
  <c r="AF817" i="1"/>
  <c r="AK817" i="1"/>
  <c r="AL817" i="1"/>
  <c r="AM817" i="1"/>
  <c r="AN817" i="1"/>
  <c r="B818" i="1"/>
  <c r="S818" i="1"/>
  <c r="T818" i="1"/>
  <c r="W818" i="1" s="1"/>
  <c r="U818" i="1"/>
  <c r="X818" i="1"/>
  <c r="Y818" i="1"/>
  <c r="AD818" i="1"/>
  <c r="AE818" i="1"/>
  <c r="AF818" i="1"/>
  <c r="AK818" i="1"/>
  <c r="AL818" i="1"/>
  <c r="AM818" i="1"/>
  <c r="AN818" i="1" s="1"/>
  <c r="B819" i="1"/>
  <c r="S819" i="1"/>
  <c r="T819" i="1"/>
  <c r="W819" i="1" s="1"/>
  <c r="U819" i="1"/>
  <c r="X819" i="1"/>
  <c r="Z819" i="1" s="1"/>
  <c r="Y819" i="1"/>
  <c r="AB819" i="1"/>
  <c r="AD819" i="1"/>
  <c r="AE819" i="1"/>
  <c r="AF819" i="1"/>
  <c r="AK819" i="1"/>
  <c r="AL819" i="1"/>
  <c r="AM819" i="1"/>
  <c r="AN819" i="1"/>
  <c r="AQ819" i="1"/>
  <c r="B820" i="1"/>
  <c r="S820" i="1"/>
  <c r="T820" i="1"/>
  <c r="W820" i="1" s="1"/>
  <c r="U820" i="1"/>
  <c r="X820" i="1"/>
  <c r="Z820" i="1" s="1"/>
  <c r="AC820" i="1" s="1"/>
  <c r="Y820" i="1"/>
  <c r="AD820" i="1"/>
  <c r="AE820" i="1"/>
  <c r="AF820" i="1"/>
  <c r="AK820" i="1"/>
  <c r="AL820" i="1"/>
  <c r="AM820" i="1"/>
  <c r="AN820" i="1" s="1"/>
  <c r="B821" i="1"/>
  <c r="S821" i="1"/>
  <c r="T821" i="1"/>
  <c r="W821" i="1" s="1"/>
  <c r="U821" i="1"/>
  <c r="X821" i="1"/>
  <c r="Y821" i="1"/>
  <c r="AD821" i="1"/>
  <c r="AE821" i="1"/>
  <c r="AF821" i="1"/>
  <c r="AK821" i="1"/>
  <c r="AL821" i="1"/>
  <c r="AM821" i="1"/>
  <c r="AN821" i="1" s="1"/>
  <c r="B822" i="1"/>
  <c r="S822" i="1"/>
  <c r="T822" i="1"/>
  <c r="W822" i="1" s="1"/>
  <c r="U822" i="1"/>
  <c r="X822" i="1"/>
  <c r="Y822" i="1"/>
  <c r="AB822" i="1" s="1"/>
  <c r="AD822" i="1"/>
  <c r="AE822" i="1"/>
  <c r="AF822" i="1"/>
  <c r="AK822" i="1"/>
  <c r="AL822" i="1"/>
  <c r="AM822" i="1"/>
  <c r="AN822" i="1" s="1"/>
  <c r="B823" i="1"/>
  <c r="S823" i="1"/>
  <c r="T823" i="1"/>
  <c r="W823" i="1" s="1"/>
  <c r="U823" i="1"/>
  <c r="X823" i="1"/>
  <c r="Y823" i="1"/>
  <c r="AB823" i="1" s="1"/>
  <c r="Z823" i="1"/>
  <c r="AD823" i="1"/>
  <c r="AE823" i="1"/>
  <c r="AF823" i="1"/>
  <c r="AK823" i="1"/>
  <c r="AL823" i="1"/>
  <c r="AM823" i="1"/>
  <c r="AN823" i="1" s="1"/>
  <c r="B824" i="1"/>
  <c r="S824" i="1"/>
  <c r="T824" i="1"/>
  <c r="U824" i="1"/>
  <c r="W824" i="1"/>
  <c r="AQ824" i="1" s="1"/>
  <c r="X824" i="1"/>
  <c r="Y824" i="1"/>
  <c r="AD824" i="1"/>
  <c r="AE824" i="1"/>
  <c r="AF824" i="1"/>
  <c r="AK824" i="1"/>
  <c r="AL824" i="1"/>
  <c r="AM824" i="1"/>
  <c r="AN824" i="1" s="1"/>
  <c r="B825" i="1"/>
  <c r="S825" i="1"/>
  <c r="T825" i="1"/>
  <c r="W825" i="1" s="1"/>
  <c r="AP825" i="1" s="1"/>
  <c r="U825" i="1"/>
  <c r="X825" i="1"/>
  <c r="Y825" i="1"/>
  <c r="AD825" i="1"/>
  <c r="AE825" i="1"/>
  <c r="AF825" i="1"/>
  <c r="AK825" i="1"/>
  <c r="AL825" i="1"/>
  <c r="AM825" i="1"/>
  <c r="AN825" i="1" s="1"/>
  <c r="B826" i="1"/>
  <c r="S826" i="1"/>
  <c r="T826" i="1"/>
  <c r="W826" i="1" s="1"/>
  <c r="AQ826" i="1" s="1"/>
  <c r="U826" i="1"/>
  <c r="X826" i="1"/>
  <c r="Y826" i="1"/>
  <c r="AD826" i="1"/>
  <c r="AE826" i="1"/>
  <c r="AF826" i="1"/>
  <c r="AK826" i="1"/>
  <c r="AL826" i="1"/>
  <c r="AM826" i="1"/>
  <c r="AN826" i="1" s="1"/>
  <c r="B827" i="1"/>
  <c r="S827" i="1"/>
  <c r="T827" i="1"/>
  <c r="W827" i="1" s="1"/>
  <c r="U827" i="1"/>
  <c r="X827" i="1"/>
  <c r="Y827" i="1"/>
  <c r="AD827" i="1"/>
  <c r="AE827" i="1"/>
  <c r="AF827" i="1"/>
  <c r="AK827" i="1"/>
  <c r="AL827" i="1"/>
  <c r="AM827" i="1"/>
  <c r="AN827" i="1" s="1"/>
  <c r="B828" i="1"/>
  <c r="S828" i="1"/>
  <c r="T828" i="1"/>
  <c r="W828" i="1" s="1"/>
  <c r="U828" i="1"/>
  <c r="X828" i="1"/>
  <c r="Z828" i="1" s="1"/>
  <c r="AC828" i="1" s="1"/>
  <c r="Y828" i="1"/>
  <c r="AD828" i="1"/>
  <c r="AE828" i="1"/>
  <c r="AF828" i="1"/>
  <c r="AK828" i="1"/>
  <c r="AL828" i="1"/>
  <c r="AM828" i="1"/>
  <c r="AN828" i="1" s="1"/>
  <c r="B829" i="1"/>
  <c r="S829" i="1"/>
  <c r="T829" i="1"/>
  <c r="W829" i="1" s="1"/>
  <c r="U829" i="1"/>
  <c r="X829" i="1"/>
  <c r="Z829" i="1" s="1"/>
  <c r="AC829" i="1" s="1"/>
  <c r="Y829" i="1"/>
  <c r="AD829" i="1"/>
  <c r="AE829" i="1"/>
  <c r="AF829" i="1"/>
  <c r="AK829" i="1"/>
  <c r="AL829" i="1"/>
  <c r="AM829" i="1"/>
  <c r="AN829" i="1" s="1"/>
  <c r="B830" i="1"/>
  <c r="S830" i="1"/>
  <c r="T830" i="1"/>
  <c r="W830" i="1" s="1"/>
  <c r="AQ830" i="1" s="1"/>
  <c r="U830" i="1"/>
  <c r="X830" i="1"/>
  <c r="Z830" i="1" s="1"/>
  <c r="AC830" i="1" s="1"/>
  <c r="Y830" i="1"/>
  <c r="AD830" i="1"/>
  <c r="AE830" i="1"/>
  <c r="AF830" i="1"/>
  <c r="AK830" i="1"/>
  <c r="AL830" i="1"/>
  <c r="AM830" i="1"/>
  <c r="AN830" i="1"/>
  <c r="B831" i="1"/>
  <c r="S831" i="1"/>
  <c r="T831" i="1"/>
  <c r="W831" i="1" s="1"/>
  <c r="U831" i="1"/>
  <c r="X831" i="1"/>
  <c r="Y831" i="1"/>
  <c r="AD831" i="1"/>
  <c r="AE831" i="1"/>
  <c r="AF831" i="1"/>
  <c r="AK831" i="1"/>
  <c r="AL831" i="1"/>
  <c r="AM831" i="1"/>
  <c r="AN831" i="1" s="1"/>
  <c r="B832" i="1"/>
  <c r="S832" i="1"/>
  <c r="T832" i="1"/>
  <c r="W832" i="1" s="1"/>
  <c r="U832" i="1"/>
  <c r="X832" i="1"/>
  <c r="Y832" i="1"/>
  <c r="AB832" i="1" s="1"/>
  <c r="AD832" i="1"/>
  <c r="AE832" i="1"/>
  <c r="AF832" i="1"/>
  <c r="AK832" i="1"/>
  <c r="AL832" i="1"/>
  <c r="AM832" i="1"/>
  <c r="AN832" i="1" s="1"/>
  <c r="B833" i="1"/>
  <c r="S833" i="1"/>
  <c r="T833" i="1"/>
  <c r="W833" i="1" s="1"/>
  <c r="U833" i="1"/>
  <c r="X833" i="1"/>
  <c r="Y833" i="1"/>
  <c r="Z833" i="1"/>
  <c r="AC833" i="1" s="1"/>
  <c r="AD833" i="1"/>
  <c r="AE833" i="1"/>
  <c r="AF833" i="1"/>
  <c r="AK833" i="1"/>
  <c r="AL833" i="1"/>
  <c r="AM833" i="1"/>
  <c r="AN833" i="1" s="1"/>
  <c r="B834" i="1"/>
  <c r="S834" i="1"/>
  <c r="T834" i="1"/>
  <c r="W834" i="1" s="1"/>
  <c r="AQ834" i="1" s="1"/>
  <c r="U834" i="1"/>
  <c r="X834" i="1"/>
  <c r="Z834" i="1" s="1"/>
  <c r="AC834" i="1" s="1"/>
  <c r="Y834" i="1"/>
  <c r="AD834" i="1"/>
  <c r="AE834" i="1"/>
  <c r="AF834" i="1"/>
  <c r="AK834" i="1"/>
  <c r="AL834" i="1"/>
  <c r="AM834" i="1"/>
  <c r="AN834" i="1"/>
  <c r="AP834" i="1"/>
  <c r="B835" i="1"/>
  <c r="S835" i="1"/>
  <c r="T835" i="1"/>
  <c r="W835" i="1" s="1"/>
  <c r="U835" i="1"/>
  <c r="X835" i="1"/>
  <c r="Y835" i="1"/>
  <c r="AD835" i="1"/>
  <c r="AE835" i="1"/>
  <c r="AF835" i="1"/>
  <c r="AK835" i="1"/>
  <c r="AL835" i="1"/>
  <c r="AM835" i="1"/>
  <c r="AN835" i="1" s="1"/>
  <c r="B836" i="1"/>
  <c r="S836" i="1"/>
  <c r="T836" i="1"/>
  <c r="W836" i="1" s="1"/>
  <c r="U836" i="1"/>
  <c r="X836" i="1"/>
  <c r="Y836" i="1"/>
  <c r="AB836" i="1" s="1"/>
  <c r="AD836" i="1"/>
  <c r="AE836" i="1"/>
  <c r="AF836" i="1"/>
  <c r="AK836" i="1"/>
  <c r="AL836" i="1"/>
  <c r="AM836" i="1"/>
  <c r="AN836" i="1" s="1"/>
  <c r="B837" i="1"/>
  <c r="S837" i="1"/>
  <c r="T837" i="1"/>
  <c r="W837" i="1" s="1"/>
  <c r="AQ837" i="1" s="1"/>
  <c r="U837" i="1"/>
  <c r="X837" i="1"/>
  <c r="Y837" i="1"/>
  <c r="Z837" i="1"/>
  <c r="AC837" i="1" s="1"/>
  <c r="AD837" i="1"/>
  <c r="AE837" i="1"/>
  <c r="AF837" i="1"/>
  <c r="AK837" i="1"/>
  <c r="AL837" i="1"/>
  <c r="AM837" i="1"/>
  <c r="AN837" i="1" s="1"/>
  <c r="B838" i="1"/>
  <c r="S838" i="1"/>
  <c r="T838" i="1"/>
  <c r="W838" i="1" s="1"/>
  <c r="AQ838" i="1" s="1"/>
  <c r="U838" i="1"/>
  <c r="X838" i="1"/>
  <c r="Z838" i="1" s="1"/>
  <c r="AC838" i="1" s="1"/>
  <c r="Y838" i="1"/>
  <c r="AD838" i="1"/>
  <c r="AE838" i="1"/>
  <c r="AF838" i="1"/>
  <c r="AK838" i="1"/>
  <c r="AL838" i="1"/>
  <c r="AM838" i="1"/>
  <c r="AN838" i="1"/>
  <c r="AP838" i="1"/>
  <c r="B839" i="1"/>
  <c r="S839" i="1"/>
  <c r="T839" i="1"/>
  <c r="W839" i="1" s="1"/>
  <c r="U839" i="1"/>
  <c r="X839" i="1"/>
  <c r="Y839" i="1"/>
  <c r="AD839" i="1"/>
  <c r="AE839" i="1"/>
  <c r="AF839" i="1"/>
  <c r="AK839" i="1"/>
  <c r="AL839" i="1"/>
  <c r="AM839" i="1"/>
  <c r="AN839" i="1" s="1"/>
  <c r="B840" i="1"/>
  <c r="S840" i="1"/>
  <c r="T840" i="1"/>
  <c r="W840" i="1" s="1"/>
  <c r="U840" i="1"/>
  <c r="X840" i="1"/>
  <c r="Y840" i="1"/>
  <c r="AD840" i="1"/>
  <c r="AE840" i="1"/>
  <c r="AF840" i="1"/>
  <c r="AK840" i="1"/>
  <c r="AL840" i="1"/>
  <c r="AM840" i="1"/>
  <c r="AN840" i="1" s="1"/>
  <c r="B841" i="1"/>
  <c r="S841" i="1"/>
  <c r="T841" i="1"/>
  <c r="W841" i="1" s="1"/>
  <c r="U841" i="1"/>
  <c r="X841" i="1"/>
  <c r="Y841" i="1"/>
  <c r="Z841" i="1"/>
  <c r="AC841" i="1" s="1"/>
  <c r="AD841" i="1"/>
  <c r="AE841" i="1"/>
  <c r="AF841" i="1"/>
  <c r="AK841" i="1"/>
  <c r="AL841" i="1"/>
  <c r="AM841" i="1"/>
  <c r="AN841" i="1"/>
  <c r="AQ841" i="1"/>
  <c r="B842" i="1"/>
  <c r="S842" i="1"/>
  <c r="T842" i="1"/>
  <c r="W842" i="1" s="1"/>
  <c r="AQ842" i="1" s="1"/>
  <c r="U842" i="1"/>
  <c r="X842" i="1"/>
  <c r="Y842" i="1"/>
  <c r="AD842" i="1"/>
  <c r="AE842" i="1"/>
  <c r="AF842" i="1"/>
  <c r="AK842" i="1"/>
  <c r="AL842" i="1"/>
  <c r="AM842" i="1"/>
  <c r="AN842" i="1" s="1"/>
  <c r="B843" i="1"/>
  <c r="S843" i="1"/>
  <c r="T843" i="1"/>
  <c r="W843" i="1" s="1"/>
  <c r="U843" i="1"/>
  <c r="X843" i="1"/>
  <c r="Y843" i="1"/>
  <c r="AD843" i="1"/>
  <c r="AE843" i="1"/>
  <c r="AF843" i="1"/>
  <c r="AK843" i="1"/>
  <c r="AL843" i="1"/>
  <c r="AM843" i="1"/>
  <c r="AN843" i="1" s="1"/>
  <c r="B844" i="1"/>
  <c r="S844" i="1"/>
  <c r="T844" i="1"/>
  <c r="W844" i="1" s="1"/>
  <c r="U844" i="1"/>
  <c r="X844" i="1"/>
  <c r="Z844" i="1" s="1"/>
  <c r="AC844" i="1" s="1"/>
  <c r="Y844" i="1"/>
  <c r="AA844" i="1" s="1"/>
  <c r="V844" i="1" s="1"/>
  <c r="AD844" i="1"/>
  <c r="AE844" i="1"/>
  <c r="AF844" i="1"/>
  <c r="AK844" i="1"/>
  <c r="AL844" i="1"/>
  <c r="AM844" i="1"/>
  <c r="AN844" i="1" s="1"/>
  <c r="B845" i="1"/>
  <c r="S845" i="1"/>
  <c r="T845" i="1"/>
  <c r="W845" i="1" s="1"/>
  <c r="AQ845" i="1" s="1"/>
  <c r="U845" i="1"/>
  <c r="X845" i="1"/>
  <c r="Y845" i="1"/>
  <c r="AD845" i="1"/>
  <c r="AE845" i="1"/>
  <c r="AF845" i="1"/>
  <c r="AK845" i="1"/>
  <c r="AL845" i="1"/>
  <c r="AM845" i="1"/>
  <c r="AN845" i="1" s="1"/>
  <c r="B846" i="1"/>
  <c r="S846" i="1"/>
  <c r="T846" i="1"/>
  <c r="W846" i="1" s="1"/>
  <c r="AQ846" i="1" s="1"/>
  <c r="U846" i="1"/>
  <c r="X846" i="1"/>
  <c r="Y846" i="1"/>
  <c r="AD846" i="1"/>
  <c r="AE846" i="1"/>
  <c r="AF846" i="1"/>
  <c r="AK846" i="1"/>
  <c r="AL846" i="1"/>
  <c r="AM846" i="1"/>
  <c r="AN846" i="1" s="1"/>
  <c r="B847" i="1"/>
  <c r="S847" i="1"/>
  <c r="T847" i="1"/>
  <c r="W847" i="1" s="1"/>
  <c r="U847" i="1"/>
  <c r="X847" i="1"/>
  <c r="Z847" i="1" s="1"/>
  <c r="Y847" i="1"/>
  <c r="AD847" i="1"/>
  <c r="AE847" i="1"/>
  <c r="AF847" i="1"/>
  <c r="AK847" i="1"/>
  <c r="AL847" i="1"/>
  <c r="AM847" i="1"/>
  <c r="AN847" i="1"/>
  <c r="B848" i="1"/>
  <c r="S848" i="1"/>
  <c r="T848" i="1"/>
  <c r="W848" i="1" s="1"/>
  <c r="U848" i="1"/>
  <c r="X848" i="1"/>
  <c r="Z848" i="1" s="1"/>
  <c r="AC848" i="1" s="1"/>
  <c r="Y848" i="1"/>
  <c r="AD848" i="1"/>
  <c r="AE848" i="1"/>
  <c r="AF848" i="1"/>
  <c r="AK848" i="1"/>
  <c r="AL848" i="1"/>
  <c r="AM848" i="1"/>
  <c r="AN848" i="1" s="1"/>
  <c r="B849" i="1"/>
  <c r="S849" i="1"/>
  <c r="T849" i="1"/>
  <c r="W849" i="1" s="1"/>
  <c r="AQ849" i="1" s="1"/>
  <c r="U849" i="1"/>
  <c r="X849" i="1"/>
  <c r="Y849" i="1"/>
  <c r="AD849" i="1"/>
  <c r="AE849" i="1"/>
  <c r="AF849" i="1"/>
  <c r="AK849" i="1"/>
  <c r="AL849" i="1"/>
  <c r="AM849" i="1"/>
  <c r="AN849" i="1" s="1"/>
  <c r="B850" i="1"/>
  <c r="S850" i="1"/>
  <c r="T850" i="1"/>
  <c r="W850" i="1" s="1"/>
  <c r="AQ850" i="1" s="1"/>
  <c r="U850" i="1"/>
  <c r="X850" i="1"/>
  <c r="Y850" i="1"/>
  <c r="AD850" i="1"/>
  <c r="AE850" i="1"/>
  <c r="AF850" i="1"/>
  <c r="AK850" i="1"/>
  <c r="AL850" i="1"/>
  <c r="AM850" i="1"/>
  <c r="AN850" i="1" s="1"/>
  <c r="AP850" i="1"/>
  <c r="B851" i="1"/>
  <c r="S851" i="1"/>
  <c r="T851" i="1"/>
  <c r="W851" i="1" s="1"/>
  <c r="U851" i="1"/>
  <c r="X851" i="1"/>
  <c r="Y851" i="1"/>
  <c r="AD851" i="1"/>
  <c r="AE851" i="1"/>
  <c r="AF851" i="1"/>
  <c r="AK851" i="1"/>
  <c r="AL851" i="1"/>
  <c r="AM851" i="1"/>
  <c r="AN851" i="1" s="1"/>
  <c r="B852" i="1"/>
  <c r="S852" i="1"/>
  <c r="T852" i="1"/>
  <c r="W852" i="1" s="1"/>
  <c r="U852" i="1"/>
  <c r="X852" i="1"/>
  <c r="Y852" i="1"/>
  <c r="AD852" i="1"/>
  <c r="AE852" i="1"/>
  <c r="AF852" i="1"/>
  <c r="AK852" i="1"/>
  <c r="AL852" i="1"/>
  <c r="AM852" i="1"/>
  <c r="AN852" i="1" s="1"/>
  <c r="B853" i="1"/>
  <c r="S853" i="1"/>
  <c r="T853" i="1"/>
  <c r="W853" i="1" s="1"/>
  <c r="U853" i="1"/>
  <c r="X853" i="1"/>
  <c r="Z853" i="1" s="1"/>
  <c r="AC853" i="1" s="1"/>
  <c r="Y853" i="1"/>
  <c r="AD853" i="1"/>
  <c r="AE853" i="1"/>
  <c r="AF853" i="1"/>
  <c r="AK853" i="1"/>
  <c r="AL853" i="1"/>
  <c r="AM853" i="1"/>
  <c r="AN853" i="1" s="1"/>
  <c r="AQ853" i="1"/>
  <c r="B854" i="1"/>
  <c r="S854" i="1"/>
  <c r="T854" i="1"/>
  <c r="W854" i="1" s="1"/>
  <c r="U854" i="1"/>
  <c r="X854" i="1"/>
  <c r="Y854" i="1"/>
  <c r="AD854" i="1"/>
  <c r="AE854" i="1"/>
  <c r="AF854" i="1"/>
  <c r="AK854" i="1"/>
  <c r="AL854" i="1"/>
  <c r="AM854" i="1"/>
  <c r="AN854" i="1" s="1"/>
  <c r="B855" i="1"/>
  <c r="S855" i="1"/>
  <c r="T855" i="1"/>
  <c r="W855" i="1" s="1"/>
  <c r="U855" i="1"/>
  <c r="X855" i="1"/>
  <c r="Y855" i="1"/>
  <c r="AD855" i="1"/>
  <c r="AE855" i="1"/>
  <c r="AF855" i="1"/>
  <c r="AK855" i="1"/>
  <c r="AL855" i="1"/>
  <c r="AM855" i="1"/>
  <c r="AN855" i="1"/>
  <c r="B856" i="1"/>
  <c r="S856" i="1"/>
  <c r="T856" i="1"/>
  <c r="U856" i="1"/>
  <c r="W856" i="1"/>
  <c r="AP856" i="1" s="1"/>
  <c r="X856" i="1"/>
  <c r="Z856" i="1" s="1"/>
  <c r="Y856" i="1"/>
  <c r="AD856" i="1"/>
  <c r="AE856" i="1"/>
  <c r="AF856" i="1"/>
  <c r="AK856" i="1"/>
  <c r="AL856" i="1"/>
  <c r="AM856" i="1"/>
  <c r="AN856" i="1" s="1"/>
  <c r="B857" i="1"/>
  <c r="S857" i="1"/>
  <c r="T857" i="1"/>
  <c r="W857" i="1" s="1"/>
  <c r="AQ857" i="1" s="1"/>
  <c r="U857" i="1"/>
  <c r="X857" i="1"/>
  <c r="Y857" i="1"/>
  <c r="Z857" i="1"/>
  <c r="AC857" i="1" s="1"/>
  <c r="AD857" i="1"/>
  <c r="AE857" i="1"/>
  <c r="AF857" i="1"/>
  <c r="AK857" i="1"/>
  <c r="AL857" i="1"/>
  <c r="AM857" i="1"/>
  <c r="AN857" i="1" s="1"/>
  <c r="B858" i="1"/>
  <c r="S858" i="1"/>
  <c r="T858" i="1"/>
  <c r="W858" i="1" s="1"/>
  <c r="U858" i="1"/>
  <c r="X858" i="1"/>
  <c r="Y858" i="1"/>
  <c r="AD858" i="1"/>
  <c r="AE858" i="1"/>
  <c r="AF858" i="1"/>
  <c r="AK858" i="1"/>
  <c r="AL858" i="1"/>
  <c r="AM858" i="1"/>
  <c r="AN858" i="1" s="1"/>
  <c r="B859" i="1"/>
  <c r="S859" i="1"/>
  <c r="T859" i="1"/>
  <c r="W859" i="1" s="1"/>
  <c r="U859" i="1"/>
  <c r="X859" i="1"/>
  <c r="Z859" i="1" s="1"/>
  <c r="AC859" i="1" s="1"/>
  <c r="Y859" i="1"/>
  <c r="AD859" i="1"/>
  <c r="AE859" i="1"/>
  <c r="AF859" i="1"/>
  <c r="AK859" i="1"/>
  <c r="AL859" i="1"/>
  <c r="AM859" i="1"/>
  <c r="AN859" i="1" s="1"/>
  <c r="B860" i="1"/>
  <c r="S860" i="1"/>
  <c r="T860" i="1"/>
  <c r="W860" i="1" s="1"/>
  <c r="U860" i="1"/>
  <c r="X860" i="1"/>
  <c r="Y860" i="1"/>
  <c r="AD860" i="1"/>
  <c r="AE860" i="1"/>
  <c r="AF860" i="1"/>
  <c r="AK860" i="1"/>
  <c r="AL860" i="1"/>
  <c r="AM860" i="1"/>
  <c r="AN860" i="1" s="1"/>
  <c r="B861" i="1"/>
  <c r="S861" i="1"/>
  <c r="T861" i="1"/>
  <c r="W861" i="1" s="1"/>
  <c r="U861" i="1"/>
  <c r="X861" i="1"/>
  <c r="Y861" i="1"/>
  <c r="AD861" i="1"/>
  <c r="AE861" i="1"/>
  <c r="AF861" i="1"/>
  <c r="AK861" i="1"/>
  <c r="AL861" i="1"/>
  <c r="AM861" i="1"/>
  <c r="AN861" i="1"/>
  <c r="AQ861" i="1"/>
  <c r="B862" i="1"/>
  <c r="S862" i="1"/>
  <c r="T862" i="1"/>
  <c r="W862" i="1" s="1"/>
  <c r="U862" i="1"/>
  <c r="X862" i="1"/>
  <c r="Y862" i="1"/>
  <c r="AD862" i="1"/>
  <c r="AE862" i="1"/>
  <c r="AF862" i="1"/>
  <c r="AK862" i="1"/>
  <c r="AL862" i="1"/>
  <c r="AM862" i="1"/>
  <c r="AN862" i="1" s="1"/>
  <c r="B863" i="1"/>
  <c r="S863" i="1"/>
  <c r="T863" i="1"/>
  <c r="U863" i="1"/>
  <c r="W863" i="1"/>
  <c r="AP863" i="1" s="1"/>
  <c r="X863" i="1"/>
  <c r="Y863" i="1"/>
  <c r="AB863" i="1" s="1"/>
  <c r="AD863" i="1"/>
  <c r="AE863" i="1"/>
  <c r="AF863" i="1"/>
  <c r="AK863" i="1"/>
  <c r="AL863" i="1"/>
  <c r="AM863" i="1"/>
  <c r="AN863" i="1" s="1"/>
  <c r="B864" i="1"/>
  <c r="S864" i="1"/>
  <c r="T864" i="1"/>
  <c r="W864" i="1" s="1"/>
  <c r="U864" i="1"/>
  <c r="X864" i="1"/>
  <c r="Y864" i="1"/>
  <c r="AD864" i="1"/>
  <c r="AE864" i="1"/>
  <c r="AF864" i="1"/>
  <c r="AK864" i="1"/>
  <c r="AL864" i="1"/>
  <c r="AM864" i="1"/>
  <c r="AN864" i="1" s="1"/>
  <c r="B865" i="1"/>
  <c r="S865" i="1"/>
  <c r="T865" i="1"/>
  <c r="W865" i="1" s="1"/>
  <c r="AP865" i="1" s="1"/>
  <c r="U865" i="1"/>
  <c r="X865" i="1"/>
  <c r="Y865" i="1"/>
  <c r="AB865" i="1" s="1"/>
  <c r="AD865" i="1"/>
  <c r="AE865" i="1"/>
  <c r="AF865" i="1"/>
  <c r="AK865" i="1"/>
  <c r="AL865" i="1"/>
  <c r="AM865" i="1"/>
  <c r="AN865" i="1" s="1"/>
  <c r="B866" i="1"/>
  <c r="S866" i="1"/>
  <c r="T866" i="1"/>
  <c r="W866" i="1" s="1"/>
  <c r="U866" i="1"/>
  <c r="X866" i="1"/>
  <c r="Y866" i="1"/>
  <c r="AB866" i="1" s="1"/>
  <c r="Z866" i="1"/>
  <c r="AD866" i="1"/>
  <c r="AE866" i="1"/>
  <c r="AF866" i="1"/>
  <c r="AK866" i="1"/>
  <c r="AL866" i="1"/>
  <c r="AM866" i="1"/>
  <c r="AN866" i="1" s="1"/>
  <c r="B867" i="1"/>
  <c r="S867" i="1"/>
  <c r="T867" i="1"/>
  <c r="W867" i="1" s="1"/>
  <c r="U867" i="1"/>
  <c r="X867" i="1"/>
  <c r="Y867" i="1"/>
  <c r="AD867" i="1"/>
  <c r="AE867" i="1"/>
  <c r="AF867" i="1"/>
  <c r="AK867" i="1"/>
  <c r="AL867" i="1"/>
  <c r="AM867" i="1"/>
  <c r="AN867" i="1" s="1"/>
  <c r="B868" i="1"/>
  <c r="S868" i="1"/>
  <c r="T868" i="1"/>
  <c r="W868" i="1" s="1"/>
  <c r="U868" i="1"/>
  <c r="X868" i="1"/>
  <c r="Y868" i="1"/>
  <c r="AD868" i="1"/>
  <c r="AE868" i="1"/>
  <c r="AF868" i="1"/>
  <c r="AK868" i="1"/>
  <c r="AL868" i="1"/>
  <c r="AM868" i="1"/>
  <c r="AN868" i="1"/>
  <c r="B869" i="1"/>
  <c r="S869" i="1"/>
  <c r="T869" i="1"/>
  <c r="W869" i="1" s="1"/>
  <c r="AP869" i="1" s="1"/>
  <c r="U869" i="1"/>
  <c r="X869" i="1"/>
  <c r="Y869" i="1"/>
  <c r="AD869" i="1"/>
  <c r="AE869" i="1"/>
  <c r="AF869" i="1"/>
  <c r="AK869" i="1"/>
  <c r="AL869" i="1"/>
  <c r="AM869" i="1"/>
  <c r="AN869" i="1" s="1"/>
  <c r="B870" i="1"/>
  <c r="S870" i="1"/>
  <c r="T870" i="1"/>
  <c r="W870" i="1" s="1"/>
  <c r="U870" i="1"/>
  <c r="X870" i="1"/>
  <c r="Y870" i="1"/>
  <c r="AB870" i="1"/>
  <c r="AD870" i="1"/>
  <c r="AE870" i="1"/>
  <c r="AF870" i="1"/>
  <c r="AK870" i="1"/>
  <c r="AL870" i="1"/>
  <c r="AM870" i="1"/>
  <c r="AN870" i="1"/>
  <c r="B871" i="1"/>
  <c r="S871" i="1"/>
  <c r="T871" i="1"/>
  <c r="U871" i="1"/>
  <c r="W871" i="1"/>
  <c r="AQ871" i="1" s="1"/>
  <c r="X871" i="1"/>
  <c r="Y871" i="1"/>
  <c r="AD871" i="1"/>
  <c r="AE871" i="1"/>
  <c r="AF871" i="1"/>
  <c r="AK871" i="1"/>
  <c r="AL871" i="1"/>
  <c r="AM871" i="1"/>
  <c r="AN871" i="1" s="1"/>
  <c r="B872" i="1"/>
  <c r="S872" i="1"/>
  <c r="T872" i="1"/>
  <c r="W872" i="1" s="1"/>
  <c r="U872" i="1"/>
  <c r="X872" i="1"/>
  <c r="Y872" i="1"/>
  <c r="AD872" i="1"/>
  <c r="AE872" i="1"/>
  <c r="AF872" i="1"/>
  <c r="AK872" i="1"/>
  <c r="AL872" i="1"/>
  <c r="AM872" i="1"/>
  <c r="AN872" i="1" s="1"/>
  <c r="B873" i="1"/>
  <c r="S873" i="1"/>
  <c r="T873" i="1"/>
  <c r="W873" i="1" s="1"/>
  <c r="AP873" i="1" s="1"/>
  <c r="U873" i="1"/>
  <c r="X873" i="1"/>
  <c r="Y873" i="1"/>
  <c r="AD873" i="1"/>
  <c r="AE873" i="1"/>
  <c r="AF873" i="1"/>
  <c r="AK873" i="1"/>
  <c r="AL873" i="1"/>
  <c r="AM873" i="1"/>
  <c r="AN873" i="1" s="1"/>
  <c r="B874" i="1"/>
  <c r="S874" i="1"/>
  <c r="T874" i="1"/>
  <c r="W874" i="1" s="1"/>
  <c r="U874" i="1"/>
  <c r="X874" i="1"/>
  <c r="Y874" i="1"/>
  <c r="Z874" i="1"/>
  <c r="AD874" i="1"/>
  <c r="AE874" i="1"/>
  <c r="AF874" i="1"/>
  <c r="AK874" i="1"/>
  <c r="AL874" i="1"/>
  <c r="AM874" i="1"/>
  <c r="AN874" i="1" s="1"/>
  <c r="B875" i="1"/>
  <c r="S875" i="1"/>
  <c r="T875" i="1"/>
  <c r="W875" i="1" s="1"/>
  <c r="U875" i="1"/>
  <c r="X875" i="1"/>
  <c r="Y875" i="1"/>
  <c r="AD875" i="1"/>
  <c r="AE875" i="1"/>
  <c r="AF875" i="1"/>
  <c r="AK875" i="1"/>
  <c r="AL875" i="1"/>
  <c r="AM875" i="1"/>
  <c r="AN875" i="1" s="1"/>
  <c r="B876" i="1"/>
  <c r="S876" i="1"/>
  <c r="T876" i="1"/>
  <c r="W876" i="1" s="1"/>
  <c r="U876" i="1"/>
  <c r="X876" i="1"/>
  <c r="Y876" i="1"/>
  <c r="AB876" i="1" s="1"/>
  <c r="AD876" i="1"/>
  <c r="AE876" i="1"/>
  <c r="AF876" i="1"/>
  <c r="AK876" i="1"/>
  <c r="AL876" i="1"/>
  <c r="AM876" i="1"/>
  <c r="AN876" i="1"/>
  <c r="B877" i="1"/>
  <c r="S877" i="1"/>
  <c r="T877" i="1"/>
  <c r="U877" i="1"/>
  <c r="W877" i="1"/>
  <c r="AP877" i="1" s="1"/>
  <c r="X877" i="1"/>
  <c r="Y877" i="1"/>
  <c r="AD877" i="1"/>
  <c r="AE877" i="1"/>
  <c r="AF877" i="1"/>
  <c r="AK877" i="1"/>
  <c r="AL877" i="1"/>
  <c r="AM877" i="1"/>
  <c r="AN877" i="1" s="1"/>
  <c r="B878" i="1"/>
  <c r="S878" i="1"/>
  <c r="T878" i="1"/>
  <c r="W878" i="1" s="1"/>
  <c r="U878" i="1"/>
  <c r="X878" i="1"/>
  <c r="Y878" i="1"/>
  <c r="AB878" i="1" s="1"/>
  <c r="Z878" i="1"/>
  <c r="AA878" i="1" s="1"/>
  <c r="V878" i="1" s="1"/>
  <c r="AD878" i="1"/>
  <c r="AE878" i="1"/>
  <c r="AF878" i="1"/>
  <c r="AK878" i="1"/>
  <c r="AL878" i="1"/>
  <c r="AM878" i="1"/>
  <c r="AN878" i="1" s="1"/>
  <c r="B879" i="1"/>
  <c r="S879" i="1"/>
  <c r="T879" i="1"/>
  <c r="W879" i="1" s="1"/>
  <c r="U879" i="1"/>
  <c r="X879" i="1"/>
  <c r="Y879" i="1"/>
  <c r="AD879" i="1"/>
  <c r="AE879" i="1"/>
  <c r="AF879" i="1"/>
  <c r="AK879" i="1"/>
  <c r="AL879" i="1"/>
  <c r="AM879" i="1"/>
  <c r="AN879" i="1" s="1"/>
  <c r="B880" i="1"/>
  <c r="S880" i="1"/>
  <c r="T880" i="1"/>
  <c r="W880" i="1" s="1"/>
  <c r="U880" i="1"/>
  <c r="X880" i="1"/>
  <c r="Y880" i="1"/>
  <c r="AB880" i="1"/>
  <c r="AD880" i="1"/>
  <c r="AE880" i="1"/>
  <c r="AF880" i="1"/>
  <c r="AK880" i="1"/>
  <c r="AL880" i="1"/>
  <c r="AM880" i="1"/>
  <c r="AN880" i="1"/>
  <c r="B881" i="1"/>
  <c r="S881" i="1"/>
  <c r="T881" i="1"/>
  <c r="U881" i="1"/>
  <c r="W881" i="1"/>
  <c r="AP881" i="1" s="1"/>
  <c r="X881" i="1"/>
  <c r="Y881" i="1"/>
  <c r="AD881" i="1"/>
  <c r="AE881" i="1"/>
  <c r="AF881" i="1"/>
  <c r="AK881" i="1"/>
  <c r="AL881" i="1"/>
  <c r="AM881" i="1"/>
  <c r="AN881" i="1" s="1"/>
  <c r="B882" i="1"/>
  <c r="S882" i="1"/>
  <c r="T882" i="1"/>
  <c r="W882" i="1" s="1"/>
  <c r="AP882" i="1" s="1"/>
  <c r="U882" i="1"/>
  <c r="X882" i="1"/>
  <c r="Y882" i="1"/>
  <c r="AB882" i="1" s="1"/>
  <c r="Z882" i="1"/>
  <c r="AD882" i="1"/>
  <c r="AE882" i="1"/>
  <c r="AF882" i="1"/>
  <c r="AK882" i="1"/>
  <c r="AL882" i="1"/>
  <c r="AM882" i="1"/>
  <c r="AN882" i="1"/>
  <c r="AQ882" i="1"/>
  <c r="B883" i="1"/>
  <c r="S883" i="1"/>
  <c r="T883" i="1"/>
  <c r="W883" i="1" s="1"/>
  <c r="U883" i="1"/>
  <c r="X883" i="1"/>
  <c r="Y883" i="1"/>
  <c r="Z883" i="1"/>
  <c r="AC883" i="1" s="1"/>
  <c r="AD883" i="1"/>
  <c r="AE883" i="1"/>
  <c r="AF883" i="1"/>
  <c r="AK883" i="1"/>
  <c r="AL883" i="1"/>
  <c r="AM883" i="1"/>
  <c r="AN883" i="1" s="1"/>
  <c r="B884" i="1"/>
  <c r="S884" i="1"/>
  <c r="T884" i="1"/>
  <c r="W884" i="1" s="1"/>
  <c r="U884" i="1"/>
  <c r="X884" i="1"/>
  <c r="Y884" i="1"/>
  <c r="AB884" i="1" s="1"/>
  <c r="AD884" i="1"/>
  <c r="AE884" i="1"/>
  <c r="AF884" i="1"/>
  <c r="AK884" i="1"/>
  <c r="AL884" i="1"/>
  <c r="AM884" i="1"/>
  <c r="AN884" i="1"/>
  <c r="B885" i="1"/>
  <c r="S885" i="1"/>
  <c r="T885" i="1"/>
  <c r="W885" i="1" s="1"/>
  <c r="AP885" i="1" s="1"/>
  <c r="U885" i="1"/>
  <c r="X885" i="1"/>
  <c r="Y885" i="1"/>
  <c r="AD885" i="1"/>
  <c r="AE885" i="1"/>
  <c r="AF885" i="1"/>
  <c r="AK885" i="1"/>
  <c r="AL885" i="1"/>
  <c r="AM885" i="1"/>
  <c r="AN885" i="1" s="1"/>
  <c r="B886" i="1"/>
  <c r="S886" i="1"/>
  <c r="T886" i="1"/>
  <c r="U886" i="1"/>
  <c r="W886" i="1"/>
  <c r="AP886" i="1" s="1"/>
  <c r="X886" i="1"/>
  <c r="Z886" i="1" s="1"/>
  <c r="AA886" i="1" s="1"/>
  <c r="V886" i="1" s="1"/>
  <c r="Y886" i="1"/>
  <c r="AB886" i="1"/>
  <c r="AD886" i="1"/>
  <c r="AE886" i="1"/>
  <c r="AF886" i="1"/>
  <c r="AK886" i="1"/>
  <c r="AL886" i="1"/>
  <c r="AM886" i="1"/>
  <c r="AN886" i="1" s="1"/>
  <c r="AQ886" i="1"/>
  <c r="B887" i="1"/>
  <c r="S887" i="1"/>
  <c r="T887" i="1"/>
  <c r="W887" i="1" s="1"/>
  <c r="U887" i="1"/>
  <c r="X887" i="1"/>
  <c r="Z887" i="1" s="1"/>
  <c r="AC887" i="1" s="1"/>
  <c r="Y887" i="1"/>
  <c r="AD887" i="1"/>
  <c r="AE887" i="1"/>
  <c r="AF887" i="1"/>
  <c r="AK887" i="1"/>
  <c r="AL887" i="1"/>
  <c r="AM887" i="1"/>
  <c r="AN887" i="1" s="1"/>
  <c r="B888" i="1"/>
  <c r="S888" i="1"/>
  <c r="T888" i="1"/>
  <c r="W888" i="1" s="1"/>
  <c r="U888" i="1"/>
  <c r="X888" i="1"/>
  <c r="AB888" i="1" s="1"/>
  <c r="Y888" i="1"/>
  <c r="AD888" i="1"/>
  <c r="AE888" i="1"/>
  <c r="AF888" i="1"/>
  <c r="AK888" i="1"/>
  <c r="AL888" i="1"/>
  <c r="AM888" i="1"/>
  <c r="AN888" i="1" s="1"/>
  <c r="B889" i="1"/>
  <c r="S889" i="1"/>
  <c r="T889" i="1"/>
  <c r="W889" i="1" s="1"/>
  <c r="AP889" i="1" s="1"/>
  <c r="U889" i="1"/>
  <c r="X889" i="1"/>
  <c r="Y889" i="1"/>
  <c r="AD889" i="1"/>
  <c r="AE889" i="1"/>
  <c r="AF889" i="1"/>
  <c r="AK889" i="1"/>
  <c r="AL889" i="1"/>
  <c r="AM889" i="1"/>
  <c r="AN889" i="1" s="1"/>
  <c r="B890" i="1"/>
  <c r="S890" i="1"/>
  <c r="T890" i="1"/>
  <c r="U890" i="1"/>
  <c r="W890" i="1"/>
  <c r="AP890" i="1" s="1"/>
  <c r="X890" i="1"/>
  <c r="Z890" i="1" s="1"/>
  <c r="AA890" i="1" s="1"/>
  <c r="V890" i="1" s="1"/>
  <c r="Y890" i="1"/>
  <c r="AD890" i="1"/>
  <c r="AE890" i="1"/>
  <c r="AF890" i="1"/>
  <c r="AK890" i="1"/>
  <c r="AL890" i="1"/>
  <c r="AM890" i="1"/>
  <c r="AN890" i="1"/>
  <c r="AQ890" i="1"/>
  <c r="B891" i="1"/>
  <c r="S891" i="1"/>
  <c r="T891" i="1"/>
  <c r="W891" i="1" s="1"/>
  <c r="U891" i="1"/>
  <c r="X891" i="1"/>
  <c r="Y891" i="1"/>
  <c r="Z891" i="1"/>
  <c r="AC891" i="1" s="1"/>
  <c r="AD891" i="1"/>
  <c r="AE891" i="1"/>
  <c r="AF891" i="1"/>
  <c r="AK891" i="1"/>
  <c r="AL891" i="1"/>
  <c r="AM891" i="1"/>
  <c r="AN891" i="1" s="1"/>
  <c r="B892" i="1"/>
  <c r="S892" i="1"/>
  <c r="T892" i="1"/>
  <c r="W892" i="1" s="1"/>
  <c r="U892" i="1"/>
  <c r="X892" i="1"/>
  <c r="Y892" i="1"/>
  <c r="AB892" i="1" s="1"/>
  <c r="AD892" i="1"/>
  <c r="AE892" i="1"/>
  <c r="AF892" i="1"/>
  <c r="AK892" i="1"/>
  <c r="AL892" i="1"/>
  <c r="AM892" i="1"/>
  <c r="AN892" i="1"/>
  <c r="B893" i="1"/>
  <c r="S893" i="1"/>
  <c r="T893" i="1"/>
  <c r="U893" i="1"/>
  <c r="W893" i="1"/>
  <c r="AP893" i="1" s="1"/>
  <c r="X893" i="1"/>
  <c r="Z893" i="1" s="1"/>
  <c r="Y893" i="1"/>
  <c r="AD893" i="1"/>
  <c r="AE893" i="1"/>
  <c r="AF893" i="1"/>
  <c r="AK893" i="1"/>
  <c r="AL893" i="1"/>
  <c r="AM893" i="1"/>
  <c r="AN893" i="1" s="1"/>
  <c r="B894" i="1"/>
  <c r="S894" i="1"/>
  <c r="T894" i="1"/>
  <c r="Z894" i="1" s="1"/>
  <c r="AA894" i="1" s="1"/>
  <c r="V894" i="1" s="1"/>
  <c r="U894" i="1"/>
  <c r="W894" i="1"/>
  <c r="AP894" i="1" s="1"/>
  <c r="X894" i="1"/>
  <c r="Y894" i="1"/>
  <c r="AB894" i="1"/>
  <c r="AD894" i="1"/>
  <c r="AE894" i="1"/>
  <c r="AF894" i="1"/>
  <c r="AK894" i="1"/>
  <c r="AL894" i="1"/>
  <c r="AM894" i="1"/>
  <c r="AN894" i="1" s="1"/>
  <c r="AQ894" i="1"/>
  <c r="B895" i="1"/>
  <c r="S895" i="1"/>
  <c r="T895" i="1"/>
  <c r="W895" i="1" s="1"/>
  <c r="U895" i="1"/>
  <c r="X895" i="1"/>
  <c r="Y895" i="1"/>
  <c r="Z895" i="1"/>
  <c r="AC895" i="1" s="1"/>
  <c r="AD895" i="1"/>
  <c r="AE895" i="1"/>
  <c r="AF895" i="1"/>
  <c r="AK895" i="1"/>
  <c r="AL895" i="1"/>
  <c r="AM895" i="1"/>
  <c r="AN895" i="1" s="1"/>
  <c r="B896" i="1"/>
  <c r="S896" i="1"/>
  <c r="T896" i="1"/>
  <c r="W896" i="1" s="1"/>
  <c r="U896" i="1"/>
  <c r="X896" i="1"/>
  <c r="Y896" i="1"/>
  <c r="AB896" i="1"/>
  <c r="AD896" i="1"/>
  <c r="AE896" i="1"/>
  <c r="AF896" i="1"/>
  <c r="AK896" i="1"/>
  <c r="AL896" i="1"/>
  <c r="AM896" i="1"/>
  <c r="AN896" i="1" s="1"/>
  <c r="B897" i="1"/>
  <c r="S897" i="1"/>
  <c r="T897" i="1"/>
  <c r="U897" i="1"/>
  <c r="W897" i="1"/>
  <c r="AP897" i="1" s="1"/>
  <c r="X897" i="1"/>
  <c r="Y897" i="1"/>
  <c r="AD897" i="1"/>
  <c r="AE897" i="1"/>
  <c r="AF897" i="1"/>
  <c r="AK897" i="1"/>
  <c r="AL897" i="1"/>
  <c r="AM897" i="1"/>
  <c r="AN897" i="1" s="1"/>
  <c r="B898" i="1"/>
  <c r="S898" i="1"/>
  <c r="T898" i="1"/>
  <c r="W898" i="1" s="1"/>
  <c r="U898" i="1"/>
  <c r="X898" i="1"/>
  <c r="Y898" i="1"/>
  <c r="AB898" i="1" s="1"/>
  <c r="Z898" i="1"/>
  <c r="AA898" i="1" s="1"/>
  <c r="V898" i="1" s="1"/>
  <c r="AD898" i="1"/>
  <c r="AE898" i="1"/>
  <c r="AF898" i="1"/>
  <c r="AK898" i="1"/>
  <c r="AL898" i="1"/>
  <c r="AM898" i="1"/>
  <c r="AN898" i="1"/>
  <c r="B899" i="1"/>
  <c r="S899" i="1"/>
  <c r="T899" i="1"/>
  <c r="W899" i="1" s="1"/>
  <c r="U899" i="1"/>
  <c r="X899" i="1"/>
  <c r="Y899" i="1"/>
  <c r="Z899" i="1"/>
  <c r="AC899" i="1" s="1"/>
  <c r="AD899" i="1"/>
  <c r="AE899" i="1"/>
  <c r="AF899" i="1"/>
  <c r="AK899" i="1"/>
  <c r="AL899" i="1"/>
  <c r="AM899" i="1"/>
  <c r="AN899" i="1" s="1"/>
  <c r="B900" i="1"/>
  <c r="S900" i="1"/>
  <c r="T900" i="1"/>
  <c r="W900" i="1" s="1"/>
  <c r="U900" i="1"/>
  <c r="X900" i="1"/>
  <c r="Y900" i="1"/>
  <c r="AB900" i="1" s="1"/>
  <c r="AD900" i="1"/>
  <c r="AE900" i="1"/>
  <c r="AF900" i="1"/>
  <c r="AK900" i="1"/>
  <c r="AL900" i="1"/>
  <c r="AM900" i="1"/>
  <c r="AN900" i="1"/>
  <c r="B901" i="1"/>
  <c r="S901" i="1"/>
  <c r="T901" i="1"/>
  <c r="W901" i="1" s="1"/>
  <c r="AP901" i="1" s="1"/>
  <c r="U901" i="1"/>
  <c r="X901" i="1"/>
  <c r="Z901" i="1" s="1"/>
  <c r="Y901" i="1"/>
  <c r="AD901" i="1"/>
  <c r="AE901" i="1"/>
  <c r="AF901" i="1"/>
  <c r="AK901" i="1"/>
  <c r="AL901" i="1"/>
  <c r="AM901" i="1"/>
  <c r="AN901" i="1" s="1"/>
  <c r="B902" i="1"/>
  <c r="S902" i="1"/>
  <c r="T902" i="1"/>
  <c r="W902" i="1" s="1"/>
  <c r="U902" i="1"/>
  <c r="X902" i="1"/>
  <c r="Z902" i="1" s="1"/>
  <c r="AA902" i="1" s="1"/>
  <c r="V902" i="1" s="1"/>
  <c r="Y902" i="1"/>
  <c r="AB902" i="1" s="1"/>
  <c r="AD902" i="1"/>
  <c r="AE902" i="1"/>
  <c r="AF902" i="1"/>
  <c r="AK902" i="1"/>
  <c r="AL902" i="1"/>
  <c r="AM902" i="1"/>
  <c r="AN902" i="1" s="1"/>
  <c r="B903" i="1"/>
  <c r="S903" i="1"/>
  <c r="T903" i="1"/>
  <c r="W903" i="1" s="1"/>
  <c r="U903" i="1"/>
  <c r="X903" i="1"/>
  <c r="Z903" i="1" s="1"/>
  <c r="AC903" i="1" s="1"/>
  <c r="Y903" i="1"/>
  <c r="AD903" i="1"/>
  <c r="AE903" i="1"/>
  <c r="AF903" i="1"/>
  <c r="AK903" i="1"/>
  <c r="AL903" i="1"/>
  <c r="AM903" i="1"/>
  <c r="AN903" i="1" s="1"/>
  <c r="B904" i="1"/>
  <c r="S904" i="1"/>
  <c r="T904" i="1"/>
  <c r="W904" i="1" s="1"/>
  <c r="U904" i="1"/>
  <c r="X904" i="1"/>
  <c r="AB904" i="1" s="1"/>
  <c r="Y904" i="1"/>
  <c r="AD904" i="1"/>
  <c r="AE904" i="1"/>
  <c r="AF904" i="1"/>
  <c r="AK904" i="1"/>
  <c r="AL904" i="1"/>
  <c r="AM904" i="1"/>
  <c r="AN904" i="1" s="1"/>
  <c r="B905" i="1"/>
  <c r="S905" i="1"/>
  <c r="T905" i="1"/>
  <c r="W905" i="1" s="1"/>
  <c r="AP905" i="1" s="1"/>
  <c r="U905" i="1"/>
  <c r="X905" i="1"/>
  <c r="Y905" i="1"/>
  <c r="AD905" i="1"/>
  <c r="AE905" i="1"/>
  <c r="AF905" i="1"/>
  <c r="AK905" i="1"/>
  <c r="AL905" i="1"/>
  <c r="AM905" i="1"/>
  <c r="AN905" i="1" s="1"/>
  <c r="B906" i="1"/>
  <c r="S906" i="1"/>
  <c r="T906" i="1"/>
  <c r="U906" i="1"/>
  <c r="W906" i="1"/>
  <c r="AP906" i="1" s="1"/>
  <c r="X906" i="1"/>
  <c r="Z906" i="1" s="1"/>
  <c r="AA906" i="1" s="1"/>
  <c r="V906" i="1" s="1"/>
  <c r="Y906" i="1"/>
  <c r="AD906" i="1"/>
  <c r="AE906" i="1"/>
  <c r="AF906" i="1"/>
  <c r="AK906" i="1"/>
  <c r="AL906" i="1"/>
  <c r="AM906" i="1"/>
  <c r="AN906" i="1"/>
  <c r="AQ906" i="1"/>
  <c r="B907" i="1"/>
  <c r="S907" i="1"/>
  <c r="T907" i="1"/>
  <c r="W907" i="1" s="1"/>
  <c r="U907" i="1"/>
  <c r="X907" i="1"/>
  <c r="Z907" i="1" s="1"/>
  <c r="AC907" i="1" s="1"/>
  <c r="Y907" i="1"/>
  <c r="AD907" i="1"/>
  <c r="AE907" i="1"/>
  <c r="AF907" i="1"/>
  <c r="AK907" i="1"/>
  <c r="AL907" i="1"/>
  <c r="AM907" i="1"/>
  <c r="AN907" i="1" s="1"/>
  <c r="B908" i="1"/>
  <c r="S908" i="1"/>
  <c r="T908" i="1"/>
  <c r="W908" i="1" s="1"/>
  <c r="U908" i="1"/>
  <c r="X908" i="1"/>
  <c r="Y908" i="1"/>
  <c r="AB908" i="1" s="1"/>
  <c r="AD908" i="1"/>
  <c r="AE908" i="1"/>
  <c r="AF908" i="1"/>
  <c r="AK908" i="1"/>
  <c r="AL908" i="1"/>
  <c r="AM908" i="1"/>
  <c r="AN908" i="1"/>
  <c r="B909" i="1"/>
  <c r="S909" i="1"/>
  <c r="T909" i="1"/>
  <c r="U909" i="1"/>
  <c r="W909" i="1"/>
  <c r="AP909" i="1" s="1"/>
  <c r="X909" i="1"/>
  <c r="Z909" i="1" s="1"/>
  <c r="Y909" i="1"/>
  <c r="AD909" i="1"/>
  <c r="AE909" i="1"/>
  <c r="AF909" i="1"/>
  <c r="AK909" i="1"/>
  <c r="AL909" i="1"/>
  <c r="AM909" i="1"/>
  <c r="AN909" i="1" s="1"/>
  <c r="B910" i="1"/>
  <c r="S910" i="1"/>
  <c r="T910" i="1"/>
  <c r="Z910" i="1" s="1"/>
  <c r="AA910" i="1" s="1"/>
  <c r="V910" i="1" s="1"/>
  <c r="U910" i="1"/>
  <c r="W910" i="1"/>
  <c r="AP910" i="1" s="1"/>
  <c r="X910" i="1"/>
  <c r="Y910" i="1"/>
  <c r="AB910" i="1"/>
  <c r="AD910" i="1"/>
  <c r="AE910" i="1"/>
  <c r="AF910" i="1"/>
  <c r="AK910" i="1"/>
  <c r="AL910" i="1"/>
  <c r="AM910" i="1"/>
  <c r="AN910" i="1"/>
  <c r="AQ910" i="1"/>
  <c r="B911" i="1"/>
  <c r="S911" i="1"/>
  <c r="T911" i="1"/>
  <c r="W911" i="1" s="1"/>
  <c r="U911" i="1"/>
  <c r="X911" i="1"/>
  <c r="Y911" i="1"/>
  <c r="Z911" i="1"/>
  <c r="AC911" i="1" s="1"/>
  <c r="AD911" i="1"/>
  <c r="AE911" i="1"/>
  <c r="AF911" i="1"/>
  <c r="AK911" i="1"/>
  <c r="AL911" i="1"/>
  <c r="AM911" i="1"/>
  <c r="AN911" i="1" s="1"/>
  <c r="B912" i="1"/>
  <c r="S912" i="1"/>
  <c r="T912" i="1"/>
  <c r="W912" i="1" s="1"/>
  <c r="U912" i="1"/>
  <c r="X912" i="1"/>
  <c r="Y912" i="1"/>
  <c r="AB912" i="1"/>
  <c r="AD912" i="1"/>
  <c r="AE912" i="1"/>
  <c r="AF912" i="1"/>
  <c r="AK912" i="1"/>
  <c r="AL912" i="1"/>
  <c r="AM912" i="1"/>
  <c r="AN912" i="1"/>
  <c r="B913" i="1"/>
  <c r="S913" i="1"/>
  <c r="T913" i="1"/>
  <c r="U913" i="1"/>
  <c r="W913" i="1"/>
  <c r="AP913" i="1" s="1"/>
  <c r="X913" i="1"/>
  <c r="Y913" i="1"/>
  <c r="AD913" i="1"/>
  <c r="AE913" i="1"/>
  <c r="AF913" i="1"/>
  <c r="AK913" i="1"/>
  <c r="AL913" i="1"/>
  <c r="AM913" i="1"/>
  <c r="AN913" i="1" s="1"/>
  <c r="B914" i="1"/>
  <c r="S914" i="1"/>
  <c r="T914" i="1"/>
  <c r="W914" i="1" s="1"/>
  <c r="U914" i="1"/>
  <c r="X914" i="1"/>
  <c r="Y914" i="1"/>
  <c r="AB914" i="1" s="1"/>
  <c r="Z914" i="1"/>
  <c r="AA914" i="1" s="1"/>
  <c r="V914" i="1" s="1"/>
  <c r="AD914" i="1"/>
  <c r="AE914" i="1"/>
  <c r="AF914" i="1"/>
  <c r="AK914" i="1"/>
  <c r="AL914" i="1"/>
  <c r="AM914" i="1"/>
  <c r="AN914" i="1"/>
  <c r="B915" i="1"/>
  <c r="S915" i="1"/>
  <c r="T915" i="1"/>
  <c r="W915" i="1" s="1"/>
  <c r="U915" i="1"/>
  <c r="X915" i="1"/>
  <c r="Y915" i="1"/>
  <c r="Z915" i="1"/>
  <c r="AC915" i="1" s="1"/>
  <c r="AD915" i="1"/>
  <c r="AE915" i="1"/>
  <c r="AF915" i="1"/>
  <c r="AK915" i="1"/>
  <c r="AL915" i="1"/>
  <c r="AM915" i="1"/>
  <c r="AN915" i="1" s="1"/>
  <c r="B916" i="1"/>
  <c r="S916" i="1"/>
  <c r="T916" i="1"/>
  <c r="W916" i="1" s="1"/>
  <c r="U916" i="1"/>
  <c r="X916" i="1"/>
  <c r="Y916" i="1"/>
  <c r="AB916" i="1" s="1"/>
  <c r="AD916" i="1"/>
  <c r="AE916" i="1"/>
  <c r="AF916" i="1"/>
  <c r="AK916" i="1"/>
  <c r="AL916" i="1"/>
  <c r="AM916" i="1"/>
  <c r="AN916" i="1"/>
  <c r="B917" i="1"/>
  <c r="S917" i="1"/>
  <c r="T917" i="1"/>
  <c r="W917" i="1" s="1"/>
  <c r="AP917" i="1" s="1"/>
  <c r="U917" i="1"/>
  <c r="X917" i="1"/>
  <c r="Y917" i="1"/>
  <c r="AD917" i="1"/>
  <c r="AE917" i="1"/>
  <c r="AF917" i="1"/>
  <c r="AK917" i="1"/>
  <c r="AL917" i="1"/>
  <c r="AM917" i="1"/>
  <c r="AN917" i="1" s="1"/>
  <c r="B918" i="1"/>
  <c r="S918" i="1"/>
  <c r="T918" i="1"/>
  <c r="W918" i="1" s="1"/>
  <c r="U918" i="1"/>
  <c r="X918" i="1"/>
  <c r="Z918" i="1" s="1"/>
  <c r="AA918" i="1" s="1"/>
  <c r="V918" i="1" s="1"/>
  <c r="Y918" i="1"/>
  <c r="AB918" i="1" s="1"/>
  <c r="AD918" i="1"/>
  <c r="AE918" i="1"/>
  <c r="AF918" i="1"/>
  <c r="AK918" i="1"/>
  <c r="AL918" i="1"/>
  <c r="AM918" i="1"/>
  <c r="AN918" i="1" s="1"/>
  <c r="B919" i="1"/>
  <c r="S919" i="1"/>
  <c r="T919" i="1"/>
  <c r="W919" i="1" s="1"/>
  <c r="U919" i="1"/>
  <c r="X919" i="1"/>
  <c r="Z919" i="1" s="1"/>
  <c r="AC919" i="1" s="1"/>
  <c r="Y919" i="1"/>
  <c r="AD919" i="1"/>
  <c r="AE919" i="1"/>
  <c r="AF919" i="1"/>
  <c r="AK919" i="1"/>
  <c r="AL919" i="1"/>
  <c r="AM919" i="1"/>
  <c r="AN919" i="1" s="1"/>
  <c r="B920" i="1"/>
  <c r="S920" i="1"/>
  <c r="T920" i="1"/>
  <c r="W920" i="1" s="1"/>
  <c r="U920" i="1"/>
  <c r="X920" i="1"/>
  <c r="AB920" i="1" s="1"/>
  <c r="Y920" i="1"/>
  <c r="AD920" i="1"/>
  <c r="AE920" i="1"/>
  <c r="AF920" i="1"/>
  <c r="AK920" i="1"/>
  <c r="AL920" i="1"/>
  <c r="AM920" i="1"/>
  <c r="AN920" i="1" s="1"/>
  <c r="B921" i="1"/>
  <c r="S921" i="1"/>
  <c r="T921" i="1"/>
  <c r="W921" i="1" s="1"/>
  <c r="AP921" i="1" s="1"/>
  <c r="U921" i="1"/>
  <c r="X921" i="1"/>
  <c r="Y921" i="1"/>
  <c r="AD921" i="1"/>
  <c r="AE921" i="1"/>
  <c r="AF921" i="1"/>
  <c r="AK921" i="1"/>
  <c r="AL921" i="1"/>
  <c r="AM921" i="1"/>
  <c r="AN921" i="1" s="1"/>
  <c r="B922" i="1"/>
  <c r="S922" i="1"/>
  <c r="T922" i="1"/>
  <c r="U922" i="1"/>
  <c r="W922" i="1"/>
  <c r="AP922" i="1" s="1"/>
  <c r="X922" i="1"/>
  <c r="Z922" i="1" s="1"/>
  <c r="AA922" i="1" s="1"/>
  <c r="V922" i="1" s="1"/>
  <c r="Y922" i="1"/>
  <c r="AD922" i="1"/>
  <c r="AE922" i="1"/>
  <c r="AF922" i="1"/>
  <c r="AK922" i="1"/>
  <c r="AL922" i="1"/>
  <c r="AM922" i="1"/>
  <c r="AN922" i="1"/>
  <c r="AQ922" i="1"/>
  <c r="B923" i="1"/>
  <c r="S923" i="1"/>
  <c r="T923" i="1"/>
  <c r="W923" i="1" s="1"/>
  <c r="U923" i="1"/>
  <c r="X923" i="1"/>
  <c r="Z923" i="1" s="1"/>
  <c r="AC923" i="1" s="1"/>
  <c r="Y923" i="1"/>
  <c r="AD923" i="1"/>
  <c r="AE923" i="1"/>
  <c r="AF923" i="1"/>
  <c r="AK923" i="1"/>
  <c r="AL923" i="1"/>
  <c r="AM923" i="1"/>
  <c r="AN923" i="1" s="1"/>
  <c r="B924" i="1"/>
  <c r="S924" i="1"/>
  <c r="T924" i="1"/>
  <c r="W924" i="1" s="1"/>
  <c r="U924" i="1"/>
  <c r="X924" i="1"/>
  <c r="Y924" i="1"/>
  <c r="AB924" i="1"/>
  <c r="AD924" i="1"/>
  <c r="AE924" i="1"/>
  <c r="AF924" i="1"/>
  <c r="AK924" i="1"/>
  <c r="AL924" i="1"/>
  <c r="AM924" i="1"/>
  <c r="AN924" i="1"/>
  <c r="B925" i="1"/>
  <c r="S925" i="1"/>
  <c r="T925" i="1"/>
  <c r="U925" i="1"/>
  <c r="W925" i="1"/>
  <c r="AP925" i="1" s="1"/>
  <c r="X925" i="1"/>
  <c r="Z925" i="1" s="1"/>
  <c r="Y925" i="1"/>
  <c r="AD925" i="1"/>
  <c r="AE925" i="1"/>
  <c r="AF925" i="1"/>
  <c r="AK925" i="1"/>
  <c r="AL925" i="1"/>
  <c r="AM925" i="1"/>
  <c r="AN925" i="1" s="1"/>
  <c r="AO4" i="2" l="1"/>
  <c r="AP4" i="2"/>
  <c r="AO7" i="2"/>
  <c r="AP7" i="2"/>
  <c r="AP11" i="2"/>
  <c r="AO11" i="2"/>
  <c r="AP26" i="2"/>
  <c r="AO26" i="2"/>
  <c r="Y35" i="2"/>
  <c r="AB35" i="2" s="1"/>
  <c r="AP54" i="2"/>
  <c r="AO54" i="2"/>
  <c r="AP61" i="2"/>
  <c r="AO61" i="2"/>
  <c r="AO73" i="2"/>
  <c r="AP73" i="2"/>
  <c r="AP76" i="2"/>
  <c r="AO76" i="2"/>
  <c r="AP86" i="2"/>
  <c r="AO86" i="2"/>
  <c r="AP96" i="2"/>
  <c r="AO96" i="2"/>
  <c r="AP100" i="2"/>
  <c r="AO100" i="2"/>
  <c r="AP104" i="2"/>
  <c r="AO104" i="2"/>
  <c r="AO119" i="2"/>
  <c r="AP119" i="2"/>
  <c r="AO127" i="2"/>
  <c r="AP127" i="2"/>
  <c r="AP24" i="2"/>
  <c r="AO24" i="2"/>
  <c r="Y27" i="2"/>
  <c r="AB27" i="2" s="1"/>
  <c r="AP35" i="2"/>
  <c r="AO35" i="2"/>
  <c r="AP38" i="2"/>
  <c r="AO38" i="2"/>
  <c r="AP46" i="2"/>
  <c r="AO46" i="2"/>
  <c r="AP52" i="2"/>
  <c r="AO52" i="2"/>
  <c r="AO64" i="2"/>
  <c r="AP64" i="2"/>
  <c r="AP65" i="2"/>
  <c r="AO65" i="2"/>
  <c r="AO93" i="2"/>
  <c r="AP93" i="2"/>
  <c r="AP98" i="2"/>
  <c r="AO98" i="2"/>
  <c r="AP134" i="2"/>
  <c r="AO134" i="2"/>
  <c r="AO135" i="2"/>
  <c r="AP135" i="2"/>
  <c r="AO146" i="2"/>
  <c r="AP146" i="2"/>
  <c r="V148" i="2"/>
  <c r="Y148" i="2"/>
  <c r="AB148" i="2" s="1"/>
  <c r="AP162" i="2"/>
  <c r="AO162" i="2"/>
  <c r="AP19" i="2"/>
  <c r="AO19" i="2"/>
  <c r="AP20" i="2"/>
  <c r="AO20" i="2"/>
  <c r="AO23" i="2"/>
  <c r="AP23" i="2"/>
  <c r="AP27" i="2"/>
  <c r="AO27" i="2"/>
  <c r="AP30" i="2"/>
  <c r="AO30" i="2"/>
  <c r="AP36" i="2"/>
  <c r="AO36" i="2"/>
  <c r="AP50" i="2"/>
  <c r="AO50" i="2"/>
  <c r="AP57" i="2"/>
  <c r="AO57" i="2"/>
  <c r="AP74" i="2"/>
  <c r="AO74" i="2"/>
  <c r="AP84" i="2"/>
  <c r="AO84" i="2"/>
  <c r="AP88" i="2"/>
  <c r="AO88" i="2"/>
  <c r="AP102" i="2"/>
  <c r="AO102" i="2"/>
  <c r="AP108" i="2"/>
  <c r="AO108" i="2"/>
  <c r="AO115" i="2"/>
  <c r="AP115" i="2"/>
  <c r="AO123" i="2"/>
  <c r="AP123" i="2"/>
  <c r="AO152" i="2"/>
  <c r="AP152" i="2"/>
  <c r="AO156" i="2"/>
  <c r="AP156" i="2"/>
  <c r="AO15" i="2"/>
  <c r="AP15" i="2"/>
  <c r="AP28" i="2"/>
  <c r="AO28" i="2"/>
  <c r="AP34" i="2"/>
  <c r="AO34" i="2"/>
  <c r="AO43" i="2"/>
  <c r="AP43" i="2"/>
  <c r="AO68" i="2"/>
  <c r="AP68" i="2"/>
  <c r="AP69" i="2"/>
  <c r="AO69" i="2"/>
  <c r="AO81" i="2"/>
  <c r="AP81" i="2"/>
  <c r="AP106" i="2"/>
  <c r="AO106" i="2"/>
  <c r="AO112" i="2"/>
  <c r="AP112" i="2"/>
  <c r="AO131" i="2"/>
  <c r="AP131" i="2"/>
  <c r="AO139" i="2"/>
  <c r="AP139" i="2"/>
  <c r="T27" i="2"/>
  <c r="T35" i="2"/>
  <c r="S2" i="2"/>
  <c r="V2" i="2" s="1"/>
  <c r="W2" i="2"/>
  <c r="S9" i="2"/>
  <c r="V9" i="2" s="1"/>
  <c r="W9" i="2"/>
  <c r="AO14" i="2"/>
  <c r="S17" i="2"/>
  <c r="V17" i="2" s="1"/>
  <c r="W17" i="2"/>
  <c r="AO22" i="2"/>
  <c r="S33" i="2"/>
  <c r="V33" i="2" s="1"/>
  <c r="W33" i="2"/>
  <c r="S41" i="2"/>
  <c r="V41" i="2" s="1"/>
  <c r="W41" i="2"/>
  <c r="Y41" i="2" s="1"/>
  <c r="AB41" i="2" s="1"/>
  <c r="S45" i="2"/>
  <c r="V45" i="2" s="1"/>
  <c r="W45" i="2"/>
  <c r="Y45" i="2" s="1"/>
  <c r="AB45" i="2" s="1"/>
  <c r="S49" i="2"/>
  <c r="V49" i="2" s="1"/>
  <c r="W49" i="2"/>
  <c r="S60" i="2"/>
  <c r="V60" i="2" s="1"/>
  <c r="W60" i="2"/>
  <c r="S110" i="2"/>
  <c r="V110" i="2" s="1"/>
  <c r="W110" i="2"/>
  <c r="Y110" i="2" s="1"/>
  <c r="AB110" i="2" s="1"/>
  <c r="AO111" i="2"/>
  <c r="S113" i="2"/>
  <c r="V113" i="2" s="1"/>
  <c r="W113" i="2"/>
  <c r="Y113" i="2" s="1"/>
  <c r="AB113" i="2" s="1"/>
  <c r="AO114" i="2"/>
  <c r="S117" i="2"/>
  <c r="V117" i="2" s="1"/>
  <c r="W117" i="2"/>
  <c r="AO118" i="2"/>
  <c r="S121" i="2"/>
  <c r="V121" i="2" s="1"/>
  <c r="W121" i="2"/>
  <c r="AO122" i="2"/>
  <c r="S125" i="2"/>
  <c r="V125" i="2" s="1"/>
  <c r="W125" i="2"/>
  <c r="AO126" i="2"/>
  <c r="S129" i="2"/>
  <c r="V129" i="2" s="1"/>
  <c r="W129" i="2"/>
  <c r="S133" i="2"/>
  <c r="V133" i="2" s="1"/>
  <c r="W133" i="2"/>
  <c r="S137" i="2"/>
  <c r="V137" i="2" s="1"/>
  <c r="W137" i="2"/>
  <c r="Y137" i="2" s="1"/>
  <c r="AB137" i="2" s="1"/>
  <c r="AO138" i="2"/>
  <c r="S141" i="2"/>
  <c r="V141" i="2" s="1"/>
  <c r="W141" i="2"/>
  <c r="Y141" i="2" s="1"/>
  <c r="AB141" i="2" s="1"/>
  <c r="AO142" i="2"/>
  <c r="AO144" i="2"/>
  <c r="AO145" i="2"/>
  <c r="W149" i="2"/>
  <c r="S149" i="2"/>
  <c r="V149" i="2" s="1"/>
  <c r="AP157" i="2"/>
  <c r="W164" i="2"/>
  <c r="Y164" i="2" s="1"/>
  <c r="AB164" i="2" s="1"/>
  <c r="S164" i="2"/>
  <c r="V164" i="2" s="1"/>
  <c r="AO167" i="2"/>
  <c r="AP167" i="2"/>
  <c r="AO171" i="2"/>
  <c r="AP171" i="2"/>
  <c r="AP174" i="2"/>
  <c r="AO174" i="2"/>
  <c r="AO180" i="2"/>
  <c r="AP180" i="2"/>
  <c r="AP182" i="2"/>
  <c r="AO182" i="2"/>
  <c r="AP188" i="2"/>
  <c r="AO188" i="2"/>
  <c r="AO191" i="2"/>
  <c r="AP191" i="2"/>
  <c r="AO266" i="2"/>
  <c r="AP266" i="2"/>
  <c r="AO275" i="2"/>
  <c r="AP275" i="2"/>
  <c r="AO3" i="2"/>
  <c r="S5" i="2"/>
  <c r="V5" i="2" s="1"/>
  <c r="W5" i="2"/>
  <c r="S13" i="2"/>
  <c r="V13" i="2" s="1"/>
  <c r="W13" i="2"/>
  <c r="Y13" i="2" s="1"/>
  <c r="AB13" i="2" s="1"/>
  <c r="S8" i="2"/>
  <c r="V8" i="2" s="1"/>
  <c r="S12" i="2"/>
  <c r="V12" i="2" s="1"/>
  <c r="S16" i="2"/>
  <c r="V16" i="2" s="1"/>
  <c r="AO25" i="2"/>
  <c r="AO29" i="2"/>
  <c r="S32" i="2"/>
  <c r="V32" i="2" s="1"/>
  <c r="W32" i="2"/>
  <c r="AO37" i="2"/>
  <c r="S40" i="2"/>
  <c r="V40" i="2" s="1"/>
  <c r="W40" i="2"/>
  <c r="Y40" i="2" s="1"/>
  <c r="AB40" i="2" s="1"/>
  <c r="S44" i="2"/>
  <c r="V44" i="2" s="1"/>
  <c r="W44" i="2"/>
  <c r="S48" i="2"/>
  <c r="V48" i="2" s="1"/>
  <c r="W48" i="2"/>
  <c r="Y48" i="2" s="1"/>
  <c r="AB48" i="2" s="1"/>
  <c r="AO53" i="2"/>
  <c r="S56" i="2"/>
  <c r="V56" i="2" s="1"/>
  <c r="W56" i="2"/>
  <c r="S59" i="2"/>
  <c r="V59" i="2" s="1"/>
  <c r="W59" i="2"/>
  <c r="Y59" i="2" s="1"/>
  <c r="AB59" i="2" s="1"/>
  <c r="S63" i="2"/>
  <c r="V63" i="2" s="1"/>
  <c r="W63" i="2"/>
  <c r="Y63" i="2" s="1"/>
  <c r="AB63" i="2" s="1"/>
  <c r="S67" i="2"/>
  <c r="V67" i="2" s="1"/>
  <c r="W67" i="2"/>
  <c r="Y67" i="2" s="1"/>
  <c r="AB67" i="2" s="1"/>
  <c r="AO71" i="2"/>
  <c r="AO75" i="2"/>
  <c r="S78" i="2"/>
  <c r="V78" i="2" s="1"/>
  <c r="W78" i="2"/>
  <c r="AO79" i="2"/>
  <c r="S82" i="2"/>
  <c r="V82" i="2" s="1"/>
  <c r="W82" i="2"/>
  <c r="AO83" i="2"/>
  <c r="AO87" i="2"/>
  <c r="S90" i="2"/>
  <c r="V90" i="2" s="1"/>
  <c r="W90" i="2"/>
  <c r="Y90" i="2" s="1"/>
  <c r="AB90" i="2" s="1"/>
  <c r="AO91" i="2"/>
  <c r="S94" i="2"/>
  <c r="V94" i="2" s="1"/>
  <c r="W94" i="2"/>
  <c r="Y94" i="2" s="1"/>
  <c r="AB94" i="2" s="1"/>
  <c r="AO95" i="2"/>
  <c r="AO97" i="2"/>
  <c r="AO101" i="2"/>
  <c r="AO103" i="2"/>
  <c r="AO107" i="2"/>
  <c r="S109" i="2"/>
  <c r="V109" i="2" s="1"/>
  <c r="S116" i="2"/>
  <c r="V116" i="2" s="1"/>
  <c r="S120" i="2"/>
  <c r="V120" i="2" s="1"/>
  <c r="S124" i="2"/>
  <c r="V124" i="2" s="1"/>
  <c r="S128" i="2"/>
  <c r="V128" i="2" s="1"/>
  <c r="S132" i="2"/>
  <c r="V132" i="2" s="1"/>
  <c r="W132" i="2"/>
  <c r="Y132" i="2" s="1"/>
  <c r="AB132" i="2" s="1"/>
  <c r="S136" i="2"/>
  <c r="V136" i="2" s="1"/>
  <c r="S140" i="2"/>
  <c r="V140" i="2" s="1"/>
  <c r="W146" i="2"/>
  <c r="Y146" i="2" s="1"/>
  <c r="AB146" i="2" s="1"/>
  <c r="S147" i="2"/>
  <c r="V147" i="2" s="1"/>
  <c r="S150" i="2"/>
  <c r="V150" i="2" s="1"/>
  <c r="S154" i="2"/>
  <c r="V154" i="2" s="1"/>
  <c r="S158" i="2"/>
  <c r="V158" i="2" s="1"/>
  <c r="AO163" i="2"/>
  <c r="AO176" i="2"/>
  <c r="AP176" i="2"/>
  <c r="AP186" i="2"/>
  <c r="AO186" i="2"/>
  <c r="AO187" i="2"/>
  <c r="AP187" i="2"/>
  <c r="AO199" i="2"/>
  <c r="AP199" i="2"/>
  <c r="AP200" i="2"/>
  <c r="AO200" i="2"/>
  <c r="AO209" i="2"/>
  <c r="AP209" i="2"/>
  <c r="AO213" i="2"/>
  <c r="AP213" i="2"/>
  <c r="AO226" i="2"/>
  <c r="AP226" i="2"/>
  <c r="AP228" i="2"/>
  <c r="AO228" i="2"/>
  <c r="AO250" i="2"/>
  <c r="AP250" i="2"/>
  <c r="AO254" i="2"/>
  <c r="AP254" i="2"/>
  <c r="AP276" i="2"/>
  <c r="AO276" i="2"/>
  <c r="AO279" i="2"/>
  <c r="AP279" i="2"/>
  <c r="S31" i="2"/>
  <c r="V31" i="2" s="1"/>
  <c r="S39" i="2"/>
  <c r="V39" i="2" s="1"/>
  <c r="S47" i="2"/>
  <c r="V47" i="2" s="1"/>
  <c r="S51" i="2"/>
  <c r="V51" i="2" s="1"/>
  <c r="S55" i="2"/>
  <c r="V55" i="2" s="1"/>
  <c r="S58" i="2"/>
  <c r="V58" i="2" s="1"/>
  <c r="S62" i="2"/>
  <c r="V62" i="2" s="1"/>
  <c r="S66" i="2"/>
  <c r="V66" i="2" s="1"/>
  <c r="S70" i="2"/>
  <c r="V70" i="2" s="1"/>
  <c r="S77" i="2"/>
  <c r="V77" i="2" s="1"/>
  <c r="S85" i="2"/>
  <c r="V85" i="2" s="1"/>
  <c r="S89" i="2"/>
  <c r="V89" i="2" s="1"/>
  <c r="S99" i="2"/>
  <c r="V99" i="2" s="1"/>
  <c r="S105" i="2"/>
  <c r="V105" i="2" s="1"/>
  <c r="Y162" i="2"/>
  <c r="AB162" i="2" s="1"/>
  <c r="Y163" i="2"/>
  <c r="AB163" i="2" s="1"/>
  <c r="T164" i="2"/>
  <c r="AO183" i="2"/>
  <c r="AP183" i="2"/>
  <c r="AO237" i="2"/>
  <c r="AP237" i="2"/>
  <c r="AO241" i="2"/>
  <c r="AP241" i="2"/>
  <c r="AO244" i="2"/>
  <c r="AP244" i="2"/>
  <c r="AP259" i="2"/>
  <c r="AO259" i="2"/>
  <c r="AO264" i="2"/>
  <c r="AP264" i="2"/>
  <c r="AO283" i="2"/>
  <c r="AP283" i="2"/>
  <c r="AO287" i="2"/>
  <c r="AP287" i="2"/>
  <c r="Y151" i="2"/>
  <c r="AB151" i="2" s="1"/>
  <c r="AO151" i="2"/>
  <c r="Y155" i="2"/>
  <c r="AB155" i="2" s="1"/>
  <c r="AO155" i="2"/>
  <c r="AO159" i="2"/>
  <c r="T161" i="2"/>
  <c r="W161" i="2"/>
  <c r="S161" i="2"/>
  <c r="V161" i="2" s="1"/>
  <c r="T165" i="2"/>
  <c r="W165" i="2"/>
  <c r="Y165" i="2" s="1"/>
  <c r="AB165" i="2" s="1"/>
  <c r="S165" i="2"/>
  <c r="V165" i="2" s="1"/>
  <c r="AP166" i="2"/>
  <c r="AO166" i="2"/>
  <c r="AO195" i="2"/>
  <c r="AP195" i="2"/>
  <c r="AP198" i="2"/>
  <c r="AO198" i="2"/>
  <c r="AO206" i="2"/>
  <c r="AP206" i="2"/>
  <c r="AP208" i="2"/>
  <c r="AO208" i="2"/>
  <c r="AO221" i="2"/>
  <c r="AP221" i="2"/>
  <c r="AO229" i="2"/>
  <c r="AP229" i="2"/>
  <c r="AO233" i="2"/>
  <c r="AP233" i="2"/>
  <c r="AP247" i="2"/>
  <c r="AO247" i="2"/>
  <c r="AO248" i="2"/>
  <c r="AP248" i="2"/>
  <c r="AO262" i="2"/>
  <c r="AP262" i="2"/>
  <c r="AP288" i="2"/>
  <c r="AO288" i="2"/>
  <c r="S169" i="2"/>
  <c r="V169" i="2" s="1"/>
  <c r="W169" i="2"/>
  <c r="Y169" i="2" s="1"/>
  <c r="AB169" i="2" s="1"/>
  <c r="AO170" i="2"/>
  <c r="S173" i="2"/>
  <c r="V173" i="2" s="1"/>
  <c r="W173" i="2"/>
  <c r="Y173" i="2" s="1"/>
  <c r="AB173" i="2" s="1"/>
  <c r="AO175" i="2"/>
  <c r="S178" i="2"/>
  <c r="V178" i="2" s="1"/>
  <c r="W178" i="2"/>
  <c r="AO179" i="2"/>
  <c r="S181" i="2"/>
  <c r="V181" i="2" s="1"/>
  <c r="W181" i="2"/>
  <c r="Y181" i="2" s="1"/>
  <c r="AB181" i="2" s="1"/>
  <c r="S185" i="2"/>
  <c r="V185" i="2" s="1"/>
  <c r="W185" i="2"/>
  <c r="Y185" i="2" s="1"/>
  <c r="AB185" i="2" s="1"/>
  <c r="AO190" i="2"/>
  <c r="S193" i="2"/>
  <c r="V193" i="2" s="1"/>
  <c r="W193" i="2"/>
  <c r="AO194" i="2"/>
  <c r="S197" i="2"/>
  <c r="V197" i="2" s="1"/>
  <c r="W197" i="2"/>
  <c r="Y197" i="2" s="1"/>
  <c r="AB197" i="2" s="1"/>
  <c r="AO202" i="2"/>
  <c r="S204" i="2"/>
  <c r="V204" i="2" s="1"/>
  <c r="W204" i="2"/>
  <c r="Y204" i="2" s="1"/>
  <c r="AB204" i="2" s="1"/>
  <c r="AO205" i="2"/>
  <c r="S207" i="2"/>
  <c r="V207" i="2" s="1"/>
  <c r="W207" i="2"/>
  <c r="Y207" i="2" s="1"/>
  <c r="AB207" i="2" s="1"/>
  <c r="S211" i="2"/>
  <c r="V211" i="2" s="1"/>
  <c r="W211" i="2"/>
  <c r="Y211" i="2" s="1"/>
  <c r="AB211" i="2" s="1"/>
  <c r="AO212" i="2"/>
  <c r="S215" i="2"/>
  <c r="V215" i="2" s="1"/>
  <c r="W215" i="2"/>
  <c r="Y215" i="2" s="1"/>
  <c r="AB215" i="2" s="1"/>
  <c r="AO216" i="2"/>
  <c r="S218" i="2"/>
  <c r="V218" i="2" s="1"/>
  <c r="W218" i="2"/>
  <c r="Y218" i="2" s="1"/>
  <c r="AB218" i="2" s="1"/>
  <c r="AO219" i="2"/>
  <c r="S223" i="2"/>
  <c r="V223" i="2" s="1"/>
  <c r="W223" i="2"/>
  <c r="AO224" i="2"/>
  <c r="AO225" i="2"/>
  <c r="S227" i="2"/>
  <c r="V227" i="2" s="1"/>
  <c r="W227" i="2"/>
  <c r="S231" i="2"/>
  <c r="V231" i="2" s="1"/>
  <c r="W231" i="2"/>
  <c r="Y231" i="2" s="1"/>
  <c r="AB231" i="2" s="1"/>
  <c r="AO232" i="2"/>
  <c r="S235" i="2"/>
  <c r="V235" i="2" s="1"/>
  <c r="W235" i="2"/>
  <c r="Y235" i="2" s="1"/>
  <c r="AB235" i="2" s="1"/>
  <c r="AO236" i="2"/>
  <c r="AO238" i="2"/>
  <c r="AO240" i="2"/>
  <c r="AO243" i="2"/>
  <c r="S246" i="2"/>
  <c r="V246" i="2" s="1"/>
  <c r="W246" i="2"/>
  <c r="Y246" i="2" s="1"/>
  <c r="AB246" i="2" s="1"/>
  <c r="AO249" i="2"/>
  <c r="S252" i="2"/>
  <c r="V252" i="2" s="1"/>
  <c r="W252" i="2"/>
  <c r="Y252" i="2" s="1"/>
  <c r="AB252" i="2" s="1"/>
  <c r="AO253" i="2"/>
  <c r="S256" i="2"/>
  <c r="V256" i="2" s="1"/>
  <c r="W256" i="2"/>
  <c r="Y256" i="2" s="1"/>
  <c r="AB256" i="2" s="1"/>
  <c r="AO257" i="2"/>
  <c r="S260" i="2"/>
  <c r="V260" i="2" s="1"/>
  <c r="W260" i="2"/>
  <c r="AO261" i="2"/>
  <c r="AO265" i="2"/>
  <c r="S268" i="2"/>
  <c r="V268" i="2" s="1"/>
  <c r="W268" i="2"/>
  <c r="V269" i="2"/>
  <c r="S272" i="2"/>
  <c r="V272" i="2" s="1"/>
  <c r="S273" i="2"/>
  <c r="V273" i="2" s="1"/>
  <c r="Y276" i="2"/>
  <c r="AB276" i="2" s="1"/>
  <c r="AO277" i="2"/>
  <c r="W278" i="2"/>
  <c r="S278" i="2"/>
  <c r="V278" i="2" s="1"/>
  <c r="S280" i="2"/>
  <c r="V280" i="2" s="1"/>
  <c r="S281" i="2"/>
  <c r="V281" i="2" s="1"/>
  <c r="Y283" i="2"/>
  <c r="AB283" i="2" s="1"/>
  <c r="AP285" i="2"/>
  <c r="Y287" i="2"/>
  <c r="AB287" i="2" s="1"/>
  <c r="T288" i="2"/>
  <c r="Y298" i="2"/>
  <c r="AB298" i="2" s="1"/>
  <c r="AO299" i="2"/>
  <c r="AP302" i="2"/>
  <c r="AO302" i="2"/>
  <c r="T304" i="2"/>
  <c r="W304" i="2"/>
  <c r="S304" i="2"/>
  <c r="V304" i="2" s="1"/>
  <c r="Y306" i="2"/>
  <c r="AB306" i="2" s="1"/>
  <c r="AO307" i="2"/>
  <c r="AP311" i="2"/>
  <c r="AO311" i="2"/>
  <c r="T313" i="2"/>
  <c r="Y319" i="2"/>
  <c r="AB319" i="2" s="1"/>
  <c r="AO344" i="2"/>
  <c r="AP344" i="2"/>
  <c r="AP345" i="2"/>
  <c r="AO345" i="2"/>
  <c r="AP365" i="2"/>
  <c r="AO365" i="2"/>
  <c r="AP380" i="2"/>
  <c r="AO380" i="2"/>
  <c r="S168" i="2"/>
  <c r="V168" i="2" s="1"/>
  <c r="S172" i="2"/>
  <c r="V172" i="2" s="1"/>
  <c r="S177" i="2"/>
  <c r="V177" i="2" s="1"/>
  <c r="S184" i="2"/>
  <c r="V184" i="2" s="1"/>
  <c r="W184" i="2"/>
  <c r="Y184" i="2" s="1"/>
  <c r="AB184" i="2" s="1"/>
  <c r="S192" i="2"/>
  <c r="V192" i="2" s="1"/>
  <c r="S196" i="2"/>
  <c r="V196" i="2" s="1"/>
  <c r="S203" i="2"/>
  <c r="V203" i="2" s="1"/>
  <c r="S210" i="2"/>
  <c r="V210" i="2" s="1"/>
  <c r="S214" i="2"/>
  <c r="V214" i="2" s="1"/>
  <c r="S217" i="2"/>
  <c r="V217" i="2" s="1"/>
  <c r="S222" i="2"/>
  <c r="V222" i="2" s="1"/>
  <c r="S230" i="2"/>
  <c r="V230" i="2" s="1"/>
  <c r="S234" i="2"/>
  <c r="V234" i="2" s="1"/>
  <c r="S242" i="2"/>
  <c r="V242" i="2" s="1"/>
  <c r="S245" i="2"/>
  <c r="V245" i="2" s="1"/>
  <c r="S251" i="2"/>
  <c r="V251" i="2" s="1"/>
  <c r="S255" i="2"/>
  <c r="V255" i="2" s="1"/>
  <c r="S263" i="2"/>
  <c r="V263" i="2" s="1"/>
  <c r="S267" i="2"/>
  <c r="V267" i="2" s="1"/>
  <c r="Y279" i="2"/>
  <c r="AB279" i="2" s="1"/>
  <c r="AP291" i="2"/>
  <c r="AO291" i="2"/>
  <c r="Y293" i="2"/>
  <c r="AB293" i="2" s="1"/>
  <c r="AP297" i="2"/>
  <c r="AO297" i="2"/>
  <c r="AO303" i="2"/>
  <c r="T307" i="2"/>
  <c r="Y313" i="2"/>
  <c r="AB313" i="2" s="1"/>
  <c r="AP318" i="2"/>
  <c r="AO318" i="2"/>
  <c r="AP320" i="2"/>
  <c r="AO320" i="2"/>
  <c r="AP322" i="2"/>
  <c r="AO322" i="2"/>
  <c r="AP328" i="2"/>
  <c r="AO328" i="2"/>
  <c r="AO335" i="2"/>
  <c r="AP335" i="2"/>
  <c r="AP341" i="2"/>
  <c r="AO341" i="2"/>
  <c r="AP352" i="2"/>
  <c r="AO352" i="2"/>
  <c r="AP356" i="2"/>
  <c r="AO356" i="2"/>
  <c r="AP398" i="2"/>
  <c r="AO398" i="2"/>
  <c r="AO270" i="2"/>
  <c r="Y274" i="2"/>
  <c r="AB274" i="2" s="1"/>
  <c r="AO274" i="2"/>
  <c r="Y277" i="2"/>
  <c r="AB277" i="2" s="1"/>
  <c r="Y288" i="2"/>
  <c r="AB288" i="2" s="1"/>
  <c r="S289" i="2"/>
  <c r="V289" i="2" s="1"/>
  <c r="AP290" i="2"/>
  <c r="AO290" i="2"/>
  <c r="AP292" i="2"/>
  <c r="AO292" i="2"/>
  <c r="T294" i="2"/>
  <c r="W294" i="2"/>
  <c r="Y294" i="2" s="1"/>
  <c r="AB294" i="2" s="1"/>
  <c r="S294" i="2"/>
  <c r="V294" i="2" s="1"/>
  <c r="AP295" i="2"/>
  <c r="AO295" i="2"/>
  <c r="Y299" i="2"/>
  <c r="AB299" i="2" s="1"/>
  <c r="AP301" i="2"/>
  <c r="AO301" i="2"/>
  <c r="T303" i="2"/>
  <c r="Y307" i="2"/>
  <c r="AB307" i="2" s="1"/>
  <c r="AP310" i="2"/>
  <c r="AO310" i="2"/>
  <c r="AP312" i="2"/>
  <c r="AO312" i="2"/>
  <c r="T314" i="2"/>
  <c r="W314" i="2"/>
  <c r="S314" i="2"/>
  <c r="V314" i="2" s="1"/>
  <c r="AP326" i="2"/>
  <c r="AO326" i="2"/>
  <c r="AP330" i="2"/>
  <c r="AO330" i="2"/>
  <c r="AO331" i="2"/>
  <c r="AP331" i="2"/>
  <c r="AP350" i="2"/>
  <c r="AO350" i="2"/>
  <c r="AP368" i="2"/>
  <c r="AO368" i="2"/>
  <c r="AP371" i="2"/>
  <c r="AO371" i="2"/>
  <c r="AP373" i="2"/>
  <c r="AO373" i="2"/>
  <c r="AO375" i="2"/>
  <c r="AP375" i="2"/>
  <c r="AP377" i="2"/>
  <c r="AO377" i="2"/>
  <c r="AP271" i="2"/>
  <c r="Y272" i="2"/>
  <c r="AB272" i="2" s="1"/>
  <c r="Y280" i="2"/>
  <c r="AB280" i="2" s="1"/>
  <c r="W282" i="2"/>
  <c r="S282" i="2"/>
  <c r="V282" i="2" s="1"/>
  <c r="W286" i="2"/>
  <c r="S286" i="2"/>
  <c r="V286" i="2" s="1"/>
  <c r="AO293" i="2"/>
  <c r="AP296" i="2"/>
  <c r="AO296" i="2"/>
  <c r="AP298" i="2"/>
  <c r="AO298" i="2"/>
  <c r="AP300" i="2"/>
  <c r="AO300" i="2"/>
  <c r="Y303" i="2"/>
  <c r="AB303" i="2" s="1"/>
  <c r="AP306" i="2"/>
  <c r="AO306" i="2"/>
  <c r="T308" i="2"/>
  <c r="W308" i="2"/>
  <c r="S308" i="2"/>
  <c r="V308" i="2" s="1"/>
  <c r="Y312" i="2"/>
  <c r="AB312" i="2" s="1"/>
  <c r="AO313" i="2"/>
  <c r="AP338" i="2"/>
  <c r="AO338" i="2"/>
  <c r="AP348" i="2"/>
  <c r="AO348" i="2"/>
  <c r="AP357" i="2"/>
  <c r="AO357" i="2"/>
  <c r="Y357" i="2"/>
  <c r="AB357" i="2" s="1"/>
  <c r="AP361" i="2"/>
  <c r="AO361" i="2"/>
  <c r="AP383" i="2"/>
  <c r="AO383" i="2"/>
  <c r="AP404" i="2"/>
  <c r="AO404" i="2"/>
  <c r="S305" i="2"/>
  <c r="V305" i="2" s="1"/>
  <c r="W305" i="2"/>
  <c r="Y305" i="2" s="1"/>
  <c r="AB305" i="2" s="1"/>
  <c r="S309" i="2"/>
  <c r="V309" i="2" s="1"/>
  <c r="W309" i="2"/>
  <c r="S315" i="2"/>
  <c r="V315" i="2" s="1"/>
  <c r="W315" i="2"/>
  <c r="Y315" i="2" s="1"/>
  <c r="AB315" i="2" s="1"/>
  <c r="S317" i="2"/>
  <c r="V317" i="2" s="1"/>
  <c r="W317" i="2"/>
  <c r="S325" i="2"/>
  <c r="V325" i="2" s="1"/>
  <c r="W325" i="2"/>
  <c r="S333" i="2"/>
  <c r="V333" i="2" s="1"/>
  <c r="W333" i="2"/>
  <c r="S337" i="2"/>
  <c r="V337" i="2" s="1"/>
  <c r="W337" i="2"/>
  <c r="S347" i="2"/>
  <c r="V347" i="2" s="1"/>
  <c r="W347" i="2"/>
  <c r="S355" i="2"/>
  <c r="V355" i="2" s="1"/>
  <c r="W355" i="2"/>
  <c r="S360" i="2"/>
  <c r="V360" i="2" s="1"/>
  <c r="W360" i="2"/>
  <c r="S364" i="2"/>
  <c r="V364" i="2" s="1"/>
  <c r="W364" i="2"/>
  <c r="S367" i="2"/>
  <c r="V367" i="2" s="1"/>
  <c r="W367" i="2"/>
  <c r="S370" i="2"/>
  <c r="V370" i="2" s="1"/>
  <c r="W370" i="2"/>
  <c r="S374" i="2"/>
  <c r="V374" i="2" s="1"/>
  <c r="W374" i="2"/>
  <c r="S379" i="2"/>
  <c r="V379" i="2" s="1"/>
  <c r="W379" i="2"/>
  <c r="AO385" i="2"/>
  <c r="W386" i="2"/>
  <c r="S386" i="2"/>
  <c r="V386" i="2" s="1"/>
  <c r="W387" i="2"/>
  <c r="S388" i="2"/>
  <c r="V388" i="2" s="1"/>
  <c r="AO391" i="2"/>
  <c r="Y393" i="2"/>
  <c r="AB393" i="2" s="1"/>
  <c r="AO397" i="2"/>
  <c r="AO403" i="2"/>
  <c r="AO405" i="2"/>
  <c r="T408" i="2"/>
  <c r="W408" i="2"/>
  <c r="Y408" i="2" s="1"/>
  <c r="AB408" i="2" s="1"/>
  <c r="S408" i="2"/>
  <c r="V408" i="2" s="1"/>
  <c r="AP409" i="2"/>
  <c r="AO409" i="2"/>
  <c r="T411" i="2"/>
  <c r="W411" i="2"/>
  <c r="S411" i="2"/>
  <c r="V411" i="2" s="1"/>
  <c r="AP420" i="2"/>
  <c r="AO420" i="2"/>
  <c r="AP426" i="2"/>
  <c r="AO426" i="2"/>
  <c r="AP445" i="2"/>
  <c r="AO445" i="2"/>
  <c r="AP481" i="2"/>
  <c r="AO481" i="2"/>
  <c r="AO321" i="2"/>
  <c r="S324" i="2"/>
  <c r="V324" i="2" s="1"/>
  <c r="W324" i="2"/>
  <c r="Y324" i="2" s="1"/>
  <c r="AB324" i="2" s="1"/>
  <c r="AO329" i="2"/>
  <c r="S332" i="2"/>
  <c r="V332" i="2" s="1"/>
  <c r="W332" i="2"/>
  <c r="S336" i="2"/>
  <c r="V336" i="2" s="1"/>
  <c r="W336" i="2"/>
  <c r="S340" i="2"/>
  <c r="V340" i="2" s="1"/>
  <c r="W340" i="2"/>
  <c r="AO342" i="2"/>
  <c r="AO351" i="2"/>
  <c r="S354" i="2"/>
  <c r="V354" i="2" s="1"/>
  <c r="W354" i="2"/>
  <c r="S359" i="2"/>
  <c r="V359" i="2" s="1"/>
  <c r="W359" i="2"/>
  <c r="S363" i="2"/>
  <c r="V363" i="2" s="1"/>
  <c r="W363" i="2"/>
  <c r="S369" i="2"/>
  <c r="V369" i="2" s="1"/>
  <c r="W369" i="2"/>
  <c r="AO372" i="2"/>
  <c r="S376" i="2"/>
  <c r="V376" i="2" s="1"/>
  <c r="W376" i="2"/>
  <c r="Y376" i="2" s="1"/>
  <c r="AB376" i="2" s="1"/>
  <c r="S382" i="2"/>
  <c r="V382" i="2" s="1"/>
  <c r="W382" i="2"/>
  <c r="Y382" i="2" s="1"/>
  <c r="AB382" i="2" s="1"/>
  <c r="AO384" i="2"/>
  <c r="S387" i="2"/>
  <c r="V387" i="2" s="1"/>
  <c r="W389" i="2"/>
  <c r="S389" i="2"/>
  <c r="V389" i="2" s="1"/>
  <c r="Y391" i="2"/>
  <c r="AB391" i="2" s="1"/>
  <c r="Y397" i="2"/>
  <c r="AB397" i="2" s="1"/>
  <c r="AP400" i="2"/>
  <c r="AO400" i="2"/>
  <c r="W401" i="2"/>
  <c r="S401" i="2"/>
  <c r="V401" i="2" s="1"/>
  <c r="Y403" i="2"/>
  <c r="AB403" i="2" s="1"/>
  <c r="AP410" i="2"/>
  <c r="AO410" i="2"/>
  <c r="AP413" i="2"/>
  <c r="AO413" i="2"/>
  <c r="T415" i="2"/>
  <c r="W415" i="2"/>
  <c r="Y415" i="2" s="1"/>
  <c r="AB415" i="2" s="1"/>
  <c r="S415" i="2"/>
  <c r="V415" i="2" s="1"/>
  <c r="AP431" i="2"/>
  <c r="AO431" i="2"/>
  <c r="AP439" i="2"/>
  <c r="AO439" i="2"/>
  <c r="AP442" i="2"/>
  <c r="AO442" i="2"/>
  <c r="AP462" i="2"/>
  <c r="AO462" i="2"/>
  <c r="AP466" i="2"/>
  <c r="AO466" i="2"/>
  <c r="AP474" i="2"/>
  <c r="AO474" i="2"/>
  <c r="AP476" i="2"/>
  <c r="AO476" i="2"/>
  <c r="AP498" i="2"/>
  <c r="AO498" i="2"/>
  <c r="S323" i="2"/>
  <c r="V323" i="2" s="1"/>
  <c r="S327" i="2"/>
  <c r="V327" i="2" s="1"/>
  <c r="S339" i="2"/>
  <c r="V339" i="2" s="1"/>
  <c r="S346" i="2"/>
  <c r="V346" i="2" s="1"/>
  <c r="S349" i="2"/>
  <c r="V349" i="2" s="1"/>
  <c r="S353" i="2"/>
  <c r="V353" i="2" s="1"/>
  <c r="W353" i="2"/>
  <c r="S358" i="2"/>
  <c r="V358" i="2" s="1"/>
  <c r="S362" i="2"/>
  <c r="V362" i="2" s="1"/>
  <c r="S366" i="2"/>
  <c r="V366" i="2" s="1"/>
  <c r="S378" i="2"/>
  <c r="V378" i="2" s="1"/>
  <c r="S381" i="2"/>
  <c r="V381" i="2" s="1"/>
  <c r="S394" i="2"/>
  <c r="V394" i="2" s="1"/>
  <c r="W395" i="2"/>
  <c r="Y395" i="2" s="1"/>
  <c r="AB395" i="2" s="1"/>
  <c r="S395" i="2"/>
  <c r="V395" i="2" s="1"/>
  <c r="Y398" i="2"/>
  <c r="AB398" i="2" s="1"/>
  <c r="Y404" i="2"/>
  <c r="AB404" i="2" s="1"/>
  <c r="AO412" i="2"/>
  <c r="AP417" i="2"/>
  <c r="AO417" i="2"/>
  <c r="AP421" i="2"/>
  <c r="AO421" i="2"/>
  <c r="Y422" i="2"/>
  <c r="AB422" i="2" s="1"/>
  <c r="AP428" i="2"/>
  <c r="AO428" i="2"/>
  <c r="AP458" i="2"/>
  <c r="AO458" i="2"/>
  <c r="Y388" i="2"/>
  <c r="AB388" i="2" s="1"/>
  <c r="W392" i="2"/>
  <c r="Y392" i="2" s="1"/>
  <c r="AB392" i="2" s="1"/>
  <c r="S392" i="2"/>
  <c r="V392" i="2" s="1"/>
  <c r="AP393" i="2"/>
  <c r="AO393" i="2"/>
  <c r="T396" i="2"/>
  <c r="W396" i="2"/>
  <c r="S396" i="2"/>
  <c r="V396" i="2" s="1"/>
  <c r="T402" i="2"/>
  <c r="W402" i="2"/>
  <c r="Y402" i="2" s="1"/>
  <c r="AB402" i="2" s="1"/>
  <c r="S402" i="2"/>
  <c r="V402" i="2" s="1"/>
  <c r="AP406" i="2"/>
  <c r="AO406" i="2"/>
  <c r="AP424" i="2"/>
  <c r="AO424" i="2"/>
  <c r="AP435" i="2"/>
  <c r="AO435" i="2"/>
  <c r="AP451" i="2"/>
  <c r="AO451" i="2"/>
  <c r="AP464" i="2"/>
  <c r="AO464" i="2"/>
  <c r="AP470" i="2"/>
  <c r="AO470" i="2"/>
  <c r="AP477" i="2"/>
  <c r="AO477" i="2"/>
  <c r="AP480" i="2"/>
  <c r="AO480" i="2"/>
  <c r="AP490" i="2"/>
  <c r="AO490" i="2"/>
  <c r="AP500" i="2"/>
  <c r="AO500" i="2"/>
  <c r="AP503" i="2"/>
  <c r="AO503" i="2"/>
  <c r="AP483" i="2"/>
  <c r="AP488" i="2"/>
  <c r="AP508" i="2"/>
  <c r="AO508" i="2"/>
  <c r="AP511" i="2"/>
  <c r="AO511" i="2"/>
  <c r="AP518" i="2"/>
  <c r="AO518" i="2"/>
  <c r="AP520" i="2"/>
  <c r="AO520" i="2"/>
  <c r="AP532" i="2"/>
  <c r="AO532" i="2"/>
  <c r="AP549" i="2"/>
  <c r="AO549" i="2"/>
  <c r="AO557" i="2"/>
  <c r="AP557" i="2"/>
  <c r="AP560" i="2"/>
  <c r="AO560" i="2"/>
  <c r="AO563" i="2"/>
  <c r="AP563" i="2"/>
  <c r="AP564" i="2"/>
  <c r="AO564" i="2"/>
  <c r="AP589" i="2"/>
  <c r="AO589" i="2"/>
  <c r="AO590" i="2"/>
  <c r="AP590" i="2"/>
  <c r="AO485" i="2"/>
  <c r="W486" i="2"/>
  <c r="Y486" i="2" s="1"/>
  <c r="AB486" i="2" s="1"/>
  <c r="W487" i="2"/>
  <c r="S487" i="2"/>
  <c r="V487" i="2" s="1"/>
  <c r="AO496" i="2"/>
  <c r="T505" i="2"/>
  <c r="W505" i="2"/>
  <c r="S505" i="2"/>
  <c r="V505" i="2" s="1"/>
  <c r="AP507" i="2"/>
  <c r="AO507" i="2"/>
  <c r="Y512" i="2"/>
  <c r="AB512" i="2" s="1"/>
  <c r="Y514" i="2"/>
  <c r="AB514" i="2" s="1"/>
  <c r="AP519" i="2"/>
  <c r="AO519" i="2"/>
  <c r="AO530" i="2"/>
  <c r="AP530" i="2"/>
  <c r="AP537" i="2"/>
  <c r="AO537" i="2"/>
  <c r="AP541" i="2"/>
  <c r="AO541" i="2"/>
  <c r="AP542" i="2"/>
  <c r="AO542" i="2"/>
  <c r="Y550" i="2"/>
  <c r="AB550" i="2" s="1"/>
  <c r="AP558" i="2"/>
  <c r="AO558" i="2"/>
  <c r="AP567" i="2"/>
  <c r="AO567" i="2"/>
  <c r="AP582" i="2"/>
  <c r="AO582" i="2"/>
  <c r="AP602" i="2"/>
  <c r="AO602" i="2"/>
  <c r="S419" i="2"/>
  <c r="V419" i="2" s="1"/>
  <c r="W419" i="2"/>
  <c r="Y419" i="2" s="1"/>
  <c r="AB419" i="2" s="1"/>
  <c r="AO423" i="2"/>
  <c r="AO427" i="2"/>
  <c r="S429" i="2"/>
  <c r="V429" i="2" s="1"/>
  <c r="W429" i="2"/>
  <c r="Y429" i="2" s="1"/>
  <c r="AB429" i="2" s="1"/>
  <c r="AO430" i="2"/>
  <c r="S433" i="2"/>
  <c r="V433" i="2" s="1"/>
  <c r="W433" i="2"/>
  <c r="AO434" i="2"/>
  <c r="S437" i="2"/>
  <c r="V437" i="2" s="1"/>
  <c r="W437" i="2"/>
  <c r="Y437" i="2" s="1"/>
  <c r="AB437" i="2" s="1"/>
  <c r="AO438" i="2"/>
  <c r="AO441" i="2"/>
  <c r="S443" i="2"/>
  <c r="V443" i="2" s="1"/>
  <c r="W443" i="2"/>
  <c r="Y443" i="2" s="1"/>
  <c r="AB443" i="2" s="1"/>
  <c r="AO444" i="2"/>
  <c r="AO446" i="2"/>
  <c r="AO448" i="2"/>
  <c r="S450" i="2"/>
  <c r="V450" i="2" s="1"/>
  <c r="W450" i="2"/>
  <c r="AO452" i="2"/>
  <c r="AO454" i="2"/>
  <c r="S456" i="2"/>
  <c r="V456" i="2" s="1"/>
  <c r="W456" i="2"/>
  <c r="AO457" i="2"/>
  <c r="S460" i="2"/>
  <c r="V460" i="2" s="1"/>
  <c r="W460" i="2"/>
  <c r="Y460" i="2" s="1"/>
  <c r="AB460" i="2" s="1"/>
  <c r="AO461" i="2"/>
  <c r="AO465" i="2"/>
  <c r="S468" i="2"/>
  <c r="V468" i="2" s="1"/>
  <c r="W468" i="2"/>
  <c r="Y468" i="2" s="1"/>
  <c r="AB468" i="2" s="1"/>
  <c r="AO469" i="2"/>
  <c r="S472" i="2"/>
  <c r="V472" i="2" s="1"/>
  <c r="W472" i="2"/>
  <c r="AO473" i="2"/>
  <c r="S475" i="2"/>
  <c r="V475" i="2" s="1"/>
  <c r="W475" i="2"/>
  <c r="Y475" i="2" s="1"/>
  <c r="AB475" i="2" s="1"/>
  <c r="S479" i="2"/>
  <c r="V479" i="2" s="1"/>
  <c r="W479" i="2"/>
  <c r="Y479" i="2" s="1"/>
  <c r="AB479" i="2" s="1"/>
  <c r="S486" i="2"/>
  <c r="V486" i="2" s="1"/>
  <c r="AO489" i="2"/>
  <c r="W490" i="2"/>
  <c r="Y490" i="2" s="1"/>
  <c r="AB490" i="2" s="1"/>
  <c r="W491" i="2"/>
  <c r="Y491" i="2" s="1"/>
  <c r="AB491" i="2" s="1"/>
  <c r="W494" i="2"/>
  <c r="S494" i="2"/>
  <c r="V494" i="2" s="1"/>
  <c r="W495" i="2"/>
  <c r="S497" i="2"/>
  <c r="V497" i="2" s="1"/>
  <c r="W502" i="2"/>
  <c r="S502" i="2"/>
  <c r="V502" i="2" s="1"/>
  <c r="AO504" i="2"/>
  <c r="AP512" i="2"/>
  <c r="AO512" i="2"/>
  <c r="AP514" i="2"/>
  <c r="AO514" i="2"/>
  <c r="AP517" i="2"/>
  <c r="AO517" i="2"/>
  <c r="Y540" i="2"/>
  <c r="AB540" i="2" s="1"/>
  <c r="AP543" i="2"/>
  <c r="AO543" i="2"/>
  <c r="AP546" i="2"/>
  <c r="AO546" i="2"/>
  <c r="AP550" i="2"/>
  <c r="AO550" i="2"/>
  <c r="AP553" i="2"/>
  <c r="AO553" i="2"/>
  <c r="AP578" i="2"/>
  <c r="AO578" i="2"/>
  <c r="AP585" i="2"/>
  <c r="AO585" i="2"/>
  <c r="AP586" i="2"/>
  <c r="AO586" i="2"/>
  <c r="AP598" i="2"/>
  <c r="AO598" i="2"/>
  <c r="S407" i="2"/>
  <c r="V407" i="2" s="1"/>
  <c r="S414" i="2"/>
  <c r="V414" i="2" s="1"/>
  <c r="S418" i="2"/>
  <c r="V418" i="2" s="1"/>
  <c r="S422" i="2"/>
  <c r="V422" i="2" s="1"/>
  <c r="S425" i="2"/>
  <c r="V425" i="2" s="1"/>
  <c r="S432" i="2"/>
  <c r="V432" i="2" s="1"/>
  <c r="S436" i="2"/>
  <c r="V436" i="2" s="1"/>
  <c r="S440" i="2"/>
  <c r="V440" i="2" s="1"/>
  <c r="S449" i="2"/>
  <c r="V449" i="2" s="1"/>
  <c r="S455" i="2"/>
  <c r="V455" i="2" s="1"/>
  <c r="S459" i="2"/>
  <c r="V459" i="2" s="1"/>
  <c r="S463" i="2"/>
  <c r="V463" i="2" s="1"/>
  <c r="S467" i="2"/>
  <c r="V467" i="2" s="1"/>
  <c r="S471" i="2"/>
  <c r="V471" i="2" s="1"/>
  <c r="S478" i="2"/>
  <c r="V478" i="2" s="1"/>
  <c r="S482" i="2"/>
  <c r="V482" i="2" s="1"/>
  <c r="T487" i="2"/>
  <c r="S491" i="2"/>
  <c r="V491" i="2" s="1"/>
  <c r="S495" i="2"/>
  <c r="V495" i="2" s="1"/>
  <c r="AO499" i="2"/>
  <c r="AO501" i="2"/>
  <c r="Y503" i="2"/>
  <c r="AB503" i="2" s="1"/>
  <c r="Y504" i="2"/>
  <c r="AB504" i="2" s="1"/>
  <c r="Y508" i="2"/>
  <c r="AB508" i="2" s="1"/>
  <c r="AP513" i="2"/>
  <c r="AO513" i="2"/>
  <c r="Y518" i="2"/>
  <c r="AB518" i="2" s="1"/>
  <c r="Y520" i="2"/>
  <c r="AB520" i="2" s="1"/>
  <c r="AP523" i="2"/>
  <c r="AO523" i="2"/>
  <c r="AO525" i="2"/>
  <c r="AP525" i="2"/>
  <c r="AP527" i="2"/>
  <c r="AO527" i="2"/>
  <c r="AP539" i="2"/>
  <c r="AO539" i="2"/>
  <c r="AP551" i="2"/>
  <c r="AO551" i="2"/>
  <c r="AO555" i="2"/>
  <c r="AP555" i="2"/>
  <c r="AP561" i="2"/>
  <c r="AO561" i="2"/>
  <c r="AP568" i="2"/>
  <c r="AO568" i="2"/>
  <c r="AP570" i="2"/>
  <c r="AO570" i="2"/>
  <c r="AP574" i="2"/>
  <c r="AO574" i="2"/>
  <c r="T508" i="2"/>
  <c r="T512" i="2"/>
  <c r="T514" i="2"/>
  <c r="T518" i="2"/>
  <c r="T520" i="2"/>
  <c r="T550" i="2"/>
  <c r="AO554" i="2"/>
  <c r="T561" i="2"/>
  <c r="T568" i="2"/>
  <c r="AO591" i="2"/>
  <c r="AP592" i="2"/>
  <c r="AO609" i="2"/>
  <c r="AP614" i="2"/>
  <c r="AO614" i="2"/>
  <c r="AP619" i="2"/>
  <c r="AO619" i="2"/>
  <c r="AP620" i="2"/>
  <c r="AP638" i="2"/>
  <c r="AO638" i="2"/>
  <c r="S506" i="2"/>
  <c r="V506" i="2" s="1"/>
  <c r="W506" i="2"/>
  <c r="S510" i="2"/>
  <c r="V510" i="2" s="1"/>
  <c r="W510" i="2"/>
  <c r="S516" i="2"/>
  <c r="V516" i="2" s="1"/>
  <c r="W516" i="2"/>
  <c r="S522" i="2"/>
  <c r="V522" i="2" s="1"/>
  <c r="W522" i="2"/>
  <c r="S526" i="2"/>
  <c r="V526" i="2" s="1"/>
  <c r="W526" i="2"/>
  <c r="S529" i="2"/>
  <c r="V529" i="2" s="1"/>
  <c r="W529" i="2"/>
  <c r="S531" i="2"/>
  <c r="V531" i="2" s="1"/>
  <c r="W531" i="2"/>
  <c r="S534" i="2"/>
  <c r="V534" i="2" s="1"/>
  <c r="W534" i="2"/>
  <c r="AO535" i="2"/>
  <c r="AO538" i="2"/>
  <c r="S545" i="2"/>
  <c r="V545" i="2" s="1"/>
  <c r="W545" i="2"/>
  <c r="S548" i="2"/>
  <c r="V548" i="2" s="1"/>
  <c r="W548" i="2"/>
  <c r="S556" i="2"/>
  <c r="V556" i="2" s="1"/>
  <c r="W556" i="2"/>
  <c r="Y593" i="2"/>
  <c r="AB593" i="2" s="1"/>
  <c r="AP594" i="2"/>
  <c r="AO594" i="2"/>
  <c r="AO597" i="2"/>
  <c r="AP603" i="2"/>
  <c r="AP607" i="2"/>
  <c r="AO607" i="2"/>
  <c r="AO608" i="2"/>
  <c r="AP608" i="2"/>
  <c r="Y610" i="2"/>
  <c r="AB610" i="2" s="1"/>
  <c r="AO613" i="2"/>
  <c r="AP618" i="2"/>
  <c r="AO618" i="2"/>
  <c r="AP623" i="2"/>
  <c r="AO623" i="2"/>
  <c r="AP636" i="2"/>
  <c r="AO636" i="2"/>
  <c r="S509" i="2"/>
  <c r="V509" i="2" s="1"/>
  <c r="W509" i="2"/>
  <c r="Y509" i="2" s="1"/>
  <c r="AB509" i="2" s="1"/>
  <c r="S515" i="2"/>
  <c r="V515" i="2" s="1"/>
  <c r="W515" i="2"/>
  <c r="Y515" i="2" s="1"/>
  <c r="AB515" i="2" s="1"/>
  <c r="S521" i="2"/>
  <c r="V521" i="2" s="1"/>
  <c r="W521" i="2"/>
  <c r="Y521" i="2" s="1"/>
  <c r="AB521" i="2" s="1"/>
  <c r="AO524" i="2"/>
  <c r="S528" i="2"/>
  <c r="V528" i="2" s="1"/>
  <c r="S533" i="2"/>
  <c r="V533" i="2" s="1"/>
  <c r="S536" i="2"/>
  <c r="V536" i="2" s="1"/>
  <c r="S540" i="2"/>
  <c r="V540" i="2" s="1"/>
  <c r="S544" i="2"/>
  <c r="V544" i="2" s="1"/>
  <c r="W544" i="2"/>
  <c r="S547" i="2"/>
  <c r="V547" i="2" s="1"/>
  <c r="W547" i="2"/>
  <c r="AO552" i="2"/>
  <c r="S559" i="2"/>
  <c r="V559" i="2" s="1"/>
  <c r="W559" i="2"/>
  <c r="Y559" i="2" s="1"/>
  <c r="AB559" i="2" s="1"/>
  <c r="AO562" i="2"/>
  <c r="S565" i="2"/>
  <c r="V565" i="2" s="1"/>
  <c r="W565" i="2"/>
  <c r="AO566" i="2"/>
  <c r="S569" i="2"/>
  <c r="V569" i="2" s="1"/>
  <c r="W569" i="2"/>
  <c r="Y569" i="2" s="1"/>
  <c r="AB569" i="2" s="1"/>
  <c r="S572" i="2"/>
  <c r="V572" i="2" s="1"/>
  <c r="W572" i="2"/>
  <c r="Y572" i="2" s="1"/>
  <c r="AB572" i="2" s="1"/>
  <c r="AO573" i="2"/>
  <c r="S576" i="2"/>
  <c r="V576" i="2" s="1"/>
  <c r="W576" i="2"/>
  <c r="AO577" i="2"/>
  <c r="S580" i="2"/>
  <c r="V580" i="2" s="1"/>
  <c r="W580" i="2"/>
  <c r="Y580" i="2" s="1"/>
  <c r="AB580" i="2" s="1"/>
  <c r="AO581" i="2"/>
  <c r="AO583" i="2"/>
  <c r="AO587" i="2"/>
  <c r="Y594" i="2"/>
  <c r="AB594" i="2" s="1"/>
  <c r="Y597" i="2"/>
  <c r="AB597" i="2" s="1"/>
  <c r="AO601" i="2"/>
  <c r="AO604" i="2"/>
  <c r="AP606" i="2"/>
  <c r="AO606" i="2"/>
  <c r="AP611" i="2"/>
  <c r="AO611" i="2"/>
  <c r="AO612" i="2"/>
  <c r="AP612" i="2"/>
  <c r="Y614" i="2"/>
  <c r="AB614" i="2" s="1"/>
  <c r="AO617" i="2"/>
  <c r="AP622" i="2"/>
  <c r="AO622" i="2"/>
  <c r="AP630" i="2"/>
  <c r="AO630" i="2"/>
  <c r="AO631" i="2"/>
  <c r="AP631" i="2"/>
  <c r="AP634" i="2"/>
  <c r="AO634" i="2"/>
  <c r="AP641" i="2"/>
  <c r="AO641" i="2"/>
  <c r="S571" i="2"/>
  <c r="V571" i="2" s="1"/>
  <c r="S575" i="2"/>
  <c r="V575" i="2" s="1"/>
  <c r="S579" i="2"/>
  <c r="V579" i="2" s="1"/>
  <c r="AP595" i="2"/>
  <c r="Y598" i="2"/>
  <c r="AB598" i="2" s="1"/>
  <c r="Y601" i="2"/>
  <c r="AB601" i="2" s="1"/>
  <c r="AO605" i="2"/>
  <c r="AP610" i="2"/>
  <c r="AO610" i="2"/>
  <c r="AP615" i="2"/>
  <c r="AO615" i="2"/>
  <c r="AP616" i="2"/>
  <c r="AO621" i="2"/>
  <c r="AP625" i="2"/>
  <c r="AO625" i="2"/>
  <c r="AP640" i="2"/>
  <c r="AO640" i="2"/>
  <c r="AO626" i="2"/>
  <c r="AP626" i="2"/>
  <c r="Y633" i="2"/>
  <c r="AB633" i="2" s="1"/>
  <c r="AO707" i="2"/>
  <c r="AP707" i="2"/>
  <c r="AO723" i="2"/>
  <c r="AP723" i="2"/>
  <c r="AO727" i="2"/>
  <c r="AP727" i="2"/>
  <c r="AO628" i="2"/>
  <c r="Y634" i="2"/>
  <c r="AB634" i="2" s="1"/>
  <c r="Y636" i="2"/>
  <c r="AB636" i="2" s="1"/>
  <c r="Y638" i="2"/>
  <c r="AB638" i="2" s="1"/>
  <c r="Y640" i="2"/>
  <c r="AB640" i="2" s="1"/>
  <c r="AP642" i="2"/>
  <c r="AO642" i="2"/>
  <c r="AP643" i="2"/>
  <c r="AO643" i="2"/>
  <c r="AP644" i="2"/>
  <c r="AO644" i="2"/>
  <c r="AP645" i="2"/>
  <c r="AO645" i="2"/>
  <c r="AP646" i="2"/>
  <c r="AO646" i="2"/>
  <c r="AP647" i="2"/>
  <c r="AO647" i="2"/>
  <c r="AP648" i="2"/>
  <c r="AO648" i="2"/>
  <c r="AP649" i="2"/>
  <c r="AO649" i="2"/>
  <c r="AP650" i="2"/>
  <c r="AO650" i="2"/>
  <c r="AP651" i="2"/>
  <c r="AO651" i="2"/>
  <c r="AP652" i="2"/>
  <c r="AO652" i="2"/>
  <c r="AP653" i="2"/>
  <c r="AO653" i="2"/>
  <c r="AP654" i="2"/>
  <c r="AO654" i="2"/>
  <c r="AP655" i="2"/>
  <c r="AO655" i="2"/>
  <c r="AP656" i="2"/>
  <c r="AO656" i="2"/>
  <c r="AP657" i="2"/>
  <c r="AO657" i="2"/>
  <c r="AP658" i="2"/>
  <c r="AO658" i="2"/>
  <c r="AP659" i="2"/>
  <c r="AO659" i="2"/>
  <c r="AP660" i="2"/>
  <c r="AO660" i="2"/>
  <c r="AP661" i="2"/>
  <c r="AO661" i="2"/>
  <c r="AP662" i="2"/>
  <c r="AO662" i="2"/>
  <c r="AP663" i="2"/>
  <c r="AO663" i="2"/>
  <c r="AP664" i="2"/>
  <c r="AO664" i="2"/>
  <c r="AP665" i="2"/>
  <c r="AO665" i="2"/>
  <c r="AP666" i="2"/>
  <c r="AO666" i="2"/>
  <c r="AP667" i="2"/>
  <c r="AO667" i="2"/>
  <c r="AP668" i="2"/>
  <c r="AO668" i="2"/>
  <c r="AP669" i="2"/>
  <c r="AO669" i="2"/>
  <c r="AP670" i="2"/>
  <c r="AO670" i="2"/>
  <c r="AP671" i="2"/>
  <c r="AO671" i="2"/>
  <c r="AP672" i="2"/>
  <c r="AO672" i="2"/>
  <c r="AP673" i="2"/>
  <c r="AO673" i="2"/>
  <c r="AP674" i="2"/>
  <c r="AO674" i="2"/>
  <c r="AP675" i="2"/>
  <c r="AO675" i="2"/>
  <c r="AP676" i="2"/>
  <c r="AO676" i="2"/>
  <c r="AP677" i="2"/>
  <c r="AO677" i="2"/>
  <c r="AP678" i="2"/>
  <c r="AO678" i="2"/>
  <c r="AP679" i="2"/>
  <c r="AO679" i="2"/>
  <c r="AP680" i="2"/>
  <c r="AO680" i="2"/>
  <c r="AP681" i="2"/>
  <c r="AO681" i="2"/>
  <c r="AP682" i="2"/>
  <c r="AO682" i="2"/>
  <c r="AP683" i="2"/>
  <c r="AO683" i="2"/>
  <c r="AP684" i="2"/>
  <c r="AO684" i="2"/>
  <c r="AP685" i="2"/>
  <c r="AO685" i="2"/>
  <c r="AP686" i="2"/>
  <c r="AO686" i="2"/>
  <c r="AP687" i="2"/>
  <c r="AO687" i="2"/>
  <c r="AP688" i="2"/>
  <c r="AO688" i="2"/>
  <c r="AP689" i="2"/>
  <c r="AO689" i="2"/>
  <c r="AP690" i="2"/>
  <c r="AO690" i="2"/>
  <c r="AP691" i="2"/>
  <c r="AO691" i="2"/>
  <c r="AP692" i="2"/>
  <c r="AO692" i="2"/>
  <c r="AP693" i="2"/>
  <c r="AO693" i="2"/>
  <c r="AP694" i="2"/>
  <c r="AO694" i="2"/>
  <c r="AP695" i="2"/>
  <c r="AO695" i="2"/>
  <c r="AP696" i="2"/>
  <c r="AO696" i="2"/>
  <c r="AP697" i="2"/>
  <c r="AO697" i="2"/>
  <c r="AP698" i="2"/>
  <c r="AO698" i="2"/>
  <c r="AP699" i="2"/>
  <c r="AO699" i="2"/>
  <c r="AP700" i="2"/>
  <c r="AO700" i="2"/>
  <c r="AP701" i="2"/>
  <c r="AO701" i="2"/>
  <c r="AO702" i="2"/>
  <c r="AP702" i="2"/>
  <c r="AO711" i="2"/>
  <c r="AP711" i="2"/>
  <c r="AO726" i="2"/>
  <c r="AP726" i="2"/>
  <c r="AO731" i="2"/>
  <c r="AP731" i="2"/>
  <c r="Y625" i="2"/>
  <c r="AB625" i="2" s="1"/>
  <c r="AP635" i="2"/>
  <c r="AO635" i="2"/>
  <c r="AP637" i="2"/>
  <c r="AO637" i="2"/>
  <c r="AP639" i="2"/>
  <c r="AO639" i="2"/>
  <c r="AO715" i="2"/>
  <c r="AP715" i="2"/>
  <c r="Y701" i="2"/>
  <c r="AB701" i="2" s="1"/>
  <c r="AO703" i="2"/>
  <c r="AP703" i="2"/>
  <c r="AO719" i="2"/>
  <c r="AP719" i="2"/>
  <c r="AP705" i="2"/>
  <c r="AP709" i="2"/>
  <c r="AP713" i="2"/>
  <c r="AP717" i="2"/>
  <c r="AP721" i="2"/>
  <c r="AP725" i="2"/>
  <c r="AP729" i="2"/>
  <c r="AP733" i="2"/>
  <c r="AO752" i="2"/>
  <c r="AP752" i="2"/>
  <c r="AO768" i="2"/>
  <c r="AP768" i="2"/>
  <c r="AO706" i="2"/>
  <c r="AP706" i="2"/>
  <c r="AO710" i="2"/>
  <c r="AP710" i="2"/>
  <c r="AO714" i="2"/>
  <c r="AP714" i="2"/>
  <c r="AO718" i="2"/>
  <c r="AP718" i="2"/>
  <c r="AO722" i="2"/>
  <c r="AP722" i="2"/>
  <c r="AO730" i="2"/>
  <c r="AP730" i="2"/>
  <c r="AO734" i="2"/>
  <c r="AP735" i="2"/>
  <c r="AP737" i="2"/>
  <c r="AP739" i="2"/>
  <c r="AO756" i="2"/>
  <c r="AP756" i="2"/>
  <c r="AO772" i="2"/>
  <c r="AP772" i="2"/>
  <c r="Y734" i="2"/>
  <c r="AB734" i="2" s="1"/>
  <c r="AO738" i="2"/>
  <c r="AP741" i="2"/>
  <c r="AO744" i="2"/>
  <c r="AP744" i="2"/>
  <c r="AO760" i="2"/>
  <c r="AP760" i="2"/>
  <c r="AO776" i="2"/>
  <c r="AP776" i="2"/>
  <c r="AO704" i="2"/>
  <c r="AP704" i="2"/>
  <c r="AO708" i="2"/>
  <c r="AP708" i="2"/>
  <c r="AO712" i="2"/>
  <c r="AP712" i="2"/>
  <c r="AO716" i="2"/>
  <c r="AP716" i="2"/>
  <c r="AO720" i="2"/>
  <c r="AP720" i="2"/>
  <c r="AO724" i="2"/>
  <c r="AP724" i="2"/>
  <c r="AO728" i="2"/>
  <c r="AP728" i="2"/>
  <c r="AO732" i="2"/>
  <c r="AP732" i="2"/>
  <c r="AO736" i="2"/>
  <c r="AP736" i="2"/>
  <c r="Y736" i="2"/>
  <c r="AB736" i="2" s="1"/>
  <c r="Y738" i="2"/>
  <c r="AB738" i="2" s="1"/>
  <c r="AO740" i="2"/>
  <c r="AP740" i="2"/>
  <c r="AO748" i="2"/>
  <c r="AP748" i="2"/>
  <c r="AO764" i="2"/>
  <c r="AP764" i="2"/>
  <c r="AP743" i="2"/>
  <c r="AP747" i="2"/>
  <c r="AP751" i="2"/>
  <c r="AP755" i="2"/>
  <c r="AP759" i="2"/>
  <c r="AP763" i="2"/>
  <c r="AP767" i="2"/>
  <c r="AP771" i="2"/>
  <c r="AP775" i="2"/>
  <c r="AP777" i="2"/>
  <c r="AP782" i="2"/>
  <c r="AO782" i="2"/>
  <c r="AP786" i="2"/>
  <c r="AO786" i="2"/>
  <c r="AP788" i="2"/>
  <c r="AO788" i="2"/>
  <c r="AP789" i="2"/>
  <c r="AO789" i="2"/>
  <c r="AP784" i="2"/>
  <c r="AO784" i="2"/>
  <c r="AP785" i="2"/>
  <c r="AO785" i="2"/>
  <c r="AP745" i="2"/>
  <c r="AP749" i="2"/>
  <c r="AP753" i="2"/>
  <c r="AP757" i="2"/>
  <c r="AP761" i="2"/>
  <c r="AP765" i="2"/>
  <c r="AP769" i="2"/>
  <c r="AP773" i="2"/>
  <c r="Y778" i="2"/>
  <c r="AB778" i="2" s="1"/>
  <c r="AO780" i="2"/>
  <c r="Y782" i="2"/>
  <c r="AB782" i="2" s="1"/>
  <c r="AO742" i="2"/>
  <c r="AP742" i="2"/>
  <c r="AO746" i="2"/>
  <c r="AP746" i="2"/>
  <c r="AO750" i="2"/>
  <c r="AP750" i="2"/>
  <c r="AO754" i="2"/>
  <c r="AP754" i="2"/>
  <c r="AO758" i="2"/>
  <c r="AP758" i="2"/>
  <c r="AO762" i="2"/>
  <c r="AP762" i="2"/>
  <c r="AO766" i="2"/>
  <c r="AP766" i="2"/>
  <c r="AO770" i="2"/>
  <c r="AP770" i="2"/>
  <c r="AO774" i="2"/>
  <c r="AP774" i="2"/>
  <c r="AP778" i="2"/>
  <c r="AO779" i="2"/>
  <c r="AP780" i="2"/>
  <c r="AP790" i="2"/>
  <c r="AO790" i="2"/>
  <c r="AP791" i="2"/>
  <c r="AO791" i="2"/>
  <c r="AP783" i="2"/>
  <c r="AP787" i="2"/>
  <c r="AO794" i="2"/>
  <c r="AP794" i="2"/>
  <c r="AO793" i="2"/>
  <c r="AO798" i="2"/>
  <c r="AP798" i="2"/>
  <c r="AO802" i="2"/>
  <c r="AP802" i="2"/>
  <c r="AO806" i="2"/>
  <c r="AP806" i="2"/>
  <c r="AO810" i="2"/>
  <c r="AP810" i="2"/>
  <c r="AO814" i="2"/>
  <c r="AP814" i="2"/>
  <c r="AO818" i="2"/>
  <c r="AP818" i="2"/>
  <c r="AO822" i="2"/>
  <c r="AP822" i="2"/>
  <c r="AP823" i="2"/>
  <c r="AO823" i="2"/>
  <c r="AO792" i="2"/>
  <c r="Y792" i="2"/>
  <c r="AB792" i="2" s="1"/>
  <c r="AP796" i="2"/>
  <c r="AO796" i="2"/>
  <c r="AP797" i="2"/>
  <c r="AO797" i="2"/>
  <c r="AP800" i="2"/>
  <c r="AO800" i="2"/>
  <c r="AP801" i="2"/>
  <c r="AO801" i="2"/>
  <c r="AP804" i="2"/>
  <c r="AO804" i="2"/>
  <c r="AP805" i="2"/>
  <c r="AO805" i="2"/>
  <c r="AP808" i="2"/>
  <c r="AO808" i="2"/>
  <c r="AP809" i="2"/>
  <c r="AO809" i="2"/>
  <c r="AP812" i="2"/>
  <c r="AO812" i="2"/>
  <c r="AP813" i="2"/>
  <c r="AO813" i="2"/>
  <c r="AP816" i="2"/>
  <c r="AO816" i="2"/>
  <c r="AP817" i="2"/>
  <c r="AO817" i="2"/>
  <c r="AP820" i="2"/>
  <c r="AO820" i="2"/>
  <c r="AP821" i="2"/>
  <c r="AO821" i="2"/>
  <c r="AP824" i="2"/>
  <c r="AO824" i="2"/>
  <c r="AO825" i="2"/>
  <c r="AP825" i="2"/>
  <c r="AP830" i="2"/>
  <c r="AO830" i="2"/>
  <c r="AP835" i="2"/>
  <c r="AO835" i="2"/>
  <c r="AP836" i="2"/>
  <c r="AO836" i="2"/>
  <c r="AO841" i="2"/>
  <c r="AP841" i="2"/>
  <c r="AP846" i="2"/>
  <c r="AO846" i="2"/>
  <c r="AP851" i="2"/>
  <c r="AO851" i="2"/>
  <c r="AP852" i="2"/>
  <c r="AO852" i="2"/>
  <c r="AO829" i="2"/>
  <c r="AP829" i="2"/>
  <c r="AP834" i="2"/>
  <c r="AO834" i="2"/>
  <c r="AP839" i="2"/>
  <c r="AO839" i="2"/>
  <c r="AP840" i="2"/>
  <c r="AO840" i="2"/>
  <c r="AO845" i="2"/>
  <c r="AP845" i="2"/>
  <c r="AP850" i="2"/>
  <c r="AO850" i="2"/>
  <c r="AP827" i="2"/>
  <c r="AO827" i="2"/>
  <c r="AP828" i="2"/>
  <c r="AO828" i="2"/>
  <c r="AO833" i="2"/>
  <c r="AP833" i="2"/>
  <c r="AP838" i="2"/>
  <c r="AO838" i="2"/>
  <c r="AP843" i="2"/>
  <c r="AO843" i="2"/>
  <c r="AP844" i="2"/>
  <c r="AO844" i="2"/>
  <c r="AO849" i="2"/>
  <c r="AP849" i="2"/>
  <c r="AP854" i="2"/>
  <c r="AO854" i="2"/>
  <c r="AP826" i="2"/>
  <c r="AO826" i="2"/>
  <c r="AP831" i="2"/>
  <c r="AO831" i="2"/>
  <c r="AP832" i="2"/>
  <c r="AO832" i="2"/>
  <c r="AO837" i="2"/>
  <c r="AP837" i="2"/>
  <c r="AP842" i="2"/>
  <c r="AO842" i="2"/>
  <c r="AP847" i="2"/>
  <c r="AO847" i="2"/>
  <c r="AP848" i="2"/>
  <c r="AO848" i="2"/>
  <c r="AO853" i="2"/>
  <c r="AP853" i="2"/>
  <c r="AP871" i="2"/>
  <c r="AO871" i="2"/>
  <c r="AP872" i="2"/>
  <c r="AO872" i="2"/>
  <c r="AP873" i="2"/>
  <c r="AO873" i="2"/>
  <c r="Y855" i="2"/>
  <c r="AB855" i="2" s="1"/>
  <c r="AO858" i="2"/>
  <c r="AP858" i="2"/>
  <c r="AP861" i="2"/>
  <c r="AO861" i="2"/>
  <c r="AP875" i="2"/>
  <c r="AO875" i="2"/>
  <c r="AP876" i="2"/>
  <c r="AO876" i="2"/>
  <c r="AP877" i="2"/>
  <c r="AO877" i="2"/>
  <c r="AP879" i="2"/>
  <c r="AO879" i="2"/>
  <c r="AO855" i="2"/>
  <c r="AP857" i="2"/>
  <c r="AO857" i="2"/>
  <c r="AO860" i="2"/>
  <c r="AP863" i="2"/>
  <c r="AO863" i="2"/>
  <c r="AP864" i="2"/>
  <c r="AO864" i="2"/>
  <c r="AP865" i="2"/>
  <c r="AO865" i="2"/>
  <c r="AP880" i="2"/>
  <c r="AO880" i="2"/>
  <c r="AP881" i="2"/>
  <c r="AO881" i="2"/>
  <c r="AP885" i="2"/>
  <c r="AO885" i="2"/>
  <c r="AO856" i="2"/>
  <c r="AP867" i="2"/>
  <c r="AO867" i="2"/>
  <c r="AP868" i="2"/>
  <c r="AO868" i="2"/>
  <c r="AP869" i="2"/>
  <c r="AO869" i="2"/>
  <c r="AP883" i="2"/>
  <c r="AO883" i="2"/>
  <c r="AP884" i="2"/>
  <c r="AO884" i="2"/>
  <c r="AP862" i="2"/>
  <c r="AP866" i="2"/>
  <c r="AP870" i="2"/>
  <c r="AP874" i="2"/>
  <c r="AP878" i="2"/>
  <c r="AP882" i="2"/>
  <c r="AP895" i="2"/>
  <c r="AO895" i="2"/>
  <c r="AP898" i="2"/>
  <c r="AO898" i="2"/>
  <c r="AP900" i="2"/>
  <c r="AO900" i="2"/>
  <c r="AO901" i="2"/>
  <c r="AP901" i="2"/>
  <c r="AP911" i="2"/>
  <c r="AO911" i="2"/>
  <c r="AP914" i="2"/>
  <c r="AO914" i="2"/>
  <c r="AP916" i="2"/>
  <c r="AO916" i="2"/>
  <c r="AO917" i="2"/>
  <c r="AP917" i="2"/>
  <c r="AO886" i="2"/>
  <c r="AP891" i="2"/>
  <c r="AO891" i="2"/>
  <c r="AP894" i="2"/>
  <c r="AO894" i="2"/>
  <c r="AP896" i="2"/>
  <c r="AO896" i="2"/>
  <c r="AO897" i="2"/>
  <c r="AP897" i="2"/>
  <c r="AP907" i="2"/>
  <c r="AO907" i="2"/>
  <c r="AP910" i="2"/>
  <c r="AO910" i="2"/>
  <c r="AP912" i="2"/>
  <c r="AO912" i="2"/>
  <c r="AO913" i="2"/>
  <c r="AP913" i="2"/>
  <c r="AP886" i="2"/>
  <c r="AO887" i="2"/>
  <c r="AO889" i="2"/>
  <c r="AP889" i="2"/>
  <c r="AP890" i="2"/>
  <c r="AO890" i="2"/>
  <c r="AP892" i="2"/>
  <c r="AO892" i="2"/>
  <c r="AO893" i="2"/>
  <c r="AP893" i="2"/>
  <c r="AP903" i="2"/>
  <c r="AO903" i="2"/>
  <c r="AP906" i="2"/>
  <c r="AO906" i="2"/>
  <c r="AP908" i="2"/>
  <c r="AO908" i="2"/>
  <c r="AO909" i="2"/>
  <c r="AP909" i="2"/>
  <c r="AO888" i="2"/>
  <c r="AP899" i="2"/>
  <c r="AO899" i="2"/>
  <c r="AP902" i="2"/>
  <c r="AO902" i="2"/>
  <c r="AP904" i="2"/>
  <c r="AO904" i="2"/>
  <c r="AO905" i="2"/>
  <c r="AP905" i="2"/>
  <c r="AP915" i="2"/>
  <c r="AO915" i="2"/>
  <c r="AP918" i="2"/>
  <c r="AO918" i="2"/>
  <c r="AP920" i="2"/>
  <c r="AO920" i="2"/>
  <c r="AO919" i="2"/>
  <c r="AP914" i="1"/>
  <c r="AQ914" i="1"/>
  <c r="AP918" i="1"/>
  <c r="AQ918" i="1"/>
  <c r="AP902" i="1"/>
  <c r="AQ902" i="1"/>
  <c r="AP898" i="1"/>
  <c r="AQ898" i="1"/>
  <c r="AB922" i="1"/>
  <c r="Z921" i="1"/>
  <c r="AB906" i="1"/>
  <c r="Z905" i="1"/>
  <c r="AB890" i="1"/>
  <c r="Z889" i="1"/>
  <c r="AB868" i="1"/>
  <c r="AB860" i="1"/>
  <c r="AB859" i="1"/>
  <c r="AQ862" i="1"/>
  <c r="AP862" i="1"/>
  <c r="Z917" i="1"/>
  <c r="Z913" i="1"/>
  <c r="Z897" i="1"/>
  <c r="AA882" i="1"/>
  <c r="V882" i="1" s="1"/>
  <c r="AQ854" i="1"/>
  <c r="AP854" i="1"/>
  <c r="AP878" i="1"/>
  <c r="AQ878" i="1"/>
  <c r="Z881" i="1"/>
  <c r="Z877" i="1"/>
  <c r="Z872" i="1"/>
  <c r="AC872" i="1" s="1"/>
  <c r="Z871" i="1"/>
  <c r="AC871" i="1" s="1"/>
  <c r="AP861" i="1"/>
  <c r="Z854" i="1"/>
  <c r="AC854" i="1" s="1"/>
  <c r="AB852" i="1"/>
  <c r="Z849" i="1"/>
  <c r="AC849" i="1" s="1"/>
  <c r="AB848" i="1"/>
  <c r="Z845" i="1"/>
  <c r="AC845" i="1" s="1"/>
  <c r="Z836" i="1"/>
  <c r="AC836" i="1" s="1"/>
  <c r="AP830" i="1"/>
  <c r="Z826" i="1"/>
  <c r="AC826" i="1" s="1"/>
  <c r="Z824" i="1"/>
  <c r="AB820" i="1"/>
  <c r="AB818" i="1"/>
  <c r="Z813" i="1"/>
  <c r="AC813" i="1" s="1"/>
  <c r="Z812" i="1"/>
  <c r="AC812" i="1" s="1"/>
  <c r="Z810" i="1"/>
  <c r="AC810" i="1" s="1"/>
  <c r="AQ801" i="1"/>
  <c r="AQ797" i="1"/>
  <c r="AB788" i="1"/>
  <c r="AB786" i="1"/>
  <c r="AQ785" i="1"/>
  <c r="AB777" i="1"/>
  <c r="Z776" i="1"/>
  <c r="AP771" i="1"/>
  <c r="AP769" i="1"/>
  <c r="AB761" i="1"/>
  <c r="Z760" i="1"/>
  <c r="AP755" i="1"/>
  <c r="AB729" i="1"/>
  <c r="AB719" i="1"/>
  <c r="AB713" i="1"/>
  <c r="AB703" i="1"/>
  <c r="AQ682" i="1"/>
  <c r="Z682" i="1"/>
  <c r="AC682" i="1" s="1"/>
  <c r="AQ670" i="1"/>
  <c r="AP666" i="1"/>
  <c r="AQ666" i="1"/>
  <c r="AP654" i="1"/>
  <c r="AQ654" i="1"/>
  <c r="AQ646" i="1"/>
  <c r="AP644" i="1"/>
  <c r="AQ644" i="1"/>
  <c r="AQ636" i="1"/>
  <c r="AP636" i="1"/>
  <c r="AB828" i="1"/>
  <c r="Z746" i="1"/>
  <c r="AQ730" i="1"/>
  <c r="Z730" i="1"/>
  <c r="AC730" i="1" s="1"/>
  <c r="AB720" i="1"/>
  <c r="AB718" i="1"/>
  <c r="AQ714" i="1"/>
  <c r="Z714" i="1"/>
  <c r="AC714" i="1" s="1"/>
  <c r="AB704" i="1"/>
  <c r="AB701" i="1"/>
  <c r="AQ698" i="1"/>
  <c r="Z698" i="1"/>
  <c r="AC698" i="1" s="1"/>
  <c r="AQ686" i="1"/>
  <c r="Z614" i="1"/>
  <c r="Z794" i="1"/>
  <c r="AC794" i="1" s="1"/>
  <c r="AB787" i="1"/>
  <c r="AB769" i="1"/>
  <c r="AB736" i="1"/>
  <c r="AB727" i="1"/>
  <c r="AB711" i="1"/>
  <c r="AB650" i="1"/>
  <c r="Z630" i="1"/>
  <c r="W627" i="1"/>
  <c r="AQ627" i="1" s="1"/>
  <c r="AA626" i="1"/>
  <c r="V626" i="1" s="1"/>
  <c r="Z623" i="1"/>
  <c r="AC623" i="1" s="1"/>
  <c r="W619" i="1"/>
  <c r="AQ619" i="1" s="1"/>
  <c r="AB617" i="1"/>
  <c r="Z604" i="1"/>
  <c r="AC604" i="1" s="1"/>
  <c r="AA602" i="1"/>
  <c r="V602" i="1" s="1"/>
  <c r="AC529" i="1"/>
  <c r="AA529" i="1"/>
  <c r="V529" i="1" s="1"/>
  <c r="Z885" i="1"/>
  <c r="AB874" i="1"/>
  <c r="AB873" i="1"/>
  <c r="Z870" i="1"/>
  <c r="AA870" i="1" s="1"/>
  <c r="V870" i="1" s="1"/>
  <c r="Z869" i="1"/>
  <c r="Z864" i="1"/>
  <c r="AC864" i="1" s="1"/>
  <c r="Z840" i="1"/>
  <c r="Z832" i="1"/>
  <c r="AC832" i="1" s="1"/>
  <c r="AP826" i="1"/>
  <c r="Z814" i="1"/>
  <c r="AC814" i="1" s="1"/>
  <c r="AP799" i="1"/>
  <c r="AP793" i="1"/>
  <c r="Z780" i="1"/>
  <c r="Z764" i="1"/>
  <c r="AB709" i="1"/>
  <c r="AB647" i="1"/>
  <c r="AP642" i="1"/>
  <c r="AQ642" i="1"/>
  <c r="AB621" i="1"/>
  <c r="Z617" i="1"/>
  <c r="Z612" i="1"/>
  <c r="AC612" i="1" s="1"/>
  <c r="Z609" i="1"/>
  <c r="W603" i="1"/>
  <c r="AQ603" i="1" s="1"/>
  <c r="Z593" i="1"/>
  <c r="AA493" i="1"/>
  <c r="V493" i="1" s="1"/>
  <c r="AB601" i="1"/>
  <c r="Z598" i="1"/>
  <c r="Z575" i="1"/>
  <c r="AC575" i="1" s="1"/>
  <c r="AB574" i="1"/>
  <c r="AP568" i="1"/>
  <c r="AP567" i="1"/>
  <c r="AP562" i="1"/>
  <c r="AB557" i="1"/>
  <c r="AB550" i="1"/>
  <c r="AB545" i="1"/>
  <c r="AB538" i="1"/>
  <c r="Z533" i="1"/>
  <c r="AC533" i="1" s="1"/>
  <c r="Z516" i="1"/>
  <c r="AC516" i="1" s="1"/>
  <c r="Z505" i="1"/>
  <c r="AC505" i="1" s="1"/>
  <c r="AB494" i="1"/>
  <c r="AB492" i="1"/>
  <c r="AA490" i="1"/>
  <c r="V490" i="1" s="1"/>
  <c r="AB489" i="1"/>
  <c r="AP488" i="1"/>
  <c r="AQ481" i="1"/>
  <c r="AB470" i="1"/>
  <c r="AB463" i="1"/>
  <c r="AB458" i="1"/>
  <c r="AA345" i="1"/>
  <c r="V345" i="1" s="1"/>
  <c r="AP336" i="1"/>
  <c r="AP547" i="1"/>
  <c r="AP498" i="1"/>
  <c r="Z489" i="1"/>
  <c r="AC489" i="1" s="1"/>
  <c r="AQ431" i="1"/>
  <c r="Z702" i="1"/>
  <c r="AC702" i="1" s="1"/>
  <c r="AB695" i="1"/>
  <c r="AB689" i="1"/>
  <c r="Z686" i="1"/>
  <c r="AC686" i="1" s="1"/>
  <c r="AB679" i="1"/>
  <c r="AB673" i="1"/>
  <c r="Z670" i="1"/>
  <c r="AC670" i="1" s="1"/>
  <c r="AB666" i="1"/>
  <c r="AB665" i="1"/>
  <c r="AB654" i="1"/>
  <c r="AB651" i="1"/>
  <c r="Z646" i="1"/>
  <c r="AC646" i="1" s="1"/>
  <c r="Z644" i="1"/>
  <c r="AC644" i="1" s="1"/>
  <c r="AB642" i="1"/>
  <c r="Z639" i="1"/>
  <c r="AC639" i="1" s="1"/>
  <c r="Z636" i="1"/>
  <c r="AC636" i="1" s="1"/>
  <c r="AB625" i="1"/>
  <c r="Z622" i="1"/>
  <c r="AB609" i="1"/>
  <c r="Z606" i="1"/>
  <c r="AB593" i="1"/>
  <c r="Z590" i="1"/>
  <c r="Z588" i="1"/>
  <c r="AC588" i="1" s="1"/>
  <c r="AB547" i="1"/>
  <c r="AB544" i="1"/>
  <c r="AQ542" i="1"/>
  <c r="Z526" i="1"/>
  <c r="AC526" i="1" s="1"/>
  <c r="AB522" i="1"/>
  <c r="Z511" i="1"/>
  <c r="AC511" i="1" s="1"/>
  <c r="Z504" i="1"/>
  <c r="AC504" i="1" s="1"/>
  <c r="AB498" i="1"/>
  <c r="AP484" i="1"/>
  <c r="AA477" i="1"/>
  <c r="V477" i="1" s="1"/>
  <c r="Z469" i="1"/>
  <c r="AC469" i="1" s="1"/>
  <c r="AB466" i="1"/>
  <c r="Z461" i="1"/>
  <c r="AC461" i="1" s="1"/>
  <c r="AA425" i="1"/>
  <c r="V425" i="1" s="1"/>
  <c r="AA355" i="1"/>
  <c r="V355" i="1" s="1"/>
  <c r="AC179" i="1"/>
  <c r="AA179" i="1"/>
  <c r="V179" i="1" s="1"/>
  <c r="AC74" i="1"/>
  <c r="AA74" i="1"/>
  <c r="V74" i="1" s="1"/>
  <c r="AQ62" i="1"/>
  <c r="AP62" i="1"/>
  <c r="AC24" i="1"/>
  <c r="AA24" i="1"/>
  <c r="V24" i="1" s="1"/>
  <c r="Z250" i="1"/>
  <c r="AC250" i="1" s="1"/>
  <c r="Z245" i="1"/>
  <c r="AA213" i="1"/>
  <c r="V213" i="1" s="1"/>
  <c r="Z208" i="1"/>
  <c r="AC208" i="1" s="1"/>
  <c r="Z182" i="1"/>
  <c r="AB176" i="1"/>
  <c r="AB166" i="1"/>
  <c r="AB148" i="1"/>
  <c r="AP118" i="1"/>
  <c r="AB106" i="1"/>
  <c r="Z102" i="1"/>
  <c r="AC102" i="1" s="1"/>
  <c r="AQ85" i="1"/>
  <c r="Z80" i="1"/>
  <c r="AC80" i="1" s="1"/>
  <c r="Z65" i="1"/>
  <c r="AC65" i="1" s="1"/>
  <c r="AP57" i="1"/>
  <c r="AA57" i="1"/>
  <c r="V57" i="1" s="1"/>
  <c r="Z165" i="1"/>
  <c r="AC165" i="1" s="1"/>
  <c r="Z148" i="1"/>
  <c r="Z141" i="1"/>
  <c r="AC141" i="1" s="1"/>
  <c r="Z137" i="1"/>
  <c r="AC137" i="1" s="1"/>
  <c r="AP97" i="1"/>
  <c r="Z97" i="1"/>
  <c r="AC97" i="1" s="1"/>
  <c r="AP96" i="1"/>
  <c r="AB82" i="1"/>
  <c r="AQ77" i="1"/>
  <c r="AP46" i="1"/>
  <c r="Z42" i="1"/>
  <c r="AC42" i="1" s="1"/>
  <c r="Z31" i="1"/>
  <c r="AC31" i="1" s="1"/>
  <c r="Z27" i="1"/>
  <c r="AC27" i="1" s="1"/>
  <c r="AB284" i="1"/>
  <c r="AB283" i="1"/>
  <c r="AA279" i="1"/>
  <c r="V279" i="1" s="1"/>
  <c r="Z266" i="1"/>
  <c r="AB262" i="1"/>
  <c r="AB255" i="1"/>
  <c r="AB254" i="1"/>
  <c r="AA251" i="1"/>
  <c r="V251" i="1" s="1"/>
  <c r="Z244" i="1"/>
  <c r="AA244" i="1" s="1"/>
  <c r="V244" i="1" s="1"/>
  <c r="Z243" i="1"/>
  <c r="AC243" i="1" s="1"/>
  <c r="Z241" i="1"/>
  <c r="AC241" i="1" s="1"/>
  <c r="AP228" i="1"/>
  <c r="Z228" i="1"/>
  <c r="AC228" i="1" s="1"/>
  <c r="Z224" i="1"/>
  <c r="AB223" i="1"/>
  <c r="Z222" i="1"/>
  <c r="AC222" i="1" s="1"/>
  <c r="AB211" i="1"/>
  <c r="Z194" i="1"/>
  <c r="AC194" i="1" s="1"/>
  <c r="Z188" i="1"/>
  <c r="AC188" i="1" s="1"/>
  <c r="AP185" i="1"/>
  <c r="Z180" i="1"/>
  <c r="AC180" i="1" s="1"/>
  <c r="Z173" i="1"/>
  <c r="AC173" i="1" s="1"/>
  <c r="Z161" i="1"/>
  <c r="AC161" i="1" s="1"/>
  <c r="AB134" i="1"/>
  <c r="Z129" i="1"/>
  <c r="AC129" i="1" s="1"/>
  <c r="AB121" i="1"/>
  <c r="AB115" i="1"/>
  <c r="AB111" i="1"/>
  <c r="Z108" i="1"/>
  <c r="AC108" i="1" s="1"/>
  <c r="AQ96" i="1"/>
  <c r="AB86" i="1"/>
  <c r="Z85" i="1"/>
  <c r="AC85" i="1" s="1"/>
  <c r="Z79" i="1"/>
  <c r="AB74" i="1"/>
  <c r="AP70" i="1"/>
  <c r="AP55" i="1"/>
  <c r="AB47" i="1"/>
  <c r="AB45" i="1"/>
  <c r="Z30" i="1"/>
  <c r="AC30" i="1" s="1"/>
  <c r="Z29" i="1"/>
  <c r="AC29" i="1" s="1"/>
  <c r="AB28" i="1"/>
  <c r="Z26" i="1"/>
  <c r="AC26" i="1" s="1"/>
  <c r="Z9" i="1"/>
  <c r="AC9" i="1" s="1"/>
  <c r="AB269" i="1"/>
  <c r="Z262" i="1"/>
  <c r="AB261" i="1"/>
  <c r="AP258" i="1"/>
  <c r="AB237" i="1"/>
  <c r="AQ196" i="1"/>
  <c r="AA9" i="1"/>
  <c r="V9" i="1" s="1"/>
  <c r="AQ919" i="1"/>
  <c r="AP919" i="1"/>
  <c r="AQ911" i="1"/>
  <c r="AP911" i="1"/>
  <c r="AQ895" i="1"/>
  <c r="AP895" i="1"/>
  <c r="AQ822" i="1"/>
  <c r="AP822" i="1"/>
  <c r="AQ812" i="1"/>
  <c r="AP812" i="1"/>
  <c r="AQ808" i="1"/>
  <c r="AP808" i="1"/>
  <c r="AQ907" i="1"/>
  <c r="AP907" i="1"/>
  <c r="AQ891" i="1"/>
  <c r="AP891" i="1"/>
  <c r="AC840" i="1"/>
  <c r="AA840" i="1"/>
  <c r="V840" i="1" s="1"/>
  <c r="AQ820" i="1"/>
  <c r="AP820" i="1"/>
  <c r="AQ788" i="1"/>
  <c r="AP788" i="1"/>
  <c r="AQ923" i="1"/>
  <c r="AP923" i="1"/>
  <c r="AQ903" i="1"/>
  <c r="AP903" i="1"/>
  <c r="AQ887" i="1"/>
  <c r="AP887" i="1"/>
  <c r="AQ867" i="1"/>
  <c r="AP867" i="1"/>
  <c r="AQ860" i="1"/>
  <c r="AP860" i="1"/>
  <c r="AC856" i="1"/>
  <c r="AA856" i="1"/>
  <c r="V856" i="1" s="1"/>
  <c r="AC824" i="1"/>
  <c r="AA824" i="1"/>
  <c r="V824" i="1" s="1"/>
  <c r="AQ796" i="1"/>
  <c r="AP796" i="1"/>
  <c r="AQ792" i="1"/>
  <c r="AP792" i="1"/>
  <c r="AQ915" i="1"/>
  <c r="AP915" i="1"/>
  <c r="AQ899" i="1"/>
  <c r="AP899" i="1"/>
  <c r="AQ883" i="1"/>
  <c r="AP883" i="1"/>
  <c r="AQ879" i="1"/>
  <c r="AP879" i="1"/>
  <c r="AQ875" i="1"/>
  <c r="AP875" i="1"/>
  <c r="AQ804" i="1"/>
  <c r="AP804" i="1"/>
  <c r="Z879" i="1"/>
  <c r="AC879" i="1" s="1"/>
  <c r="Z875" i="1"/>
  <c r="AC875" i="1" s="1"/>
  <c r="AA874" i="1"/>
  <c r="V874" i="1" s="1"/>
  <c r="AA872" i="1"/>
  <c r="V872" i="1" s="1"/>
  <c r="Z867" i="1"/>
  <c r="AC867" i="1" s="1"/>
  <c r="AA866" i="1"/>
  <c r="V866" i="1" s="1"/>
  <c r="AA864" i="1"/>
  <c r="V864" i="1" s="1"/>
  <c r="Z860" i="1"/>
  <c r="AC860" i="1" s="1"/>
  <c r="Z852" i="1"/>
  <c r="AC852" i="1" s="1"/>
  <c r="Z851" i="1"/>
  <c r="AA848" i="1"/>
  <c r="V848" i="1" s="1"/>
  <c r="Z842" i="1"/>
  <c r="AC842" i="1" s="1"/>
  <c r="AB840" i="1"/>
  <c r="Z835" i="1"/>
  <c r="AQ833" i="1"/>
  <c r="Z831" i="1"/>
  <c r="AQ829" i="1"/>
  <c r="Z827" i="1"/>
  <c r="AB824" i="1"/>
  <c r="Z821" i="1"/>
  <c r="AC821" i="1" s="1"/>
  <c r="AP814" i="1"/>
  <c r="AB814" i="1"/>
  <c r="AA808" i="1"/>
  <c r="V808" i="1" s="1"/>
  <c r="Z805" i="1"/>
  <c r="AC805" i="1" s="1"/>
  <c r="AP798" i="1"/>
  <c r="AB798" i="1"/>
  <c r="AA792" i="1"/>
  <c r="V792" i="1" s="1"/>
  <c r="AB782" i="1"/>
  <c r="AB778" i="1"/>
  <c r="AB774" i="1"/>
  <c r="AB770" i="1"/>
  <c r="AB766" i="1"/>
  <c r="AB762" i="1"/>
  <c r="AB758" i="1"/>
  <c r="AB754" i="1"/>
  <c r="AB753" i="1"/>
  <c r="Z753" i="1"/>
  <c r="AP751" i="1"/>
  <c r="Z750" i="1"/>
  <c r="AB745" i="1"/>
  <c r="Z745" i="1"/>
  <c r="AP743" i="1"/>
  <c r="Z742" i="1"/>
  <c r="Z738" i="1"/>
  <c r="AC738" i="1" s="1"/>
  <c r="AB730" i="1"/>
  <c r="AB722" i="1"/>
  <c r="AB714" i="1"/>
  <c r="AB706" i="1"/>
  <c r="AB698" i="1"/>
  <c r="AB690" i="1"/>
  <c r="AB682" i="1"/>
  <c r="AB674" i="1"/>
  <c r="AQ658" i="1"/>
  <c r="AC622" i="1"/>
  <c r="AA622" i="1"/>
  <c r="V622" i="1" s="1"/>
  <c r="AC606" i="1"/>
  <c r="AA606" i="1"/>
  <c r="V606" i="1" s="1"/>
  <c r="AC590" i="1"/>
  <c r="AA590" i="1"/>
  <c r="V590" i="1" s="1"/>
  <c r="AP572" i="1"/>
  <c r="AQ572" i="1"/>
  <c r="Z566" i="1"/>
  <c r="AB566" i="1"/>
  <c r="W544" i="1"/>
  <c r="Z544" i="1"/>
  <c r="AA544" i="1" s="1"/>
  <c r="V544" i="1" s="1"/>
  <c r="AA915" i="1"/>
  <c r="V915" i="1" s="1"/>
  <c r="AA903" i="1"/>
  <c r="V903" i="1" s="1"/>
  <c r="AA891" i="1"/>
  <c r="V891" i="1" s="1"/>
  <c r="AA879" i="1"/>
  <c r="V879" i="1" s="1"/>
  <c r="AB662" i="1"/>
  <c r="Z658" i="1"/>
  <c r="AC658" i="1" s="1"/>
  <c r="AP653" i="1"/>
  <c r="AQ653" i="1"/>
  <c r="AP645" i="1"/>
  <c r="AQ645" i="1"/>
  <c r="AP571" i="1"/>
  <c r="AQ571" i="1"/>
  <c r="AA919" i="1"/>
  <c r="V919" i="1" s="1"/>
  <c r="AA907" i="1"/>
  <c r="V907" i="1" s="1"/>
  <c r="AA895" i="1"/>
  <c r="V895" i="1" s="1"/>
  <c r="AA883" i="1"/>
  <c r="V883" i="1" s="1"/>
  <c r="Z865" i="1"/>
  <c r="Z850" i="1"/>
  <c r="AC850" i="1" s="1"/>
  <c r="AP846" i="1"/>
  <c r="Z843" i="1"/>
  <c r="Z822" i="1"/>
  <c r="Z806" i="1"/>
  <c r="Z790" i="1"/>
  <c r="Z786" i="1"/>
  <c r="AC786" i="1" s="1"/>
  <c r="AP784" i="1"/>
  <c r="AB780" i="1"/>
  <c r="AB776" i="1"/>
  <c r="AB772" i="1"/>
  <c r="AB768" i="1"/>
  <c r="AB764" i="1"/>
  <c r="AB760" i="1"/>
  <c r="AB756" i="1"/>
  <c r="AB749" i="1"/>
  <c r="Z749" i="1"/>
  <c r="AQ662" i="1"/>
  <c r="AB660" i="1"/>
  <c r="Z656" i="1"/>
  <c r="AC656" i="1" s="1"/>
  <c r="AB652" i="1"/>
  <c r="Z648" i="1"/>
  <c r="AC648" i="1" s="1"/>
  <c r="AB644" i="1"/>
  <c r="AC630" i="1"/>
  <c r="AA630" i="1"/>
  <c r="V630" i="1" s="1"/>
  <c r="AC614" i="1"/>
  <c r="AA614" i="1"/>
  <c r="V614" i="1" s="1"/>
  <c r="AC598" i="1"/>
  <c r="AA598" i="1"/>
  <c r="V598" i="1" s="1"/>
  <c r="Z571" i="1"/>
  <c r="AC571" i="1" s="1"/>
  <c r="AQ570" i="1"/>
  <c r="AP570" i="1"/>
  <c r="AA923" i="1"/>
  <c r="V923" i="1" s="1"/>
  <c r="AA911" i="1"/>
  <c r="V911" i="1" s="1"/>
  <c r="AA899" i="1"/>
  <c r="V899" i="1" s="1"/>
  <c r="AA887" i="1"/>
  <c r="V887" i="1" s="1"/>
  <c r="AA875" i="1"/>
  <c r="V875" i="1" s="1"/>
  <c r="AA867" i="1"/>
  <c r="V867" i="1" s="1"/>
  <c r="AA904" i="1"/>
  <c r="V904" i="1" s="1"/>
  <c r="Z873" i="1"/>
  <c r="AP871" i="1"/>
  <c r="Z855" i="1"/>
  <c r="AC855" i="1" s="1"/>
  <c r="Z818" i="1"/>
  <c r="AC818" i="1" s="1"/>
  <c r="AP816" i="1"/>
  <c r="Z802" i="1"/>
  <c r="AC802" i="1" s="1"/>
  <c r="AP800" i="1"/>
  <c r="AB925" i="1"/>
  <c r="Z924" i="1"/>
  <c r="AC924" i="1" s="1"/>
  <c r="AB921" i="1"/>
  <c r="Z920" i="1"/>
  <c r="AC920" i="1" s="1"/>
  <c r="AB917" i="1"/>
  <c r="Z916" i="1"/>
  <c r="AC916" i="1" s="1"/>
  <c r="AB913" i="1"/>
  <c r="Z912" i="1"/>
  <c r="AC912" i="1" s="1"/>
  <c r="AB909" i="1"/>
  <c r="Z908" i="1"/>
  <c r="AC908" i="1" s="1"/>
  <c r="AB905" i="1"/>
  <c r="Z904" i="1"/>
  <c r="AC904" i="1" s="1"/>
  <c r="AB901" i="1"/>
  <c r="Z900" i="1"/>
  <c r="AC900" i="1" s="1"/>
  <c r="AB897" i="1"/>
  <c r="Z896" i="1"/>
  <c r="AC896" i="1" s="1"/>
  <c r="AB893" i="1"/>
  <c r="Z892" i="1"/>
  <c r="AC892" i="1" s="1"/>
  <c r="AB889" i="1"/>
  <c r="Z888" i="1"/>
  <c r="AC888" i="1" s="1"/>
  <c r="AB885" i="1"/>
  <c r="Z884" i="1"/>
  <c r="AC884" i="1" s="1"/>
  <c r="AB881" i="1"/>
  <c r="Z880" i="1"/>
  <c r="AC880" i="1" s="1"/>
  <c r="AB877" i="1"/>
  <c r="Z876" i="1"/>
  <c r="AC876" i="1" s="1"/>
  <c r="AB872" i="1"/>
  <c r="AA871" i="1"/>
  <c r="V871" i="1" s="1"/>
  <c r="AB869" i="1"/>
  <c r="Z868" i="1"/>
  <c r="AC868" i="1" s="1"/>
  <c r="AB864" i="1"/>
  <c r="Z863" i="1"/>
  <c r="Z862" i="1"/>
  <c r="AA860" i="1"/>
  <c r="V860" i="1" s="1"/>
  <c r="AP857" i="1"/>
  <c r="AB856" i="1"/>
  <c r="AA852" i="1"/>
  <c r="V852" i="1" s="1"/>
  <c r="Z846" i="1"/>
  <c r="AC846" i="1" s="1"/>
  <c r="AB844" i="1"/>
  <c r="AP842" i="1"/>
  <c r="Z839" i="1"/>
  <c r="AA836" i="1"/>
  <c r="V836" i="1" s="1"/>
  <c r="AA832" i="1"/>
  <c r="V832" i="1" s="1"/>
  <c r="AA828" i="1"/>
  <c r="V828" i="1" s="1"/>
  <c r="AA821" i="1"/>
  <c r="V821" i="1" s="1"/>
  <c r="AB815" i="1"/>
  <c r="AA814" i="1"/>
  <c r="V814" i="1" s="1"/>
  <c r="AA812" i="1"/>
  <c r="V812" i="1" s="1"/>
  <c r="AB809" i="1"/>
  <c r="AA805" i="1"/>
  <c r="V805" i="1" s="1"/>
  <c r="AB799" i="1"/>
  <c r="AA798" i="1"/>
  <c r="V798" i="1" s="1"/>
  <c r="AA796" i="1"/>
  <c r="V796" i="1" s="1"/>
  <c r="AB793" i="1"/>
  <c r="AB783" i="1"/>
  <c r="Z781" i="1"/>
  <c r="AB779" i="1"/>
  <c r="Z777" i="1"/>
  <c r="AB775" i="1"/>
  <c r="Z773" i="1"/>
  <c r="AB771" i="1"/>
  <c r="Z769" i="1"/>
  <c r="AB767" i="1"/>
  <c r="Z765" i="1"/>
  <c r="AB763" i="1"/>
  <c r="Z761" i="1"/>
  <c r="AB759" i="1"/>
  <c r="Z757" i="1"/>
  <c r="AB755" i="1"/>
  <c r="Z752" i="1"/>
  <c r="AB748" i="1"/>
  <c r="Z744" i="1"/>
  <c r="AP649" i="1"/>
  <c r="AQ649" i="1"/>
  <c r="AP641" i="1"/>
  <c r="AQ641" i="1"/>
  <c r="Z632" i="1"/>
  <c r="AC632" i="1" s="1"/>
  <c r="AP631" i="1"/>
  <c r="AA627" i="1"/>
  <c r="V627" i="1" s="1"/>
  <c r="Z624" i="1"/>
  <c r="AC624" i="1" s="1"/>
  <c r="AP623" i="1"/>
  <c r="AA619" i="1"/>
  <c r="V619" i="1" s="1"/>
  <c r="Z616" i="1"/>
  <c r="AC616" i="1" s="1"/>
  <c r="AP615" i="1"/>
  <c r="AA611" i="1"/>
  <c r="V611" i="1" s="1"/>
  <c r="Z608" i="1"/>
  <c r="AC608" i="1" s="1"/>
  <c r="AP607" i="1"/>
  <c r="AA603" i="1"/>
  <c r="V603" i="1" s="1"/>
  <c r="Z600" i="1"/>
  <c r="AC600" i="1" s="1"/>
  <c r="AP599" i="1"/>
  <c r="AA595" i="1"/>
  <c r="V595" i="1" s="1"/>
  <c r="Z592" i="1"/>
  <c r="AC592" i="1" s="1"/>
  <c r="AP591" i="1"/>
  <c r="U587" i="1"/>
  <c r="U584" i="1"/>
  <c r="T583" i="1"/>
  <c r="W583" i="1" s="1"/>
  <c r="AB580" i="1"/>
  <c r="T580" i="1"/>
  <c r="W580" i="1" s="1"/>
  <c r="AP580" i="1" s="1"/>
  <c r="T579" i="1"/>
  <c r="W579" i="1" s="1"/>
  <c r="U576" i="1"/>
  <c r="AA575" i="1"/>
  <c r="V575" i="1" s="1"/>
  <c r="U574" i="1"/>
  <c r="T561" i="1"/>
  <c r="W561" i="1" s="1"/>
  <c r="U561" i="1"/>
  <c r="AB558" i="1"/>
  <c r="AA556" i="1"/>
  <c r="V556" i="1" s="1"/>
  <c r="T554" i="1"/>
  <c r="W554" i="1" s="1"/>
  <c r="U554" i="1"/>
  <c r="Z551" i="1"/>
  <c r="T549" i="1"/>
  <c r="W549" i="1" s="1"/>
  <c r="U549" i="1"/>
  <c r="AP540" i="1"/>
  <c r="AQ540" i="1"/>
  <c r="AP514" i="1"/>
  <c r="AQ514" i="1"/>
  <c r="AP510" i="1"/>
  <c r="AQ510" i="1"/>
  <c r="AP506" i="1"/>
  <c r="AQ506" i="1"/>
  <c r="AQ503" i="1"/>
  <c r="AP503" i="1"/>
  <c r="Z501" i="1"/>
  <c r="AA501" i="1" s="1"/>
  <c r="V501" i="1" s="1"/>
  <c r="W501" i="1"/>
  <c r="AP454" i="1"/>
  <c r="AQ454" i="1"/>
  <c r="Z450" i="1"/>
  <c r="AC450" i="1" s="1"/>
  <c r="AP753" i="1"/>
  <c r="AB751" i="1"/>
  <c r="AP749" i="1"/>
  <c r="AB747" i="1"/>
  <c r="AP745" i="1"/>
  <c r="AB743" i="1"/>
  <c r="AB739" i="1"/>
  <c r="Z726" i="1"/>
  <c r="AC726" i="1" s="1"/>
  <c r="AB724" i="1"/>
  <c r="AB723" i="1"/>
  <c r="Z710" i="1"/>
  <c r="AC710" i="1" s="1"/>
  <c r="AB708" i="1"/>
  <c r="AB707" i="1"/>
  <c r="Z694" i="1"/>
  <c r="AC694" i="1" s="1"/>
  <c r="AB692" i="1"/>
  <c r="AB691" i="1"/>
  <c r="Z678" i="1"/>
  <c r="AC678" i="1" s="1"/>
  <c r="AB676" i="1"/>
  <c r="AB675" i="1"/>
  <c r="AP651" i="1"/>
  <c r="Z650" i="1"/>
  <c r="AC650" i="1" s="1"/>
  <c r="AB649" i="1"/>
  <c r="AP643" i="1"/>
  <c r="Z642" i="1"/>
  <c r="AC642" i="1" s="1"/>
  <c r="AB641" i="1"/>
  <c r="AP639" i="1"/>
  <c r="AB638" i="1"/>
  <c r="AB630" i="1"/>
  <c r="Z629" i="1"/>
  <c r="AA628" i="1"/>
  <c r="V628" i="1" s="1"/>
  <c r="AB622" i="1"/>
  <c r="Z621" i="1"/>
  <c r="AA620" i="1"/>
  <c r="V620" i="1" s="1"/>
  <c r="AB614" i="1"/>
  <c r="Z613" i="1"/>
  <c r="AA612" i="1"/>
  <c r="V612" i="1" s="1"/>
  <c r="AB606" i="1"/>
  <c r="Z605" i="1"/>
  <c r="AA604" i="1"/>
  <c r="V604" i="1" s="1"/>
  <c r="AB598" i="1"/>
  <c r="Z597" i="1"/>
  <c r="AA596" i="1"/>
  <c r="V596" i="1" s="1"/>
  <c r="AB590" i="1"/>
  <c r="Z589" i="1"/>
  <c r="AA588" i="1"/>
  <c r="V588" i="1" s="1"/>
  <c r="T587" i="1"/>
  <c r="W587" i="1" s="1"/>
  <c r="AB584" i="1"/>
  <c r="T584" i="1"/>
  <c r="W584" i="1" s="1"/>
  <c r="AP584" i="1" s="1"/>
  <c r="Z582" i="1"/>
  <c r="AC582" i="1" s="1"/>
  <c r="Z581" i="1"/>
  <c r="X579" i="1"/>
  <c r="Z579" i="1" s="1"/>
  <c r="AC579" i="1" s="1"/>
  <c r="AQ578" i="1"/>
  <c r="U573" i="1"/>
  <c r="AB567" i="1"/>
  <c r="T565" i="1"/>
  <c r="U565" i="1"/>
  <c r="X560" i="1"/>
  <c r="Z560" i="1" s="1"/>
  <c r="AC560" i="1" s="1"/>
  <c r="T560" i="1"/>
  <c r="W560" i="1" s="1"/>
  <c r="Z558" i="1"/>
  <c r="AC558" i="1" s="1"/>
  <c r="X554" i="1"/>
  <c r="Z554" i="1" s="1"/>
  <c r="AC554" i="1" s="1"/>
  <c r="T552" i="1"/>
  <c r="W552" i="1" s="1"/>
  <c r="U552" i="1"/>
  <c r="Z545" i="1"/>
  <c r="Z542" i="1"/>
  <c r="AA542" i="1" s="1"/>
  <c r="V542" i="1" s="1"/>
  <c r="X541" i="1"/>
  <c r="T541" i="1"/>
  <c r="W541" i="1" s="1"/>
  <c r="AP541" i="1" s="1"/>
  <c r="Z531" i="1"/>
  <c r="AB531" i="1"/>
  <c r="Z519" i="1"/>
  <c r="AC519" i="1" s="1"/>
  <c r="Z512" i="1"/>
  <c r="AC512" i="1" s="1"/>
  <c r="Z508" i="1"/>
  <c r="AC508" i="1" s="1"/>
  <c r="Z507" i="1"/>
  <c r="AC484" i="1"/>
  <c r="AA484" i="1"/>
  <c r="V484" i="1" s="1"/>
  <c r="AP463" i="1"/>
  <c r="AQ463" i="1"/>
  <c r="Z633" i="1"/>
  <c r="AA631" i="1"/>
  <c r="V631" i="1" s="1"/>
  <c r="AP627" i="1"/>
  <c r="AA623" i="1"/>
  <c r="V623" i="1" s="1"/>
  <c r="AP619" i="1"/>
  <c r="AA615" i="1"/>
  <c r="V615" i="1" s="1"/>
  <c r="AP611" i="1"/>
  <c r="AA607" i="1"/>
  <c r="V607" i="1" s="1"/>
  <c r="AP603" i="1"/>
  <c r="AA599" i="1"/>
  <c r="V599" i="1" s="1"/>
  <c r="AP595" i="1"/>
  <c r="AA591" i="1"/>
  <c r="V591" i="1" s="1"/>
  <c r="Z586" i="1"/>
  <c r="AC586" i="1" s="1"/>
  <c r="Z585" i="1"/>
  <c r="AA570" i="1"/>
  <c r="V570" i="1" s="1"/>
  <c r="Z569" i="1"/>
  <c r="AC569" i="1" s="1"/>
  <c r="X561" i="1"/>
  <c r="Z561" i="1" s="1"/>
  <c r="AC561" i="1" s="1"/>
  <c r="T559" i="1"/>
  <c r="W559" i="1" s="1"/>
  <c r="X549" i="1"/>
  <c r="Z549" i="1" s="1"/>
  <c r="AC549" i="1" s="1"/>
  <c r="AQ547" i="1"/>
  <c r="AP543" i="1"/>
  <c r="AQ543" i="1"/>
  <c r="Z540" i="1"/>
  <c r="AC540" i="1" s="1"/>
  <c r="AP517" i="1"/>
  <c r="AQ517" i="1"/>
  <c r="AQ511" i="1"/>
  <c r="AP511" i="1"/>
  <c r="AQ500" i="1"/>
  <c r="AP500" i="1"/>
  <c r="AQ496" i="1"/>
  <c r="AP496" i="1"/>
  <c r="AP464" i="1"/>
  <c r="AQ464" i="1"/>
  <c r="AQ450" i="1"/>
  <c r="AP450" i="1"/>
  <c r="AB732" i="1"/>
  <c r="AB731" i="1"/>
  <c r="AB716" i="1"/>
  <c r="AB715" i="1"/>
  <c r="AB700" i="1"/>
  <c r="AB699" i="1"/>
  <c r="AB684" i="1"/>
  <c r="AB683" i="1"/>
  <c r="AB668" i="1"/>
  <c r="AB664" i="1"/>
  <c r="AP655" i="1"/>
  <c r="AB653" i="1"/>
  <c r="AP647" i="1"/>
  <c r="AB645" i="1"/>
  <c r="AA638" i="1"/>
  <c r="V638" i="1" s="1"/>
  <c r="Z635" i="1"/>
  <c r="AC635" i="1" s="1"/>
  <c r="AB634" i="1"/>
  <c r="AP632" i="1"/>
  <c r="AB626" i="1"/>
  <c r="AA624" i="1"/>
  <c r="V624" i="1" s="1"/>
  <c r="AB618" i="1"/>
  <c r="AA616" i="1"/>
  <c r="V616" i="1" s="1"/>
  <c r="AB610" i="1"/>
  <c r="AA608" i="1"/>
  <c r="V608" i="1" s="1"/>
  <c r="AB602" i="1"/>
  <c r="AA600" i="1"/>
  <c r="V600" i="1" s="1"/>
  <c r="AB594" i="1"/>
  <c r="AA592" i="1"/>
  <c r="V592" i="1" s="1"/>
  <c r="Z573" i="1"/>
  <c r="AC573" i="1" s="1"/>
  <c r="AB572" i="1"/>
  <c r="Z570" i="1"/>
  <c r="AC570" i="1" s="1"/>
  <c r="Z559" i="1"/>
  <c r="AC559" i="1" s="1"/>
  <c r="AB559" i="1"/>
  <c r="X555" i="1"/>
  <c r="T555" i="1"/>
  <c r="W555" i="1" s="1"/>
  <c r="AQ555" i="1" s="1"/>
  <c r="Z552" i="1"/>
  <c r="AC552" i="1" s="1"/>
  <c r="Z548" i="1"/>
  <c r="AA546" i="1"/>
  <c r="V546" i="1" s="1"/>
  <c r="AB546" i="1"/>
  <c r="AA543" i="1"/>
  <c r="V543" i="1" s="1"/>
  <c r="AA533" i="1"/>
  <c r="V533" i="1" s="1"/>
  <c r="AP513" i="1"/>
  <c r="AQ513" i="1"/>
  <c r="AP509" i="1"/>
  <c r="AQ509" i="1"/>
  <c r="AA491" i="1"/>
  <c r="V491" i="1" s="1"/>
  <c r="W476" i="1"/>
  <c r="Z476" i="1"/>
  <c r="AC476" i="1" s="1"/>
  <c r="AA473" i="1"/>
  <c r="V473" i="1" s="1"/>
  <c r="W467" i="1"/>
  <c r="Z467" i="1"/>
  <c r="AC467" i="1" s="1"/>
  <c r="AQ453" i="1"/>
  <c r="AP453" i="1"/>
  <c r="Z562" i="1"/>
  <c r="AC562" i="1" s="1"/>
  <c r="AA560" i="1"/>
  <c r="V560" i="1" s="1"/>
  <c r="T537" i="1"/>
  <c r="W537" i="1" s="1"/>
  <c r="AB535" i="1"/>
  <c r="Z534" i="1"/>
  <c r="AA532" i="1"/>
  <c r="V532" i="1" s="1"/>
  <c r="AQ530" i="1"/>
  <c r="AB530" i="1"/>
  <c r="Z528" i="1"/>
  <c r="X527" i="1"/>
  <c r="Z527" i="1" s="1"/>
  <c r="W526" i="1"/>
  <c r="T523" i="1"/>
  <c r="W523" i="1" s="1"/>
  <c r="T522" i="1"/>
  <c r="W522" i="1" s="1"/>
  <c r="T520" i="1"/>
  <c r="W520" i="1" s="1"/>
  <c r="U519" i="1"/>
  <c r="X517" i="1"/>
  <c r="Z517" i="1" s="1"/>
  <c r="AC517" i="1" s="1"/>
  <c r="U515" i="1"/>
  <c r="X514" i="1"/>
  <c r="Z514" i="1" s="1"/>
  <c r="AA514" i="1" s="1"/>
  <c r="V514" i="1" s="1"/>
  <c r="X513" i="1"/>
  <c r="Z513" i="1" s="1"/>
  <c r="AC513" i="1" s="1"/>
  <c r="U511" i="1"/>
  <c r="X510" i="1"/>
  <c r="Z510" i="1" s="1"/>
  <c r="AA510" i="1" s="1"/>
  <c r="V510" i="1" s="1"/>
  <c r="X509" i="1"/>
  <c r="Z509" i="1" s="1"/>
  <c r="AC509" i="1" s="1"/>
  <c r="AB507" i="1"/>
  <c r="X506" i="1"/>
  <c r="Z506" i="1" s="1"/>
  <c r="AC506" i="1" s="1"/>
  <c r="AB502" i="1"/>
  <c r="Z499" i="1"/>
  <c r="AC499" i="1" s="1"/>
  <c r="X496" i="1"/>
  <c r="Z496" i="1" s="1"/>
  <c r="AC496" i="1" s="1"/>
  <c r="U495" i="1"/>
  <c r="AB484" i="1"/>
  <c r="AA481" i="1"/>
  <c r="V481" i="1" s="1"/>
  <c r="X480" i="1"/>
  <c r="Z480" i="1" s="1"/>
  <c r="AC480" i="1" s="1"/>
  <c r="U479" i="1"/>
  <c r="U478" i="1"/>
  <c r="U472" i="1"/>
  <c r="U468" i="1"/>
  <c r="Z466" i="1"/>
  <c r="AC466" i="1" s="1"/>
  <c r="X465" i="1"/>
  <c r="Z465" i="1" s="1"/>
  <c r="AC465" i="1" s="1"/>
  <c r="X464" i="1"/>
  <c r="Z464" i="1" s="1"/>
  <c r="AC464" i="1" s="1"/>
  <c r="U463" i="1"/>
  <c r="U460" i="1"/>
  <c r="Z458" i="1"/>
  <c r="X454" i="1"/>
  <c r="Z454" i="1" s="1"/>
  <c r="AC454" i="1" s="1"/>
  <c r="Z453" i="1"/>
  <c r="AC453" i="1" s="1"/>
  <c r="U450" i="1"/>
  <c r="X448" i="1"/>
  <c r="T448" i="1"/>
  <c r="W448" i="1" s="1"/>
  <c r="AP447" i="1"/>
  <c r="AQ447" i="1"/>
  <c r="W436" i="1"/>
  <c r="Z436" i="1"/>
  <c r="AC436" i="1" s="1"/>
  <c r="Z430" i="1"/>
  <c r="Z423" i="1"/>
  <c r="W423" i="1"/>
  <c r="AQ423" i="1" s="1"/>
  <c r="AC421" i="1"/>
  <c r="AA421" i="1"/>
  <c r="V421" i="1" s="1"/>
  <c r="Z412" i="1"/>
  <c r="AA412" i="1" s="1"/>
  <c r="V412" i="1" s="1"/>
  <c r="W412" i="1"/>
  <c r="AP400" i="1"/>
  <c r="AQ400" i="1"/>
  <c r="AB384" i="1"/>
  <c r="Z383" i="1"/>
  <c r="AC383" i="1" s="1"/>
  <c r="AB379" i="1"/>
  <c r="AP374" i="1"/>
  <c r="AQ374" i="1"/>
  <c r="AP368" i="1"/>
  <c r="AQ368" i="1"/>
  <c r="AB565" i="1"/>
  <c r="Z564" i="1"/>
  <c r="AC564" i="1" s="1"/>
  <c r="Z563" i="1"/>
  <c r="AA559" i="1"/>
  <c r="V559" i="1" s="1"/>
  <c r="AB556" i="1"/>
  <c r="AB554" i="1"/>
  <c r="Z539" i="1"/>
  <c r="AC539" i="1" s="1"/>
  <c r="X537" i="1"/>
  <c r="Z537" i="1" s="1"/>
  <c r="AA537" i="1" s="1"/>
  <c r="V537" i="1" s="1"/>
  <c r="Z536" i="1"/>
  <c r="AC536" i="1" s="1"/>
  <c r="AB521" i="1"/>
  <c r="X520" i="1"/>
  <c r="Z520" i="1" s="1"/>
  <c r="AC520" i="1" s="1"/>
  <c r="AA516" i="1"/>
  <c r="V516" i="1" s="1"/>
  <c r="AB515" i="1"/>
  <c r="T515" i="1"/>
  <c r="W515" i="1" s="1"/>
  <c r="AA512" i="1"/>
  <c r="V512" i="1" s="1"/>
  <c r="AB511" i="1"/>
  <c r="AA508" i="1"/>
  <c r="V508" i="1" s="1"/>
  <c r="AA505" i="1"/>
  <c r="V505" i="1" s="1"/>
  <c r="Z502" i="1"/>
  <c r="AB495" i="1"/>
  <c r="Z488" i="1"/>
  <c r="AA487" i="1"/>
  <c r="V487" i="1" s="1"/>
  <c r="Z486" i="1"/>
  <c r="AC486" i="1" s="1"/>
  <c r="AA483" i="1"/>
  <c r="V483" i="1" s="1"/>
  <c r="Z482" i="1"/>
  <c r="AC482" i="1" s="1"/>
  <c r="T472" i="1"/>
  <c r="W472" i="1" s="1"/>
  <c r="T468" i="1"/>
  <c r="W468" i="1" s="1"/>
  <c r="AB460" i="1"/>
  <c r="T460" i="1"/>
  <c r="W460" i="1" s="1"/>
  <c r="Z438" i="1"/>
  <c r="AB438" i="1"/>
  <c r="AP433" i="1"/>
  <c r="AQ433" i="1"/>
  <c r="AP426" i="1"/>
  <c r="AP406" i="1"/>
  <c r="AQ406" i="1"/>
  <c r="Z400" i="1"/>
  <c r="AA400" i="1" s="1"/>
  <c r="V400" i="1" s="1"/>
  <c r="Z393" i="1"/>
  <c r="AC393" i="1" s="1"/>
  <c r="W363" i="1"/>
  <c r="Z363" i="1"/>
  <c r="AC363" i="1" s="1"/>
  <c r="AA526" i="1"/>
  <c r="V526" i="1" s="1"/>
  <c r="AA525" i="1"/>
  <c r="V525" i="1" s="1"/>
  <c r="Z522" i="1"/>
  <c r="AC522" i="1" s="1"/>
  <c r="AA519" i="1"/>
  <c r="V519" i="1" s="1"/>
  <c r="AA518" i="1"/>
  <c r="V518" i="1" s="1"/>
  <c r="U514" i="1"/>
  <c r="U513" i="1"/>
  <c r="U510" i="1"/>
  <c r="U509" i="1"/>
  <c r="U506" i="1"/>
  <c r="AA503" i="1"/>
  <c r="V503" i="1" s="1"/>
  <c r="AB501" i="1"/>
  <c r="AA500" i="1"/>
  <c r="V500" i="1" s="1"/>
  <c r="Z498" i="1"/>
  <c r="U496" i="1"/>
  <c r="AA494" i="1"/>
  <c r="V494" i="1" s="1"/>
  <c r="AB493" i="1"/>
  <c r="Z492" i="1"/>
  <c r="AB491" i="1"/>
  <c r="AA485" i="1"/>
  <c r="V485" i="1" s="1"/>
  <c r="AB477" i="1"/>
  <c r="AB473" i="1"/>
  <c r="Z471" i="1"/>
  <c r="AC471" i="1" s="1"/>
  <c r="AA469" i="1"/>
  <c r="V469" i="1" s="1"/>
  <c r="AB449" i="1"/>
  <c r="T449" i="1"/>
  <c r="W449" i="1" s="1"/>
  <c r="AB445" i="1"/>
  <c r="AP443" i="1"/>
  <c r="AP440" i="1"/>
  <c r="AQ440" i="1"/>
  <c r="AB437" i="1"/>
  <c r="AP434" i="1"/>
  <c r="AA427" i="1"/>
  <c r="V427" i="1" s="1"/>
  <c r="AP397" i="1"/>
  <c r="AQ397" i="1"/>
  <c r="AP387" i="1"/>
  <c r="AQ387" i="1"/>
  <c r="AP378" i="1"/>
  <c r="AQ378" i="1"/>
  <c r="W371" i="1"/>
  <c r="Z371" i="1"/>
  <c r="AC371" i="1" s="1"/>
  <c r="AP359" i="1"/>
  <c r="AQ359" i="1"/>
  <c r="AQ354" i="1"/>
  <c r="AP354" i="1"/>
  <c r="AP351" i="1"/>
  <c r="AQ351" i="1"/>
  <c r="W328" i="1"/>
  <c r="Z328" i="1"/>
  <c r="AC328" i="1" s="1"/>
  <c r="Z538" i="1"/>
  <c r="AB533" i="1"/>
  <c r="AB527" i="1"/>
  <c r="Z525" i="1"/>
  <c r="AC525" i="1" s="1"/>
  <c r="Z524" i="1"/>
  <c r="AA521" i="1"/>
  <c r="V521" i="1" s="1"/>
  <c r="AA517" i="1"/>
  <c r="V517" i="1" s="1"/>
  <c r="AB514" i="1"/>
  <c r="AA513" i="1"/>
  <c r="V513" i="1" s="1"/>
  <c r="AB510" i="1"/>
  <c r="AA509" i="1"/>
  <c r="V509" i="1" s="1"/>
  <c r="AA506" i="1"/>
  <c r="V506" i="1" s="1"/>
  <c r="AB497" i="1"/>
  <c r="AA496" i="1"/>
  <c r="V496" i="1" s="1"/>
  <c r="AA489" i="1"/>
  <c r="V489" i="1" s="1"/>
  <c r="AB488" i="1"/>
  <c r="AB480" i="1"/>
  <c r="Z479" i="1"/>
  <c r="AC479" i="1" s="1"/>
  <c r="Z478" i="1"/>
  <c r="AA476" i="1"/>
  <c r="V476" i="1" s="1"/>
  <c r="Z475" i="1"/>
  <c r="AC475" i="1" s="1"/>
  <c r="Z474" i="1"/>
  <c r="AA467" i="1"/>
  <c r="V467" i="1" s="1"/>
  <c r="AA466" i="1"/>
  <c r="V466" i="1" s="1"/>
  <c r="AB465" i="1"/>
  <c r="AB464" i="1"/>
  <c r="Z455" i="1"/>
  <c r="AC455" i="1" s="1"/>
  <c r="AB454" i="1"/>
  <c r="AA453" i="1"/>
  <c r="V453" i="1" s="1"/>
  <c r="T444" i="1"/>
  <c r="W444" i="1" s="1"/>
  <c r="U444" i="1"/>
  <c r="T439" i="1"/>
  <c r="W439" i="1" s="1"/>
  <c r="U439" i="1"/>
  <c r="Z408" i="1"/>
  <c r="AC408" i="1" s="1"/>
  <c r="Z387" i="1"/>
  <c r="AA387" i="1" s="1"/>
  <c r="V387" i="1" s="1"/>
  <c r="Z359" i="1"/>
  <c r="AA359" i="1" s="1"/>
  <c r="V359" i="1" s="1"/>
  <c r="Z442" i="1"/>
  <c r="AC442" i="1" s="1"/>
  <c r="X441" i="1"/>
  <c r="Z441" i="1" s="1"/>
  <c r="AC441" i="1" s="1"/>
  <c r="X437" i="1"/>
  <c r="Z437" i="1" s="1"/>
  <c r="AA437" i="1" s="1"/>
  <c r="V437" i="1" s="1"/>
  <c r="AB435" i="1"/>
  <c r="X433" i="1"/>
  <c r="Z433" i="1" s="1"/>
  <c r="AC433" i="1" s="1"/>
  <c r="AA429" i="1"/>
  <c r="V429" i="1" s="1"/>
  <c r="AB428" i="1"/>
  <c r="AB423" i="1"/>
  <c r="AP422" i="1"/>
  <c r="U419" i="1"/>
  <c r="X416" i="1"/>
  <c r="Z416" i="1" s="1"/>
  <c r="AA415" i="1"/>
  <c r="V415" i="1" s="1"/>
  <c r="X413" i="1"/>
  <c r="Z413" i="1" s="1"/>
  <c r="AB412" i="1"/>
  <c r="Z410" i="1"/>
  <c r="X407" i="1"/>
  <c r="Z407" i="1" s="1"/>
  <c r="AB406" i="1"/>
  <c r="Z404" i="1"/>
  <c r="X401" i="1"/>
  <c r="Z401" i="1" s="1"/>
  <c r="AB400" i="1"/>
  <c r="U397" i="1"/>
  <c r="X394" i="1"/>
  <c r="Z394" i="1" s="1"/>
  <c r="AA393" i="1"/>
  <c r="V393" i="1" s="1"/>
  <c r="X391" i="1"/>
  <c r="Z391" i="1" s="1"/>
  <c r="AQ390" i="1"/>
  <c r="AB390" i="1"/>
  <c r="AB387" i="1"/>
  <c r="U384" i="1"/>
  <c r="U383" i="1"/>
  <c r="U382" i="1"/>
  <c r="U381" i="1"/>
  <c r="U379" i="1"/>
  <c r="X376" i="1"/>
  <c r="Z376" i="1" s="1"/>
  <c r="AC376" i="1" s="1"/>
  <c r="X374" i="1"/>
  <c r="Z374" i="1" s="1"/>
  <c r="AA374" i="1" s="1"/>
  <c r="V374" i="1" s="1"/>
  <c r="Z373" i="1"/>
  <c r="AC373" i="1" s="1"/>
  <c r="Z370" i="1"/>
  <c r="AC370" i="1" s="1"/>
  <c r="X368" i="1"/>
  <c r="Z368" i="1" s="1"/>
  <c r="AA368" i="1" s="1"/>
  <c r="V368" i="1" s="1"/>
  <c r="U364" i="1"/>
  <c r="X362" i="1"/>
  <c r="Z362" i="1" s="1"/>
  <c r="AC362" i="1" s="1"/>
  <c r="X360" i="1"/>
  <c r="Z360" i="1" s="1"/>
  <c r="AB359" i="1"/>
  <c r="T358" i="1"/>
  <c r="Z357" i="1"/>
  <c r="AC357" i="1" s="1"/>
  <c r="AB355" i="1"/>
  <c r="AA351" i="1"/>
  <c r="V351" i="1" s="1"/>
  <c r="AB350" i="1"/>
  <c r="U345" i="1"/>
  <c r="AB343" i="1"/>
  <c r="T343" i="1"/>
  <c r="W343" i="1" s="1"/>
  <c r="AA339" i="1"/>
  <c r="V339" i="1" s="1"/>
  <c r="AB334" i="1"/>
  <c r="Z330" i="1"/>
  <c r="AB325" i="1"/>
  <c r="AA324" i="1"/>
  <c r="V324" i="1" s="1"/>
  <c r="AP321" i="1"/>
  <c r="AQ321" i="1"/>
  <c r="AP309" i="1"/>
  <c r="AQ309" i="1"/>
  <c r="AP298" i="1"/>
  <c r="AQ298" i="1"/>
  <c r="AP291" i="1"/>
  <c r="AQ291" i="1"/>
  <c r="AP287" i="1"/>
  <c r="AQ287" i="1"/>
  <c r="W261" i="1"/>
  <c r="Z261" i="1"/>
  <c r="AA261" i="1" s="1"/>
  <c r="V261" i="1" s="1"/>
  <c r="AP260" i="1"/>
  <c r="AQ260" i="1"/>
  <c r="AP244" i="1"/>
  <c r="AQ244" i="1"/>
  <c r="AQ239" i="1"/>
  <c r="AP239" i="1"/>
  <c r="AQ235" i="1"/>
  <c r="AP235" i="1"/>
  <c r="Z443" i="1"/>
  <c r="AC443" i="1" s="1"/>
  <c r="AA436" i="1"/>
  <c r="V436" i="1" s="1"/>
  <c r="Z435" i="1"/>
  <c r="AC435" i="1" s="1"/>
  <c r="Z428" i="1"/>
  <c r="AC428" i="1" s="1"/>
  <c r="AA426" i="1"/>
  <c r="V426" i="1" s="1"/>
  <c r="Z424" i="1"/>
  <c r="Z420" i="1"/>
  <c r="AB419" i="1"/>
  <c r="T419" i="1"/>
  <c r="W419" i="1" s="1"/>
  <c r="AQ417" i="1"/>
  <c r="Z414" i="1"/>
  <c r="AC414" i="1" s="1"/>
  <c r="Z411" i="1"/>
  <c r="AC411" i="1" s="1"/>
  <c r="AB409" i="1"/>
  <c r="Z405" i="1"/>
  <c r="AC405" i="1" s="1"/>
  <c r="AA402" i="1"/>
  <c r="V402" i="1" s="1"/>
  <c r="AB397" i="1"/>
  <c r="Z392" i="1"/>
  <c r="AC392" i="1" s="1"/>
  <c r="T384" i="1"/>
  <c r="W384" i="1" s="1"/>
  <c r="AP384" i="1" s="1"/>
  <c r="AB381" i="1"/>
  <c r="T381" i="1"/>
  <c r="W381" i="1" s="1"/>
  <c r="T379" i="1"/>
  <c r="W379" i="1" s="1"/>
  <c r="AP379" i="1" s="1"/>
  <c r="AB372" i="1"/>
  <c r="AA367" i="1"/>
  <c r="V367" i="1" s="1"/>
  <c r="Z365" i="1"/>
  <c r="AB364" i="1"/>
  <c r="T364" i="1"/>
  <c r="W364" i="1" s="1"/>
  <c r="Z361" i="1"/>
  <c r="AC361" i="1" s="1"/>
  <c r="AA348" i="1"/>
  <c r="V348" i="1" s="1"/>
  <c r="U337" i="1"/>
  <c r="T337" i="1"/>
  <c r="W337" i="1" s="1"/>
  <c r="AP335" i="1"/>
  <c r="AQ335" i="1"/>
  <c r="T318" i="1"/>
  <c r="W318" i="1" s="1"/>
  <c r="U318" i="1"/>
  <c r="T317" i="1"/>
  <c r="W317" i="1" s="1"/>
  <c r="U317" i="1"/>
  <c r="W308" i="1"/>
  <c r="AQ308" i="1" s="1"/>
  <c r="Z308" i="1"/>
  <c r="AC308" i="1" s="1"/>
  <c r="AQ301" i="1"/>
  <c r="AP301" i="1"/>
  <c r="AP294" i="1"/>
  <c r="AQ294" i="1"/>
  <c r="Z288" i="1"/>
  <c r="AB288" i="1"/>
  <c r="AP283" i="1"/>
  <c r="AQ283" i="1"/>
  <c r="AQ278" i="1"/>
  <c r="AP278" i="1"/>
  <c r="AP265" i="1"/>
  <c r="AQ265" i="1"/>
  <c r="AB439" i="1"/>
  <c r="AA431" i="1"/>
  <c r="V431" i="1" s="1"/>
  <c r="AA422" i="1"/>
  <c r="V422" i="1" s="1"/>
  <c r="AA409" i="1"/>
  <c r="V409" i="1" s="1"/>
  <c r="U407" i="1"/>
  <c r="U401" i="1"/>
  <c r="AA399" i="1"/>
  <c r="V399" i="1" s="1"/>
  <c r="U394" i="1"/>
  <c r="U393" i="1"/>
  <c r="U392" i="1"/>
  <c r="U391" i="1"/>
  <c r="Z388" i="1"/>
  <c r="AC388" i="1" s="1"/>
  <c r="AA386" i="1"/>
  <c r="V386" i="1" s="1"/>
  <c r="AA383" i="1"/>
  <c r="V383" i="1" s="1"/>
  <c r="AB378" i="1"/>
  <c r="U368" i="1"/>
  <c r="Z366" i="1"/>
  <c r="AC366" i="1" s="1"/>
  <c r="U361" i="1"/>
  <c r="U360" i="1"/>
  <c r="AA354" i="1"/>
  <c r="V354" i="1" s="1"/>
  <c r="AB353" i="1"/>
  <c r="AB347" i="1"/>
  <c r="AB345" i="1"/>
  <c r="AP344" i="1"/>
  <c r="Z344" i="1"/>
  <c r="AC344" i="1" s="1"/>
  <c r="U343" i="1"/>
  <c r="AB342" i="1"/>
  <c r="T341" i="1"/>
  <c r="W341" i="1" s="1"/>
  <c r="X337" i="1"/>
  <c r="AQ332" i="1"/>
  <c r="Z332" i="1"/>
  <c r="AC332" i="1" s="1"/>
  <c r="AA328" i="1"/>
  <c r="V328" i="1" s="1"/>
  <c r="AP319" i="1"/>
  <c r="AQ319" i="1"/>
  <c r="AP299" i="1"/>
  <c r="AQ299" i="1"/>
  <c r="W282" i="1"/>
  <c r="Z282" i="1"/>
  <c r="AC282" i="1" s="1"/>
  <c r="AQ268" i="1"/>
  <c r="AP268" i="1"/>
  <c r="Z258" i="1"/>
  <c r="AB258" i="1"/>
  <c r="AQ252" i="1"/>
  <c r="AP252" i="1"/>
  <c r="AP250" i="1"/>
  <c r="AQ250" i="1"/>
  <c r="W240" i="1"/>
  <c r="Z240" i="1"/>
  <c r="AC240" i="1" s="1"/>
  <c r="W230" i="1"/>
  <c r="AP230" i="1" s="1"/>
  <c r="Z230" i="1"/>
  <c r="AC230" i="1" s="1"/>
  <c r="Z403" i="1"/>
  <c r="AC403" i="1" s="1"/>
  <c r="Z398" i="1"/>
  <c r="AC398" i="1" s="1"/>
  <c r="AB392" i="1"/>
  <c r="Z385" i="1"/>
  <c r="AC385" i="1" s="1"/>
  <c r="Z382" i="1"/>
  <c r="AC382" i="1" s="1"/>
  <c r="Z375" i="1"/>
  <c r="AB374" i="1"/>
  <c r="AA371" i="1"/>
  <c r="V371" i="1" s="1"/>
  <c r="Z369" i="1"/>
  <c r="AB368" i="1"/>
  <c r="AB365" i="1"/>
  <c r="AA363" i="1"/>
  <c r="V363" i="1" s="1"/>
  <c r="AB361" i="1"/>
  <c r="Z353" i="1"/>
  <c r="AC353" i="1" s="1"/>
  <c r="AB348" i="1"/>
  <c r="Z342" i="1"/>
  <c r="AA340" i="1"/>
  <c r="V340" i="1" s="1"/>
  <c r="AQ324" i="1"/>
  <c r="AP324" i="1"/>
  <c r="X318" i="1"/>
  <c r="X317" i="1"/>
  <c r="Z317" i="1" s="1"/>
  <c r="AC317" i="1" s="1"/>
  <c r="AP313" i="1"/>
  <c r="AQ313" i="1"/>
  <c r="AB251" i="1"/>
  <c r="AP251" i="1"/>
  <c r="AQ251" i="1"/>
  <c r="AB337" i="1"/>
  <c r="AA336" i="1"/>
  <c r="V336" i="1" s="1"/>
  <c r="AA333" i="1"/>
  <c r="V333" i="1" s="1"/>
  <c r="Z327" i="1"/>
  <c r="AC327" i="1" s="1"/>
  <c r="AA317" i="1"/>
  <c r="V317" i="1" s="1"/>
  <c r="T312" i="1"/>
  <c r="W312" i="1" s="1"/>
  <c r="T311" i="1"/>
  <c r="W311" i="1" s="1"/>
  <c r="T304" i="1"/>
  <c r="W304" i="1" s="1"/>
  <c r="Z301" i="1"/>
  <c r="AC301" i="1" s="1"/>
  <c r="Z299" i="1"/>
  <c r="Z295" i="1"/>
  <c r="AC295" i="1" s="1"/>
  <c r="X294" i="1"/>
  <c r="Z294" i="1" s="1"/>
  <c r="AC294" i="1" s="1"/>
  <c r="X292" i="1"/>
  <c r="AA290" i="1"/>
  <c r="V290" i="1" s="1"/>
  <c r="X287" i="1"/>
  <c r="Z287" i="1" s="1"/>
  <c r="AA287" i="1" s="1"/>
  <c r="V287" i="1" s="1"/>
  <c r="T286" i="1"/>
  <c r="W286" i="1" s="1"/>
  <c r="T285" i="1"/>
  <c r="W285" i="1" s="1"/>
  <c r="T284" i="1"/>
  <c r="W284" i="1" s="1"/>
  <c r="AP284" i="1" s="1"/>
  <c r="Z281" i="1"/>
  <c r="AC281" i="1" s="1"/>
  <c r="AB279" i="1"/>
  <c r="Z271" i="1"/>
  <c r="AC271" i="1" s="1"/>
  <c r="Z268" i="1"/>
  <c r="AC268" i="1" s="1"/>
  <c r="AB266" i="1"/>
  <c r="X265" i="1"/>
  <c r="Z260" i="1"/>
  <c r="AC260" i="1" s="1"/>
  <c r="Z255" i="1"/>
  <c r="AC255" i="1" s="1"/>
  <c r="AA250" i="1"/>
  <c r="V250" i="1" s="1"/>
  <c r="Z246" i="1"/>
  <c r="AC246" i="1" s="1"/>
  <c r="Z242" i="1"/>
  <c r="AB230" i="1"/>
  <c r="AA230" i="1"/>
  <c r="V230" i="1" s="1"/>
  <c r="AP216" i="1"/>
  <c r="AQ216" i="1"/>
  <c r="Z178" i="1"/>
  <c r="AB178" i="1"/>
  <c r="AP173" i="1"/>
  <c r="AQ173" i="1"/>
  <c r="W164" i="1"/>
  <c r="Z164" i="1"/>
  <c r="AC164" i="1" s="1"/>
  <c r="AQ147" i="1"/>
  <c r="AP147" i="1"/>
  <c r="AP135" i="1"/>
  <c r="AQ135" i="1"/>
  <c r="AP133" i="1"/>
  <c r="AQ133" i="1"/>
  <c r="AQ129" i="1"/>
  <c r="AP129" i="1"/>
  <c r="AP121" i="1"/>
  <c r="AQ121" i="1"/>
  <c r="Z310" i="1"/>
  <c r="Z293" i="1"/>
  <c r="AC293" i="1" s="1"/>
  <c r="Z284" i="1"/>
  <c r="AA278" i="1"/>
  <c r="V278" i="1" s="1"/>
  <c r="AA268" i="1"/>
  <c r="V268" i="1" s="1"/>
  <c r="AA260" i="1"/>
  <c r="V260" i="1" s="1"/>
  <c r="U257" i="1"/>
  <c r="U256" i="1"/>
  <c r="U255" i="1"/>
  <c r="AA252" i="1"/>
  <c r="V252" i="1" s="1"/>
  <c r="Z248" i="1"/>
  <c r="U247" i="1"/>
  <c r="U246" i="1"/>
  <c r="AB245" i="1"/>
  <c r="U242" i="1"/>
  <c r="Z238" i="1"/>
  <c r="AA236" i="1"/>
  <c r="V236" i="1" s="1"/>
  <c r="Z235" i="1"/>
  <c r="AC235" i="1" s="1"/>
  <c r="X232" i="1"/>
  <c r="X227" i="1"/>
  <c r="Z227" i="1" s="1"/>
  <c r="AC227" i="1" s="1"/>
  <c r="AP220" i="1"/>
  <c r="AQ220" i="1"/>
  <c r="U219" i="1"/>
  <c r="T219" i="1"/>
  <c r="W219" i="1" s="1"/>
  <c r="U218" i="1"/>
  <c r="T218" i="1"/>
  <c r="W218" i="1" s="1"/>
  <c r="U217" i="1"/>
  <c r="X217" i="1"/>
  <c r="T217" i="1"/>
  <c r="W217" i="1" s="1"/>
  <c r="AP217" i="1" s="1"/>
  <c r="U212" i="1"/>
  <c r="X212" i="1"/>
  <c r="T212" i="1"/>
  <c r="W212" i="1" s="1"/>
  <c r="AP182" i="1"/>
  <c r="AQ182" i="1"/>
  <c r="W172" i="1"/>
  <c r="Z172" i="1"/>
  <c r="AC172" i="1" s="1"/>
  <c r="W120" i="1"/>
  <c r="AQ120" i="1" s="1"/>
  <c r="Z120" i="1"/>
  <c r="AC120" i="1" s="1"/>
  <c r="Z322" i="1"/>
  <c r="Z320" i="1"/>
  <c r="AB319" i="1"/>
  <c r="Z314" i="1"/>
  <c r="AB313" i="1"/>
  <c r="Z312" i="1"/>
  <c r="AC312" i="1" s="1"/>
  <c r="Z311" i="1"/>
  <c r="AC311" i="1" s="1"/>
  <c r="U310" i="1"/>
  <c r="Z302" i="1"/>
  <c r="AC302" i="1" s="1"/>
  <c r="AB300" i="1"/>
  <c r="Z297" i="1"/>
  <c r="AC297" i="1" s="1"/>
  <c r="U294" i="1"/>
  <c r="U293" i="1"/>
  <c r="U292" i="1"/>
  <c r="AB289" i="1"/>
  <c r="U287" i="1"/>
  <c r="Z276" i="1"/>
  <c r="AQ275" i="1"/>
  <c r="Z274" i="1"/>
  <c r="AB273" i="1"/>
  <c r="T273" i="1"/>
  <c r="W273" i="1" s="1"/>
  <c r="T272" i="1"/>
  <c r="W272" i="1" s="1"/>
  <c r="AB271" i="1"/>
  <c r="Z269" i="1"/>
  <c r="AC269" i="1" s="1"/>
  <c r="U265" i="1"/>
  <c r="AA264" i="1"/>
  <c r="V264" i="1" s="1"/>
  <c r="AB257" i="1"/>
  <c r="T257" i="1"/>
  <c r="W257" i="1" s="1"/>
  <c r="T256" i="1"/>
  <c r="W256" i="1" s="1"/>
  <c r="Z253" i="1"/>
  <c r="AC253" i="1" s="1"/>
  <c r="Z249" i="1"/>
  <c r="AC249" i="1" s="1"/>
  <c r="T247" i="1"/>
  <c r="W247" i="1" s="1"/>
  <c r="AB246" i="1"/>
  <c r="AA243" i="1"/>
  <c r="V243" i="1" s="1"/>
  <c r="AB242" i="1"/>
  <c r="AA241" i="1"/>
  <c r="V241" i="1" s="1"/>
  <c r="AA240" i="1"/>
  <c r="V240" i="1" s="1"/>
  <c r="Z239" i="1"/>
  <c r="AC239" i="1" s="1"/>
  <c r="U238" i="1"/>
  <c r="U232" i="1"/>
  <c r="T231" i="1"/>
  <c r="W231" i="1" s="1"/>
  <c r="AP231" i="1" s="1"/>
  <c r="X231" i="1"/>
  <c r="AB231" i="1" s="1"/>
  <c r="U230" i="1"/>
  <c r="T229" i="1"/>
  <c r="W229" i="1" s="1"/>
  <c r="U227" i="1"/>
  <c r="Z223" i="1"/>
  <c r="AA223" i="1" s="1"/>
  <c r="V223" i="1" s="1"/>
  <c r="W223" i="1"/>
  <c r="AB218" i="1"/>
  <c r="AP169" i="1"/>
  <c r="AQ169" i="1"/>
  <c r="Z152" i="1"/>
  <c r="AC152" i="1" s="1"/>
  <c r="W125" i="1"/>
  <c r="Z125" i="1"/>
  <c r="AP114" i="1"/>
  <c r="AQ114" i="1"/>
  <c r="Z346" i="1"/>
  <c r="AC346" i="1" s="1"/>
  <c r="AB335" i="1"/>
  <c r="AB333" i="1"/>
  <c r="Z331" i="1"/>
  <c r="AC331" i="1" s="1"/>
  <c r="Z326" i="1"/>
  <c r="Z323" i="1"/>
  <c r="AC323" i="1" s="1"/>
  <c r="AB317" i="1"/>
  <c r="Z315" i="1"/>
  <c r="AC315" i="1" s="1"/>
  <c r="Z307" i="1"/>
  <c r="AC307" i="1" s="1"/>
  <c r="Z303" i="1"/>
  <c r="AC303" i="1" s="1"/>
  <c r="AA294" i="1"/>
  <c r="V294" i="1" s="1"/>
  <c r="AB293" i="1"/>
  <c r="AQ289" i="1"/>
  <c r="AA282" i="1"/>
  <c r="V282" i="1" s="1"/>
  <c r="Z280" i="1"/>
  <c r="Z277" i="1"/>
  <c r="AC277" i="1" s="1"/>
  <c r="Z270" i="1"/>
  <c r="Z267" i="1"/>
  <c r="AC267" i="1" s="1"/>
  <c r="Z259" i="1"/>
  <c r="AC259" i="1" s="1"/>
  <c r="AB238" i="1"/>
  <c r="T237" i="1"/>
  <c r="W237" i="1" s="1"/>
  <c r="AP237" i="1" s="1"/>
  <c r="AB236" i="1"/>
  <c r="AB229" i="1"/>
  <c r="AP227" i="1"/>
  <c r="X219" i="1"/>
  <c r="Z219" i="1" s="1"/>
  <c r="AC219" i="1" s="1"/>
  <c r="X218" i="1"/>
  <c r="AP206" i="1"/>
  <c r="AQ206" i="1"/>
  <c r="AQ199" i="1"/>
  <c r="AP199" i="1"/>
  <c r="AP177" i="1"/>
  <c r="AQ177" i="1"/>
  <c r="Z170" i="1"/>
  <c r="AB170" i="1"/>
  <c r="AP165" i="1"/>
  <c r="AQ165" i="1"/>
  <c r="Z147" i="1"/>
  <c r="AC147" i="1" s="1"/>
  <c r="Z234" i="1"/>
  <c r="Z226" i="1"/>
  <c r="AC226" i="1" s="1"/>
  <c r="AA222" i="1"/>
  <c r="V222" i="1" s="1"/>
  <c r="X220" i="1"/>
  <c r="Z220" i="1" s="1"/>
  <c r="AA220" i="1" s="1"/>
  <c r="V220" i="1" s="1"/>
  <c r="Z214" i="1"/>
  <c r="AC214" i="1" s="1"/>
  <c r="AB212" i="1"/>
  <c r="Z211" i="1"/>
  <c r="AC211" i="1" s="1"/>
  <c r="X210" i="1"/>
  <c r="T209" i="1"/>
  <c r="W209" i="1" s="1"/>
  <c r="T207" i="1"/>
  <c r="W207" i="1" s="1"/>
  <c r="AP207" i="1" s="1"/>
  <c r="Z205" i="1"/>
  <c r="Z204" i="1"/>
  <c r="AC204" i="1" s="1"/>
  <c r="AP204" i="1"/>
  <c r="W203" i="1"/>
  <c r="T202" i="1"/>
  <c r="W202" i="1" s="1"/>
  <c r="W201" i="1"/>
  <c r="T200" i="1"/>
  <c r="W200" i="1" s="1"/>
  <c r="Z198" i="1"/>
  <c r="T197" i="1"/>
  <c r="W197" i="1" s="1"/>
  <c r="T195" i="1"/>
  <c r="W195" i="1" s="1"/>
  <c r="Z193" i="1"/>
  <c r="AC193" i="1" s="1"/>
  <c r="X190" i="1"/>
  <c r="T189" i="1"/>
  <c r="W189" i="1" s="1"/>
  <c r="AP188" i="1"/>
  <c r="T181" i="1"/>
  <c r="W181" i="1" s="1"/>
  <c r="Y180" i="1"/>
  <c r="AA180" i="1" s="1"/>
  <c r="V180" i="1" s="1"/>
  <c r="X177" i="1"/>
  <c r="Z177" i="1" s="1"/>
  <c r="AC177" i="1" s="1"/>
  <c r="T176" i="1"/>
  <c r="W176" i="1" s="1"/>
  <c r="T174" i="1"/>
  <c r="W174" i="1" s="1"/>
  <c r="AQ174" i="1" s="1"/>
  <c r="X169" i="1"/>
  <c r="Z169" i="1" s="1"/>
  <c r="AC169" i="1" s="1"/>
  <c r="T168" i="1"/>
  <c r="W168" i="1" s="1"/>
  <c r="T166" i="1"/>
  <c r="W166" i="1" s="1"/>
  <c r="AQ166" i="1" s="1"/>
  <c r="AA161" i="1"/>
  <c r="V161" i="1" s="1"/>
  <c r="T159" i="1"/>
  <c r="W159" i="1" s="1"/>
  <c r="AB156" i="1"/>
  <c r="Z155" i="1"/>
  <c r="AC155" i="1" s="1"/>
  <c r="Z154" i="1"/>
  <c r="X153" i="1"/>
  <c r="Z153" i="1" s="1"/>
  <c r="AB152" i="1"/>
  <c r="Z151" i="1"/>
  <c r="AC151" i="1" s="1"/>
  <c r="Z150" i="1"/>
  <c r="Z146" i="1"/>
  <c r="AB145" i="1"/>
  <c r="T145" i="1"/>
  <c r="W145" i="1" s="1"/>
  <c r="AP145" i="1" s="1"/>
  <c r="T144" i="1"/>
  <c r="W144" i="1" s="1"/>
  <c r="T139" i="1"/>
  <c r="W139" i="1" s="1"/>
  <c r="T138" i="1"/>
  <c r="W138" i="1" s="1"/>
  <c r="T134" i="1"/>
  <c r="W134" i="1" s="1"/>
  <c r="X133" i="1"/>
  <c r="Z133" i="1" s="1"/>
  <c r="AC133" i="1" s="1"/>
  <c r="AQ132" i="1"/>
  <c r="X130" i="1"/>
  <c r="T128" i="1"/>
  <c r="W128" i="1" s="1"/>
  <c r="T127" i="1"/>
  <c r="W127" i="1" s="1"/>
  <c r="Z126" i="1"/>
  <c r="AC126" i="1" s="1"/>
  <c r="T122" i="1"/>
  <c r="W122" i="1" s="1"/>
  <c r="Z107" i="1"/>
  <c r="AA106" i="1"/>
  <c r="V106" i="1" s="1"/>
  <c r="T103" i="1"/>
  <c r="W103" i="1" s="1"/>
  <c r="Z96" i="1"/>
  <c r="AC96" i="1" s="1"/>
  <c r="AQ95" i="1"/>
  <c r="Z95" i="1"/>
  <c r="AC95" i="1" s="1"/>
  <c r="Z94" i="1"/>
  <c r="AC94" i="1" s="1"/>
  <c r="X93" i="1"/>
  <c r="AB93" i="1" s="1"/>
  <c r="U93" i="1"/>
  <c r="AC91" i="1"/>
  <c r="AA91" i="1"/>
  <c r="V91" i="1" s="1"/>
  <c r="X90" i="1"/>
  <c r="Z90" i="1" s="1"/>
  <c r="AQ64" i="1"/>
  <c r="AP64" i="1"/>
  <c r="AQ59" i="1"/>
  <c r="AP59" i="1"/>
  <c r="AA219" i="1"/>
  <c r="V219" i="1" s="1"/>
  <c r="AB216" i="1"/>
  <c r="X209" i="1"/>
  <c r="Z209" i="1" s="1"/>
  <c r="AA209" i="1" s="1"/>
  <c r="V209" i="1" s="1"/>
  <c r="X207" i="1"/>
  <c r="AB206" i="1"/>
  <c r="X197" i="1"/>
  <c r="Z197" i="1" s="1"/>
  <c r="AC197" i="1" s="1"/>
  <c r="X189" i="1"/>
  <c r="Z189" i="1" s="1"/>
  <c r="AC189" i="1" s="1"/>
  <c r="Z175" i="1"/>
  <c r="AC175" i="1" s="1"/>
  <c r="AB173" i="1"/>
  <c r="Z167" i="1"/>
  <c r="AC167" i="1" s="1"/>
  <c r="AB165" i="1"/>
  <c r="Z149" i="1"/>
  <c r="AC149" i="1" s="1"/>
  <c r="Z143" i="1"/>
  <c r="AC143" i="1" s="1"/>
  <c r="Z142" i="1"/>
  <c r="AQ87" i="1"/>
  <c r="AP87" i="1"/>
  <c r="AQ72" i="1"/>
  <c r="AP72" i="1"/>
  <c r="AQ68" i="1"/>
  <c r="AP68" i="1"/>
  <c r="W67" i="1"/>
  <c r="Z67" i="1"/>
  <c r="AC67" i="1" s="1"/>
  <c r="Z202" i="1"/>
  <c r="Z200" i="1"/>
  <c r="AC200" i="1" s="1"/>
  <c r="AB182" i="1"/>
  <c r="U177" i="1"/>
  <c r="U175" i="1"/>
  <c r="U169" i="1"/>
  <c r="U167" i="1"/>
  <c r="Z159" i="1"/>
  <c r="AC159" i="1" s="1"/>
  <c r="U156" i="1"/>
  <c r="U153" i="1"/>
  <c r="U152" i="1"/>
  <c r="U149" i="1"/>
  <c r="U143" i="1"/>
  <c r="U142" i="1"/>
  <c r="Z138" i="1"/>
  <c r="U133" i="1"/>
  <c r="U130" i="1"/>
  <c r="U124" i="1"/>
  <c r="AA117" i="1"/>
  <c r="V117" i="1" s="1"/>
  <c r="Z115" i="1"/>
  <c r="X109" i="1"/>
  <c r="AB109" i="1" s="1"/>
  <c r="AA108" i="1"/>
  <c r="V108" i="1" s="1"/>
  <c r="W108" i="1"/>
  <c r="AP108" i="1" s="1"/>
  <c r="AB107" i="1"/>
  <c r="AB105" i="1"/>
  <c r="X104" i="1"/>
  <c r="T101" i="1"/>
  <c r="X100" i="1"/>
  <c r="T93" i="1"/>
  <c r="W93" i="1" s="1"/>
  <c r="T88" i="1"/>
  <c r="W88" i="1" s="1"/>
  <c r="U88" i="1"/>
  <c r="X88" i="1"/>
  <c r="AB88" i="1" s="1"/>
  <c r="AC79" i="1"/>
  <c r="AA79" i="1"/>
  <c r="V79" i="1" s="1"/>
  <c r="AA226" i="1"/>
  <c r="V226" i="1" s="1"/>
  <c r="Z221" i="1"/>
  <c r="AB220" i="1"/>
  <c r="AA215" i="1"/>
  <c r="V215" i="1" s="1"/>
  <c r="Z199" i="1"/>
  <c r="AA193" i="1"/>
  <c r="V193" i="1" s="1"/>
  <c r="AQ187" i="1"/>
  <c r="AB187" i="1"/>
  <c r="Z184" i="1"/>
  <c r="AC184" i="1" s="1"/>
  <c r="AB179" i="1"/>
  <c r="AB177" i="1"/>
  <c r="AB172" i="1"/>
  <c r="Z171" i="1"/>
  <c r="AC171" i="1" s="1"/>
  <c r="AB169" i="1"/>
  <c r="AB164" i="1"/>
  <c r="Z163" i="1"/>
  <c r="AC163" i="1" s="1"/>
  <c r="Z162" i="1"/>
  <c r="Z157" i="1"/>
  <c r="AC157" i="1" s="1"/>
  <c r="AB153" i="1"/>
  <c r="AA141" i="1"/>
  <c r="V141" i="1" s="1"/>
  <c r="AA137" i="1"/>
  <c r="V137" i="1" s="1"/>
  <c r="AB133" i="1"/>
  <c r="AA129" i="1"/>
  <c r="V129" i="1" s="1"/>
  <c r="X127" i="1"/>
  <c r="Z127" i="1" s="1"/>
  <c r="AC127" i="1" s="1"/>
  <c r="Z121" i="1"/>
  <c r="Z118" i="1"/>
  <c r="U114" i="1"/>
  <c r="AA112" i="1"/>
  <c r="V112" i="1" s="1"/>
  <c r="X110" i="1"/>
  <c r="Z110" i="1" s="1"/>
  <c r="AC110" i="1" s="1"/>
  <c r="T109" i="1"/>
  <c r="W109" i="1" s="1"/>
  <c r="W106" i="1"/>
  <c r="AP106" i="1" s="1"/>
  <c r="T104" i="1"/>
  <c r="W104" i="1" s="1"/>
  <c r="T100" i="1"/>
  <c r="W100" i="1" s="1"/>
  <c r="AA97" i="1"/>
  <c r="V97" i="1" s="1"/>
  <c r="W66" i="1"/>
  <c r="Z66" i="1"/>
  <c r="AC66" i="1" s="1"/>
  <c r="Z119" i="1"/>
  <c r="AC119" i="1" s="1"/>
  <c r="Z116" i="1"/>
  <c r="AC116" i="1" s="1"/>
  <c r="Z113" i="1"/>
  <c r="AC113" i="1" s="1"/>
  <c r="Z111" i="1"/>
  <c r="AA102" i="1"/>
  <c r="V102" i="1" s="1"/>
  <c r="AB101" i="1"/>
  <c r="AB89" i="1"/>
  <c r="U84" i="1"/>
  <c r="U83" i="1"/>
  <c r="U82" i="1"/>
  <c r="U81" i="1"/>
  <c r="U76" i="1"/>
  <c r="AA72" i="1"/>
  <c r="V72" i="1" s="1"/>
  <c r="Z71" i="1"/>
  <c r="AC71" i="1" s="1"/>
  <c r="Z70" i="1"/>
  <c r="AC70" i="1" s="1"/>
  <c r="AB69" i="1"/>
  <c r="AA68" i="1"/>
  <c r="V68" i="1" s="1"/>
  <c r="Z64" i="1"/>
  <c r="AC64" i="1" s="1"/>
  <c r="X63" i="1"/>
  <c r="Z60" i="1"/>
  <c r="AC60" i="1" s="1"/>
  <c r="X56" i="1"/>
  <c r="T56" i="1"/>
  <c r="W56" i="1" s="1"/>
  <c r="U56" i="1"/>
  <c r="U54" i="1"/>
  <c r="W52" i="1"/>
  <c r="Z52" i="1"/>
  <c r="AA52" i="1" s="1"/>
  <c r="V52" i="1" s="1"/>
  <c r="AB50" i="1"/>
  <c r="Z49" i="1"/>
  <c r="AC49" i="1" s="1"/>
  <c r="Z44" i="1"/>
  <c r="AC44" i="1" s="1"/>
  <c r="Z36" i="1"/>
  <c r="AC36" i="1" s="1"/>
  <c r="W32" i="1"/>
  <c r="Z32" i="1"/>
  <c r="AC32" i="1" s="1"/>
  <c r="AB84" i="1"/>
  <c r="T84" i="1"/>
  <c r="W84" i="1" s="1"/>
  <c r="T83" i="1"/>
  <c r="W83" i="1" s="1"/>
  <c r="T81" i="1"/>
  <c r="W81" i="1" s="1"/>
  <c r="AP81" i="1" s="1"/>
  <c r="AB76" i="1"/>
  <c r="T76" i="1"/>
  <c r="W76" i="1" s="1"/>
  <c r="Z73" i="1"/>
  <c r="T63" i="1"/>
  <c r="W63" i="1" s="1"/>
  <c r="AP47" i="1"/>
  <c r="AQ47" i="1"/>
  <c r="AP28" i="1"/>
  <c r="AQ28" i="1"/>
  <c r="AP19" i="1"/>
  <c r="AQ19" i="1"/>
  <c r="AP102" i="1"/>
  <c r="Z99" i="1"/>
  <c r="AC99" i="1" s="1"/>
  <c r="Z98" i="1"/>
  <c r="AB97" i="1"/>
  <c r="AB96" i="1"/>
  <c r="AB92" i="1"/>
  <c r="AA89" i="1"/>
  <c r="V89" i="1" s="1"/>
  <c r="Z87" i="1"/>
  <c r="AC87" i="1" s="1"/>
  <c r="Z86" i="1"/>
  <c r="AA85" i="1"/>
  <c r="V85" i="1" s="1"/>
  <c r="AQ80" i="1"/>
  <c r="AB80" i="1"/>
  <c r="Z78" i="1"/>
  <c r="AA77" i="1"/>
  <c r="V77" i="1" s="1"/>
  <c r="Z75" i="1"/>
  <c r="AC75" i="1" s="1"/>
  <c r="AA70" i="1"/>
  <c r="V70" i="1" s="1"/>
  <c r="U68" i="1"/>
  <c r="AB61" i="1"/>
  <c r="AA61" i="1"/>
  <c r="V61" i="1" s="1"/>
  <c r="AP49" i="1"/>
  <c r="AQ44" i="1"/>
  <c r="AP44" i="1"/>
  <c r="AB20" i="1"/>
  <c r="AP20" i="1"/>
  <c r="AQ20" i="1"/>
  <c r="Z82" i="1"/>
  <c r="AC82" i="1" s="1"/>
  <c r="AA66" i="1"/>
  <c r="V66" i="1" s="1"/>
  <c r="AA64" i="1"/>
  <c r="V64" i="1" s="1"/>
  <c r="X51" i="1"/>
  <c r="AB51" i="1" s="1"/>
  <c r="T51" i="1"/>
  <c r="W51" i="1" s="1"/>
  <c r="AQ51" i="1" s="1"/>
  <c r="U51" i="1"/>
  <c r="T50" i="1"/>
  <c r="W50" i="1" s="1"/>
  <c r="U50" i="1"/>
  <c r="AA47" i="1"/>
  <c r="V47" i="1" s="1"/>
  <c r="AC47" i="1"/>
  <c r="W45" i="1"/>
  <c r="Z45" i="1"/>
  <c r="AC45" i="1" s="1"/>
  <c r="AQ39" i="1"/>
  <c r="AP39" i="1"/>
  <c r="Z37" i="1"/>
  <c r="AQ35" i="1"/>
  <c r="AP35" i="1"/>
  <c r="AQ31" i="1"/>
  <c r="AP31" i="1"/>
  <c r="AP27" i="1"/>
  <c r="AQ27" i="1"/>
  <c r="Z13" i="1"/>
  <c r="Z46" i="1"/>
  <c r="Z43" i="1"/>
  <c r="AC43" i="1" s="1"/>
  <c r="AA36" i="1"/>
  <c r="V36" i="1" s="1"/>
  <c r="Z22" i="1"/>
  <c r="AC22" i="1" s="1"/>
  <c r="AA19" i="1"/>
  <c r="V19" i="1" s="1"/>
  <c r="Z17" i="1"/>
  <c r="AA12" i="1"/>
  <c r="V12" i="1" s="1"/>
  <c r="Z8" i="1"/>
  <c r="AC8" i="1" s="1"/>
  <c r="Z7" i="1"/>
  <c r="AA55" i="1"/>
  <c r="V55" i="1" s="1"/>
  <c r="Z53" i="1"/>
  <c r="AB49" i="1"/>
  <c r="U43" i="1"/>
  <c r="AB42" i="1"/>
  <c r="AA40" i="1"/>
  <c r="V40" i="1" s="1"/>
  <c r="Z35" i="1"/>
  <c r="AC35" i="1" s="1"/>
  <c r="AQ25" i="1"/>
  <c r="U22" i="1"/>
  <c r="U21" i="1"/>
  <c r="Z18" i="1"/>
  <c r="AC18" i="1" s="1"/>
  <c r="Z59" i="1"/>
  <c r="AC59" i="1" s="1"/>
  <c r="AB46" i="1"/>
  <c r="U46" i="1"/>
  <c r="U44" i="1"/>
  <c r="AA42" i="1"/>
  <c r="V42" i="1" s="1"/>
  <c r="AP41" i="1"/>
  <c r="Z39" i="1"/>
  <c r="AC39" i="1" s="1"/>
  <c r="U37" i="1"/>
  <c r="U36" i="1"/>
  <c r="Z34" i="1"/>
  <c r="AA32" i="1"/>
  <c r="V32" i="1" s="1"/>
  <c r="U31" i="1"/>
  <c r="AP29" i="1"/>
  <c r="U27" i="1"/>
  <c r="AA25" i="1"/>
  <c r="V25" i="1" s="1"/>
  <c r="Z23" i="1"/>
  <c r="AB21" i="1"/>
  <c r="T21" i="1"/>
  <c r="W21" i="1" s="1"/>
  <c r="AP21" i="1" s="1"/>
  <c r="U18" i="1"/>
  <c r="U17" i="1"/>
  <c r="U13" i="1"/>
  <c r="AB11" i="1"/>
  <c r="Z10" i="1"/>
  <c r="AA67" i="1"/>
  <c r="V67" i="1" s="1"/>
  <c r="AA65" i="1"/>
  <c r="V65" i="1" s="1"/>
  <c r="AA62" i="1"/>
  <c r="V62" i="1" s="1"/>
  <c r="Z58" i="1"/>
  <c r="Z54" i="1"/>
  <c r="AC54" i="1" s="1"/>
  <c r="AB43" i="1"/>
  <c r="Z41" i="1"/>
  <c r="AC41" i="1" s="1"/>
  <c r="Z38" i="1"/>
  <c r="AB37" i="1"/>
  <c r="AP33" i="1"/>
  <c r="Z33" i="1"/>
  <c r="AC33" i="1" s="1"/>
  <c r="AA31" i="1"/>
  <c r="V31" i="1" s="1"/>
  <c r="AB30" i="1"/>
  <c r="AA29" i="1"/>
  <c r="V29" i="1" s="1"/>
  <c r="AA27" i="1"/>
  <c r="V27" i="1" s="1"/>
  <c r="AB26" i="1"/>
  <c r="AB22" i="1"/>
  <c r="AB17" i="1"/>
  <c r="AB15" i="1"/>
  <c r="Z14" i="1"/>
  <c r="AC14" i="1" s="1"/>
  <c r="AB13" i="1"/>
  <c r="AP872" i="1"/>
  <c r="AQ872" i="1"/>
  <c r="AP864" i="1"/>
  <c r="AQ864" i="1"/>
  <c r="AC863" i="1"/>
  <c r="AA863" i="1"/>
  <c r="V863" i="1" s="1"/>
  <c r="AP859" i="1"/>
  <c r="AQ859" i="1"/>
  <c r="AC873" i="1"/>
  <c r="AA873" i="1"/>
  <c r="V873" i="1" s="1"/>
  <c r="AP870" i="1"/>
  <c r="AQ870" i="1"/>
  <c r="AC865" i="1"/>
  <c r="AA865" i="1"/>
  <c r="V865" i="1" s="1"/>
  <c r="AC925" i="1"/>
  <c r="AA925" i="1"/>
  <c r="V925" i="1" s="1"/>
  <c r="AA921" i="1"/>
  <c r="V921" i="1" s="1"/>
  <c r="AC921" i="1"/>
  <c r="AC917" i="1"/>
  <c r="AA917" i="1"/>
  <c r="V917" i="1" s="1"/>
  <c r="AC913" i="1"/>
  <c r="AA913" i="1"/>
  <c r="V913" i="1" s="1"/>
  <c r="AC909" i="1"/>
  <c r="AA909" i="1"/>
  <c r="V909" i="1" s="1"/>
  <c r="AC905" i="1"/>
  <c r="AA905" i="1"/>
  <c r="V905" i="1" s="1"/>
  <c r="AC901" i="1"/>
  <c r="AA901" i="1"/>
  <c r="V901" i="1" s="1"/>
  <c r="AC897" i="1"/>
  <c r="AA897" i="1"/>
  <c r="V897" i="1" s="1"/>
  <c r="AC893" i="1"/>
  <c r="AA893" i="1"/>
  <c r="V893" i="1" s="1"/>
  <c r="AC889" i="1"/>
  <c r="AA889" i="1"/>
  <c r="V889" i="1" s="1"/>
  <c r="AC885" i="1"/>
  <c r="AA885" i="1"/>
  <c r="V885" i="1" s="1"/>
  <c r="AC881" i="1"/>
  <c r="AA881" i="1"/>
  <c r="V881" i="1" s="1"/>
  <c r="AC877" i="1"/>
  <c r="AA877" i="1"/>
  <c r="V877" i="1" s="1"/>
  <c r="AP874" i="1"/>
  <c r="AQ874" i="1"/>
  <c r="AC869" i="1"/>
  <c r="AA869" i="1"/>
  <c r="V869" i="1" s="1"/>
  <c r="AP866" i="1"/>
  <c r="AQ866" i="1"/>
  <c r="AQ858" i="1"/>
  <c r="AP858" i="1"/>
  <c r="AP924" i="1"/>
  <c r="AQ924" i="1"/>
  <c r="AP920" i="1"/>
  <c r="AQ920" i="1"/>
  <c r="AP916" i="1"/>
  <c r="AQ916" i="1"/>
  <c r="AP912" i="1"/>
  <c r="AQ912" i="1"/>
  <c r="AP908" i="1"/>
  <c r="AQ908" i="1"/>
  <c r="AP904" i="1"/>
  <c r="AQ904" i="1"/>
  <c r="AP900" i="1"/>
  <c r="AQ900" i="1"/>
  <c r="AP896" i="1"/>
  <c r="AQ896" i="1"/>
  <c r="AP892" i="1"/>
  <c r="AQ892" i="1"/>
  <c r="AP888" i="1"/>
  <c r="AQ888" i="1"/>
  <c r="AP884" i="1"/>
  <c r="AQ884" i="1"/>
  <c r="AP880" i="1"/>
  <c r="AQ880" i="1"/>
  <c r="AP876" i="1"/>
  <c r="AQ876" i="1"/>
  <c r="AP868" i="1"/>
  <c r="AQ868" i="1"/>
  <c r="AB794" i="1"/>
  <c r="AA794" i="1"/>
  <c r="V794" i="1" s="1"/>
  <c r="AA782" i="1"/>
  <c r="V782" i="1" s="1"/>
  <c r="AC782" i="1"/>
  <c r="AA778" i="1"/>
  <c r="V778" i="1" s="1"/>
  <c r="AC778" i="1"/>
  <c r="AA774" i="1"/>
  <c r="V774" i="1" s="1"/>
  <c r="AC774" i="1"/>
  <c r="AA770" i="1"/>
  <c r="V770" i="1" s="1"/>
  <c r="AC770" i="1"/>
  <c r="AA766" i="1"/>
  <c r="V766" i="1" s="1"/>
  <c r="AC766" i="1"/>
  <c r="AA762" i="1"/>
  <c r="V762" i="1" s="1"/>
  <c r="AC762" i="1"/>
  <c r="AA758" i="1"/>
  <c r="V758" i="1" s="1"/>
  <c r="AC758" i="1"/>
  <c r="AQ925" i="1"/>
  <c r="AB923" i="1"/>
  <c r="AC922" i="1"/>
  <c r="AQ921" i="1"/>
  <c r="AB919" i="1"/>
  <c r="AC918" i="1"/>
  <c r="AQ917" i="1"/>
  <c r="AB915" i="1"/>
  <c r="AC914" i="1"/>
  <c r="AQ913" i="1"/>
  <c r="AB911" i="1"/>
  <c r="AC910" i="1"/>
  <c r="AQ909" i="1"/>
  <c r="AB907" i="1"/>
  <c r="AC906" i="1"/>
  <c r="AQ905" i="1"/>
  <c r="AB903" i="1"/>
  <c r="AC902" i="1"/>
  <c r="AQ901" i="1"/>
  <c r="AB899" i="1"/>
  <c r="AC898" i="1"/>
  <c r="AQ897" i="1"/>
  <c r="AB895" i="1"/>
  <c r="AC894" i="1"/>
  <c r="AQ893" i="1"/>
  <c r="AB891" i="1"/>
  <c r="AC890" i="1"/>
  <c r="AQ889" i="1"/>
  <c r="AB887" i="1"/>
  <c r="AC886" i="1"/>
  <c r="AQ885" i="1"/>
  <c r="AB883" i="1"/>
  <c r="AC882" i="1"/>
  <c r="AQ881" i="1"/>
  <c r="AB879" i="1"/>
  <c r="AC878" i="1"/>
  <c r="AQ877" i="1"/>
  <c r="AB875" i="1"/>
  <c r="AC874" i="1"/>
  <c r="AQ873" i="1"/>
  <c r="AB871" i="1"/>
  <c r="AC870" i="1"/>
  <c r="AQ869" i="1"/>
  <c r="AB867" i="1"/>
  <c r="AC866" i="1"/>
  <c r="AQ865" i="1"/>
  <c r="Z858" i="1"/>
  <c r="AC858" i="1" s="1"/>
  <c r="AQ856" i="1"/>
  <c r="AB855" i="1"/>
  <c r="AP855" i="1"/>
  <c r="AQ855" i="1"/>
  <c r="AA851" i="1"/>
  <c r="V851" i="1" s="1"/>
  <c r="AC851" i="1"/>
  <c r="AA847" i="1"/>
  <c r="V847" i="1" s="1"/>
  <c r="AC847" i="1"/>
  <c r="AA843" i="1"/>
  <c r="V843" i="1" s="1"/>
  <c r="AC843" i="1"/>
  <c r="AA839" i="1"/>
  <c r="V839" i="1" s="1"/>
  <c r="AC839" i="1"/>
  <c r="AA835" i="1"/>
  <c r="V835" i="1" s="1"/>
  <c r="AC835" i="1"/>
  <c r="AA831" i="1"/>
  <c r="V831" i="1" s="1"/>
  <c r="AC831" i="1"/>
  <c r="AA827" i="1"/>
  <c r="V827" i="1" s="1"/>
  <c r="AC827" i="1"/>
  <c r="AQ825" i="1"/>
  <c r="AB825" i="1"/>
  <c r="AQ818" i="1"/>
  <c r="AP818" i="1"/>
  <c r="AB816" i="1"/>
  <c r="AA816" i="1"/>
  <c r="V816" i="1" s="1"/>
  <c r="AP811" i="1"/>
  <c r="AQ811" i="1"/>
  <c r="AB807" i="1"/>
  <c r="Z807" i="1"/>
  <c r="AC806" i="1"/>
  <c r="AA806" i="1"/>
  <c r="V806" i="1" s="1"/>
  <c r="AP805" i="1"/>
  <c r="AQ805" i="1"/>
  <c r="AB801" i="1"/>
  <c r="Z801" i="1"/>
  <c r="AC801" i="1" s="1"/>
  <c r="AA799" i="1"/>
  <c r="V799" i="1" s="1"/>
  <c r="AC799" i="1"/>
  <c r="Z795" i="1"/>
  <c r="Z789" i="1"/>
  <c r="AC789" i="1" s="1"/>
  <c r="AQ786" i="1"/>
  <c r="AP786" i="1"/>
  <c r="AB784" i="1"/>
  <c r="AA784" i="1"/>
  <c r="V784" i="1" s="1"/>
  <c r="AA781" i="1"/>
  <c r="V781" i="1" s="1"/>
  <c r="AC781" i="1"/>
  <c r="AA777" i="1"/>
  <c r="V777" i="1" s="1"/>
  <c r="AC777" i="1"/>
  <c r="AA773" i="1"/>
  <c r="V773" i="1" s="1"/>
  <c r="AC773" i="1"/>
  <c r="AA769" i="1"/>
  <c r="V769" i="1" s="1"/>
  <c r="AC769" i="1"/>
  <c r="AA765" i="1"/>
  <c r="V765" i="1" s="1"/>
  <c r="AC765" i="1"/>
  <c r="AA761" i="1"/>
  <c r="V761" i="1" s="1"/>
  <c r="AC761" i="1"/>
  <c r="AA757" i="1"/>
  <c r="V757" i="1" s="1"/>
  <c r="AC757" i="1"/>
  <c r="AB861" i="1"/>
  <c r="AB858" i="1"/>
  <c r="AA857" i="1"/>
  <c r="V857" i="1" s="1"/>
  <c r="AB857" i="1"/>
  <c r="AA855" i="1"/>
  <c r="V855" i="1" s="1"/>
  <c r="AA853" i="1"/>
  <c r="V853" i="1" s="1"/>
  <c r="AP853" i="1"/>
  <c r="AA849" i="1"/>
  <c r="V849" i="1" s="1"/>
  <c r="AP849" i="1"/>
  <c r="AA845" i="1"/>
  <c r="V845" i="1" s="1"/>
  <c r="AP845" i="1"/>
  <c r="AA841" i="1"/>
  <c r="V841" i="1" s="1"/>
  <c r="AP841" i="1"/>
  <c r="AA837" i="1"/>
  <c r="V837" i="1" s="1"/>
  <c r="AP837" i="1"/>
  <c r="AA833" i="1"/>
  <c r="V833" i="1" s="1"/>
  <c r="AP833" i="1"/>
  <c r="AA829" i="1"/>
  <c r="V829" i="1" s="1"/>
  <c r="AP829" i="1"/>
  <c r="Z825" i="1"/>
  <c r="AC825" i="1" s="1"/>
  <c r="AC823" i="1"/>
  <c r="AA823" i="1"/>
  <c r="V823" i="1" s="1"/>
  <c r="AB810" i="1"/>
  <c r="AA810" i="1"/>
  <c r="V810" i="1" s="1"/>
  <c r="AA780" i="1"/>
  <c r="V780" i="1" s="1"/>
  <c r="AC780" i="1"/>
  <c r="AA776" i="1"/>
  <c r="V776" i="1" s="1"/>
  <c r="AC776" i="1"/>
  <c r="AA772" i="1"/>
  <c r="V772" i="1" s="1"/>
  <c r="AC772" i="1"/>
  <c r="AA768" i="1"/>
  <c r="V768" i="1" s="1"/>
  <c r="AC768" i="1"/>
  <c r="AA764" i="1"/>
  <c r="V764" i="1" s="1"/>
  <c r="AC764" i="1"/>
  <c r="AA760" i="1"/>
  <c r="V760" i="1" s="1"/>
  <c r="AC760" i="1"/>
  <c r="AA756" i="1"/>
  <c r="V756" i="1" s="1"/>
  <c r="AC756" i="1"/>
  <c r="AQ863" i="1"/>
  <c r="AB862" i="1"/>
  <c r="Z861" i="1"/>
  <c r="AC861" i="1" s="1"/>
  <c r="AA859" i="1"/>
  <c r="V859" i="1" s="1"/>
  <c r="AB854" i="1"/>
  <c r="AA854" i="1"/>
  <c r="V854" i="1" s="1"/>
  <c r="AQ852" i="1"/>
  <c r="AP852" i="1"/>
  <c r="AB851" i="1"/>
  <c r="AP851" i="1"/>
  <c r="AQ851" i="1"/>
  <c r="AB850" i="1"/>
  <c r="AA850" i="1"/>
  <c r="V850" i="1" s="1"/>
  <c r="AQ848" i="1"/>
  <c r="AP848" i="1"/>
  <c r="AB847" i="1"/>
  <c r="AP847" i="1"/>
  <c r="AQ847" i="1"/>
  <c r="AB846" i="1"/>
  <c r="AA846" i="1"/>
  <c r="V846" i="1" s="1"/>
  <c r="AQ844" i="1"/>
  <c r="AP844" i="1"/>
  <c r="AB843" i="1"/>
  <c r="AP843" i="1"/>
  <c r="AQ843" i="1"/>
  <c r="AB842" i="1"/>
  <c r="AA842" i="1"/>
  <c r="V842" i="1" s="1"/>
  <c r="AQ840" i="1"/>
  <c r="AP840" i="1"/>
  <c r="AB839" i="1"/>
  <c r="AP839" i="1"/>
  <c r="AQ839" i="1"/>
  <c r="AB838" i="1"/>
  <c r="AA838" i="1"/>
  <c r="V838" i="1" s="1"/>
  <c r="AQ836" i="1"/>
  <c r="AP836" i="1"/>
  <c r="AB835" i="1"/>
  <c r="AP835" i="1"/>
  <c r="AQ835" i="1"/>
  <c r="AB834" i="1"/>
  <c r="AA834" i="1"/>
  <c r="V834" i="1" s="1"/>
  <c r="AQ832" i="1"/>
  <c r="AP832" i="1"/>
  <c r="AB831" i="1"/>
  <c r="AP831" i="1"/>
  <c r="AQ831" i="1"/>
  <c r="AB830" i="1"/>
  <c r="AA830" i="1"/>
  <c r="V830" i="1" s="1"/>
  <c r="AQ828" i="1"/>
  <c r="AP828" i="1"/>
  <c r="AB827" i="1"/>
  <c r="AP827" i="1"/>
  <c r="AQ827" i="1"/>
  <c r="AB826" i="1"/>
  <c r="AA826" i="1"/>
  <c r="V826" i="1" s="1"/>
  <c r="AP824" i="1"/>
  <c r="AP823" i="1"/>
  <c r="AQ823" i="1"/>
  <c r="AC822" i="1"/>
  <c r="AA822" i="1"/>
  <c r="V822" i="1" s="1"/>
  <c r="AP821" i="1"/>
  <c r="AQ821" i="1"/>
  <c r="AB817" i="1"/>
  <c r="Z817" i="1"/>
  <c r="AC817" i="1" s="1"/>
  <c r="AA815" i="1"/>
  <c r="V815" i="1" s="1"/>
  <c r="AC815" i="1"/>
  <c r="Z811" i="1"/>
  <c r="AQ802" i="1"/>
  <c r="AP802" i="1"/>
  <c r="AB800" i="1"/>
  <c r="AA800" i="1"/>
  <c r="V800" i="1" s="1"/>
  <c r="AP795" i="1"/>
  <c r="AQ795" i="1"/>
  <c r="AB791" i="1"/>
  <c r="Z791" i="1"/>
  <c r="AC790" i="1"/>
  <c r="AA790" i="1"/>
  <c r="V790" i="1" s="1"/>
  <c r="AP789" i="1"/>
  <c r="AQ789" i="1"/>
  <c r="AB785" i="1"/>
  <c r="Z785" i="1"/>
  <c r="AC785" i="1" s="1"/>
  <c r="AA783" i="1"/>
  <c r="V783" i="1" s="1"/>
  <c r="AC783" i="1"/>
  <c r="AA779" i="1"/>
  <c r="V779" i="1" s="1"/>
  <c r="AC779" i="1"/>
  <c r="AA775" i="1"/>
  <c r="V775" i="1" s="1"/>
  <c r="AC775" i="1"/>
  <c r="AA771" i="1"/>
  <c r="V771" i="1" s="1"/>
  <c r="AC771" i="1"/>
  <c r="AA767" i="1"/>
  <c r="V767" i="1" s="1"/>
  <c r="AC767" i="1"/>
  <c r="AA763" i="1"/>
  <c r="V763" i="1" s="1"/>
  <c r="AC763" i="1"/>
  <c r="AA759" i="1"/>
  <c r="V759" i="1" s="1"/>
  <c r="AC759" i="1"/>
  <c r="AA755" i="1"/>
  <c r="V755" i="1" s="1"/>
  <c r="AC755" i="1"/>
  <c r="AB853" i="1"/>
  <c r="AB849" i="1"/>
  <c r="AB845" i="1"/>
  <c r="AB841" i="1"/>
  <c r="AB837" i="1"/>
  <c r="AB833" i="1"/>
  <c r="AB829" i="1"/>
  <c r="AB821" i="1"/>
  <c r="AP819" i="1"/>
  <c r="AA813" i="1"/>
  <c r="V813" i="1" s="1"/>
  <c r="AP813" i="1"/>
  <c r="AB811" i="1"/>
  <c r="AP806" i="1"/>
  <c r="AB805" i="1"/>
  <c r="AP803" i="1"/>
  <c r="AA797" i="1"/>
  <c r="V797" i="1" s="1"/>
  <c r="AP797" i="1"/>
  <c r="AB795" i="1"/>
  <c r="AP790" i="1"/>
  <c r="AB789" i="1"/>
  <c r="AP787" i="1"/>
  <c r="W737" i="1"/>
  <c r="Z737" i="1"/>
  <c r="AC737" i="1" s="1"/>
  <c r="Z736" i="1"/>
  <c r="AC736" i="1" s="1"/>
  <c r="W733" i="1"/>
  <c r="Z733" i="1"/>
  <c r="AC733" i="1" s="1"/>
  <c r="Z732" i="1"/>
  <c r="AC732" i="1" s="1"/>
  <c r="W729" i="1"/>
  <c r="Z729" i="1"/>
  <c r="AC729" i="1" s="1"/>
  <c r="Z728" i="1"/>
  <c r="AC728" i="1" s="1"/>
  <c r="W725" i="1"/>
  <c r="Z725" i="1"/>
  <c r="AC725" i="1" s="1"/>
  <c r="Z724" i="1"/>
  <c r="AC724" i="1" s="1"/>
  <c r="W721" i="1"/>
  <c r="Z721" i="1"/>
  <c r="AC721" i="1" s="1"/>
  <c r="Z720" i="1"/>
  <c r="AC720" i="1" s="1"/>
  <c r="W717" i="1"/>
  <c r="Z717" i="1"/>
  <c r="AC717" i="1" s="1"/>
  <c r="Z716" i="1"/>
  <c r="AC716" i="1" s="1"/>
  <c r="W713" i="1"/>
  <c r="Z713" i="1"/>
  <c r="AC713" i="1" s="1"/>
  <c r="Z712" i="1"/>
  <c r="AC712" i="1" s="1"/>
  <c r="W709" i="1"/>
  <c r="Z709" i="1"/>
  <c r="AC709" i="1" s="1"/>
  <c r="Z708" i="1"/>
  <c r="AC708" i="1" s="1"/>
  <c r="W705" i="1"/>
  <c r="Z705" i="1"/>
  <c r="AC705" i="1" s="1"/>
  <c r="Z704" i="1"/>
  <c r="AC704" i="1" s="1"/>
  <c r="W701" i="1"/>
  <c r="Z701" i="1"/>
  <c r="AC701" i="1" s="1"/>
  <c r="Z700" i="1"/>
  <c r="AC700" i="1" s="1"/>
  <c r="W697" i="1"/>
  <c r="Z697" i="1"/>
  <c r="AC697" i="1" s="1"/>
  <c r="Z696" i="1"/>
  <c r="AC696" i="1" s="1"/>
  <c r="W693" i="1"/>
  <c r="Z693" i="1"/>
  <c r="AC693" i="1" s="1"/>
  <c r="Z692" i="1"/>
  <c r="AC692" i="1" s="1"/>
  <c r="W689" i="1"/>
  <c r="Z689" i="1"/>
  <c r="AC689" i="1" s="1"/>
  <c r="Z688" i="1"/>
  <c r="AC688" i="1" s="1"/>
  <c r="W685" i="1"/>
  <c r="Z685" i="1"/>
  <c r="AC685" i="1" s="1"/>
  <c r="Z684" i="1"/>
  <c r="AC684" i="1" s="1"/>
  <c r="W681" i="1"/>
  <c r="Z681" i="1"/>
  <c r="AC681" i="1" s="1"/>
  <c r="Z680" i="1"/>
  <c r="AC680" i="1" s="1"/>
  <c r="W677" i="1"/>
  <c r="Z677" i="1"/>
  <c r="AC677" i="1" s="1"/>
  <c r="Z676" i="1"/>
  <c r="AC676" i="1" s="1"/>
  <c r="W673" i="1"/>
  <c r="Z673" i="1"/>
  <c r="AC673" i="1" s="1"/>
  <c r="Z672" i="1"/>
  <c r="AC672" i="1" s="1"/>
  <c r="W669" i="1"/>
  <c r="Z669" i="1"/>
  <c r="AC669" i="1" s="1"/>
  <c r="Z668" i="1"/>
  <c r="AC668" i="1" s="1"/>
  <c r="W665" i="1"/>
  <c r="Z665" i="1"/>
  <c r="AC665" i="1" s="1"/>
  <c r="Z664" i="1"/>
  <c r="AC664" i="1" s="1"/>
  <c r="W663" i="1"/>
  <c r="Z663" i="1"/>
  <c r="AC663" i="1" s="1"/>
  <c r="W661" i="1"/>
  <c r="Z661" i="1"/>
  <c r="AC661" i="1" s="1"/>
  <c r="W659" i="1"/>
  <c r="Z659" i="1"/>
  <c r="AC659" i="1" s="1"/>
  <c r="W657" i="1"/>
  <c r="Z657" i="1"/>
  <c r="AC657" i="1" s="1"/>
  <c r="AA820" i="1"/>
  <c r="V820" i="1" s="1"/>
  <c r="AA817" i="1"/>
  <c r="V817" i="1" s="1"/>
  <c r="AP817" i="1"/>
  <c r="AQ815" i="1"/>
  <c r="AP810" i="1"/>
  <c r="AQ809" i="1"/>
  <c r="AP807" i="1"/>
  <c r="AA804" i="1"/>
  <c r="V804" i="1" s="1"/>
  <c r="AA801" i="1"/>
  <c r="V801" i="1" s="1"/>
  <c r="AP801" i="1"/>
  <c r="AQ799" i="1"/>
  <c r="AP794" i="1"/>
  <c r="AQ793" i="1"/>
  <c r="AP791" i="1"/>
  <c r="AA788" i="1"/>
  <c r="V788" i="1" s="1"/>
  <c r="AP785" i="1"/>
  <c r="AQ783" i="1"/>
  <c r="AQ782" i="1"/>
  <c r="AQ781" i="1"/>
  <c r="AQ780" i="1"/>
  <c r="AQ779" i="1"/>
  <c r="AQ778" i="1"/>
  <c r="AQ777" i="1"/>
  <c r="AQ776" i="1"/>
  <c r="AQ775" i="1"/>
  <c r="AQ774" i="1"/>
  <c r="AQ773" i="1"/>
  <c r="AQ772" i="1"/>
  <c r="AQ771" i="1"/>
  <c r="AQ770" i="1"/>
  <c r="AQ769" i="1"/>
  <c r="AQ768" i="1"/>
  <c r="AQ767" i="1"/>
  <c r="AQ766" i="1"/>
  <c r="AQ765" i="1"/>
  <c r="AQ764" i="1"/>
  <c r="AQ763" i="1"/>
  <c r="AQ762" i="1"/>
  <c r="AQ761" i="1"/>
  <c r="AQ760" i="1"/>
  <c r="AQ759" i="1"/>
  <c r="AQ758" i="1"/>
  <c r="AQ757" i="1"/>
  <c r="AQ756" i="1"/>
  <c r="AQ755" i="1"/>
  <c r="AQ754" i="1"/>
  <c r="AQ753" i="1"/>
  <c r="AQ752" i="1"/>
  <c r="AQ751" i="1"/>
  <c r="AQ750" i="1"/>
  <c r="AQ749" i="1"/>
  <c r="AQ748" i="1"/>
  <c r="AQ747" i="1"/>
  <c r="AQ746" i="1"/>
  <c r="AQ745" i="1"/>
  <c r="AQ744" i="1"/>
  <c r="AQ743" i="1"/>
  <c r="AQ742" i="1"/>
  <c r="AQ741" i="1"/>
  <c r="AQ740" i="1"/>
  <c r="AA738" i="1"/>
  <c r="V738" i="1" s="1"/>
  <c r="AA734" i="1"/>
  <c r="V734" i="1" s="1"/>
  <c r="AA730" i="1"/>
  <c r="V730" i="1" s="1"/>
  <c r="AA726" i="1"/>
  <c r="V726" i="1" s="1"/>
  <c r="AA722" i="1"/>
  <c r="V722" i="1" s="1"/>
  <c r="AA718" i="1"/>
  <c r="V718" i="1" s="1"/>
  <c r="AA714" i="1"/>
  <c r="V714" i="1" s="1"/>
  <c r="AA710" i="1"/>
  <c r="V710" i="1" s="1"/>
  <c r="AA706" i="1"/>
  <c r="V706" i="1" s="1"/>
  <c r="AA702" i="1"/>
  <c r="V702" i="1" s="1"/>
  <c r="AA698" i="1"/>
  <c r="V698" i="1" s="1"/>
  <c r="AA694" i="1"/>
  <c r="V694" i="1" s="1"/>
  <c r="AA690" i="1"/>
  <c r="V690" i="1" s="1"/>
  <c r="AA686" i="1"/>
  <c r="V686" i="1" s="1"/>
  <c r="AA682" i="1"/>
  <c r="V682" i="1" s="1"/>
  <c r="AA678" i="1"/>
  <c r="V678" i="1" s="1"/>
  <c r="AA674" i="1"/>
  <c r="V674" i="1" s="1"/>
  <c r="AA670" i="1"/>
  <c r="V670" i="1" s="1"/>
  <c r="AB663" i="1"/>
  <c r="AA661" i="1"/>
  <c r="V661" i="1" s="1"/>
  <c r="AB661" i="1"/>
  <c r="AB659" i="1"/>
  <c r="AA657" i="1"/>
  <c r="V657" i="1" s="1"/>
  <c r="AB657" i="1"/>
  <c r="AA754" i="1"/>
  <c r="V754" i="1" s="1"/>
  <c r="AC754" i="1"/>
  <c r="AA753" i="1"/>
  <c r="V753" i="1" s="1"/>
  <c r="AC753" i="1"/>
  <c r="AA752" i="1"/>
  <c r="V752" i="1" s="1"/>
  <c r="AC752" i="1"/>
  <c r="AA751" i="1"/>
  <c r="V751" i="1" s="1"/>
  <c r="AC751" i="1"/>
  <c r="AA750" i="1"/>
  <c r="V750" i="1" s="1"/>
  <c r="AC750" i="1"/>
  <c r="AA749" i="1"/>
  <c r="V749" i="1" s="1"/>
  <c r="AC749" i="1"/>
  <c r="AA748" i="1"/>
  <c r="V748" i="1" s="1"/>
  <c r="AC748" i="1"/>
  <c r="AA747" i="1"/>
  <c r="V747" i="1" s="1"/>
  <c r="AC747" i="1"/>
  <c r="AA746" i="1"/>
  <c r="V746" i="1" s="1"/>
  <c r="AC746" i="1"/>
  <c r="AA745" i="1"/>
  <c r="V745" i="1" s="1"/>
  <c r="AC745" i="1"/>
  <c r="AA744" i="1"/>
  <c r="V744" i="1" s="1"/>
  <c r="AC744" i="1"/>
  <c r="AA743" i="1"/>
  <c r="V743" i="1" s="1"/>
  <c r="AC743" i="1"/>
  <c r="AA742" i="1"/>
  <c r="V742" i="1" s="1"/>
  <c r="AC742" i="1"/>
  <c r="Z741" i="1"/>
  <c r="Z740" i="1"/>
  <c r="W739" i="1"/>
  <c r="Z739" i="1"/>
  <c r="AC739" i="1" s="1"/>
  <c r="AQ736" i="1"/>
  <c r="W735" i="1"/>
  <c r="Z735" i="1"/>
  <c r="AC735" i="1" s="1"/>
  <c r="AQ732" i="1"/>
  <c r="W731" i="1"/>
  <c r="Z731" i="1"/>
  <c r="AC731" i="1" s="1"/>
  <c r="AQ728" i="1"/>
  <c r="W727" i="1"/>
  <c r="Z727" i="1"/>
  <c r="AC727" i="1" s="1"/>
  <c r="AQ724" i="1"/>
  <c r="W723" i="1"/>
  <c r="Z723" i="1"/>
  <c r="AC723" i="1" s="1"/>
  <c r="AQ720" i="1"/>
  <c r="W719" i="1"/>
  <c r="Z719" i="1"/>
  <c r="AC719" i="1" s="1"/>
  <c r="AQ716" i="1"/>
  <c r="W715" i="1"/>
  <c r="Z715" i="1"/>
  <c r="AC715" i="1" s="1"/>
  <c r="AQ712" i="1"/>
  <c r="W711" i="1"/>
  <c r="Z711" i="1"/>
  <c r="AC711" i="1" s="1"/>
  <c r="AQ708" i="1"/>
  <c r="W707" i="1"/>
  <c r="Z707" i="1"/>
  <c r="AC707" i="1" s="1"/>
  <c r="AQ704" i="1"/>
  <c r="W703" i="1"/>
  <c r="Z703" i="1"/>
  <c r="AC703" i="1" s="1"/>
  <c r="AQ700" i="1"/>
  <c r="W699" i="1"/>
  <c r="Z699" i="1"/>
  <c r="AC699" i="1" s="1"/>
  <c r="AQ696" i="1"/>
  <c r="W695" i="1"/>
  <c r="Z695" i="1"/>
  <c r="AC695" i="1" s="1"/>
  <c r="AQ692" i="1"/>
  <c r="W691" i="1"/>
  <c r="Z691" i="1"/>
  <c r="AC691" i="1" s="1"/>
  <c r="AQ688" i="1"/>
  <c r="W687" i="1"/>
  <c r="Z687" i="1"/>
  <c r="AC687" i="1" s="1"/>
  <c r="AQ684" i="1"/>
  <c r="W683" i="1"/>
  <c r="Z683" i="1"/>
  <c r="AC683" i="1" s="1"/>
  <c r="AQ680" i="1"/>
  <c r="W679" i="1"/>
  <c r="Z679" i="1"/>
  <c r="AC679" i="1" s="1"/>
  <c r="AQ676" i="1"/>
  <c r="W675" i="1"/>
  <c r="Z675" i="1"/>
  <c r="AC675" i="1" s="1"/>
  <c r="AQ672" i="1"/>
  <c r="W671" i="1"/>
  <c r="Z671" i="1"/>
  <c r="AC671" i="1" s="1"/>
  <c r="AQ668" i="1"/>
  <c r="W667" i="1"/>
  <c r="Z667" i="1"/>
  <c r="AC667" i="1" s="1"/>
  <c r="Z666" i="1"/>
  <c r="AC666" i="1" s="1"/>
  <c r="AQ664" i="1"/>
  <c r="AA819" i="1"/>
  <c r="V819" i="1" s="1"/>
  <c r="AC819" i="1"/>
  <c r="AA809" i="1"/>
  <c r="V809" i="1" s="1"/>
  <c r="AA803" i="1"/>
  <c r="V803" i="1" s="1"/>
  <c r="AC803" i="1"/>
  <c r="AA793" i="1"/>
  <c r="V793" i="1" s="1"/>
  <c r="AA787" i="1"/>
  <c r="V787" i="1" s="1"/>
  <c r="AC787" i="1"/>
  <c r="AA736" i="1"/>
  <c r="V736" i="1" s="1"/>
  <c r="AA732" i="1"/>
  <c r="V732" i="1" s="1"/>
  <c r="AA728" i="1"/>
  <c r="V728" i="1" s="1"/>
  <c r="AA724" i="1"/>
  <c r="V724" i="1" s="1"/>
  <c r="AA720" i="1"/>
  <c r="V720" i="1" s="1"/>
  <c r="AA716" i="1"/>
  <c r="V716" i="1" s="1"/>
  <c r="AA712" i="1"/>
  <c r="V712" i="1" s="1"/>
  <c r="AA708" i="1"/>
  <c r="V708" i="1" s="1"/>
  <c r="AA704" i="1"/>
  <c r="V704" i="1" s="1"/>
  <c r="AA700" i="1"/>
  <c r="V700" i="1" s="1"/>
  <c r="AA696" i="1"/>
  <c r="V696" i="1" s="1"/>
  <c r="AA692" i="1"/>
  <c r="V692" i="1" s="1"/>
  <c r="AA688" i="1"/>
  <c r="V688" i="1" s="1"/>
  <c r="AA684" i="1"/>
  <c r="V684" i="1" s="1"/>
  <c r="AA680" i="1"/>
  <c r="V680" i="1" s="1"/>
  <c r="AA676" i="1"/>
  <c r="V676" i="1" s="1"/>
  <c r="AA672" i="1"/>
  <c r="V672" i="1" s="1"/>
  <c r="AA668" i="1"/>
  <c r="V668" i="1" s="1"/>
  <c r="AA664" i="1"/>
  <c r="V664" i="1" s="1"/>
  <c r="AA640" i="1"/>
  <c r="V640" i="1" s="1"/>
  <c r="AB640" i="1"/>
  <c r="AQ638" i="1"/>
  <c r="AB637" i="1"/>
  <c r="AP637" i="1"/>
  <c r="AQ637" i="1"/>
  <c r="AC633" i="1"/>
  <c r="AA633" i="1"/>
  <c r="V633" i="1" s="1"/>
  <c r="AP628" i="1"/>
  <c r="AQ628" i="1"/>
  <c r="AP620" i="1"/>
  <c r="AQ620" i="1"/>
  <c r="AP612" i="1"/>
  <c r="AQ612" i="1"/>
  <c r="AP604" i="1"/>
  <c r="AQ604" i="1"/>
  <c r="AP596" i="1"/>
  <c r="AQ596" i="1"/>
  <c r="AP588" i="1"/>
  <c r="AQ588" i="1"/>
  <c r="AP586" i="1"/>
  <c r="AQ586" i="1"/>
  <c r="AP585" i="1"/>
  <c r="AQ585" i="1"/>
  <c r="AA582" i="1"/>
  <c r="V582" i="1" s="1"/>
  <c r="AQ569" i="1"/>
  <c r="AP569" i="1"/>
  <c r="AA662" i="1"/>
  <c r="V662" i="1" s="1"/>
  <c r="AA660" i="1"/>
  <c r="V660" i="1" s="1"/>
  <c r="AA658" i="1"/>
  <c r="V658" i="1" s="1"/>
  <c r="AA656" i="1"/>
  <c r="V656" i="1" s="1"/>
  <c r="AA654" i="1"/>
  <c r="V654" i="1" s="1"/>
  <c r="AA652" i="1"/>
  <c r="V652" i="1" s="1"/>
  <c r="AA650" i="1"/>
  <c r="V650" i="1" s="1"/>
  <c r="AA648" i="1"/>
  <c r="V648" i="1" s="1"/>
  <c r="AA646" i="1"/>
  <c r="V646" i="1" s="1"/>
  <c r="AA644" i="1"/>
  <c r="V644" i="1" s="1"/>
  <c r="AA642" i="1"/>
  <c r="V642" i="1" s="1"/>
  <c r="AA639" i="1"/>
  <c r="V639" i="1" s="1"/>
  <c r="AB639" i="1"/>
  <c r="AA637" i="1"/>
  <c r="V637" i="1" s="1"/>
  <c r="AP635" i="1"/>
  <c r="AC629" i="1"/>
  <c r="AA629" i="1"/>
  <c r="V629" i="1" s="1"/>
  <c r="AP625" i="1"/>
  <c r="AQ625" i="1"/>
  <c r="AC621" i="1"/>
  <c r="AA621" i="1"/>
  <c r="V621" i="1" s="1"/>
  <c r="AP617" i="1"/>
  <c r="AQ617" i="1"/>
  <c r="AC613" i="1"/>
  <c r="AA613" i="1"/>
  <c r="V613" i="1" s="1"/>
  <c r="AP609" i="1"/>
  <c r="AQ609" i="1"/>
  <c r="AC605" i="1"/>
  <c r="AA605" i="1"/>
  <c r="V605" i="1" s="1"/>
  <c r="AP601" i="1"/>
  <c r="AQ601" i="1"/>
  <c r="AC597" i="1"/>
  <c r="AA597" i="1"/>
  <c r="V597" i="1" s="1"/>
  <c r="AP593" i="1"/>
  <c r="AQ593" i="1"/>
  <c r="AC589" i="1"/>
  <c r="AA589" i="1"/>
  <c r="V589" i="1" s="1"/>
  <c r="AC581" i="1"/>
  <c r="AA581" i="1"/>
  <c r="V581" i="1" s="1"/>
  <c r="AP576" i="1"/>
  <c r="AQ576" i="1"/>
  <c r="Z655" i="1"/>
  <c r="AC655" i="1" s="1"/>
  <c r="Z653" i="1"/>
  <c r="AC653" i="1" s="1"/>
  <c r="Z651" i="1"/>
  <c r="AC651" i="1" s="1"/>
  <c r="Z649" i="1"/>
  <c r="AC649" i="1" s="1"/>
  <c r="Z647" i="1"/>
  <c r="AC647" i="1" s="1"/>
  <c r="Z645" i="1"/>
  <c r="AC645" i="1" s="1"/>
  <c r="Z643" i="1"/>
  <c r="AC643" i="1" s="1"/>
  <c r="Z641" i="1"/>
  <c r="AC641" i="1" s="1"/>
  <c r="AA636" i="1"/>
  <c r="V636" i="1" s="1"/>
  <c r="AB636" i="1"/>
  <c r="AP634" i="1"/>
  <c r="AQ634" i="1"/>
  <c r="AB633" i="1"/>
  <c r="AP633" i="1"/>
  <c r="AQ633" i="1"/>
  <c r="AA632" i="1"/>
  <c r="V632" i="1" s="1"/>
  <c r="AB632" i="1"/>
  <c r="AP624" i="1"/>
  <c r="AQ624" i="1"/>
  <c r="AP616" i="1"/>
  <c r="AQ616" i="1"/>
  <c r="AP608" i="1"/>
  <c r="AQ608" i="1"/>
  <c r="AP600" i="1"/>
  <c r="AQ600" i="1"/>
  <c r="AP592" i="1"/>
  <c r="AQ592" i="1"/>
  <c r="AC585" i="1"/>
  <c r="AA585" i="1"/>
  <c r="V585" i="1" s="1"/>
  <c r="AA649" i="1"/>
  <c r="V649" i="1" s="1"/>
  <c r="AP630" i="1"/>
  <c r="AQ630" i="1"/>
  <c r="AP629" i="1"/>
  <c r="AQ629" i="1"/>
  <c r="AC625" i="1"/>
  <c r="AA625" i="1"/>
  <c r="V625" i="1" s="1"/>
  <c r="AP621" i="1"/>
  <c r="AQ621" i="1"/>
  <c r="AC617" i="1"/>
  <c r="AA617" i="1"/>
  <c r="V617" i="1" s="1"/>
  <c r="AP613" i="1"/>
  <c r="AQ613" i="1"/>
  <c r="AC609" i="1"/>
  <c r="AA609" i="1"/>
  <c r="V609" i="1" s="1"/>
  <c r="AP605" i="1"/>
  <c r="AQ605" i="1"/>
  <c r="AC601" i="1"/>
  <c r="AA601" i="1"/>
  <c r="V601" i="1" s="1"/>
  <c r="AP597" i="1"/>
  <c r="AQ597" i="1"/>
  <c r="AC593" i="1"/>
  <c r="AA593" i="1"/>
  <c r="V593" i="1" s="1"/>
  <c r="AP589" i="1"/>
  <c r="AQ589" i="1"/>
  <c r="AP582" i="1"/>
  <c r="AQ582" i="1"/>
  <c r="AP581" i="1"/>
  <c r="AQ581" i="1"/>
  <c r="AB628" i="1"/>
  <c r="AQ626" i="1"/>
  <c r="AB624" i="1"/>
  <c r="AQ622" i="1"/>
  <c r="AB620" i="1"/>
  <c r="AQ618" i="1"/>
  <c r="AB616" i="1"/>
  <c r="AQ614" i="1"/>
  <c r="AB612" i="1"/>
  <c r="AQ610" i="1"/>
  <c r="AB608" i="1"/>
  <c r="AQ606" i="1"/>
  <c r="AB604" i="1"/>
  <c r="AQ602" i="1"/>
  <c r="AB600" i="1"/>
  <c r="AQ598" i="1"/>
  <c r="AB596" i="1"/>
  <c r="AQ594" i="1"/>
  <c r="AB592" i="1"/>
  <c r="AQ590" i="1"/>
  <c r="AB588" i="1"/>
  <c r="AB586" i="1"/>
  <c r="AQ584" i="1"/>
  <c r="AB582" i="1"/>
  <c r="AQ580" i="1"/>
  <c r="AQ573" i="1"/>
  <c r="AP573" i="1"/>
  <c r="AA569" i="1"/>
  <c r="V569" i="1" s="1"/>
  <c r="AA564" i="1"/>
  <c r="V564" i="1" s="1"/>
  <c r="AQ559" i="1"/>
  <c r="AP559" i="1"/>
  <c r="AC534" i="1"/>
  <c r="AA534" i="1"/>
  <c r="V534" i="1" s="1"/>
  <c r="AC531" i="1"/>
  <c r="AA531" i="1"/>
  <c r="V531" i="1" s="1"/>
  <c r="AC528" i="1"/>
  <c r="AA528" i="1"/>
  <c r="V528" i="1" s="1"/>
  <c r="AQ523" i="1"/>
  <c r="AP523" i="1"/>
  <c r="AP522" i="1"/>
  <c r="AQ522" i="1"/>
  <c r="AP516" i="1"/>
  <c r="AQ516" i="1"/>
  <c r="AP512" i="1"/>
  <c r="AQ512" i="1"/>
  <c r="AP508" i="1"/>
  <c r="AQ508" i="1"/>
  <c r="AP505" i="1"/>
  <c r="AQ505" i="1"/>
  <c r="AP504" i="1"/>
  <c r="AQ504" i="1"/>
  <c r="AA497" i="1"/>
  <c r="V497" i="1" s="1"/>
  <c r="AP492" i="1"/>
  <c r="AQ492" i="1"/>
  <c r="AQ487" i="1"/>
  <c r="AP487" i="1"/>
  <c r="AA486" i="1"/>
  <c r="V486" i="1" s="1"/>
  <c r="AQ483" i="1"/>
  <c r="AP483" i="1"/>
  <c r="AA482" i="1"/>
  <c r="V482" i="1" s="1"/>
  <c r="AP471" i="1"/>
  <c r="AQ471" i="1"/>
  <c r="AP470" i="1"/>
  <c r="AQ470" i="1"/>
  <c r="AC458" i="1"/>
  <c r="AA458" i="1"/>
  <c r="V458" i="1" s="1"/>
  <c r="AQ457" i="1"/>
  <c r="AP457" i="1"/>
  <c r="AB635" i="1"/>
  <c r="AB631" i="1"/>
  <c r="AB627" i="1"/>
  <c r="AB623" i="1"/>
  <c r="AB619" i="1"/>
  <c r="AB615" i="1"/>
  <c r="AB611" i="1"/>
  <c r="AB607" i="1"/>
  <c r="AB603" i="1"/>
  <c r="AB599" i="1"/>
  <c r="AB595" i="1"/>
  <c r="AB591" i="1"/>
  <c r="AB587" i="1"/>
  <c r="AB583" i="1"/>
  <c r="AA579" i="1"/>
  <c r="V579" i="1" s="1"/>
  <c r="AA578" i="1"/>
  <c r="V578" i="1" s="1"/>
  <c r="Z576" i="1"/>
  <c r="AQ575" i="1"/>
  <c r="AA573" i="1"/>
  <c r="V573" i="1" s="1"/>
  <c r="AB571" i="1"/>
  <c r="AA571" i="1"/>
  <c r="V571" i="1" s="1"/>
  <c r="AA568" i="1"/>
  <c r="V568" i="1" s="1"/>
  <c r="AB568" i="1"/>
  <c r="AA566" i="1"/>
  <c r="V566" i="1" s="1"/>
  <c r="AC566" i="1"/>
  <c r="AA563" i="1"/>
  <c r="V563" i="1" s="1"/>
  <c r="AC563" i="1"/>
  <c r="AP561" i="1"/>
  <c r="AQ561" i="1"/>
  <c r="AP552" i="1"/>
  <c r="AQ552" i="1"/>
  <c r="AP549" i="1"/>
  <c r="AQ549" i="1"/>
  <c r="AQ525" i="1"/>
  <c r="AP525" i="1"/>
  <c r="AP524" i="1"/>
  <c r="AQ524" i="1"/>
  <c r="AQ519" i="1"/>
  <c r="AP519" i="1"/>
  <c r="AP518" i="1"/>
  <c r="AQ518" i="1"/>
  <c r="AA504" i="1"/>
  <c r="V504" i="1" s="1"/>
  <c r="AA502" i="1"/>
  <c r="V502" i="1" s="1"/>
  <c r="AC502" i="1"/>
  <c r="AC488" i="1"/>
  <c r="AA488" i="1"/>
  <c r="V488" i="1" s="1"/>
  <c r="AQ485" i="1"/>
  <c r="AP485" i="1"/>
  <c r="AP479" i="1"/>
  <c r="AQ479" i="1"/>
  <c r="AP478" i="1"/>
  <c r="AQ478" i="1"/>
  <c r="AP475" i="1"/>
  <c r="AQ475" i="1"/>
  <c r="AP474" i="1"/>
  <c r="AQ474" i="1"/>
  <c r="AA471" i="1"/>
  <c r="V471" i="1" s="1"/>
  <c r="AP469" i="1"/>
  <c r="AQ469" i="1"/>
  <c r="AP452" i="1"/>
  <c r="AQ452" i="1"/>
  <c r="AP577" i="1"/>
  <c r="Z577" i="1"/>
  <c r="AB576" i="1"/>
  <c r="Z574" i="1"/>
  <c r="AC574" i="1" s="1"/>
  <c r="AA572" i="1"/>
  <c r="V572" i="1" s="1"/>
  <c r="AP557" i="1"/>
  <c r="AQ557" i="1"/>
  <c r="AP553" i="1"/>
  <c r="AQ553" i="1"/>
  <c r="AP550" i="1"/>
  <c r="AQ550" i="1"/>
  <c r="AP534" i="1"/>
  <c r="AQ534" i="1"/>
  <c r="AP528" i="1"/>
  <c r="AQ528" i="1"/>
  <c r="AP499" i="1"/>
  <c r="AQ499" i="1"/>
  <c r="AA498" i="1"/>
  <c r="V498" i="1" s="1"/>
  <c r="AC498" i="1"/>
  <c r="AA495" i="1"/>
  <c r="V495" i="1" s="1"/>
  <c r="AC495" i="1"/>
  <c r="AQ494" i="1"/>
  <c r="AP494" i="1"/>
  <c r="AC492" i="1"/>
  <c r="AA492" i="1"/>
  <c r="V492" i="1" s="1"/>
  <c r="AQ490" i="1"/>
  <c r="AP490" i="1"/>
  <c r="AQ476" i="1"/>
  <c r="AP476" i="1"/>
  <c r="AC470" i="1"/>
  <c r="AA470" i="1"/>
  <c r="V470" i="1" s="1"/>
  <c r="AP467" i="1"/>
  <c r="AQ467" i="1"/>
  <c r="AP466" i="1"/>
  <c r="AQ466" i="1"/>
  <c r="AP458" i="1"/>
  <c r="AQ458" i="1"/>
  <c r="AP442" i="1"/>
  <c r="AQ442" i="1"/>
  <c r="AP574" i="1"/>
  <c r="AB570" i="1"/>
  <c r="AB569" i="1"/>
  <c r="AQ567" i="1"/>
  <c r="AP564" i="1"/>
  <c r="AQ564" i="1"/>
  <c r="AA562" i="1"/>
  <c r="V562" i="1" s="1"/>
  <c r="AA551" i="1"/>
  <c r="V551" i="1" s="1"/>
  <c r="AC551" i="1"/>
  <c r="AA548" i="1"/>
  <c r="V548" i="1" s="1"/>
  <c r="AC548" i="1"/>
  <c r="AA545" i="1"/>
  <c r="V545" i="1" s="1"/>
  <c r="AC545" i="1"/>
  <c r="AP539" i="1"/>
  <c r="AQ539" i="1"/>
  <c r="AA538" i="1"/>
  <c r="V538" i="1" s="1"/>
  <c r="AC538" i="1"/>
  <c r="AP536" i="1"/>
  <c r="AQ536" i="1"/>
  <c r="AQ532" i="1"/>
  <c r="AP532" i="1"/>
  <c r="AC524" i="1"/>
  <c r="AA524" i="1"/>
  <c r="V524" i="1" s="1"/>
  <c r="AA499" i="1"/>
  <c r="V499" i="1" s="1"/>
  <c r="AP497" i="1"/>
  <c r="AQ497" i="1"/>
  <c r="AP486" i="1"/>
  <c r="AQ486" i="1"/>
  <c r="AP482" i="1"/>
  <c r="AQ482" i="1"/>
  <c r="AC478" i="1"/>
  <c r="AA478" i="1"/>
  <c r="V478" i="1" s="1"/>
  <c r="AC474" i="1"/>
  <c r="AA474" i="1"/>
  <c r="V474" i="1" s="1"/>
  <c r="AP461" i="1"/>
  <c r="AQ461" i="1"/>
  <c r="AQ459" i="1"/>
  <c r="AP459" i="1"/>
  <c r="AA567" i="1"/>
  <c r="V567" i="1" s="1"/>
  <c r="AP566" i="1"/>
  <c r="AP563" i="1"/>
  <c r="AA561" i="1"/>
  <c r="V561" i="1" s="1"/>
  <c r="AA557" i="1"/>
  <c r="V557" i="1" s="1"/>
  <c r="AP555" i="1"/>
  <c r="AA553" i="1"/>
  <c r="V553" i="1" s="1"/>
  <c r="AP551" i="1"/>
  <c r="AA550" i="1"/>
  <c r="V550" i="1" s="1"/>
  <c r="AP548" i="1"/>
  <c r="AP546" i="1"/>
  <c r="AQ545" i="1"/>
  <c r="AC544" i="1"/>
  <c r="AB543" i="1"/>
  <c r="AC542" i="1"/>
  <c r="AQ541" i="1"/>
  <c r="AB540" i="1"/>
  <c r="AQ538" i="1"/>
  <c r="AC537" i="1"/>
  <c r="AQ535" i="1"/>
  <c r="AQ533" i="1"/>
  <c r="AB516" i="1"/>
  <c r="AB512" i="1"/>
  <c r="AA511" i="1"/>
  <c r="V511" i="1" s="1"/>
  <c r="AB508" i="1"/>
  <c r="AQ507" i="1"/>
  <c r="AB505" i="1"/>
  <c r="AB503" i="1"/>
  <c r="AQ502" i="1"/>
  <c r="AC501" i="1"/>
  <c r="AB500" i="1"/>
  <c r="AQ498" i="1"/>
  <c r="AB496" i="1"/>
  <c r="AQ495" i="1"/>
  <c r="AC494" i="1"/>
  <c r="AQ493" i="1"/>
  <c r="AQ491" i="1"/>
  <c r="AQ489" i="1"/>
  <c r="AB486" i="1"/>
  <c r="AQ484" i="1"/>
  <c r="AB482" i="1"/>
  <c r="AQ480" i="1"/>
  <c r="AB479" i="1"/>
  <c r="AQ477" i="1"/>
  <c r="AB475" i="1"/>
  <c r="AQ473" i="1"/>
  <c r="AB471" i="1"/>
  <c r="AB469" i="1"/>
  <c r="AB467" i="1"/>
  <c r="AQ465" i="1"/>
  <c r="AB459" i="1"/>
  <c r="AA457" i="1"/>
  <c r="V457" i="1" s="1"/>
  <c r="AA454" i="1"/>
  <c r="V454" i="1" s="1"/>
  <c r="AB453" i="1"/>
  <c r="Z451" i="1"/>
  <c r="AC451" i="1" s="1"/>
  <c r="AA450" i="1"/>
  <c r="V450" i="1" s="1"/>
  <c r="AB450" i="1"/>
  <c r="Z449" i="1"/>
  <c r="AC449" i="1" s="1"/>
  <c r="AP446" i="1"/>
  <c r="AA445" i="1"/>
  <c r="V445" i="1" s="1"/>
  <c r="AP436" i="1"/>
  <c r="AQ436" i="1"/>
  <c r="AA416" i="1"/>
  <c r="V416" i="1" s="1"/>
  <c r="AC416" i="1"/>
  <c r="AA413" i="1"/>
  <c r="V413" i="1" s="1"/>
  <c r="AC413" i="1"/>
  <c r="AA410" i="1"/>
  <c r="V410" i="1" s="1"/>
  <c r="AC410" i="1"/>
  <c r="AP408" i="1"/>
  <c r="AQ408" i="1"/>
  <c r="AA407" i="1"/>
  <c r="V407" i="1" s="1"/>
  <c r="AC407" i="1"/>
  <c r="AA404" i="1"/>
  <c r="V404" i="1" s="1"/>
  <c r="AC404" i="1"/>
  <c r="AP402" i="1"/>
  <c r="AQ402" i="1"/>
  <c r="AA401" i="1"/>
  <c r="V401" i="1" s="1"/>
  <c r="AC401" i="1"/>
  <c r="AA394" i="1"/>
  <c r="V394" i="1" s="1"/>
  <c r="AC394" i="1"/>
  <c r="AA391" i="1"/>
  <c r="V391" i="1" s="1"/>
  <c r="AC391" i="1"/>
  <c r="AP388" i="1"/>
  <c r="AQ388" i="1"/>
  <c r="AP367" i="1"/>
  <c r="AQ367" i="1"/>
  <c r="AP366" i="1"/>
  <c r="AQ366" i="1"/>
  <c r="AA360" i="1"/>
  <c r="V360" i="1" s="1"/>
  <c r="AC360" i="1"/>
  <c r="AA358" i="1"/>
  <c r="V358" i="1" s="1"/>
  <c r="Z358" i="1"/>
  <c r="AC358" i="1" s="1"/>
  <c r="W358" i="1"/>
  <c r="AP355" i="1"/>
  <c r="AQ355" i="1"/>
  <c r="AA334" i="1"/>
  <c r="V334" i="1" s="1"/>
  <c r="AC334" i="1"/>
  <c r="AA330" i="1"/>
  <c r="V330" i="1" s="1"/>
  <c r="AC330" i="1"/>
  <c r="AP327" i="1"/>
  <c r="AQ327" i="1"/>
  <c r="AA322" i="1"/>
  <c r="V322" i="1" s="1"/>
  <c r="AC322" i="1"/>
  <c r="AA320" i="1"/>
  <c r="V320" i="1" s="1"/>
  <c r="AC320" i="1"/>
  <c r="AA314" i="1"/>
  <c r="V314" i="1" s="1"/>
  <c r="AC314" i="1"/>
  <c r="AA554" i="1"/>
  <c r="V554" i="1" s="1"/>
  <c r="AA547" i="1"/>
  <c r="V547" i="1" s="1"/>
  <c r="AB532" i="1"/>
  <c r="AQ531" i="1"/>
  <c r="AC530" i="1"/>
  <c r="AQ529" i="1"/>
  <c r="AQ527" i="1"/>
  <c r="AB525" i="1"/>
  <c r="AB523" i="1"/>
  <c r="AQ521" i="1"/>
  <c r="AB519" i="1"/>
  <c r="AB517" i="1"/>
  <c r="AC514" i="1"/>
  <c r="AB513" i="1"/>
  <c r="AC510" i="1"/>
  <c r="AB509" i="1"/>
  <c r="AB506" i="1"/>
  <c r="AB490" i="1"/>
  <c r="AQ488" i="1"/>
  <c r="AB487" i="1"/>
  <c r="AB485" i="1"/>
  <c r="AB483" i="1"/>
  <c r="AB481" i="1"/>
  <c r="AB476" i="1"/>
  <c r="AB472" i="1"/>
  <c r="AB468" i="1"/>
  <c r="AA464" i="1"/>
  <c r="V464" i="1" s="1"/>
  <c r="AA463" i="1"/>
  <c r="V463" i="1" s="1"/>
  <c r="AB443" i="1"/>
  <c r="AB442" i="1"/>
  <c r="AP439" i="1"/>
  <c r="AQ439" i="1"/>
  <c r="AA434" i="1"/>
  <c r="V434" i="1" s="1"/>
  <c r="AC434" i="1"/>
  <c r="AA424" i="1"/>
  <c r="V424" i="1" s="1"/>
  <c r="AC424" i="1"/>
  <c r="AA420" i="1"/>
  <c r="V420" i="1" s="1"/>
  <c r="AC420" i="1"/>
  <c r="AP409" i="1"/>
  <c r="AQ409" i="1"/>
  <c r="AP403" i="1"/>
  <c r="AQ403" i="1"/>
  <c r="AP399" i="1"/>
  <c r="AQ399" i="1"/>
  <c r="AP398" i="1"/>
  <c r="AQ398" i="1"/>
  <c r="AA388" i="1"/>
  <c r="V388" i="1" s="1"/>
  <c r="AP386" i="1"/>
  <c r="AQ386" i="1"/>
  <c r="AP385" i="1"/>
  <c r="AQ385" i="1"/>
  <c r="AP383" i="1"/>
  <c r="AQ383" i="1"/>
  <c r="AP382" i="1"/>
  <c r="AQ382" i="1"/>
  <c r="AA377" i="1"/>
  <c r="V377" i="1" s="1"/>
  <c r="AC377" i="1"/>
  <c r="AA366" i="1"/>
  <c r="V366" i="1" s="1"/>
  <c r="AA365" i="1"/>
  <c r="V365" i="1" s="1"/>
  <c r="AC365" i="1"/>
  <c r="AP353" i="1"/>
  <c r="AQ353" i="1"/>
  <c r="AP343" i="1"/>
  <c r="AQ343" i="1"/>
  <c r="AP333" i="1"/>
  <c r="AQ333" i="1"/>
  <c r="AA327" i="1"/>
  <c r="V327" i="1" s="1"/>
  <c r="AA326" i="1"/>
  <c r="V326" i="1" s="1"/>
  <c r="AC326" i="1"/>
  <c r="AP318" i="1"/>
  <c r="AQ318" i="1"/>
  <c r="AP317" i="1"/>
  <c r="AQ317" i="1"/>
  <c r="AP310" i="1"/>
  <c r="AQ310" i="1"/>
  <c r="AB564" i="1"/>
  <c r="AB562" i="1"/>
  <c r="AB560" i="1"/>
  <c r="AQ558" i="1"/>
  <c r="AQ556" i="1"/>
  <c r="AB552" i="1"/>
  <c r="AB549" i="1"/>
  <c r="AB526" i="1"/>
  <c r="AB520" i="1"/>
  <c r="AP462" i="1"/>
  <c r="Z462" i="1"/>
  <c r="AP455" i="1"/>
  <c r="AQ455" i="1"/>
  <c r="AB448" i="1"/>
  <c r="AP448" i="1"/>
  <c r="AQ448" i="1"/>
  <c r="AA442" i="1"/>
  <c r="V442" i="1" s="1"/>
  <c r="AA440" i="1"/>
  <c r="V440" i="1" s="1"/>
  <c r="AB440" i="1"/>
  <c r="AP432" i="1"/>
  <c r="AQ432" i="1"/>
  <c r="AP418" i="1"/>
  <c r="AQ418" i="1"/>
  <c r="AP396" i="1"/>
  <c r="AQ396" i="1"/>
  <c r="AP380" i="1"/>
  <c r="AQ380" i="1"/>
  <c r="AP376" i="1"/>
  <c r="AQ376" i="1"/>
  <c r="AP373" i="1"/>
  <c r="AQ373" i="1"/>
  <c r="AP371" i="1"/>
  <c r="AQ371" i="1"/>
  <c r="AP370" i="1"/>
  <c r="AQ370" i="1"/>
  <c r="AP363" i="1"/>
  <c r="AQ363" i="1"/>
  <c r="AP362" i="1"/>
  <c r="AQ362" i="1"/>
  <c r="AP357" i="1"/>
  <c r="AQ357" i="1"/>
  <c r="AA338" i="1"/>
  <c r="V338" i="1" s="1"/>
  <c r="AC338" i="1"/>
  <c r="AP325" i="1"/>
  <c r="AQ325" i="1"/>
  <c r="AA316" i="1"/>
  <c r="V316" i="1" s="1"/>
  <c r="AC316" i="1"/>
  <c r="AQ311" i="1"/>
  <c r="AP311" i="1"/>
  <c r="AP306" i="1"/>
  <c r="AQ306" i="1"/>
  <c r="AP302" i="1"/>
  <c r="AQ302" i="1"/>
  <c r="AA461" i="1"/>
  <c r="V461" i="1" s="1"/>
  <c r="Z459" i="1"/>
  <c r="AC459" i="1" s="1"/>
  <c r="AA456" i="1"/>
  <c r="V456" i="1" s="1"/>
  <c r="AB456" i="1"/>
  <c r="AA455" i="1"/>
  <c r="V455" i="1" s="1"/>
  <c r="Z452" i="1"/>
  <c r="AA447" i="1"/>
  <c r="V447" i="1" s="1"/>
  <c r="AB447" i="1"/>
  <c r="Z446" i="1"/>
  <c r="AC446" i="1" s="1"/>
  <c r="AB444" i="1"/>
  <c r="AA441" i="1"/>
  <c r="V441" i="1" s="1"/>
  <c r="AA438" i="1"/>
  <c r="V438" i="1" s="1"/>
  <c r="AC438" i="1"/>
  <c r="AP435" i="1"/>
  <c r="AQ435" i="1"/>
  <c r="AP428" i="1"/>
  <c r="AQ428" i="1"/>
  <c r="AP424" i="1"/>
  <c r="AQ424" i="1"/>
  <c r="AP415" i="1"/>
  <c r="AQ415" i="1"/>
  <c r="AP414" i="1"/>
  <c r="AQ414" i="1"/>
  <c r="AP411" i="1"/>
  <c r="AQ411" i="1"/>
  <c r="AP405" i="1"/>
  <c r="AQ405" i="1"/>
  <c r="AP393" i="1"/>
  <c r="AQ393" i="1"/>
  <c r="AP392" i="1"/>
  <c r="AQ392" i="1"/>
  <c r="AA389" i="1"/>
  <c r="V389" i="1" s="1"/>
  <c r="AC389" i="1"/>
  <c r="AA376" i="1"/>
  <c r="V376" i="1" s="1"/>
  <c r="AA375" i="1"/>
  <c r="V375" i="1" s="1"/>
  <c r="AC375" i="1"/>
  <c r="AA373" i="1"/>
  <c r="V373" i="1" s="1"/>
  <c r="AA372" i="1"/>
  <c r="V372" i="1" s="1"/>
  <c r="AC372" i="1"/>
  <c r="AA370" i="1"/>
  <c r="V370" i="1" s="1"/>
  <c r="AA369" i="1"/>
  <c r="V369" i="1" s="1"/>
  <c r="AC369" i="1"/>
  <c r="AA362" i="1"/>
  <c r="V362" i="1" s="1"/>
  <c r="AP361" i="1"/>
  <c r="AQ361" i="1"/>
  <c r="AA357" i="1"/>
  <c r="V357" i="1" s="1"/>
  <c r="AA356" i="1"/>
  <c r="V356" i="1" s="1"/>
  <c r="AC356" i="1"/>
  <c r="AA352" i="1"/>
  <c r="V352" i="1" s="1"/>
  <c r="AC352" i="1"/>
  <c r="AP350" i="1"/>
  <c r="AQ350" i="1"/>
  <c r="AA347" i="1"/>
  <c r="V347" i="1" s="1"/>
  <c r="AC347" i="1"/>
  <c r="AP346" i="1"/>
  <c r="AQ346" i="1"/>
  <c r="AA342" i="1"/>
  <c r="V342" i="1" s="1"/>
  <c r="AC342" i="1"/>
  <c r="AP331" i="1"/>
  <c r="AQ331" i="1"/>
  <c r="AA325" i="1"/>
  <c r="V325" i="1" s="1"/>
  <c r="AP323" i="1"/>
  <c r="AQ323" i="1"/>
  <c r="AP315" i="1"/>
  <c r="AQ315" i="1"/>
  <c r="AC310" i="1"/>
  <c r="AA310" i="1"/>
  <c r="V310" i="1" s="1"/>
  <c r="AQ438" i="1"/>
  <c r="AC437" i="1"/>
  <c r="AB436" i="1"/>
  <c r="AA435" i="1"/>
  <c r="V435" i="1" s="1"/>
  <c r="AQ434" i="1"/>
  <c r="AB433" i="1"/>
  <c r="AA432" i="1"/>
  <c r="V432" i="1" s="1"/>
  <c r="AB431" i="1"/>
  <c r="AP430" i="1"/>
  <c r="AB429" i="1"/>
  <c r="AA428" i="1"/>
  <c r="V428" i="1" s="1"/>
  <c r="AP427" i="1"/>
  <c r="AB426" i="1"/>
  <c r="AP425" i="1"/>
  <c r="AP423" i="1"/>
  <c r="AB422" i="1"/>
  <c r="AP421" i="1"/>
  <c r="AQ420" i="1"/>
  <c r="AB418" i="1"/>
  <c r="AC417" i="1"/>
  <c r="AQ416" i="1"/>
  <c r="AB415" i="1"/>
  <c r="AQ413" i="1"/>
  <c r="AC412" i="1"/>
  <c r="AQ410" i="1"/>
  <c r="AB408" i="1"/>
  <c r="AQ407" i="1"/>
  <c r="AC406" i="1"/>
  <c r="AQ404" i="1"/>
  <c r="AB402" i="1"/>
  <c r="AQ401" i="1"/>
  <c r="AC400" i="1"/>
  <c r="AB399" i="1"/>
  <c r="AC397" i="1"/>
  <c r="AB396" i="1"/>
  <c r="AC395" i="1"/>
  <c r="AQ394" i="1"/>
  <c r="AB393" i="1"/>
  <c r="AQ391" i="1"/>
  <c r="AC390" i="1"/>
  <c r="AQ389" i="1"/>
  <c r="AC387" i="1"/>
  <c r="AB386" i="1"/>
  <c r="AQ384" i="1"/>
  <c r="AB383" i="1"/>
  <c r="AB380" i="1"/>
  <c r="AQ379" i="1"/>
  <c r="AC378" i="1"/>
  <c r="AQ377" i="1"/>
  <c r="AQ375" i="1"/>
  <c r="AC374" i="1"/>
  <c r="AQ372" i="1"/>
  <c r="AB371" i="1"/>
  <c r="AQ369" i="1"/>
  <c r="AC368" i="1"/>
  <c r="AB367" i="1"/>
  <c r="AQ365" i="1"/>
  <c r="AB363" i="1"/>
  <c r="AQ360" i="1"/>
  <c r="AC359" i="1"/>
  <c r="AB358" i="1"/>
  <c r="AQ356" i="1"/>
  <c r="AB354" i="1"/>
  <c r="AA353" i="1"/>
  <c r="V353" i="1" s="1"/>
  <c r="AQ352" i="1"/>
  <c r="AB351" i="1"/>
  <c r="AA350" i="1"/>
  <c r="V350" i="1" s="1"/>
  <c r="AB349" i="1"/>
  <c r="AP348" i="1"/>
  <c r="AQ347" i="1"/>
  <c r="AA346" i="1"/>
  <c r="V346" i="1" s="1"/>
  <c r="AP345" i="1"/>
  <c r="AB344" i="1"/>
  <c r="AQ342" i="1"/>
  <c r="AB340" i="1"/>
  <c r="AC339" i="1"/>
  <c r="AQ338" i="1"/>
  <c r="AB336" i="1"/>
  <c r="AC335" i="1"/>
  <c r="AQ334" i="1"/>
  <c r="AB332" i="1"/>
  <c r="AQ330" i="1"/>
  <c r="AC329" i="1"/>
  <c r="AB328" i="1"/>
  <c r="AQ326" i="1"/>
  <c r="AB324" i="1"/>
  <c r="AQ322" i="1"/>
  <c r="AC321" i="1"/>
  <c r="AQ320" i="1"/>
  <c r="AC319" i="1"/>
  <c r="AB318" i="1"/>
  <c r="AQ316" i="1"/>
  <c r="AQ314" i="1"/>
  <c r="AA311" i="1"/>
  <c r="V311" i="1" s="1"/>
  <c r="AP308" i="1"/>
  <c r="Z305" i="1"/>
  <c r="AC305" i="1" s="1"/>
  <c r="AB304" i="1"/>
  <c r="AA302" i="1"/>
  <c r="V302" i="1" s="1"/>
  <c r="AP296" i="1"/>
  <c r="AQ296" i="1"/>
  <c r="AP295" i="1"/>
  <c r="AQ295" i="1"/>
  <c r="AQ282" i="1"/>
  <c r="AP282" i="1"/>
  <c r="AP281" i="1"/>
  <c r="AQ281" i="1"/>
  <c r="AC276" i="1"/>
  <c r="AA276" i="1"/>
  <c r="V276" i="1" s="1"/>
  <c r="AC274" i="1"/>
  <c r="AA274" i="1"/>
  <c r="V274" i="1" s="1"/>
  <c r="AP271" i="1"/>
  <c r="AQ271" i="1"/>
  <c r="AC258" i="1"/>
  <c r="AA258" i="1"/>
  <c r="V258" i="1" s="1"/>
  <c r="AP255" i="1"/>
  <c r="AQ255" i="1"/>
  <c r="AP246" i="1"/>
  <c r="AQ246" i="1"/>
  <c r="AC245" i="1"/>
  <c r="AA245" i="1"/>
  <c r="V245" i="1" s="1"/>
  <c r="AP242" i="1"/>
  <c r="AQ242" i="1"/>
  <c r="AC234" i="1"/>
  <c r="AA234" i="1"/>
  <c r="V234" i="1" s="1"/>
  <c r="AA233" i="1"/>
  <c r="V233" i="1" s="1"/>
  <c r="AA313" i="1"/>
  <c r="V313" i="1" s="1"/>
  <c r="AA312" i="1"/>
  <c r="V312" i="1" s="1"/>
  <c r="AA307" i="1"/>
  <c r="V307" i="1" s="1"/>
  <c r="AP305" i="1"/>
  <c r="AB301" i="1"/>
  <c r="AP300" i="1"/>
  <c r="AQ300" i="1"/>
  <c r="AA298" i="1"/>
  <c r="V298" i="1" s="1"/>
  <c r="AB298" i="1"/>
  <c r="AB297" i="1"/>
  <c r="AP297" i="1"/>
  <c r="AQ297" i="1"/>
  <c r="AA296" i="1"/>
  <c r="V296" i="1" s="1"/>
  <c r="AA295" i="1"/>
  <c r="V295" i="1" s="1"/>
  <c r="AP293" i="1"/>
  <c r="AQ293" i="1"/>
  <c r="AC288" i="1"/>
  <c r="AA288" i="1"/>
  <c r="V288" i="1" s="1"/>
  <c r="AA281" i="1"/>
  <c r="V281" i="1" s="1"/>
  <c r="AC280" i="1"/>
  <c r="AA280" i="1"/>
  <c r="V280" i="1" s="1"/>
  <c r="AA271" i="1"/>
  <c r="V271" i="1" s="1"/>
  <c r="AC270" i="1"/>
  <c r="AA270" i="1"/>
  <c r="V270" i="1" s="1"/>
  <c r="AA255" i="1"/>
  <c r="V255" i="1" s="1"/>
  <c r="AC254" i="1"/>
  <c r="AA254" i="1"/>
  <c r="V254" i="1" s="1"/>
  <c r="AA246" i="1"/>
  <c r="V246" i="1" s="1"/>
  <c r="AC238" i="1"/>
  <c r="AA238" i="1"/>
  <c r="V238" i="1" s="1"/>
  <c r="AA308" i="1"/>
  <c r="V308" i="1" s="1"/>
  <c r="AB308" i="1"/>
  <c r="AQ286" i="1"/>
  <c r="AP286" i="1"/>
  <c r="AP285" i="1"/>
  <c r="AQ285" i="1"/>
  <c r="AP279" i="1"/>
  <c r="AQ279" i="1"/>
  <c r="AP269" i="1"/>
  <c r="AQ269" i="1"/>
  <c r="AP253" i="1"/>
  <c r="AQ253" i="1"/>
  <c r="AP249" i="1"/>
  <c r="AQ249" i="1"/>
  <c r="AC242" i="1"/>
  <c r="AA242" i="1"/>
  <c r="V242" i="1" s="1"/>
  <c r="AP236" i="1"/>
  <c r="AQ236" i="1"/>
  <c r="AA235" i="1"/>
  <c r="V235" i="1" s="1"/>
  <c r="AP234" i="1"/>
  <c r="AQ234" i="1"/>
  <c r="AA309" i="1"/>
  <c r="V309" i="1" s="1"/>
  <c r="AP307" i="1"/>
  <c r="Z306" i="1"/>
  <c r="AB303" i="1"/>
  <c r="AB302" i="1"/>
  <c r="AA299" i="1"/>
  <c r="V299" i="1" s="1"/>
  <c r="AC299" i="1"/>
  <c r="AC284" i="1"/>
  <c r="AA284" i="1"/>
  <c r="V284" i="1" s="1"/>
  <c r="AP277" i="1"/>
  <c r="AQ277" i="1"/>
  <c r="AP267" i="1"/>
  <c r="AQ267" i="1"/>
  <c r="AC266" i="1"/>
  <c r="AA266" i="1"/>
  <c r="V266" i="1" s="1"/>
  <c r="AC262" i="1"/>
  <c r="AA262" i="1"/>
  <c r="V262" i="1" s="1"/>
  <c r="AP259" i="1"/>
  <c r="AQ259" i="1"/>
  <c r="AC248" i="1"/>
  <c r="AA248" i="1"/>
  <c r="V248" i="1" s="1"/>
  <c r="AP240" i="1"/>
  <c r="AQ240" i="1"/>
  <c r="AP238" i="1"/>
  <c r="AQ238" i="1"/>
  <c r="AP232" i="1"/>
  <c r="AQ232" i="1"/>
  <c r="AP229" i="1"/>
  <c r="AQ229" i="1"/>
  <c r="AB226" i="1"/>
  <c r="AP219" i="1"/>
  <c r="AQ219" i="1"/>
  <c r="AP218" i="1"/>
  <c r="AQ218" i="1"/>
  <c r="AA205" i="1"/>
  <c r="V205" i="1" s="1"/>
  <c r="AC205" i="1"/>
  <c r="AP202" i="1"/>
  <c r="AQ202" i="1"/>
  <c r="AC198" i="1"/>
  <c r="AA198" i="1"/>
  <c r="V198" i="1" s="1"/>
  <c r="AQ195" i="1"/>
  <c r="AP195" i="1"/>
  <c r="AP194" i="1"/>
  <c r="AQ194" i="1"/>
  <c r="AB294" i="1"/>
  <c r="AQ292" i="1"/>
  <c r="AC291" i="1"/>
  <c r="AB290" i="1"/>
  <c r="AC289" i="1"/>
  <c r="AQ288" i="1"/>
  <c r="AC287" i="1"/>
  <c r="AB286" i="1"/>
  <c r="AQ284" i="1"/>
  <c r="AC283" i="1"/>
  <c r="AB282" i="1"/>
  <c r="AQ280" i="1"/>
  <c r="AB278" i="1"/>
  <c r="AQ276" i="1"/>
  <c r="AC275" i="1"/>
  <c r="AQ274" i="1"/>
  <c r="AB272" i="1"/>
  <c r="AQ270" i="1"/>
  <c r="AB268" i="1"/>
  <c r="AQ266" i="1"/>
  <c r="AB264" i="1"/>
  <c r="AC263" i="1"/>
  <c r="AQ262" i="1"/>
  <c r="AC261" i="1"/>
  <c r="AB260" i="1"/>
  <c r="AQ258" i="1"/>
  <c r="AB256" i="1"/>
  <c r="AQ254" i="1"/>
  <c r="AB252" i="1"/>
  <c r="AC251" i="1"/>
  <c r="AB250" i="1"/>
  <c r="AQ248" i="1"/>
  <c r="AB247" i="1"/>
  <c r="AQ245" i="1"/>
  <c r="AC244" i="1"/>
  <c r="AQ243" i="1"/>
  <c r="AQ241" i="1"/>
  <c r="AB239" i="1"/>
  <c r="AQ237" i="1"/>
  <c r="AB235" i="1"/>
  <c r="AB233" i="1"/>
  <c r="AP213" i="1"/>
  <c r="AQ213" i="1"/>
  <c r="AP208" i="1"/>
  <c r="AQ208" i="1"/>
  <c r="AQ183" i="1"/>
  <c r="AP183" i="1"/>
  <c r="AQ231" i="1"/>
  <c r="AA227" i="1"/>
  <c r="V227" i="1" s="1"/>
  <c r="AB227" i="1"/>
  <c r="AA224" i="1"/>
  <c r="V224" i="1" s="1"/>
  <c r="AC224" i="1"/>
  <c r="AP215" i="1"/>
  <c r="AQ215" i="1"/>
  <c r="AP214" i="1"/>
  <c r="AQ214" i="1"/>
  <c r="AP211" i="1"/>
  <c r="AQ211" i="1"/>
  <c r="AC202" i="1"/>
  <c r="AA202" i="1"/>
  <c r="V202" i="1" s="1"/>
  <c r="AP198" i="1"/>
  <c r="AQ198" i="1"/>
  <c r="AQ193" i="1"/>
  <c r="AP193" i="1"/>
  <c r="Z231" i="1"/>
  <c r="AC231" i="1" s="1"/>
  <c r="AQ230" i="1"/>
  <c r="AA228" i="1"/>
  <c r="V228" i="1" s="1"/>
  <c r="AP226" i="1"/>
  <c r="AA225" i="1"/>
  <c r="V225" i="1" s="1"/>
  <c r="AP222" i="1"/>
  <c r="AQ222" i="1"/>
  <c r="AA221" i="1"/>
  <c r="V221" i="1" s="1"/>
  <c r="AC221" i="1"/>
  <c r="AA214" i="1"/>
  <c r="V214" i="1" s="1"/>
  <c r="AQ224" i="1"/>
  <c r="AC223" i="1"/>
  <c r="AB222" i="1"/>
  <c r="AQ221" i="1"/>
  <c r="AC220" i="1"/>
  <c r="AB219" i="1"/>
  <c r="AQ217" i="1"/>
  <c r="AC216" i="1"/>
  <c r="AB215" i="1"/>
  <c r="AB213" i="1"/>
  <c r="AA211" i="1"/>
  <c r="V211" i="1" s="1"/>
  <c r="AQ210" i="1"/>
  <c r="AC209" i="1"/>
  <c r="AB208" i="1"/>
  <c r="AQ207" i="1"/>
  <c r="AC206" i="1"/>
  <c r="AQ205" i="1"/>
  <c r="AA197" i="1"/>
  <c r="V197" i="1" s="1"/>
  <c r="AB188" i="1"/>
  <c r="AA188" i="1"/>
  <c r="V188" i="1" s="1"/>
  <c r="AA186" i="1"/>
  <c r="V186" i="1" s="1"/>
  <c r="AB185" i="1"/>
  <c r="AA185" i="1"/>
  <c r="V185" i="1" s="1"/>
  <c r="AC182" i="1"/>
  <c r="AA182" i="1"/>
  <c r="V182" i="1" s="1"/>
  <c r="AP176" i="1"/>
  <c r="AQ176" i="1"/>
  <c r="AP168" i="1"/>
  <c r="AQ168" i="1"/>
  <c r="AP159" i="1"/>
  <c r="AQ159" i="1"/>
  <c r="AQ158" i="1"/>
  <c r="AP158" i="1"/>
  <c r="AA154" i="1"/>
  <c r="V154" i="1" s="1"/>
  <c r="AC154" i="1"/>
  <c r="AA150" i="1"/>
  <c r="V150" i="1" s="1"/>
  <c r="AC150" i="1"/>
  <c r="AA146" i="1"/>
  <c r="V146" i="1" s="1"/>
  <c r="AC146" i="1"/>
  <c r="AP144" i="1"/>
  <c r="AQ144" i="1"/>
  <c r="AP139" i="1"/>
  <c r="AQ139" i="1"/>
  <c r="AQ138" i="1"/>
  <c r="AP138" i="1"/>
  <c r="AP134" i="1"/>
  <c r="AQ134" i="1"/>
  <c r="AA204" i="1"/>
  <c r="V204" i="1" s="1"/>
  <c r="AA203" i="1"/>
  <c r="V203" i="1" s="1"/>
  <c r="AA201" i="1"/>
  <c r="V201" i="1" s="1"/>
  <c r="AA200" i="1"/>
  <c r="V200" i="1" s="1"/>
  <c r="Z195" i="1"/>
  <c r="AC195" i="1" s="1"/>
  <c r="AB193" i="1"/>
  <c r="AB192" i="1"/>
  <c r="AA192" i="1"/>
  <c r="V192" i="1" s="1"/>
  <c r="Z191" i="1"/>
  <c r="AC191" i="1" s="1"/>
  <c r="AA189" i="1"/>
  <c r="V189" i="1" s="1"/>
  <c r="AQ188" i="1"/>
  <c r="AP184" i="1"/>
  <c r="Z183" i="1"/>
  <c r="AB181" i="1"/>
  <c r="AP171" i="1"/>
  <c r="AQ171" i="1"/>
  <c r="AP163" i="1"/>
  <c r="AQ163" i="1"/>
  <c r="AP160" i="1"/>
  <c r="AQ160" i="1"/>
  <c r="AA159" i="1"/>
  <c r="V159" i="1" s="1"/>
  <c r="AP157" i="1"/>
  <c r="AQ157" i="1"/>
  <c r="AA148" i="1"/>
  <c r="V148" i="1" s="1"/>
  <c r="AC148" i="1"/>
  <c r="AA142" i="1"/>
  <c r="V142" i="1" s="1"/>
  <c r="AC142" i="1"/>
  <c r="AP140" i="1"/>
  <c r="AQ140" i="1"/>
  <c r="AP136" i="1"/>
  <c r="AQ136" i="1"/>
  <c r="AB195" i="1"/>
  <c r="AA194" i="1"/>
  <c r="V194" i="1" s="1"/>
  <c r="AP191" i="1"/>
  <c r="AA187" i="1"/>
  <c r="V187" i="1" s="1"/>
  <c r="AB184" i="1"/>
  <c r="AP172" i="1"/>
  <c r="AQ172" i="1"/>
  <c r="AA171" i="1"/>
  <c r="V171" i="1" s="1"/>
  <c r="AP164" i="1"/>
  <c r="AQ164" i="1"/>
  <c r="AA163" i="1"/>
  <c r="V163" i="1" s="1"/>
  <c r="AA158" i="1"/>
  <c r="V158" i="1" s="1"/>
  <c r="AC158" i="1"/>
  <c r="AA157" i="1"/>
  <c r="V157" i="1" s="1"/>
  <c r="AP155" i="1"/>
  <c r="AQ155" i="1"/>
  <c r="AQ154" i="1"/>
  <c r="AP154" i="1"/>
  <c r="AP151" i="1"/>
  <c r="AQ151" i="1"/>
  <c r="AQ150" i="1"/>
  <c r="AP150" i="1"/>
  <c r="AA147" i="1"/>
  <c r="V147" i="1" s="1"/>
  <c r="AQ146" i="1"/>
  <c r="AP146" i="1"/>
  <c r="AA138" i="1"/>
  <c r="V138" i="1" s="1"/>
  <c r="AC138" i="1"/>
  <c r="AB199" i="1"/>
  <c r="Z196" i="1"/>
  <c r="AC196" i="1" s="1"/>
  <c r="AB191" i="1"/>
  <c r="AQ190" i="1"/>
  <c r="AP190" i="1"/>
  <c r="AQ186" i="1"/>
  <c r="AP186" i="1"/>
  <c r="AP180" i="1"/>
  <c r="AQ180" i="1"/>
  <c r="AA178" i="1"/>
  <c r="V178" i="1" s="1"/>
  <c r="AC178" i="1"/>
  <c r="AP175" i="1"/>
  <c r="AQ175" i="1"/>
  <c r="AA170" i="1"/>
  <c r="V170" i="1" s="1"/>
  <c r="AC170" i="1"/>
  <c r="AP167" i="1"/>
  <c r="AQ167" i="1"/>
  <c r="AA162" i="1"/>
  <c r="V162" i="1" s="1"/>
  <c r="AC162" i="1"/>
  <c r="AP161" i="1"/>
  <c r="AQ161" i="1"/>
  <c r="AP156" i="1"/>
  <c r="AQ156" i="1"/>
  <c r="AP152" i="1"/>
  <c r="AQ152" i="1"/>
  <c r="AA151" i="1"/>
  <c r="V151" i="1" s="1"/>
  <c r="AP149" i="1"/>
  <c r="AQ149" i="1"/>
  <c r="AQ148" i="1"/>
  <c r="AP148" i="1"/>
  <c r="AP143" i="1"/>
  <c r="AQ143" i="1"/>
  <c r="AQ142" i="1"/>
  <c r="AP142" i="1"/>
  <c r="AP178" i="1"/>
  <c r="AP174" i="1"/>
  <c r="AA172" i="1"/>
  <c r="V172" i="1" s="1"/>
  <c r="AP170" i="1"/>
  <c r="AP166" i="1"/>
  <c r="AA164" i="1"/>
  <c r="V164" i="1" s="1"/>
  <c r="AP162" i="1"/>
  <c r="AA160" i="1"/>
  <c r="V160" i="1" s="1"/>
  <c r="AA156" i="1"/>
  <c r="V156" i="1" s="1"/>
  <c r="AA152" i="1"/>
  <c r="V152" i="1" s="1"/>
  <c r="AA140" i="1"/>
  <c r="V140" i="1" s="1"/>
  <c r="AA136" i="1"/>
  <c r="V136" i="1" s="1"/>
  <c r="AP131" i="1"/>
  <c r="Z131" i="1"/>
  <c r="AQ130" i="1"/>
  <c r="AA127" i="1"/>
  <c r="V127" i="1" s="1"/>
  <c r="AA126" i="1"/>
  <c r="V126" i="1" s="1"/>
  <c r="AP124" i="1"/>
  <c r="AP122" i="1"/>
  <c r="AQ122" i="1"/>
  <c r="AA111" i="1"/>
  <c r="V111" i="1" s="1"/>
  <c r="AC111" i="1"/>
  <c r="AP99" i="1"/>
  <c r="AQ99" i="1"/>
  <c r="AP98" i="1"/>
  <c r="AQ98" i="1"/>
  <c r="AA177" i="1"/>
  <c r="V177" i="1" s="1"/>
  <c r="AA173" i="1"/>
  <c r="V173" i="1" s="1"/>
  <c r="AA169" i="1"/>
  <c r="V169" i="1" s="1"/>
  <c r="AA165" i="1"/>
  <c r="V165" i="1" s="1"/>
  <c r="AB128" i="1"/>
  <c r="AC125" i="1"/>
  <c r="AA125" i="1"/>
  <c r="V125" i="1" s="1"/>
  <c r="AQ123" i="1"/>
  <c r="AP123" i="1"/>
  <c r="AP120" i="1"/>
  <c r="AP110" i="1"/>
  <c r="AQ110" i="1"/>
  <c r="AQ109" i="1"/>
  <c r="AP109" i="1"/>
  <c r="AQ107" i="1"/>
  <c r="AP107" i="1"/>
  <c r="AP100" i="1"/>
  <c r="AQ100" i="1"/>
  <c r="AB180" i="1"/>
  <c r="AQ179" i="1"/>
  <c r="AB175" i="1"/>
  <c r="AB171" i="1"/>
  <c r="AB167" i="1"/>
  <c r="AB163" i="1"/>
  <c r="AB161" i="1"/>
  <c r="AB159" i="1"/>
  <c r="AB157" i="1"/>
  <c r="AB155" i="1"/>
  <c r="AQ153" i="1"/>
  <c r="AB151" i="1"/>
  <c r="AB149" i="1"/>
  <c r="AB147" i="1"/>
  <c r="AQ145" i="1"/>
  <c r="AB143" i="1"/>
  <c r="AQ141" i="1"/>
  <c r="AB139" i="1"/>
  <c r="AQ137" i="1"/>
  <c r="AA124" i="1"/>
  <c r="V124" i="1" s="1"/>
  <c r="AB124" i="1"/>
  <c r="AC121" i="1"/>
  <c r="AA121" i="1"/>
  <c r="V121" i="1" s="1"/>
  <c r="AQ119" i="1"/>
  <c r="AP119" i="1"/>
  <c r="AP117" i="1"/>
  <c r="AQ117" i="1"/>
  <c r="AQ116" i="1"/>
  <c r="AP116" i="1"/>
  <c r="AQ113" i="1"/>
  <c r="AP113" i="1"/>
  <c r="AQ111" i="1"/>
  <c r="AP111" i="1"/>
  <c r="AA98" i="1"/>
  <c r="V98" i="1" s="1"/>
  <c r="AC98" i="1"/>
  <c r="AA135" i="1"/>
  <c r="V135" i="1" s="1"/>
  <c r="AA133" i="1"/>
  <c r="V133" i="1" s="1"/>
  <c r="AA132" i="1"/>
  <c r="V132" i="1" s="1"/>
  <c r="AB127" i="1"/>
  <c r="AP126" i="1"/>
  <c r="AQ126" i="1"/>
  <c r="Z123" i="1"/>
  <c r="AC123" i="1" s="1"/>
  <c r="AA120" i="1"/>
  <c r="V120" i="1" s="1"/>
  <c r="AB120" i="1"/>
  <c r="AA119" i="1"/>
  <c r="V119" i="1" s="1"/>
  <c r="AC118" i="1"/>
  <c r="AA118" i="1"/>
  <c r="V118" i="1" s="1"/>
  <c r="AA116" i="1"/>
  <c r="V116" i="1" s="1"/>
  <c r="AC115" i="1"/>
  <c r="AA115" i="1"/>
  <c r="V115" i="1" s="1"/>
  <c r="AA113" i="1"/>
  <c r="V113" i="1" s="1"/>
  <c r="AA107" i="1"/>
  <c r="V107" i="1" s="1"/>
  <c r="AC107" i="1"/>
  <c r="AA105" i="1"/>
  <c r="V105" i="1" s="1"/>
  <c r="AC105" i="1"/>
  <c r="AP104" i="1"/>
  <c r="AQ104" i="1"/>
  <c r="AA114" i="1"/>
  <c r="V114" i="1" s="1"/>
  <c r="AP105" i="1"/>
  <c r="AB102" i="1"/>
  <c r="AB100" i="1"/>
  <c r="AA99" i="1"/>
  <c r="V99" i="1" s="1"/>
  <c r="AA95" i="1"/>
  <c r="V95" i="1" s="1"/>
  <c r="AB95" i="1"/>
  <c r="AP93" i="1"/>
  <c r="AQ93" i="1"/>
  <c r="AA90" i="1"/>
  <c r="V90" i="1" s="1"/>
  <c r="AC90" i="1"/>
  <c r="AQ86" i="1"/>
  <c r="AP86" i="1"/>
  <c r="AQ78" i="1"/>
  <c r="AP78" i="1"/>
  <c r="AQ75" i="1"/>
  <c r="AP75" i="1"/>
  <c r="AQ73" i="1"/>
  <c r="AP73" i="1"/>
  <c r="AA69" i="1"/>
  <c r="V69" i="1" s="1"/>
  <c r="AC69" i="1"/>
  <c r="AQ63" i="1"/>
  <c r="AP63" i="1"/>
  <c r="AQ60" i="1"/>
  <c r="AP60" i="1"/>
  <c r="AC46" i="1"/>
  <c r="AA46" i="1"/>
  <c r="V46" i="1" s="1"/>
  <c r="AB103" i="1"/>
  <c r="AA96" i="1"/>
  <c r="V96" i="1" s="1"/>
  <c r="AB94" i="1"/>
  <c r="AQ94" i="1"/>
  <c r="AP94" i="1"/>
  <c r="AP92" i="1"/>
  <c r="AP89" i="1"/>
  <c r="AQ89" i="1"/>
  <c r="AA87" i="1"/>
  <c r="V87" i="1" s="1"/>
  <c r="AB87" i="1"/>
  <c r="AQ82" i="1"/>
  <c r="AP82" i="1"/>
  <c r="AA75" i="1"/>
  <c r="V75" i="1" s="1"/>
  <c r="AP58" i="1"/>
  <c r="AQ58" i="1"/>
  <c r="AP54" i="1"/>
  <c r="AQ54" i="1"/>
  <c r="AA53" i="1"/>
  <c r="V53" i="1" s="1"/>
  <c r="AC53" i="1"/>
  <c r="AQ52" i="1"/>
  <c r="AP52" i="1"/>
  <c r="AQ118" i="1"/>
  <c r="AB117" i="1"/>
  <c r="AQ115" i="1"/>
  <c r="AQ112" i="1"/>
  <c r="AB110" i="1"/>
  <c r="AQ108" i="1"/>
  <c r="AQ106" i="1"/>
  <c r="AB104" i="1"/>
  <c r="AA94" i="1"/>
  <c r="V94" i="1" s="1"/>
  <c r="AC92" i="1"/>
  <c r="AA92" i="1"/>
  <c r="V92" i="1" s="1"/>
  <c r="AP91" i="1"/>
  <c r="AQ91" i="1"/>
  <c r="AB90" i="1"/>
  <c r="AQ90" i="1"/>
  <c r="AP90" i="1"/>
  <c r="AA86" i="1"/>
  <c r="V86" i="1" s="1"/>
  <c r="AC86" i="1"/>
  <c r="AA78" i="1"/>
  <c r="V78" i="1" s="1"/>
  <c r="AC78" i="1"/>
  <c r="AA73" i="1"/>
  <c r="V73" i="1" s="1"/>
  <c r="AC73" i="1"/>
  <c r="AQ71" i="1"/>
  <c r="AP71" i="1"/>
  <c r="AQ69" i="1"/>
  <c r="AP69" i="1"/>
  <c r="AQ67" i="1"/>
  <c r="AP67" i="1"/>
  <c r="AP65" i="1"/>
  <c r="AQ65" i="1"/>
  <c r="AP50" i="1"/>
  <c r="AQ50" i="1"/>
  <c r="AA71" i="1"/>
  <c r="V71" i="1" s="1"/>
  <c r="AC58" i="1"/>
  <c r="AA58" i="1"/>
  <c r="V58" i="1" s="1"/>
  <c r="AA80" i="1"/>
  <c r="V80" i="1" s="1"/>
  <c r="AB66" i="1"/>
  <c r="AB62" i="1"/>
  <c r="AQ61" i="1"/>
  <c r="AB59" i="1"/>
  <c r="AB57" i="1"/>
  <c r="AB55" i="1"/>
  <c r="AQ53" i="1"/>
  <c r="AC52" i="1"/>
  <c r="AA49" i="1"/>
  <c r="V49" i="1" s="1"/>
  <c r="AA48" i="1"/>
  <c r="V48" i="1" s="1"/>
  <c r="AA45" i="1"/>
  <c r="V45" i="1" s="1"/>
  <c r="AP43" i="1"/>
  <c r="AQ40" i="1"/>
  <c r="AP40" i="1"/>
  <c r="AP34" i="1"/>
  <c r="AQ34" i="1"/>
  <c r="AA17" i="1"/>
  <c r="V17" i="1" s="1"/>
  <c r="AC17" i="1"/>
  <c r="AA15" i="1"/>
  <c r="V15" i="1" s="1"/>
  <c r="AC15" i="1"/>
  <c r="AP10" i="1"/>
  <c r="AQ10" i="1"/>
  <c r="AC7" i="1"/>
  <c r="AA7" i="1"/>
  <c r="V7" i="1" s="1"/>
  <c r="AB67" i="1"/>
  <c r="AB63" i="1"/>
  <c r="AB60" i="1"/>
  <c r="AP42" i="1"/>
  <c r="AQ42" i="1"/>
  <c r="AA39" i="1"/>
  <c r="V39" i="1" s="1"/>
  <c r="AP38" i="1"/>
  <c r="AQ38" i="1"/>
  <c r="AQ32" i="1"/>
  <c r="AP32" i="1"/>
  <c r="AP14" i="1"/>
  <c r="AQ14" i="1"/>
  <c r="AB85" i="1"/>
  <c r="AB83" i="1"/>
  <c r="AQ81" i="1"/>
  <c r="AQ79" i="1"/>
  <c r="AB77" i="1"/>
  <c r="AQ74" i="1"/>
  <c r="AB72" i="1"/>
  <c r="AQ70" i="1"/>
  <c r="AB68" i="1"/>
  <c r="AB64" i="1"/>
  <c r="AP51" i="1"/>
  <c r="Z51" i="1"/>
  <c r="AC51" i="1" s="1"/>
  <c r="AB48" i="1"/>
  <c r="AQ46" i="1"/>
  <c r="AA43" i="1"/>
  <c r="V43" i="1" s="1"/>
  <c r="AA41" i="1"/>
  <c r="V41" i="1" s="1"/>
  <c r="AC34" i="1"/>
  <c r="AA34" i="1"/>
  <c r="V34" i="1" s="1"/>
  <c r="AA33" i="1"/>
  <c r="V33" i="1" s="1"/>
  <c r="AP26" i="1"/>
  <c r="AQ26" i="1"/>
  <c r="AA23" i="1"/>
  <c r="V23" i="1" s="1"/>
  <c r="AC23" i="1"/>
  <c r="AP22" i="1"/>
  <c r="AQ22" i="1"/>
  <c r="AA14" i="1"/>
  <c r="V14" i="1" s="1"/>
  <c r="AC10" i="1"/>
  <c r="AA10" i="1"/>
  <c r="V10" i="1" s="1"/>
  <c r="AP8" i="1"/>
  <c r="AQ8" i="1"/>
  <c r="AA44" i="1"/>
  <c r="V44" i="1" s="1"/>
  <c r="AB44" i="1"/>
  <c r="AC38" i="1"/>
  <c r="AA38" i="1"/>
  <c r="V38" i="1" s="1"/>
  <c r="AQ36" i="1"/>
  <c r="AP36" i="1"/>
  <c r="AP30" i="1"/>
  <c r="AQ30" i="1"/>
  <c r="AP18" i="1"/>
  <c r="AQ18" i="1"/>
  <c r="AQ12" i="1"/>
  <c r="AP12" i="1"/>
  <c r="AQ9" i="1"/>
  <c r="AP9" i="1"/>
  <c r="AB41" i="1"/>
  <c r="AB39" i="1"/>
  <c r="AQ37" i="1"/>
  <c r="AB35" i="1"/>
  <c r="AB33" i="1"/>
  <c r="AB31" i="1"/>
  <c r="AB29" i="1"/>
  <c r="AC28" i="1"/>
  <c r="AB27" i="1"/>
  <c r="AA26" i="1"/>
  <c r="V26" i="1" s="1"/>
  <c r="AB25" i="1"/>
  <c r="AP24" i="1"/>
  <c r="AQ23" i="1"/>
  <c r="AA22" i="1"/>
  <c r="V22" i="1" s="1"/>
  <c r="AQ21" i="1"/>
  <c r="AC20" i="1"/>
  <c r="AB19" i="1"/>
  <c r="AA18" i="1"/>
  <c r="V18" i="1" s="1"/>
  <c r="AQ17" i="1"/>
  <c r="AC16" i="1"/>
  <c r="AQ15" i="1"/>
  <c r="AQ13" i="1"/>
  <c r="AQ11" i="1"/>
  <c r="AB8" i="1"/>
  <c r="AB40" i="1"/>
  <c r="AB36" i="1"/>
  <c r="AB12" i="1"/>
  <c r="AB9" i="1"/>
  <c r="AQ7" i="1"/>
  <c r="AP579" i="2" l="1"/>
  <c r="AO579" i="2"/>
  <c r="AO576" i="2"/>
  <c r="AP576" i="2"/>
  <c r="AO565" i="2"/>
  <c r="AP565" i="2"/>
  <c r="AO544" i="2"/>
  <c r="AP544" i="2"/>
  <c r="AO528" i="2"/>
  <c r="AP528" i="2"/>
  <c r="AP548" i="2"/>
  <c r="AO548" i="2"/>
  <c r="AP531" i="2"/>
  <c r="AO531" i="2"/>
  <c r="AP526" i="2"/>
  <c r="AO526" i="2"/>
  <c r="AP516" i="2"/>
  <c r="AO516" i="2"/>
  <c r="AP506" i="2"/>
  <c r="AO506" i="2"/>
  <c r="AP467" i="2"/>
  <c r="AO467" i="2"/>
  <c r="AP449" i="2"/>
  <c r="AO449" i="2"/>
  <c r="AP425" i="2"/>
  <c r="AO425" i="2"/>
  <c r="AP407" i="2"/>
  <c r="AO407" i="2"/>
  <c r="AP497" i="2"/>
  <c r="AO497" i="2"/>
  <c r="AO456" i="2"/>
  <c r="AP456" i="2"/>
  <c r="AO450" i="2"/>
  <c r="AP450" i="2"/>
  <c r="AO433" i="2"/>
  <c r="AP433" i="2"/>
  <c r="Y579" i="2"/>
  <c r="AB579" i="2" s="1"/>
  <c r="Y536" i="2"/>
  <c r="AB536" i="2" s="1"/>
  <c r="Y533" i="2"/>
  <c r="AB533" i="2" s="1"/>
  <c r="AO396" i="2"/>
  <c r="AP396" i="2"/>
  <c r="Y497" i="2"/>
  <c r="AB497" i="2" s="1"/>
  <c r="Y436" i="2"/>
  <c r="AB436" i="2" s="1"/>
  <c r="AO381" i="2"/>
  <c r="AP381" i="2"/>
  <c r="AO358" i="2"/>
  <c r="AP358" i="2"/>
  <c r="AO346" i="2"/>
  <c r="AP346" i="2"/>
  <c r="Y449" i="2"/>
  <c r="AB449" i="2" s="1"/>
  <c r="AO401" i="2"/>
  <c r="AP401" i="2"/>
  <c r="AO387" i="2"/>
  <c r="AP387" i="2"/>
  <c r="AP369" i="2"/>
  <c r="AO369" i="2"/>
  <c r="AP359" i="2"/>
  <c r="AO359" i="2"/>
  <c r="AP336" i="2"/>
  <c r="AO336" i="2"/>
  <c r="AO411" i="2"/>
  <c r="AP411" i="2"/>
  <c r="AO386" i="2"/>
  <c r="AP386" i="2"/>
  <c r="AP379" i="2"/>
  <c r="AO379" i="2"/>
  <c r="AP370" i="2"/>
  <c r="AO370" i="2"/>
  <c r="AP364" i="2"/>
  <c r="AO364" i="2"/>
  <c r="AP355" i="2"/>
  <c r="AO355" i="2"/>
  <c r="AP337" i="2"/>
  <c r="AO337" i="2"/>
  <c r="AP325" i="2"/>
  <c r="AO325" i="2"/>
  <c r="AP315" i="2"/>
  <c r="AO315" i="2"/>
  <c r="AP305" i="2"/>
  <c r="AO305" i="2"/>
  <c r="Y358" i="2"/>
  <c r="AB358" i="2" s="1"/>
  <c r="Y327" i="2"/>
  <c r="AB327" i="2" s="1"/>
  <c r="Y308" i="2"/>
  <c r="AB308" i="2" s="1"/>
  <c r="AP286" i="2"/>
  <c r="AO286" i="2"/>
  <c r="Y314" i="2"/>
  <c r="AB314" i="2" s="1"/>
  <c r="AP289" i="2"/>
  <c r="AO289" i="2"/>
  <c r="Y381" i="2"/>
  <c r="AB381" i="2" s="1"/>
  <c r="AP263" i="2"/>
  <c r="AO263" i="2"/>
  <c r="AP242" i="2"/>
  <c r="AO242" i="2"/>
  <c r="AP217" i="2"/>
  <c r="AO217" i="2"/>
  <c r="AP196" i="2"/>
  <c r="AO196" i="2"/>
  <c r="AP177" i="2"/>
  <c r="AO177" i="2"/>
  <c r="Y349" i="2"/>
  <c r="AB349" i="2" s="1"/>
  <c r="AO304" i="2"/>
  <c r="AP304" i="2"/>
  <c r="AO281" i="2"/>
  <c r="AP281" i="2"/>
  <c r="AO269" i="2"/>
  <c r="AP269" i="2"/>
  <c r="AP252" i="2"/>
  <c r="AO252" i="2"/>
  <c r="AP231" i="2"/>
  <c r="AO231" i="2"/>
  <c r="AP215" i="2"/>
  <c r="AO215" i="2"/>
  <c r="AP204" i="2"/>
  <c r="AO204" i="2"/>
  <c r="AP169" i="2"/>
  <c r="AO169" i="2"/>
  <c r="Y230" i="2"/>
  <c r="AB230" i="2" s="1"/>
  <c r="Y161" i="2"/>
  <c r="AB161" i="2" s="1"/>
  <c r="Y196" i="2"/>
  <c r="AB196" i="2" s="1"/>
  <c r="AO99" i="2"/>
  <c r="AP99" i="2"/>
  <c r="AO89" i="2"/>
  <c r="AP89" i="2"/>
  <c r="AO51" i="2"/>
  <c r="AP51" i="2"/>
  <c r="AO31" i="2"/>
  <c r="AP31" i="2"/>
  <c r="Y242" i="2"/>
  <c r="AB242" i="2" s="1"/>
  <c r="Y210" i="2"/>
  <c r="AB210" i="2" s="1"/>
  <c r="AO154" i="2"/>
  <c r="AP154" i="2"/>
  <c r="AP132" i="2"/>
  <c r="AO132" i="2"/>
  <c r="AP124" i="2"/>
  <c r="AO124" i="2"/>
  <c r="AP116" i="2"/>
  <c r="AO116" i="2"/>
  <c r="Y82" i="2"/>
  <c r="AB82" i="2" s="1"/>
  <c r="Y78" i="2"/>
  <c r="AB78" i="2" s="1"/>
  <c r="AP59" i="2"/>
  <c r="AO59" i="2"/>
  <c r="AO13" i="2"/>
  <c r="AP13" i="2"/>
  <c r="Y168" i="2"/>
  <c r="AB168" i="2" s="1"/>
  <c r="Y147" i="2"/>
  <c r="AB147" i="2" s="1"/>
  <c r="AP129" i="2"/>
  <c r="AO129" i="2"/>
  <c r="AP125" i="2"/>
  <c r="AO125" i="2"/>
  <c r="AP121" i="2"/>
  <c r="AO121" i="2"/>
  <c r="AP117" i="2"/>
  <c r="AO117" i="2"/>
  <c r="AP113" i="2"/>
  <c r="AO113" i="2"/>
  <c r="AP110" i="2"/>
  <c r="AO110" i="2"/>
  <c r="Y60" i="2"/>
  <c r="AB60" i="2" s="1"/>
  <c r="AP41" i="2"/>
  <c r="AO41" i="2"/>
  <c r="Y33" i="2"/>
  <c r="AB33" i="2" s="1"/>
  <c r="Y2" i="2"/>
  <c r="AB2" i="2" s="1"/>
  <c r="Y120" i="2"/>
  <c r="AB120" i="2" s="1"/>
  <c r="Y77" i="2"/>
  <c r="AB77" i="2" s="1"/>
  <c r="Y31" i="2"/>
  <c r="AB31" i="2" s="1"/>
  <c r="Y99" i="2"/>
  <c r="AB99" i="2" s="1"/>
  <c r="Y39" i="2"/>
  <c r="AB39" i="2" s="1"/>
  <c r="Y124" i="2"/>
  <c r="AB124" i="2" s="1"/>
  <c r="Y85" i="2"/>
  <c r="AB85" i="2" s="1"/>
  <c r="Y12" i="2"/>
  <c r="AB12" i="2" s="1"/>
  <c r="AP575" i="2"/>
  <c r="AO575" i="2"/>
  <c r="AO580" i="2"/>
  <c r="AP580" i="2"/>
  <c r="AO569" i="2"/>
  <c r="AP569" i="2"/>
  <c r="Y547" i="2"/>
  <c r="AB547" i="2" s="1"/>
  <c r="AO540" i="2"/>
  <c r="AP540" i="2"/>
  <c r="AO515" i="2"/>
  <c r="AP515" i="2"/>
  <c r="Y556" i="2"/>
  <c r="AB556" i="2" s="1"/>
  <c r="Y545" i="2"/>
  <c r="AB545" i="2" s="1"/>
  <c r="Y534" i="2"/>
  <c r="AB534" i="2" s="1"/>
  <c r="Y529" i="2"/>
  <c r="AB529" i="2" s="1"/>
  <c r="Y522" i="2"/>
  <c r="AB522" i="2" s="1"/>
  <c r="Y510" i="2"/>
  <c r="AB510" i="2" s="1"/>
  <c r="AP482" i="2"/>
  <c r="AO482" i="2"/>
  <c r="AP463" i="2"/>
  <c r="AO463" i="2"/>
  <c r="AP440" i="2"/>
  <c r="AO440" i="2"/>
  <c r="AP422" i="2"/>
  <c r="AO422" i="2"/>
  <c r="Y575" i="2"/>
  <c r="AB575" i="2" s="1"/>
  <c r="Y495" i="2"/>
  <c r="AB495" i="2" s="1"/>
  <c r="AO479" i="2"/>
  <c r="AP479" i="2"/>
  <c r="Y472" i="2"/>
  <c r="AB472" i="2" s="1"/>
  <c r="AO468" i="2"/>
  <c r="AP468" i="2"/>
  <c r="AO460" i="2"/>
  <c r="AP460" i="2"/>
  <c r="AO443" i="2"/>
  <c r="AP443" i="2"/>
  <c r="AO437" i="2"/>
  <c r="AP437" i="2"/>
  <c r="Y478" i="2"/>
  <c r="AB478" i="2" s="1"/>
  <c r="AO402" i="2"/>
  <c r="AP402" i="2"/>
  <c r="Y396" i="2"/>
  <c r="AB396" i="2" s="1"/>
  <c r="AP392" i="2"/>
  <c r="AO392" i="2"/>
  <c r="Y471" i="2"/>
  <c r="AB471" i="2" s="1"/>
  <c r="Y414" i="2"/>
  <c r="AB414" i="2" s="1"/>
  <c r="AO395" i="2"/>
  <c r="AP395" i="2"/>
  <c r="AO378" i="2"/>
  <c r="AP378" i="2"/>
  <c r="Y353" i="2"/>
  <c r="AB353" i="2" s="1"/>
  <c r="AO339" i="2"/>
  <c r="AP339" i="2"/>
  <c r="Y401" i="2"/>
  <c r="AB401" i="2" s="1"/>
  <c r="AP376" i="2"/>
  <c r="AO376" i="2"/>
  <c r="Y363" i="2"/>
  <c r="AB363" i="2" s="1"/>
  <c r="Y354" i="2"/>
  <c r="AB354" i="2" s="1"/>
  <c r="Y340" i="2"/>
  <c r="AB340" i="2" s="1"/>
  <c r="Y332" i="2"/>
  <c r="AB332" i="2" s="1"/>
  <c r="AP324" i="2"/>
  <c r="AO324" i="2"/>
  <c r="Y411" i="2"/>
  <c r="AB411" i="2" s="1"/>
  <c r="AO408" i="2"/>
  <c r="AP408" i="2"/>
  <c r="Y386" i="2"/>
  <c r="AB386" i="2" s="1"/>
  <c r="Y374" i="2"/>
  <c r="AB374" i="2" s="1"/>
  <c r="Y367" i="2"/>
  <c r="AB367" i="2" s="1"/>
  <c r="Y360" i="2"/>
  <c r="AB360" i="2" s="1"/>
  <c r="Y347" i="2"/>
  <c r="AB347" i="2" s="1"/>
  <c r="Y333" i="2"/>
  <c r="AB333" i="2" s="1"/>
  <c r="Y317" i="2"/>
  <c r="AB317" i="2" s="1"/>
  <c r="Y309" i="2"/>
  <c r="AB309" i="2" s="1"/>
  <c r="Y378" i="2"/>
  <c r="AB378" i="2" s="1"/>
  <c r="Y286" i="2"/>
  <c r="AB286" i="2" s="1"/>
  <c r="AO294" i="2"/>
  <c r="AP294" i="2"/>
  <c r="Y366" i="2"/>
  <c r="AB366" i="2" s="1"/>
  <c r="AP255" i="2"/>
  <c r="AO255" i="2"/>
  <c r="AP234" i="2"/>
  <c r="AO234" i="2"/>
  <c r="AP214" i="2"/>
  <c r="AO214" i="2"/>
  <c r="AP192" i="2"/>
  <c r="AO192" i="2"/>
  <c r="AP172" i="2"/>
  <c r="AO172" i="2"/>
  <c r="Y339" i="2"/>
  <c r="AB339" i="2" s="1"/>
  <c r="Y304" i="2"/>
  <c r="AB304" i="2" s="1"/>
  <c r="AP280" i="2"/>
  <c r="AO280" i="2"/>
  <c r="Y268" i="2"/>
  <c r="AB268" i="2" s="1"/>
  <c r="Y260" i="2"/>
  <c r="AB260" i="2" s="1"/>
  <c r="AP256" i="2"/>
  <c r="AO256" i="2"/>
  <c r="AP235" i="2"/>
  <c r="AO235" i="2"/>
  <c r="Y227" i="2"/>
  <c r="AB227" i="2" s="1"/>
  <c r="Y223" i="2"/>
  <c r="AB223" i="2" s="1"/>
  <c r="AP218" i="2"/>
  <c r="AO218" i="2"/>
  <c r="AP207" i="2"/>
  <c r="AO207" i="2"/>
  <c r="Y193" i="2"/>
  <c r="AB193" i="2" s="1"/>
  <c r="AP185" i="2"/>
  <c r="AO185" i="2"/>
  <c r="Y178" i="2"/>
  <c r="AB178" i="2" s="1"/>
  <c r="AP173" i="2"/>
  <c r="AO173" i="2"/>
  <c r="Y245" i="2"/>
  <c r="AB245" i="2" s="1"/>
  <c r="Y281" i="2"/>
  <c r="AB281" i="2" s="1"/>
  <c r="AO85" i="2"/>
  <c r="AP85" i="2"/>
  <c r="AO77" i="2"/>
  <c r="AP77" i="2"/>
  <c r="AO66" i="2"/>
  <c r="AP66" i="2"/>
  <c r="AO58" i="2"/>
  <c r="AP58" i="2"/>
  <c r="Y217" i="2"/>
  <c r="AB217" i="2" s="1"/>
  <c r="AP136" i="2"/>
  <c r="AO136" i="2"/>
  <c r="AP82" i="2"/>
  <c r="AO82" i="2"/>
  <c r="AP78" i="2"/>
  <c r="AO78" i="2"/>
  <c r="AP63" i="2"/>
  <c r="AO63" i="2"/>
  <c r="Y56" i="2"/>
  <c r="AB56" i="2" s="1"/>
  <c r="Y44" i="2"/>
  <c r="AB44" i="2" s="1"/>
  <c r="AP40" i="2"/>
  <c r="AO40" i="2"/>
  <c r="Y32" i="2"/>
  <c r="AB32" i="2" s="1"/>
  <c r="AO16" i="2"/>
  <c r="AP16" i="2"/>
  <c r="AO8" i="2"/>
  <c r="AP8" i="2"/>
  <c r="Y5" i="2"/>
  <c r="AB5" i="2" s="1"/>
  <c r="Y263" i="2"/>
  <c r="AB263" i="2" s="1"/>
  <c r="Y133" i="2"/>
  <c r="AB133" i="2" s="1"/>
  <c r="AP60" i="2"/>
  <c r="AO60" i="2"/>
  <c r="AP33" i="2"/>
  <c r="AO33" i="2"/>
  <c r="AP2" i="2"/>
  <c r="AO2" i="2"/>
  <c r="Y70" i="2"/>
  <c r="AB70" i="2" s="1"/>
  <c r="Y16" i="2"/>
  <c r="AB16" i="2" s="1"/>
  <c r="AP148" i="2"/>
  <c r="AO148" i="2"/>
  <c r="Y116" i="2"/>
  <c r="AB116" i="2" s="1"/>
  <c r="Y62" i="2"/>
  <c r="AB62" i="2" s="1"/>
  <c r="AP571" i="2"/>
  <c r="AO571" i="2"/>
  <c r="AO547" i="2"/>
  <c r="AP547" i="2"/>
  <c r="AO536" i="2"/>
  <c r="AP536" i="2"/>
  <c r="AP556" i="2"/>
  <c r="AO556" i="2"/>
  <c r="AP545" i="2"/>
  <c r="AO545" i="2"/>
  <c r="AP534" i="2"/>
  <c r="AO534" i="2"/>
  <c r="AP529" i="2"/>
  <c r="AO529" i="2"/>
  <c r="AP522" i="2"/>
  <c r="AO522" i="2"/>
  <c r="AP510" i="2"/>
  <c r="AO510" i="2"/>
  <c r="Y571" i="2"/>
  <c r="AB571" i="2" s="1"/>
  <c r="AO495" i="2"/>
  <c r="AP495" i="2"/>
  <c r="AP478" i="2"/>
  <c r="AO478" i="2"/>
  <c r="AP459" i="2"/>
  <c r="AO459" i="2"/>
  <c r="AP436" i="2"/>
  <c r="AO436" i="2"/>
  <c r="AP418" i="2"/>
  <c r="AO418" i="2"/>
  <c r="AP502" i="2"/>
  <c r="AO502" i="2"/>
  <c r="AP494" i="2"/>
  <c r="AO494" i="2"/>
  <c r="AO472" i="2"/>
  <c r="AP472" i="2"/>
  <c r="AO505" i="2"/>
  <c r="AP505" i="2"/>
  <c r="AP487" i="2"/>
  <c r="AO487" i="2"/>
  <c r="Y418" i="2"/>
  <c r="AB418" i="2" s="1"/>
  <c r="AO366" i="2"/>
  <c r="AP366" i="2"/>
  <c r="AO353" i="2"/>
  <c r="AP353" i="2"/>
  <c r="AO327" i="2"/>
  <c r="AP327" i="2"/>
  <c r="Y459" i="2"/>
  <c r="AB459" i="2" s="1"/>
  <c r="Y407" i="2"/>
  <c r="AB407" i="2" s="1"/>
  <c r="AP389" i="2"/>
  <c r="AO389" i="2"/>
  <c r="AP363" i="2"/>
  <c r="AO363" i="2"/>
  <c r="AP354" i="2"/>
  <c r="AO354" i="2"/>
  <c r="AP340" i="2"/>
  <c r="AO340" i="2"/>
  <c r="AP332" i="2"/>
  <c r="AO332" i="2"/>
  <c r="Y467" i="2"/>
  <c r="AB467" i="2" s="1"/>
  <c r="Y440" i="2"/>
  <c r="AB440" i="2" s="1"/>
  <c r="AP388" i="2"/>
  <c r="AO388" i="2"/>
  <c r="AP374" i="2"/>
  <c r="AO374" i="2"/>
  <c r="AP367" i="2"/>
  <c r="AO367" i="2"/>
  <c r="AP360" i="2"/>
  <c r="AO360" i="2"/>
  <c r="AP347" i="2"/>
  <c r="AO347" i="2"/>
  <c r="AP333" i="2"/>
  <c r="AO333" i="2"/>
  <c r="AP317" i="2"/>
  <c r="AO317" i="2"/>
  <c r="AP309" i="2"/>
  <c r="AO309" i="2"/>
  <c r="AP282" i="2"/>
  <c r="AO282" i="2"/>
  <c r="Y323" i="2"/>
  <c r="AB323" i="2" s="1"/>
  <c r="AP251" i="2"/>
  <c r="AO251" i="2"/>
  <c r="AP230" i="2"/>
  <c r="AO230" i="2"/>
  <c r="AP210" i="2"/>
  <c r="AO210" i="2"/>
  <c r="AP168" i="2"/>
  <c r="AO168" i="2"/>
  <c r="AO278" i="2"/>
  <c r="AP278" i="2"/>
  <c r="AO273" i="2"/>
  <c r="AP273" i="2"/>
  <c r="AP268" i="2"/>
  <c r="AO268" i="2"/>
  <c r="AP260" i="2"/>
  <c r="AO260" i="2"/>
  <c r="AP227" i="2"/>
  <c r="AO227" i="2"/>
  <c r="AP223" i="2"/>
  <c r="AO223" i="2"/>
  <c r="AP193" i="2"/>
  <c r="AO193" i="2"/>
  <c r="AP178" i="2"/>
  <c r="AO178" i="2"/>
  <c r="Y192" i="2"/>
  <c r="AB192" i="2" s="1"/>
  <c r="AO165" i="2"/>
  <c r="AP165" i="2"/>
  <c r="Y255" i="2"/>
  <c r="AB255" i="2" s="1"/>
  <c r="Y234" i="2"/>
  <c r="AB234" i="2" s="1"/>
  <c r="AO47" i="2"/>
  <c r="AP47" i="2"/>
  <c r="AO39" i="2"/>
  <c r="AP39" i="2"/>
  <c r="AO158" i="2"/>
  <c r="AP158" i="2"/>
  <c r="AO150" i="2"/>
  <c r="AP150" i="2"/>
  <c r="AP147" i="2"/>
  <c r="AO147" i="2"/>
  <c r="AP128" i="2"/>
  <c r="AO128" i="2"/>
  <c r="AP120" i="2"/>
  <c r="AO120" i="2"/>
  <c r="AP56" i="2"/>
  <c r="AO56" i="2"/>
  <c r="AP44" i="2"/>
  <c r="AO44" i="2"/>
  <c r="AP32" i="2"/>
  <c r="AO32" i="2"/>
  <c r="AP5" i="2"/>
  <c r="AO5" i="2"/>
  <c r="Y273" i="2"/>
  <c r="AB273" i="2" s="1"/>
  <c r="Y214" i="2"/>
  <c r="AB214" i="2" s="1"/>
  <c r="AO149" i="2"/>
  <c r="AP149" i="2"/>
  <c r="AP133" i="2"/>
  <c r="AO133" i="2"/>
  <c r="Y49" i="2"/>
  <c r="AB49" i="2" s="1"/>
  <c r="AP45" i="2"/>
  <c r="AO45" i="2"/>
  <c r="Y17" i="2"/>
  <c r="AB17" i="2" s="1"/>
  <c r="Y9" i="2"/>
  <c r="AB9" i="2" s="1"/>
  <c r="Y66" i="2"/>
  <c r="AB66" i="2" s="1"/>
  <c r="Y150" i="2"/>
  <c r="AB150" i="2" s="1"/>
  <c r="Y105" i="2"/>
  <c r="AB105" i="2" s="1"/>
  <c r="Y55" i="2"/>
  <c r="AB55" i="2" s="1"/>
  <c r="Y158" i="2"/>
  <c r="AB158" i="2" s="1"/>
  <c r="Y58" i="2"/>
  <c r="AB58" i="2" s="1"/>
  <c r="Y576" i="2"/>
  <c r="AB576" i="2" s="1"/>
  <c r="AO572" i="2"/>
  <c r="AP572" i="2"/>
  <c r="Y565" i="2"/>
  <c r="AB565" i="2" s="1"/>
  <c r="AO559" i="2"/>
  <c r="AP559" i="2"/>
  <c r="Y544" i="2"/>
  <c r="AB544" i="2" s="1"/>
  <c r="AO533" i="2"/>
  <c r="AP533" i="2"/>
  <c r="AO521" i="2"/>
  <c r="AP521" i="2"/>
  <c r="AO509" i="2"/>
  <c r="AP509" i="2"/>
  <c r="Y548" i="2"/>
  <c r="AB548" i="2" s="1"/>
  <c r="Y531" i="2"/>
  <c r="AB531" i="2" s="1"/>
  <c r="Y526" i="2"/>
  <c r="AB526" i="2" s="1"/>
  <c r="Y516" i="2"/>
  <c r="AB516" i="2" s="1"/>
  <c r="Y506" i="2"/>
  <c r="AB506" i="2" s="1"/>
  <c r="AO491" i="2"/>
  <c r="AP491" i="2"/>
  <c r="AP471" i="2"/>
  <c r="AO471" i="2"/>
  <c r="AP455" i="2"/>
  <c r="AO455" i="2"/>
  <c r="AP432" i="2"/>
  <c r="AO432" i="2"/>
  <c r="AP414" i="2"/>
  <c r="AO414" i="2"/>
  <c r="Y502" i="2"/>
  <c r="AB502" i="2" s="1"/>
  <c r="Y494" i="2"/>
  <c r="AB494" i="2" s="1"/>
  <c r="AP486" i="2"/>
  <c r="AO486" i="2"/>
  <c r="AO475" i="2"/>
  <c r="AP475" i="2"/>
  <c r="Y456" i="2"/>
  <c r="AB456" i="2" s="1"/>
  <c r="Y450" i="2"/>
  <c r="AB450" i="2" s="1"/>
  <c r="Y433" i="2"/>
  <c r="AB433" i="2" s="1"/>
  <c r="AO429" i="2"/>
  <c r="AP429" i="2"/>
  <c r="AO419" i="2"/>
  <c r="AP419" i="2"/>
  <c r="Y528" i="2"/>
  <c r="AB528" i="2" s="1"/>
  <c r="Y505" i="2"/>
  <c r="AB505" i="2" s="1"/>
  <c r="Y487" i="2"/>
  <c r="AB487" i="2" s="1"/>
  <c r="Y425" i="2"/>
  <c r="AB425" i="2" s="1"/>
  <c r="AP394" i="2"/>
  <c r="AO394" i="2"/>
  <c r="AO362" i="2"/>
  <c r="AP362" i="2"/>
  <c r="AO349" i="2"/>
  <c r="AP349" i="2"/>
  <c r="AO323" i="2"/>
  <c r="AP323" i="2"/>
  <c r="Y455" i="2"/>
  <c r="AB455" i="2" s="1"/>
  <c r="AO415" i="2"/>
  <c r="AP415" i="2"/>
  <c r="Y389" i="2"/>
  <c r="AB389" i="2" s="1"/>
  <c r="AP382" i="2"/>
  <c r="AO382" i="2"/>
  <c r="Y369" i="2"/>
  <c r="AB369" i="2" s="1"/>
  <c r="Y359" i="2"/>
  <c r="AB359" i="2" s="1"/>
  <c r="Y336" i="2"/>
  <c r="AB336" i="2" s="1"/>
  <c r="Y482" i="2"/>
  <c r="AB482" i="2" s="1"/>
  <c r="Y463" i="2"/>
  <c r="AB463" i="2" s="1"/>
  <c r="Y432" i="2"/>
  <c r="AB432" i="2" s="1"/>
  <c r="Y394" i="2"/>
  <c r="AB394" i="2" s="1"/>
  <c r="Y387" i="2"/>
  <c r="AB387" i="2" s="1"/>
  <c r="Y379" i="2"/>
  <c r="AB379" i="2" s="1"/>
  <c r="Y370" i="2"/>
  <c r="AB370" i="2" s="1"/>
  <c r="Y364" i="2"/>
  <c r="AB364" i="2" s="1"/>
  <c r="Y355" i="2"/>
  <c r="AB355" i="2" s="1"/>
  <c r="Y337" i="2"/>
  <c r="AB337" i="2" s="1"/>
  <c r="Y325" i="2"/>
  <c r="AB325" i="2" s="1"/>
  <c r="AO308" i="2"/>
  <c r="AP308" i="2"/>
  <c r="Y282" i="2"/>
  <c r="AB282" i="2" s="1"/>
  <c r="Y346" i="2"/>
  <c r="AB346" i="2" s="1"/>
  <c r="AO314" i="2"/>
  <c r="AP314" i="2"/>
  <c r="AP267" i="2"/>
  <c r="AO267" i="2"/>
  <c r="AP245" i="2"/>
  <c r="AO245" i="2"/>
  <c r="AP222" i="2"/>
  <c r="AO222" i="2"/>
  <c r="AP203" i="2"/>
  <c r="AO203" i="2"/>
  <c r="AP184" i="2"/>
  <c r="AO184" i="2"/>
  <c r="Y362" i="2"/>
  <c r="AB362" i="2" s="1"/>
  <c r="Y289" i="2"/>
  <c r="AB289" i="2" s="1"/>
  <c r="Y278" i="2"/>
  <c r="AB278" i="2" s="1"/>
  <c r="AP272" i="2"/>
  <c r="AO272" i="2"/>
  <c r="AP246" i="2"/>
  <c r="AO246" i="2"/>
  <c r="AP211" i="2"/>
  <c r="AO211" i="2"/>
  <c r="AP197" i="2"/>
  <c r="AO197" i="2"/>
  <c r="AP181" i="2"/>
  <c r="AO181" i="2"/>
  <c r="Y222" i="2"/>
  <c r="AB222" i="2" s="1"/>
  <c r="Y172" i="2"/>
  <c r="AB172" i="2" s="1"/>
  <c r="AO161" i="2"/>
  <c r="AP161" i="2"/>
  <c r="Y251" i="2"/>
  <c r="AB251" i="2" s="1"/>
  <c r="Y203" i="2"/>
  <c r="AB203" i="2" s="1"/>
  <c r="AO105" i="2"/>
  <c r="AP105" i="2"/>
  <c r="AO70" i="2"/>
  <c r="AP70" i="2"/>
  <c r="AO62" i="2"/>
  <c r="AP62" i="2"/>
  <c r="AO55" i="2"/>
  <c r="AP55" i="2"/>
  <c r="Y267" i="2"/>
  <c r="AB267" i="2" s="1"/>
  <c r="AP140" i="2"/>
  <c r="AO140" i="2"/>
  <c r="AP109" i="2"/>
  <c r="AO109" i="2"/>
  <c r="AP94" i="2"/>
  <c r="AO94" i="2"/>
  <c r="AP90" i="2"/>
  <c r="AO90" i="2"/>
  <c r="AP67" i="2"/>
  <c r="AO67" i="2"/>
  <c r="AP48" i="2"/>
  <c r="AO48" i="2"/>
  <c r="AP12" i="2"/>
  <c r="AO12" i="2"/>
  <c r="Y177" i="2"/>
  <c r="AB177" i="2" s="1"/>
  <c r="AP164" i="2"/>
  <c r="AO164" i="2"/>
  <c r="Y149" i="2"/>
  <c r="AB149" i="2" s="1"/>
  <c r="AP141" i="2"/>
  <c r="AO141" i="2"/>
  <c r="AP137" i="2"/>
  <c r="AO137" i="2"/>
  <c r="Y129" i="2"/>
  <c r="AB129" i="2" s="1"/>
  <c r="Y125" i="2"/>
  <c r="AB125" i="2" s="1"/>
  <c r="Y121" i="2"/>
  <c r="AB121" i="2" s="1"/>
  <c r="Y117" i="2"/>
  <c r="AB117" i="2" s="1"/>
  <c r="AP49" i="2"/>
  <c r="AO49" i="2"/>
  <c r="AP17" i="2"/>
  <c r="AO17" i="2"/>
  <c r="AO9" i="2"/>
  <c r="AP9" i="2"/>
  <c r="Y128" i="2"/>
  <c r="AB128" i="2" s="1"/>
  <c r="Y109" i="2"/>
  <c r="AB109" i="2" s="1"/>
  <c r="Y51" i="2"/>
  <c r="AB51" i="2" s="1"/>
  <c r="Y154" i="2"/>
  <c r="AB154" i="2" s="1"/>
  <c r="Y140" i="2"/>
  <c r="AB140" i="2" s="1"/>
  <c r="Y47" i="2"/>
  <c r="AB47" i="2" s="1"/>
  <c r="Y89" i="2"/>
  <c r="AB89" i="2" s="1"/>
  <c r="Y136" i="2"/>
  <c r="AB136" i="2" s="1"/>
  <c r="Y8" i="2"/>
  <c r="AB8" i="2" s="1"/>
  <c r="AA196" i="1"/>
  <c r="V196" i="1" s="1"/>
  <c r="AA60" i="1"/>
  <c r="V60" i="1" s="1"/>
  <c r="AA155" i="1"/>
  <c r="V155" i="1" s="1"/>
  <c r="Z76" i="1"/>
  <c r="AA301" i="1"/>
  <c r="V301" i="1" s="1"/>
  <c r="AA382" i="1"/>
  <c r="V382" i="1" s="1"/>
  <c r="AA549" i="1"/>
  <c r="V549" i="1" s="1"/>
  <c r="AA916" i="1"/>
  <c r="V916" i="1" s="1"/>
  <c r="AA30" i="1"/>
  <c r="V30" i="1" s="1"/>
  <c r="Z134" i="1"/>
  <c r="Z285" i="1"/>
  <c r="AA403" i="1"/>
  <c r="V403" i="1" s="1"/>
  <c r="AA344" i="1"/>
  <c r="V344" i="1" s="1"/>
  <c r="AA408" i="1"/>
  <c r="V408" i="1" s="1"/>
  <c r="AA414" i="1"/>
  <c r="V414" i="1" s="1"/>
  <c r="AA208" i="1"/>
  <c r="V208" i="1" s="1"/>
  <c r="AA54" i="1"/>
  <c r="V54" i="1" s="1"/>
  <c r="AA82" i="1"/>
  <c r="V82" i="1" s="1"/>
  <c r="Z104" i="1"/>
  <c r="Z166" i="1"/>
  <c r="AA303" i="1"/>
  <c r="V303" i="1" s="1"/>
  <c r="AA239" i="1"/>
  <c r="V239" i="1" s="1"/>
  <c r="AA297" i="1"/>
  <c r="V297" i="1" s="1"/>
  <c r="AA651" i="1"/>
  <c r="V651" i="1" s="1"/>
  <c r="AA665" i="1"/>
  <c r="V665" i="1" s="1"/>
  <c r="AA669" i="1"/>
  <c r="V669" i="1" s="1"/>
  <c r="AA673" i="1"/>
  <c r="V673" i="1" s="1"/>
  <c r="AA677" i="1"/>
  <c r="V677" i="1" s="1"/>
  <c r="AA681" i="1"/>
  <c r="V681" i="1" s="1"/>
  <c r="AA685" i="1"/>
  <c r="V685" i="1" s="1"/>
  <c r="AA689" i="1"/>
  <c r="V689" i="1" s="1"/>
  <c r="AA693" i="1"/>
  <c r="V693" i="1" s="1"/>
  <c r="AA697" i="1"/>
  <c r="V697" i="1" s="1"/>
  <c r="AA701" i="1"/>
  <c r="V701" i="1" s="1"/>
  <c r="AA705" i="1"/>
  <c r="V705" i="1" s="1"/>
  <c r="AA709" i="1"/>
  <c r="V709" i="1" s="1"/>
  <c r="AA713" i="1"/>
  <c r="V713" i="1" s="1"/>
  <c r="AA717" i="1"/>
  <c r="V717" i="1" s="1"/>
  <c r="AA721" i="1"/>
  <c r="V721" i="1" s="1"/>
  <c r="AA725" i="1"/>
  <c r="V725" i="1" s="1"/>
  <c r="AA729" i="1"/>
  <c r="V729" i="1" s="1"/>
  <c r="AA733" i="1"/>
  <c r="V733" i="1" s="1"/>
  <c r="AA737" i="1"/>
  <c r="V737" i="1" s="1"/>
  <c r="AA8" i="1"/>
  <c r="V8" i="1" s="1"/>
  <c r="AP83" i="1"/>
  <c r="AQ83" i="1"/>
  <c r="Z21" i="1"/>
  <c r="Z56" i="1"/>
  <c r="AB56" i="1"/>
  <c r="AQ66" i="1"/>
  <c r="AP66" i="1"/>
  <c r="AA199" i="1"/>
  <c r="V199" i="1" s="1"/>
  <c r="AC199" i="1"/>
  <c r="Z88" i="1"/>
  <c r="Z100" i="1"/>
  <c r="AA110" i="1"/>
  <c r="V110" i="1" s="1"/>
  <c r="Z139" i="1"/>
  <c r="AP128" i="1"/>
  <c r="AQ128" i="1"/>
  <c r="AA149" i="1"/>
  <c r="V149" i="1" s="1"/>
  <c r="AC153" i="1"/>
  <c r="AA153" i="1"/>
  <c r="V153" i="1" s="1"/>
  <c r="AP203" i="1"/>
  <c r="AQ203" i="1"/>
  <c r="Z103" i="1"/>
  <c r="AB287" i="1"/>
  <c r="AP223" i="1"/>
  <c r="AQ223" i="1"/>
  <c r="AA277" i="1"/>
  <c r="V277" i="1" s="1"/>
  <c r="AA315" i="1"/>
  <c r="V315" i="1" s="1"/>
  <c r="AA323" i="1"/>
  <c r="V323" i="1" s="1"/>
  <c r="AP212" i="1"/>
  <c r="AQ212" i="1"/>
  <c r="Z217" i="1"/>
  <c r="AB217" i="1"/>
  <c r="Z237" i="1"/>
  <c r="AA249" i="1"/>
  <c r="V249" i="1" s="1"/>
  <c r="AA269" i="1"/>
  <c r="V269" i="1" s="1"/>
  <c r="Z292" i="1"/>
  <c r="AB292" i="1"/>
  <c r="AQ312" i="1"/>
  <c r="AP312" i="1"/>
  <c r="Z286" i="1"/>
  <c r="Z337" i="1"/>
  <c r="AA398" i="1"/>
  <c r="V398" i="1" s="1"/>
  <c r="Z304" i="1"/>
  <c r="AA332" i="1"/>
  <c r="V332" i="1" s="1"/>
  <c r="AA361" i="1"/>
  <c r="V361" i="1" s="1"/>
  <c r="AA405" i="1"/>
  <c r="V405" i="1" s="1"/>
  <c r="AA411" i="1"/>
  <c r="V411" i="1" s="1"/>
  <c r="AA443" i="1"/>
  <c r="V443" i="1" s="1"/>
  <c r="Z364" i="1"/>
  <c r="AB362" i="1"/>
  <c r="AB407" i="1"/>
  <c r="AA479" i="1"/>
  <c r="V479" i="1" s="1"/>
  <c r="AB394" i="1"/>
  <c r="AQ515" i="1"/>
  <c r="AP515" i="1"/>
  <c r="AB391" i="1"/>
  <c r="AC430" i="1"/>
  <c r="AA430" i="1"/>
  <c r="V430" i="1" s="1"/>
  <c r="AB537" i="1"/>
  <c r="Z472" i="1"/>
  <c r="Z555" i="1"/>
  <c r="AB555" i="1"/>
  <c r="AA552" i="1"/>
  <c r="V552" i="1" s="1"/>
  <c r="Z584" i="1"/>
  <c r="AA862" i="1"/>
  <c r="V862" i="1" s="1"/>
  <c r="AC862" i="1"/>
  <c r="Z580" i="1"/>
  <c r="AA884" i="1"/>
  <c r="V884" i="1" s="1"/>
  <c r="Z587" i="1"/>
  <c r="AP544" i="1"/>
  <c r="AQ544" i="1"/>
  <c r="AA51" i="1"/>
  <c r="V51" i="1" s="1"/>
  <c r="AA191" i="1"/>
  <c r="V191" i="1" s="1"/>
  <c r="AA449" i="1"/>
  <c r="V449" i="1" s="1"/>
  <c r="AA446" i="1"/>
  <c r="V446" i="1" s="1"/>
  <c r="AA641" i="1"/>
  <c r="V641" i="1" s="1"/>
  <c r="AA667" i="1"/>
  <c r="V667" i="1" s="1"/>
  <c r="AA671" i="1"/>
  <c r="V671" i="1" s="1"/>
  <c r="AA675" i="1"/>
  <c r="V675" i="1" s="1"/>
  <c r="AA679" i="1"/>
  <c r="V679" i="1" s="1"/>
  <c r="AA683" i="1"/>
  <c r="V683" i="1" s="1"/>
  <c r="AA687" i="1"/>
  <c r="V687" i="1" s="1"/>
  <c r="AA691" i="1"/>
  <c r="V691" i="1" s="1"/>
  <c r="AA695" i="1"/>
  <c r="V695" i="1" s="1"/>
  <c r="AA699" i="1"/>
  <c r="V699" i="1" s="1"/>
  <c r="AA703" i="1"/>
  <c r="V703" i="1" s="1"/>
  <c r="AA707" i="1"/>
  <c r="V707" i="1" s="1"/>
  <c r="AA711" i="1"/>
  <c r="V711" i="1" s="1"/>
  <c r="AA715" i="1"/>
  <c r="V715" i="1" s="1"/>
  <c r="AA719" i="1"/>
  <c r="V719" i="1" s="1"/>
  <c r="AA723" i="1"/>
  <c r="V723" i="1" s="1"/>
  <c r="AA727" i="1"/>
  <c r="V727" i="1" s="1"/>
  <c r="AA731" i="1"/>
  <c r="V731" i="1" s="1"/>
  <c r="AA735" i="1"/>
  <c r="V735" i="1" s="1"/>
  <c r="AA739" i="1"/>
  <c r="V739" i="1" s="1"/>
  <c r="AA659" i="1"/>
  <c r="V659" i="1" s="1"/>
  <c r="AA663" i="1"/>
  <c r="V663" i="1" s="1"/>
  <c r="AA785" i="1"/>
  <c r="V785" i="1" s="1"/>
  <c r="Z50" i="1"/>
  <c r="AP76" i="1"/>
  <c r="AQ76" i="1"/>
  <c r="AA59" i="1"/>
  <c r="V59" i="1" s="1"/>
  <c r="Z83" i="1"/>
  <c r="W101" i="1"/>
  <c r="Z101" i="1"/>
  <c r="AA184" i="1"/>
  <c r="V184" i="1" s="1"/>
  <c r="Z174" i="1"/>
  <c r="AQ103" i="1"/>
  <c r="AP103" i="1"/>
  <c r="Z122" i="1"/>
  <c r="Z130" i="1"/>
  <c r="AB130" i="1"/>
  <c r="AP189" i="1"/>
  <c r="AQ189" i="1"/>
  <c r="AQ200" i="1"/>
  <c r="AP200" i="1"/>
  <c r="AP209" i="1"/>
  <c r="AQ209" i="1"/>
  <c r="Z145" i="1"/>
  <c r="Z218" i="1"/>
  <c r="Z229" i="1"/>
  <c r="AP257" i="1"/>
  <c r="AQ257" i="1"/>
  <c r="AQ272" i="1"/>
  <c r="AP272" i="1"/>
  <c r="Z176" i="1"/>
  <c r="Z212" i="1"/>
  <c r="Z232" i="1"/>
  <c r="AB232" i="1"/>
  <c r="Z265" i="1"/>
  <c r="AB265" i="1"/>
  <c r="AA293" i="1"/>
  <c r="V293" i="1" s="1"/>
  <c r="Z318" i="1"/>
  <c r="Z272" i="1"/>
  <c r="AP341" i="1"/>
  <c r="AQ341" i="1"/>
  <c r="AA385" i="1"/>
  <c r="V385" i="1" s="1"/>
  <c r="Z256" i="1"/>
  <c r="Z273" i="1"/>
  <c r="Z343" i="1"/>
  <c r="AP364" i="1"/>
  <c r="AQ364" i="1"/>
  <c r="AA392" i="1"/>
  <c r="V392" i="1" s="1"/>
  <c r="Z341" i="1"/>
  <c r="AQ328" i="1"/>
  <c r="AP328" i="1"/>
  <c r="AQ449" i="1"/>
  <c r="AP449" i="1"/>
  <c r="AP468" i="1"/>
  <c r="AQ468" i="1"/>
  <c r="AA522" i="1"/>
  <c r="V522" i="1" s="1"/>
  <c r="Z381" i="1"/>
  <c r="AB413" i="1"/>
  <c r="AA433" i="1"/>
  <c r="V433" i="1" s="1"/>
  <c r="AA539" i="1"/>
  <c r="V539" i="1" s="1"/>
  <c r="Z541" i="1"/>
  <c r="AB541" i="1"/>
  <c r="AQ560" i="1"/>
  <c r="AP560" i="1"/>
  <c r="W565" i="1"/>
  <c r="Z565" i="1"/>
  <c r="Z460" i="1"/>
  <c r="Z515" i="1"/>
  <c r="AP554" i="1"/>
  <c r="AQ554" i="1"/>
  <c r="AA880" i="1"/>
  <c r="V880" i="1" s="1"/>
  <c r="AA912" i="1"/>
  <c r="V912" i="1" s="1"/>
  <c r="AA892" i="1"/>
  <c r="V892" i="1" s="1"/>
  <c r="AA924" i="1"/>
  <c r="V924" i="1" s="1"/>
  <c r="Z583" i="1"/>
  <c r="AA123" i="1"/>
  <c r="V123" i="1" s="1"/>
  <c r="AA574" i="1"/>
  <c r="V574" i="1" s="1"/>
  <c r="AA643" i="1"/>
  <c r="V643" i="1" s="1"/>
  <c r="AA37" i="1"/>
  <c r="V37" i="1" s="1"/>
  <c r="AC37" i="1"/>
  <c r="AP45" i="1"/>
  <c r="AQ45" i="1"/>
  <c r="AP84" i="1"/>
  <c r="AQ84" i="1"/>
  <c r="AP88" i="1"/>
  <c r="AQ88" i="1"/>
  <c r="Z207" i="1"/>
  <c r="AB207" i="1"/>
  <c r="Z84" i="1"/>
  <c r="AB189" i="1"/>
  <c r="AQ197" i="1"/>
  <c r="AP197" i="1"/>
  <c r="AP201" i="1"/>
  <c r="AQ201" i="1"/>
  <c r="AB209" i="1"/>
  <c r="AP125" i="1"/>
  <c r="AQ125" i="1"/>
  <c r="Z181" i="1"/>
  <c r="AA267" i="1"/>
  <c r="V267" i="1" s="1"/>
  <c r="AA253" i="1"/>
  <c r="V253" i="1" s="1"/>
  <c r="Z144" i="1"/>
  <c r="AP304" i="1"/>
  <c r="AQ304" i="1"/>
  <c r="Z257" i="1"/>
  <c r="Z247" i="1"/>
  <c r="AP261" i="1"/>
  <c r="AQ261" i="1"/>
  <c r="AP444" i="1"/>
  <c r="AQ444" i="1"/>
  <c r="Z379" i="1"/>
  <c r="AB441" i="1"/>
  <c r="AA475" i="1"/>
  <c r="V475" i="1" s="1"/>
  <c r="AB401" i="1"/>
  <c r="Z444" i="1"/>
  <c r="AB416" i="1"/>
  <c r="AP520" i="1"/>
  <c r="AQ520" i="1"/>
  <c r="AP526" i="1"/>
  <c r="AQ526" i="1"/>
  <c r="AA536" i="1"/>
  <c r="V536" i="1" s="1"/>
  <c r="AA465" i="1"/>
  <c r="V465" i="1" s="1"/>
  <c r="AC507" i="1"/>
  <c r="AA507" i="1"/>
  <c r="V507" i="1" s="1"/>
  <c r="AA586" i="1"/>
  <c r="V586" i="1" s="1"/>
  <c r="AA480" i="1"/>
  <c r="V480" i="1" s="1"/>
  <c r="Z523" i="1"/>
  <c r="AP579" i="1"/>
  <c r="AQ579" i="1"/>
  <c r="AP583" i="1"/>
  <c r="AQ583" i="1"/>
  <c r="AA868" i="1"/>
  <c r="V868" i="1" s="1"/>
  <c r="AA888" i="1"/>
  <c r="V888" i="1" s="1"/>
  <c r="AA920" i="1"/>
  <c r="V920" i="1" s="1"/>
  <c r="AA900" i="1"/>
  <c r="V900" i="1" s="1"/>
  <c r="AA786" i="1"/>
  <c r="V786" i="1" s="1"/>
  <c r="AA802" i="1"/>
  <c r="V802" i="1" s="1"/>
  <c r="AA35" i="1"/>
  <c r="V35" i="1" s="1"/>
  <c r="AA13" i="1"/>
  <c r="V13" i="1" s="1"/>
  <c r="AC13" i="1"/>
  <c r="AP56" i="1"/>
  <c r="AQ56" i="1"/>
  <c r="Z63" i="1"/>
  <c r="Z81" i="1"/>
  <c r="Z109" i="1"/>
  <c r="Z93" i="1"/>
  <c r="AQ127" i="1"/>
  <c r="AP127" i="1"/>
  <c r="AA143" i="1"/>
  <c r="V143" i="1" s="1"/>
  <c r="AA167" i="1"/>
  <c r="V167" i="1" s="1"/>
  <c r="AA175" i="1"/>
  <c r="V175" i="1" s="1"/>
  <c r="AQ181" i="1"/>
  <c r="AP181" i="1"/>
  <c r="Z190" i="1"/>
  <c r="AB190" i="1"/>
  <c r="AB197" i="1"/>
  <c r="Z210" i="1"/>
  <c r="AB210" i="1"/>
  <c r="AP247" i="1"/>
  <c r="AQ247" i="1"/>
  <c r="AQ256" i="1"/>
  <c r="AP256" i="1"/>
  <c r="AA259" i="1"/>
  <c r="V259" i="1" s="1"/>
  <c r="AP273" i="1"/>
  <c r="AQ273" i="1"/>
  <c r="Z128" i="1"/>
  <c r="Z168" i="1"/>
  <c r="AA331" i="1"/>
  <c r="V331" i="1" s="1"/>
  <c r="AP337" i="1"/>
  <c r="AQ337" i="1"/>
  <c r="AP381" i="1"/>
  <c r="AQ381" i="1"/>
  <c r="AP419" i="1"/>
  <c r="AQ419" i="1"/>
  <c r="AB360" i="1"/>
  <c r="AB376" i="1"/>
  <c r="Z384" i="1"/>
  <c r="AQ460" i="1"/>
  <c r="AP460" i="1"/>
  <c r="AQ472" i="1"/>
  <c r="AP472" i="1"/>
  <c r="AP412" i="1"/>
  <c r="AQ412" i="1"/>
  <c r="Z419" i="1"/>
  <c r="AC423" i="1"/>
  <c r="AA423" i="1"/>
  <c r="V423" i="1" s="1"/>
  <c r="Z448" i="1"/>
  <c r="AA520" i="1"/>
  <c r="V520" i="1" s="1"/>
  <c r="AC527" i="1"/>
  <c r="AA527" i="1"/>
  <c r="V527" i="1" s="1"/>
  <c r="AP537" i="1"/>
  <c r="AQ537" i="1"/>
  <c r="AA540" i="1"/>
  <c r="V540" i="1" s="1"/>
  <c r="Z439" i="1"/>
  <c r="Z468" i="1"/>
  <c r="AB561" i="1"/>
  <c r="AQ587" i="1"/>
  <c r="AP587" i="1"/>
  <c r="AP501" i="1"/>
  <c r="AQ501" i="1"/>
  <c r="AA558" i="1"/>
  <c r="V558" i="1" s="1"/>
  <c r="AB579" i="1"/>
  <c r="AA635" i="1"/>
  <c r="V635" i="1" s="1"/>
  <c r="AA896" i="1"/>
  <c r="V896" i="1" s="1"/>
  <c r="AA876" i="1"/>
  <c r="V876" i="1" s="1"/>
  <c r="AA908" i="1"/>
  <c r="V908" i="1" s="1"/>
  <c r="AA818" i="1"/>
  <c r="V818" i="1" s="1"/>
  <c r="AC306" i="1"/>
  <c r="AA306" i="1"/>
  <c r="V306" i="1" s="1"/>
  <c r="AC452" i="1"/>
  <c r="AA452" i="1"/>
  <c r="V452" i="1" s="1"/>
  <c r="AP659" i="1"/>
  <c r="AQ659" i="1"/>
  <c r="AP663" i="1"/>
  <c r="AQ663" i="1"/>
  <c r="AA791" i="1"/>
  <c r="V791" i="1" s="1"/>
  <c r="AC791" i="1"/>
  <c r="AA811" i="1"/>
  <c r="V811" i="1" s="1"/>
  <c r="AC811" i="1"/>
  <c r="AA795" i="1"/>
  <c r="V795" i="1" s="1"/>
  <c r="AC795" i="1"/>
  <c r="AC183" i="1"/>
  <c r="AA183" i="1"/>
  <c r="V183" i="1" s="1"/>
  <c r="AA195" i="1"/>
  <c r="V195" i="1" s="1"/>
  <c r="AC462" i="1"/>
  <c r="AA462" i="1"/>
  <c r="V462" i="1" s="1"/>
  <c r="AA740" i="1"/>
  <c r="V740" i="1" s="1"/>
  <c r="AC740" i="1"/>
  <c r="AA666" i="1"/>
  <c r="V666" i="1" s="1"/>
  <c r="AA807" i="1"/>
  <c r="V807" i="1" s="1"/>
  <c r="AC807" i="1"/>
  <c r="AA131" i="1"/>
  <c r="V131" i="1" s="1"/>
  <c r="AC131" i="1"/>
  <c r="AA231" i="1"/>
  <c r="V231" i="1" s="1"/>
  <c r="AP358" i="1"/>
  <c r="AQ358" i="1"/>
  <c r="AC576" i="1"/>
  <c r="AA576" i="1"/>
  <c r="V576" i="1" s="1"/>
  <c r="AA645" i="1"/>
  <c r="V645" i="1" s="1"/>
  <c r="AA653" i="1"/>
  <c r="V653" i="1" s="1"/>
  <c r="AA741" i="1"/>
  <c r="V741" i="1" s="1"/>
  <c r="AC741" i="1"/>
  <c r="AP657" i="1"/>
  <c r="AQ657" i="1"/>
  <c r="AP661" i="1"/>
  <c r="AQ661" i="1"/>
  <c r="AA825" i="1"/>
  <c r="V825" i="1" s="1"/>
  <c r="AA861" i="1"/>
  <c r="V861" i="1" s="1"/>
  <c r="AA305" i="1"/>
  <c r="V305" i="1" s="1"/>
  <c r="AA451" i="1"/>
  <c r="V451" i="1" s="1"/>
  <c r="AC577" i="1"/>
  <c r="AA577" i="1"/>
  <c r="V577" i="1" s="1"/>
  <c r="AA459" i="1"/>
  <c r="V459" i="1" s="1"/>
  <c r="AA647" i="1"/>
  <c r="V647" i="1" s="1"/>
  <c r="AA655" i="1"/>
  <c r="V655" i="1" s="1"/>
  <c r="AP667" i="1"/>
  <c r="AQ667" i="1"/>
  <c r="AP671" i="1"/>
  <c r="AQ671" i="1"/>
  <c r="AP675" i="1"/>
  <c r="AQ675" i="1"/>
  <c r="AP679" i="1"/>
  <c r="AQ679" i="1"/>
  <c r="AP683" i="1"/>
  <c r="AQ683" i="1"/>
  <c r="AP687" i="1"/>
  <c r="AQ687" i="1"/>
  <c r="AP691" i="1"/>
  <c r="AQ691" i="1"/>
  <c r="AP695" i="1"/>
  <c r="AQ695" i="1"/>
  <c r="AP699" i="1"/>
  <c r="AQ699" i="1"/>
  <c r="AP703" i="1"/>
  <c r="AQ703" i="1"/>
  <c r="AP707" i="1"/>
  <c r="AQ707" i="1"/>
  <c r="AP711" i="1"/>
  <c r="AQ711" i="1"/>
  <c r="AP715" i="1"/>
  <c r="AQ715" i="1"/>
  <c r="AP719" i="1"/>
  <c r="AQ719" i="1"/>
  <c r="AP723" i="1"/>
  <c r="AQ723" i="1"/>
  <c r="AP727" i="1"/>
  <c r="AQ727" i="1"/>
  <c r="AP731" i="1"/>
  <c r="AQ731" i="1"/>
  <c r="AP735" i="1"/>
  <c r="AQ735" i="1"/>
  <c r="AP739" i="1"/>
  <c r="AQ739" i="1"/>
  <c r="AP665" i="1"/>
  <c r="AQ665" i="1"/>
  <c r="AP669" i="1"/>
  <c r="AQ669" i="1"/>
  <c r="AP673" i="1"/>
  <c r="AQ673" i="1"/>
  <c r="AP677" i="1"/>
  <c r="AQ677" i="1"/>
  <c r="AP681" i="1"/>
  <c r="AQ681" i="1"/>
  <c r="AP685" i="1"/>
  <c r="AQ685" i="1"/>
  <c r="AP689" i="1"/>
  <c r="AQ689" i="1"/>
  <c r="AP693" i="1"/>
  <c r="AQ693" i="1"/>
  <c r="AP697" i="1"/>
  <c r="AQ697" i="1"/>
  <c r="AP701" i="1"/>
  <c r="AQ701" i="1"/>
  <c r="AP705" i="1"/>
  <c r="AQ705" i="1"/>
  <c r="AP709" i="1"/>
  <c r="AQ709" i="1"/>
  <c r="AP713" i="1"/>
  <c r="AQ713" i="1"/>
  <c r="AP717" i="1"/>
  <c r="AQ717" i="1"/>
  <c r="AP721" i="1"/>
  <c r="AQ721" i="1"/>
  <c r="AP725" i="1"/>
  <c r="AQ725" i="1"/>
  <c r="AP729" i="1"/>
  <c r="AQ729" i="1"/>
  <c r="AP733" i="1"/>
  <c r="AQ733" i="1"/>
  <c r="AP737" i="1"/>
  <c r="AQ737" i="1"/>
  <c r="AA789" i="1"/>
  <c r="V789" i="1" s="1"/>
  <c r="AA858" i="1"/>
  <c r="V858" i="1" s="1"/>
  <c r="AA166" i="1" l="1"/>
  <c r="V166" i="1" s="1"/>
  <c r="AC166" i="1"/>
  <c r="AC76" i="1"/>
  <c r="AA76" i="1"/>
  <c r="V76" i="1" s="1"/>
  <c r="AC104" i="1"/>
  <c r="AA104" i="1"/>
  <c r="V104" i="1" s="1"/>
  <c r="AC285" i="1"/>
  <c r="AA285" i="1"/>
  <c r="V285" i="1" s="1"/>
  <c r="AC134" i="1"/>
  <c r="AA134" i="1"/>
  <c r="V134" i="1" s="1"/>
  <c r="AC439" i="1"/>
  <c r="AA439" i="1"/>
  <c r="V439" i="1" s="1"/>
  <c r="AC128" i="1"/>
  <c r="AA128" i="1"/>
  <c r="V128" i="1" s="1"/>
  <c r="AC190" i="1"/>
  <c r="AA190" i="1"/>
  <c r="V190" i="1" s="1"/>
  <c r="AC93" i="1"/>
  <c r="AA93" i="1"/>
  <c r="V93" i="1" s="1"/>
  <c r="AC247" i="1"/>
  <c r="AA247" i="1"/>
  <c r="V247" i="1" s="1"/>
  <c r="AC144" i="1"/>
  <c r="AA144" i="1"/>
  <c r="V144" i="1" s="1"/>
  <c r="AC84" i="1"/>
  <c r="AA84" i="1"/>
  <c r="V84" i="1" s="1"/>
  <c r="AP565" i="1"/>
  <c r="AQ565" i="1"/>
  <c r="AC541" i="1"/>
  <c r="AA541" i="1"/>
  <c r="V541" i="1" s="1"/>
  <c r="AA381" i="1"/>
  <c r="V381" i="1" s="1"/>
  <c r="AC381" i="1"/>
  <c r="AA341" i="1"/>
  <c r="V341" i="1" s="1"/>
  <c r="AC341" i="1"/>
  <c r="AC343" i="1"/>
  <c r="AA343" i="1"/>
  <c r="V343" i="1" s="1"/>
  <c r="AC232" i="1"/>
  <c r="AA232" i="1"/>
  <c r="V232" i="1" s="1"/>
  <c r="AC218" i="1"/>
  <c r="AA218" i="1"/>
  <c r="V218" i="1" s="1"/>
  <c r="AP101" i="1"/>
  <c r="AQ101" i="1"/>
  <c r="AC584" i="1"/>
  <c r="AA584" i="1"/>
  <c r="V584" i="1" s="1"/>
  <c r="AC472" i="1"/>
  <c r="AA472" i="1"/>
  <c r="V472" i="1" s="1"/>
  <c r="AC286" i="1"/>
  <c r="AA286" i="1"/>
  <c r="V286" i="1" s="1"/>
  <c r="AC292" i="1"/>
  <c r="AA292" i="1"/>
  <c r="V292" i="1" s="1"/>
  <c r="AC100" i="1"/>
  <c r="AA100" i="1"/>
  <c r="V100" i="1" s="1"/>
  <c r="AC21" i="1"/>
  <c r="AA21" i="1"/>
  <c r="V21" i="1" s="1"/>
  <c r="AA384" i="1"/>
  <c r="V384" i="1" s="1"/>
  <c r="AC384" i="1"/>
  <c r="AA210" i="1"/>
  <c r="V210" i="1" s="1"/>
  <c r="AC210" i="1"/>
  <c r="AC109" i="1"/>
  <c r="AA109" i="1"/>
  <c r="V109" i="1" s="1"/>
  <c r="AA257" i="1"/>
  <c r="V257" i="1" s="1"/>
  <c r="AC257" i="1"/>
  <c r="AC515" i="1"/>
  <c r="AA515" i="1"/>
  <c r="V515" i="1" s="1"/>
  <c r="AA273" i="1"/>
  <c r="V273" i="1" s="1"/>
  <c r="AC273" i="1"/>
  <c r="AA212" i="1"/>
  <c r="V212" i="1" s="1"/>
  <c r="AC212" i="1"/>
  <c r="AA145" i="1"/>
  <c r="V145" i="1" s="1"/>
  <c r="AC145" i="1"/>
  <c r="AC130" i="1"/>
  <c r="AA130" i="1"/>
  <c r="V130" i="1" s="1"/>
  <c r="AC174" i="1"/>
  <c r="AA174" i="1"/>
  <c r="V174" i="1" s="1"/>
  <c r="AC83" i="1"/>
  <c r="AA83" i="1"/>
  <c r="V83" i="1" s="1"/>
  <c r="AC50" i="1"/>
  <c r="AA50" i="1"/>
  <c r="V50" i="1" s="1"/>
  <c r="AC580" i="1"/>
  <c r="AA580" i="1"/>
  <c r="V580" i="1" s="1"/>
  <c r="AC304" i="1"/>
  <c r="AA304" i="1"/>
  <c r="V304" i="1" s="1"/>
  <c r="AA217" i="1"/>
  <c r="V217" i="1" s="1"/>
  <c r="AC217" i="1"/>
  <c r="AC88" i="1"/>
  <c r="AA88" i="1"/>
  <c r="V88" i="1" s="1"/>
  <c r="AA419" i="1"/>
  <c r="V419" i="1" s="1"/>
  <c r="AC419" i="1"/>
  <c r="AC81" i="1"/>
  <c r="AA81" i="1"/>
  <c r="V81" i="1" s="1"/>
  <c r="AC207" i="1"/>
  <c r="AA207" i="1"/>
  <c r="V207" i="1" s="1"/>
  <c r="AC583" i="1"/>
  <c r="AA583" i="1"/>
  <c r="V583" i="1" s="1"/>
  <c r="AC460" i="1"/>
  <c r="AA460" i="1"/>
  <c r="V460" i="1" s="1"/>
  <c r="AC256" i="1"/>
  <c r="AA256" i="1"/>
  <c r="V256" i="1" s="1"/>
  <c r="AC272" i="1"/>
  <c r="AA272" i="1"/>
  <c r="V272" i="1" s="1"/>
  <c r="AA265" i="1"/>
  <c r="V265" i="1" s="1"/>
  <c r="AC265" i="1"/>
  <c r="AC176" i="1"/>
  <c r="AA176" i="1"/>
  <c r="V176" i="1" s="1"/>
  <c r="AC122" i="1"/>
  <c r="AA122" i="1"/>
  <c r="V122" i="1" s="1"/>
  <c r="AC103" i="1"/>
  <c r="AA103" i="1"/>
  <c r="V103" i="1" s="1"/>
  <c r="AC139" i="1"/>
  <c r="AA139" i="1"/>
  <c r="V139" i="1" s="1"/>
  <c r="AC468" i="1"/>
  <c r="AA468" i="1"/>
  <c r="V468" i="1" s="1"/>
  <c r="AC448" i="1"/>
  <c r="AA448" i="1"/>
  <c r="V448" i="1" s="1"/>
  <c r="AC168" i="1"/>
  <c r="AA168" i="1"/>
  <c r="V168" i="1" s="1"/>
  <c r="AC63" i="1"/>
  <c r="AA63" i="1"/>
  <c r="V63" i="1" s="1"/>
  <c r="AC523" i="1"/>
  <c r="AA523" i="1"/>
  <c r="V523" i="1" s="1"/>
  <c r="AC444" i="1"/>
  <c r="AA444" i="1"/>
  <c r="V444" i="1" s="1"/>
  <c r="AA379" i="1"/>
  <c r="V379" i="1" s="1"/>
  <c r="AC379" i="1"/>
  <c r="AC181" i="1"/>
  <c r="AA181" i="1"/>
  <c r="V181" i="1" s="1"/>
  <c r="AC565" i="1"/>
  <c r="AA565" i="1"/>
  <c r="V565" i="1" s="1"/>
  <c r="AC318" i="1"/>
  <c r="AA318" i="1"/>
  <c r="V318" i="1" s="1"/>
  <c r="AC229" i="1"/>
  <c r="AA229" i="1"/>
  <c r="V229" i="1" s="1"/>
  <c r="AC101" i="1"/>
  <c r="AA101" i="1"/>
  <c r="V101" i="1" s="1"/>
  <c r="AC587" i="1"/>
  <c r="AA587" i="1"/>
  <c r="V587" i="1" s="1"/>
  <c r="AA555" i="1"/>
  <c r="V555" i="1" s="1"/>
  <c r="AC555" i="1"/>
  <c r="AA364" i="1"/>
  <c r="V364" i="1" s="1"/>
  <c r="AC364" i="1"/>
  <c r="AA337" i="1"/>
  <c r="V337" i="1" s="1"/>
  <c r="AC337" i="1"/>
  <c r="AC237" i="1"/>
  <c r="AA237" i="1"/>
  <c r="V237" i="1" s="1"/>
  <c r="AA56" i="1"/>
  <c r="V56" i="1" s="1"/>
  <c r="AC56" i="1"/>
  <c r="U920" i="2" l="1"/>
  <c r="AA355" i="2"/>
  <c r="AA791" i="2"/>
  <c r="AA805" i="2"/>
  <c r="AA804" i="2"/>
  <c r="AA746" i="2"/>
  <c r="AA829" i="2"/>
  <c r="AA793" i="2"/>
  <c r="U760" i="2"/>
  <c r="AA819" i="2"/>
  <c r="AA562" i="2"/>
  <c r="U536" i="2"/>
  <c r="AA886" i="2"/>
  <c r="AA651" i="2"/>
  <c r="AA552" i="2"/>
  <c r="AA838" i="2"/>
  <c r="AA878" i="2"/>
  <c r="U598" i="2"/>
  <c r="AA807" i="2"/>
  <c r="AA844" i="2"/>
  <c r="U725" i="2"/>
  <c r="Z536" i="2"/>
  <c r="AA536" i="2"/>
  <c r="AA696" i="2"/>
  <c r="Z804" i="2"/>
  <c r="U804" i="2"/>
  <c r="AA615" i="2"/>
  <c r="AA627" i="2"/>
  <c r="AA744" i="2"/>
  <c r="U914" i="2"/>
  <c r="U866" i="2"/>
  <c r="AA898" i="2"/>
  <c r="AA718" i="2"/>
  <c r="AA818" i="2"/>
  <c r="U904" i="2"/>
  <c r="AA909" i="2"/>
  <c r="AA851" i="2"/>
  <c r="AA434" i="2"/>
  <c r="AA902" i="2"/>
  <c r="X804" i="2"/>
  <c r="X536" i="2"/>
  <c r="AA873" i="2"/>
  <c r="U667" i="2"/>
  <c r="AA766" i="2"/>
  <c r="AA825" i="2"/>
  <c r="AA850" i="2"/>
  <c r="AA869" i="2"/>
  <c r="AA827" i="2"/>
  <c r="U263" i="2"/>
  <c r="AA913" i="2"/>
  <c r="AA908" i="2"/>
  <c r="AA879" i="2"/>
  <c r="AA812" i="2"/>
  <c r="AA860" i="2"/>
  <c r="U846" i="2"/>
  <c r="AA783" i="2"/>
  <c r="AA830" i="2"/>
  <c r="AA673" i="2"/>
  <c r="U629" i="2"/>
  <c r="AA867" i="2"/>
  <c r="AA771" i="2"/>
  <c r="AA762" i="2"/>
  <c r="AA717" i="2"/>
  <c r="AA748" i="2"/>
  <c r="AA663" i="2"/>
  <c r="AA801" i="2"/>
  <c r="AA662" i="2"/>
  <c r="AA612" i="2"/>
  <c r="AA595" i="2"/>
  <c r="AA765" i="2"/>
  <c r="AA755" i="2"/>
  <c r="AA785" i="2"/>
  <c r="AA508" i="2"/>
  <c r="U745" i="2"/>
  <c r="AA910" i="2"/>
  <c r="AA750" i="2"/>
  <c r="X878" i="2"/>
  <c r="Z878" i="2"/>
  <c r="U878" i="2"/>
  <c r="AA617" i="2"/>
  <c r="AA903" i="2"/>
  <c r="AA897" i="2"/>
  <c r="AA516" i="2"/>
  <c r="AA811" i="2"/>
  <c r="X869" i="2"/>
  <c r="Z869" i="2"/>
  <c r="U869" i="2"/>
  <c r="AA777" i="2"/>
  <c r="AA826" i="2"/>
  <c r="AA691" i="2"/>
  <c r="X879" i="2"/>
  <c r="Z879" i="2"/>
  <c r="U879" i="2"/>
  <c r="AA824" i="2"/>
  <c r="AA795" i="2"/>
  <c r="AA694" i="2"/>
  <c r="AA872" i="2"/>
  <c r="AA789" i="2"/>
  <c r="AA894" i="2"/>
  <c r="AA560" i="2"/>
  <c r="AA752" i="2"/>
  <c r="U891" i="2"/>
  <c r="X744" i="2"/>
  <c r="Z744" i="2"/>
  <c r="U744" i="2"/>
  <c r="AA891" i="2"/>
  <c r="X891" i="2"/>
  <c r="Z891" i="2"/>
  <c r="X898" i="2"/>
  <c r="Z898" i="2"/>
  <c r="U898" i="2"/>
  <c r="AA833" i="2"/>
  <c r="AA734" i="2"/>
  <c r="AA530" i="2"/>
  <c r="AA843" i="2"/>
  <c r="AA784" i="2"/>
  <c r="AA808" i="2"/>
  <c r="X807" i="2"/>
  <c r="Z807" i="2"/>
  <c r="U807" i="2"/>
  <c r="AA803" i="2"/>
  <c r="AA742" i="2"/>
  <c r="AA649" i="2"/>
  <c r="AA802" i="2"/>
  <c r="AA887" i="2"/>
  <c r="AA857" i="2"/>
  <c r="AA828" i="2"/>
  <c r="AA882" i="2"/>
  <c r="X913" i="2"/>
  <c r="Z913" i="2"/>
  <c r="U913" i="2"/>
  <c r="AA809" i="2"/>
  <c r="X908" i="2"/>
  <c r="Z908" i="2"/>
  <c r="U908" i="2"/>
  <c r="U852" i="2"/>
  <c r="AA747" i="2"/>
  <c r="AA710" i="2"/>
  <c r="X860" i="2"/>
  <c r="Z860" i="2"/>
  <c r="U860" i="2"/>
  <c r="AA709" i="2"/>
  <c r="AA871" i="2"/>
  <c r="AA330" i="2"/>
  <c r="AA716" i="2"/>
  <c r="AA605" i="2"/>
  <c r="AA760" i="2"/>
  <c r="X760" i="2"/>
  <c r="Z760" i="2"/>
  <c r="U329" i="2"/>
  <c r="AA786" i="2"/>
  <c r="AA534" i="2"/>
  <c r="AA768" i="2"/>
  <c r="Z745" i="2"/>
  <c r="X745" i="2"/>
  <c r="AA745" i="2"/>
  <c r="AA668" i="2"/>
  <c r="AA357" i="2"/>
  <c r="AA866" i="2"/>
  <c r="X866" i="2"/>
  <c r="Z866" i="2"/>
  <c r="AA657" i="2"/>
  <c r="AA920" i="2"/>
  <c r="X920" i="2"/>
  <c r="Z920" i="2"/>
  <c r="AA904" i="2"/>
  <c r="X904" i="2"/>
  <c r="Z904" i="2"/>
  <c r="X809" i="2"/>
  <c r="Z809" i="2"/>
  <c r="U809" i="2"/>
  <c r="AA737" i="2"/>
  <c r="AA631" i="2"/>
  <c r="U794" i="2"/>
  <c r="U728" i="2"/>
  <c r="AA836" i="2"/>
  <c r="AA672" i="2"/>
  <c r="AA799" i="2"/>
  <c r="X560" i="2"/>
  <c r="Z560" i="2"/>
  <c r="U560" i="2"/>
  <c r="AA636" i="2"/>
  <c r="AA667" i="2"/>
  <c r="X667" i="2"/>
  <c r="Z667" i="2"/>
  <c r="AA889" i="2"/>
  <c r="AA880" i="2"/>
  <c r="AA769" i="2"/>
  <c r="AA846" i="2"/>
  <c r="X846" i="2"/>
  <c r="Z846" i="2"/>
  <c r="AA776" i="2"/>
  <c r="AA728" i="2"/>
  <c r="X728" i="2"/>
  <c r="Z728" i="2"/>
  <c r="AA834" i="2"/>
  <c r="AA796" i="2"/>
  <c r="AA675" i="2"/>
  <c r="AA806" i="2"/>
  <c r="X903" i="2"/>
  <c r="Z903" i="2"/>
  <c r="U903" i="2"/>
  <c r="AA883" i="2"/>
  <c r="AA640" i="2"/>
  <c r="X882" i="2"/>
  <c r="Z882" i="2"/>
  <c r="U882" i="2"/>
  <c r="U721" i="2"/>
  <c r="U862" i="2"/>
  <c r="AA633" i="2"/>
  <c r="AA609" i="2"/>
  <c r="X710" i="2"/>
  <c r="Z710" i="2"/>
  <c r="U710" i="2"/>
  <c r="AA585" i="2"/>
  <c r="AA856" i="2"/>
  <c r="U554" i="2"/>
  <c r="AA687" i="2"/>
  <c r="X833" i="2"/>
  <c r="Z833" i="2"/>
  <c r="U833" i="2"/>
  <c r="AA915" i="2"/>
  <c r="U632" i="2"/>
  <c r="AA764" i="2"/>
  <c r="U659" i="2"/>
  <c r="AA729" i="2"/>
  <c r="AA397" i="2"/>
  <c r="AA544" i="2"/>
  <c r="AA664" i="2"/>
  <c r="AA642" i="2"/>
  <c r="U409" i="2"/>
  <c r="X793" i="2"/>
  <c r="Z793" i="2"/>
  <c r="U793" i="2"/>
  <c r="U548" i="2"/>
  <c r="AA628" i="2"/>
  <c r="AA840" i="2"/>
  <c r="AA839" i="2"/>
  <c r="AA581" i="2"/>
  <c r="AA914" i="2"/>
  <c r="X914" i="2"/>
  <c r="Z914" i="2"/>
  <c r="AA465" i="2"/>
  <c r="AA855" i="2"/>
  <c r="AA790" i="2"/>
  <c r="U352" i="2"/>
  <c r="X795" i="2"/>
  <c r="Z795" i="2"/>
  <c r="U795" i="2"/>
  <c r="X824" i="2"/>
  <c r="Z824" i="2"/>
  <c r="U824" i="2"/>
  <c r="U566" i="2"/>
  <c r="AA704" i="2"/>
  <c r="AA634" i="2"/>
  <c r="U578" i="2"/>
  <c r="AA868" i="2"/>
  <c r="AA917" i="2"/>
  <c r="X799" i="2"/>
  <c r="Z799" i="2"/>
  <c r="U799" i="2"/>
  <c r="X664" i="2"/>
  <c r="Z664" i="2"/>
  <c r="U664" i="2"/>
  <c r="AA453" i="2"/>
  <c r="AA409" i="2"/>
  <c r="X409" i="2"/>
  <c r="Z409" i="2"/>
  <c r="Z578" i="2"/>
  <c r="X578" i="2"/>
  <c r="AA578" i="2"/>
  <c r="X704" i="2"/>
  <c r="Z704" i="2"/>
  <c r="U704" i="2"/>
  <c r="AA656" i="2"/>
  <c r="AA655" i="2"/>
  <c r="X640" i="2"/>
  <c r="Z640" i="2"/>
  <c r="U640" i="2"/>
  <c r="X803" i="2"/>
  <c r="Z803" i="2"/>
  <c r="U803" i="2"/>
  <c r="AA652" i="2"/>
  <c r="AA832" i="2"/>
  <c r="X675" i="2"/>
  <c r="Z675" i="2"/>
  <c r="U675" i="2"/>
  <c r="U712" i="2"/>
  <c r="AA390" i="2"/>
  <c r="AA881" i="2"/>
  <c r="AA899" i="2"/>
  <c r="X867" i="2"/>
  <c r="Z867" i="2"/>
  <c r="U867" i="2"/>
  <c r="U506" i="2"/>
  <c r="X827" i="2"/>
  <c r="Z827" i="2"/>
  <c r="U827" i="2"/>
  <c r="AA721" i="2"/>
  <c r="X721" i="2"/>
  <c r="Z721" i="2"/>
  <c r="AA446" i="2"/>
  <c r="Z862" i="2"/>
  <c r="X862" i="2"/>
  <c r="AA862" i="2"/>
  <c r="AA611" i="2"/>
  <c r="AA343" i="2"/>
  <c r="AA816" i="2"/>
  <c r="AA283" i="2"/>
  <c r="AA466" i="2"/>
  <c r="AA888" i="2"/>
  <c r="X871" i="2"/>
  <c r="Z871" i="2"/>
  <c r="U871" i="2"/>
  <c r="U487" i="2"/>
  <c r="AA697" i="2"/>
  <c r="U688" i="2"/>
  <c r="X581" i="2"/>
  <c r="Z581" i="2"/>
  <c r="U581" i="2"/>
  <c r="X830" i="2"/>
  <c r="Z830" i="2"/>
  <c r="U830" i="2"/>
  <c r="X872" i="2"/>
  <c r="Z872" i="2"/>
  <c r="U872" i="2"/>
  <c r="U604" i="2"/>
  <c r="U892" i="2"/>
  <c r="AA774" i="2"/>
  <c r="AA512" i="2"/>
  <c r="AA375" i="2"/>
  <c r="AA681" i="2"/>
  <c r="AA876" i="2"/>
  <c r="AA587" i="2"/>
  <c r="AA900" i="2"/>
  <c r="AA387" i="2"/>
  <c r="U559" i="2"/>
  <c r="AA526" i="2"/>
  <c r="X611" i="2"/>
  <c r="Z611" i="2"/>
  <c r="U611" i="2"/>
  <c r="AA333" i="2"/>
  <c r="Z487" i="2"/>
  <c r="X487" i="2"/>
  <c r="AA487" i="2"/>
  <c r="AA659" i="2"/>
  <c r="X659" i="2"/>
  <c r="Z659" i="2"/>
  <c r="AA738" i="2"/>
  <c r="AA916" i="2"/>
  <c r="U726" i="2"/>
  <c r="AA699" i="2"/>
  <c r="AA861" i="2"/>
  <c r="AA918" i="2"/>
  <c r="AA800" i="2"/>
  <c r="AA679" i="2"/>
  <c r="X742" i="2"/>
  <c r="Z742" i="2"/>
  <c r="U742" i="2"/>
  <c r="AA688" i="2"/>
  <c r="X688" i="2"/>
  <c r="Z688" i="2"/>
  <c r="X844" i="2"/>
  <c r="Z844" i="2"/>
  <c r="U844" i="2"/>
  <c r="X828" i="2"/>
  <c r="Z828" i="2"/>
  <c r="U828" i="2"/>
  <c r="AA848" i="2"/>
  <c r="AA648" i="2"/>
  <c r="U753" i="2"/>
  <c r="AA674" i="2"/>
  <c r="X785" i="2"/>
  <c r="Z785" i="2"/>
  <c r="U785" i="2"/>
  <c r="AA506" i="2"/>
  <c r="X506" i="2"/>
  <c r="Z506" i="2"/>
  <c r="AA753" i="2"/>
  <c r="X753" i="2"/>
  <c r="Z753" i="2"/>
  <c r="AA865" i="2"/>
  <c r="AA410" i="2"/>
  <c r="X888" i="2"/>
  <c r="Z888" i="2"/>
  <c r="U888" i="2"/>
  <c r="X843" i="2"/>
  <c r="Z843" i="2"/>
  <c r="U843" i="2"/>
  <c r="U558" i="2"/>
  <c r="AA566" i="2"/>
  <c r="X566" i="2"/>
  <c r="Z566" i="2"/>
  <c r="AA588" i="2"/>
  <c r="X881" i="2"/>
  <c r="Z881" i="2"/>
  <c r="U881" i="2"/>
  <c r="U579" i="2"/>
  <c r="AA469" i="2"/>
  <c r="AA893" i="2"/>
  <c r="AA383" i="2"/>
  <c r="AA455" i="2"/>
  <c r="X737" i="2"/>
  <c r="Z737" i="2"/>
  <c r="U737" i="2"/>
  <c r="AA647" i="2"/>
  <c r="AA877" i="2"/>
  <c r="AA852" i="2"/>
  <c r="X852" i="2"/>
  <c r="Z852" i="2"/>
  <c r="AA797" i="2"/>
  <c r="AA847" i="2"/>
  <c r="AA715" i="2"/>
  <c r="X825" i="2"/>
  <c r="Z825" i="2"/>
  <c r="U825" i="2"/>
  <c r="AA720" i="2"/>
  <c r="AA492" i="2"/>
  <c r="AA757" i="2"/>
  <c r="X917" i="2"/>
  <c r="Z917" i="2"/>
  <c r="U917" i="2"/>
  <c r="AA733" i="2"/>
  <c r="AA695" i="2"/>
  <c r="AA586" i="2"/>
  <c r="X587" i="2"/>
  <c r="Z587" i="2"/>
  <c r="U587" i="2"/>
  <c r="AA775" i="2"/>
  <c r="AA859" i="2"/>
  <c r="AA373" i="2"/>
  <c r="X691" i="2"/>
  <c r="Z691" i="2"/>
  <c r="U691" i="2"/>
  <c r="X876" i="2"/>
  <c r="Z876" i="2"/>
  <c r="U876" i="2"/>
  <c r="X434" i="2"/>
  <c r="Z434" i="2"/>
  <c r="U434" i="2"/>
  <c r="AA912" i="2"/>
  <c r="X850" i="2"/>
  <c r="Z850" i="2"/>
  <c r="U850" i="2"/>
  <c r="AA701" i="2"/>
  <c r="AA543" i="2"/>
  <c r="X694" i="2"/>
  <c r="Z694" i="2"/>
  <c r="U694" i="2"/>
  <c r="AA621" i="2"/>
  <c r="AA794" i="2"/>
  <c r="X794" i="2"/>
  <c r="Z794" i="2"/>
  <c r="AA782" i="2"/>
  <c r="AA841" i="2"/>
  <c r="AA665" i="2"/>
  <c r="X769" i="2"/>
  <c r="Z769" i="2"/>
  <c r="U769" i="2"/>
  <c r="AA554" i="2"/>
  <c r="X554" i="2"/>
  <c r="Z554" i="2"/>
  <c r="U269" i="2"/>
  <c r="AA676" i="2"/>
  <c r="X826" i="2"/>
  <c r="Z826" i="2"/>
  <c r="U826" i="2"/>
  <c r="U444" i="2"/>
  <c r="AA470" i="2"/>
  <c r="AA815" i="2"/>
  <c r="AA582" i="2"/>
  <c r="AA853" i="2"/>
  <c r="AA377" i="2"/>
  <c r="AA485" i="2"/>
  <c r="X791" i="2"/>
  <c r="Z791" i="2"/>
  <c r="U791" i="2"/>
  <c r="AA538" i="2"/>
  <c r="AA732" i="2"/>
  <c r="AA606" i="2"/>
  <c r="AA669" i="2"/>
  <c r="AA551" i="2"/>
  <c r="X783" i="2"/>
  <c r="Z783" i="2"/>
  <c r="U783" i="2"/>
  <c r="AA482" i="2"/>
  <c r="AA773" i="2"/>
  <c r="AA643" i="2"/>
  <c r="X330" i="2"/>
  <c r="Z330" i="2"/>
  <c r="U330" i="2"/>
  <c r="X697" i="2"/>
  <c r="Z697" i="2"/>
  <c r="U697" i="2"/>
  <c r="AA332" i="2"/>
  <c r="X918" i="2"/>
  <c r="Z918" i="2"/>
  <c r="U918" i="2"/>
  <c r="AA723" i="2"/>
  <c r="X851" i="2"/>
  <c r="Z851" i="2"/>
  <c r="U851" i="2"/>
  <c r="AA858" i="2"/>
  <c r="U577" i="2"/>
  <c r="AA810" i="2"/>
  <c r="X910" i="2"/>
  <c r="Z910" i="2"/>
  <c r="U910" i="2"/>
  <c r="AA541" i="2"/>
  <c r="AA604" i="2"/>
  <c r="X604" i="2"/>
  <c r="Z604" i="2"/>
  <c r="AA514" i="2"/>
  <c r="X808" i="2"/>
  <c r="Z808" i="2"/>
  <c r="U808" i="2"/>
  <c r="AA849" i="2"/>
  <c r="AA906" i="2"/>
  <c r="AA515" i="2"/>
  <c r="AA610" i="2"/>
  <c r="AA641" i="2"/>
  <c r="AA874" i="2"/>
  <c r="U683" i="2"/>
  <c r="Z329" i="2"/>
  <c r="X329" i="2"/>
  <c r="AA329" i="2"/>
  <c r="AA289" i="2"/>
  <c r="X773" i="2"/>
  <c r="Z773" i="2"/>
  <c r="U773" i="2"/>
  <c r="X771" i="2"/>
  <c r="Z771" i="2"/>
  <c r="U771" i="2"/>
  <c r="U635" i="2"/>
  <c r="X857" i="2"/>
  <c r="Z857" i="2"/>
  <c r="U857" i="2"/>
  <c r="Z352" i="2"/>
  <c r="X352" i="2"/>
  <c r="AA352" i="2"/>
  <c r="AA740" i="2"/>
  <c r="AA798" i="2"/>
  <c r="U367" i="2"/>
  <c r="AA462" i="2"/>
  <c r="X897" i="2"/>
  <c r="Z897" i="2"/>
  <c r="U897" i="2"/>
  <c r="AA683" i="2"/>
  <c r="X683" i="2"/>
  <c r="Z683" i="2"/>
  <c r="AA863" i="2"/>
  <c r="Z559" i="2"/>
  <c r="X559" i="2"/>
  <c r="AA559" i="2"/>
  <c r="AA820" i="2"/>
  <c r="AA598" i="2"/>
  <c r="X598" i="2"/>
  <c r="Z598" i="2"/>
  <c r="AA525" i="2"/>
  <c r="AA724" i="2"/>
  <c r="AA320" i="2"/>
  <c r="AA472" i="2"/>
  <c r="AA712" i="2"/>
  <c r="X712" i="2"/>
  <c r="Z712" i="2"/>
  <c r="AA569" i="2"/>
  <c r="AA483" i="2"/>
  <c r="AA550" i="2"/>
  <c r="X606" i="2"/>
  <c r="Z606" i="2"/>
  <c r="U606" i="2"/>
  <c r="AA207" i="2"/>
  <c r="U884" i="2"/>
  <c r="X774" i="2"/>
  <c r="Z774" i="2"/>
  <c r="U774" i="2"/>
  <c r="U822" i="2"/>
  <c r="AA532" i="2"/>
  <c r="U557" i="2"/>
  <c r="AA864" i="2"/>
  <c r="AA580" i="2"/>
  <c r="AA572" i="2"/>
  <c r="X687" i="2"/>
  <c r="Z687" i="2"/>
  <c r="U687" i="2"/>
  <c r="AA792" i="2"/>
  <c r="AA821" i="2"/>
  <c r="AA430" i="2"/>
  <c r="AA309" i="2"/>
  <c r="AA336" i="2"/>
  <c r="U907" i="2"/>
  <c r="U626" i="2"/>
  <c r="X802" i="2"/>
  <c r="Z802" i="2"/>
  <c r="U802" i="2"/>
  <c r="AA519" i="2"/>
  <c r="AA870" i="2"/>
  <c r="AA739" i="2"/>
  <c r="AA842" i="2"/>
  <c r="X877" i="2"/>
  <c r="Z877" i="2"/>
  <c r="U877" i="2"/>
  <c r="AA885" i="2"/>
  <c r="AA845" i="2"/>
  <c r="X512" i="2"/>
  <c r="Z512" i="2"/>
  <c r="U512" i="2"/>
  <c r="AA700" i="2"/>
  <c r="X669" i="2"/>
  <c r="Z669" i="2"/>
  <c r="U669" i="2"/>
  <c r="AA625" i="2"/>
  <c r="AA222" i="2"/>
  <c r="AA263" i="2"/>
  <c r="X263" i="2"/>
  <c r="Z263" i="2"/>
  <c r="AA179" i="2"/>
  <c r="AA438" i="2"/>
  <c r="X651" i="2"/>
  <c r="Z651" i="2"/>
  <c r="U651" i="2"/>
  <c r="X656" i="2"/>
  <c r="Z656" i="2"/>
  <c r="U656" i="2"/>
  <c r="X870" i="2"/>
  <c r="Z870" i="2"/>
  <c r="U870" i="2"/>
  <c r="AA686" i="2"/>
  <c r="AA362" i="2"/>
  <c r="U751" i="2"/>
  <c r="AA725" i="2"/>
  <c r="X725" i="2"/>
  <c r="Z725" i="2"/>
  <c r="AA608" i="2"/>
  <c r="AA780" i="2"/>
  <c r="AA576" i="2"/>
  <c r="AA690" i="2"/>
  <c r="Z548" i="2"/>
  <c r="X548" i="2"/>
  <c r="AA548" i="2"/>
  <c r="AA735" i="2"/>
  <c r="AA577" i="2"/>
  <c r="X577" i="2"/>
  <c r="Z577" i="2"/>
  <c r="AA117" i="2"/>
  <c r="U84" i="2"/>
  <c r="AA787" i="2"/>
  <c r="X868" i="2"/>
  <c r="Z868" i="2"/>
  <c r="U868" i="2"/>
  <c r="X612" i="2"/>
  <c r="Z612" i="2"/>
  <c r="U612" i="2"/>
  <c r="AA539" i="2"/>
  <c r="X483" i="2"/>
  <c r="Z483" i="2"/>
  <c r="U483" i="2"/>
  <c r="X715" i="2"/>
  <c r="Z715" i="2"/>
  <c r="U715" i="2"/>
  <c r="AA505" i="2"/>
  <c r="AA583" i="2"/>
  <c r="AA503" i="2"/>
  <c r="X572" i="2"/>
  <c r="Z572" i="2"/>
  <c r="U572" i="2"/>
  <c r="AA218" i="2"/>
  <c r="AA233" i="2"/>
  <c r="U133" i="2"/>
  <c r="Z629" i="2"/>
  <c r="X629" i="2"/>
  <c r="AA629" i="2"/>
  <c r="X836" i="2"/>
  <c r="Z836" i="2"/>
  <c r="U836" i="2"/>
  <c r="X580" i="2"/>
  <c r="Z580" i="2"/>
  <c r="U580" i="2"/>
  <c r="AA500" i="2"/>
  <c r="Z892" i="2"/>
  <c r="X892" i="2"/>
  <c r="AA892" i="2"/>
  <c r="AA553" i="2"/>
  <c r="Z632" i="2"/>
  <c r="X632" i="2"/>
  <c r="AA632" i="2"/>
  <c r="AA905" i="2"/>
  <c r="X792" i="2"/>
  <c r="Z792" i="2"/>
  <c r="U792" i="2"/>
  <c r="X746" i="2"/>
  <c r="Z746" i="2"/>
  <c r="U746" i="2"/>
  <c r="X887" i="2"/>
  <c r="Z887" i="2"/>
  <c r="U887" i="2"/>
  <c r="X699" i="2"/>
  <c r="Z699" i="2"/>
  <c r="U699" i="2"/>
  <c r="X873" i="2"/>
  <c r="Z873" i="2"/>
  <c r="U873" i="2"/>
  <c r="X834" i="2"/>
  <c r="Z834" i="2"/>
  <c r="U834" i="2"/>
  <c r="AA276" i="2"/>
  <c r="AA778" i="2"/>
  <c r="AA823" i="2"/>
  <c r="AA661" i="2"/>
  <c r="X515" i="2"/>
  <c r="Z515" i="2"/>
  <c r="U515" i="2"/>
  <c r="AA680" i="2"/>
  <c r="U310" i="2"/>
  <c r="AA684" i="2"/>
  <c r="AA707" i="2"/>
  <c r="AA653" i="2"/>
  <c r="AA706" i="2"/>
  <c r="AA884" i="2"/>
  <c r="X884" i="2"/>
  <c r="Z884" i="2"/>
  <c r="AA413" i="2"/>
  <c r="AA584" i="2"/>
  <c r="AA328" i="2"/>
  <c r="AA478" i="2"/>
  <c r="AA511" i="2"/>
  <c r="X766" i="2"/>
  <c r="Z766" i="2"/>
  <c r="U766" i="2"/>
  <c r="AA644" i="2"/>
  <c r="X627" i="2"/>
  <c r="Z627" i="2"/>
  <c r="U627" i="2"/>
  <c r="X690" i="2"/>
  <c r="Z690" i="2"/>
  <c r="U690" i="2"/>
  <c r="X569" i="2"/>
  <c r="Z569" i="2"/>
  <c r="U569" i="2"/>
  <c r="AA731" i="2"/>
  <c r="AA730" i="2"/>
  <c r="AA638" i="2"/>
  <c r="X582" i="2"/>
  <c r="Z582" i="2"/>
  <c r="U582" i="2"/>
  <c r="X787" i="2"/>
  <c r="Z787" i="2"/>
  <c r="U787" i="2"/>
  <c r="AA270" i="2"/>
  <c r="AA29" i="2"/>
  <c r="AA295" i="2"/>
  <c r="AA290" i="2"/>
  <c r="AA603" i="2"/>
  <c r="AA678" i="2"/>
  <c r="AA510" i="2"/>
  <c r="X544" i="2"/>
  <c r="Z544" i="2"/>
  <c r="U544" i="2"/>
  <c r="X899" i="2"/>
  <c r="Z899" i="2"/>
  <c r="U899" i="2"/>
  <c r="AA722" i="2"/>
  <c r="U527" i="2"/>
  <c r="AA626" i="2"/>
  <c r="X626" i="2"/>
  <c r="Z626" i="2"/>
  <c r="U599" i="2"/>
  <c r="X905" i="2"/>
  <c r="Z905" i="2"/>
  <c r="U905" i="2"/>
  <c r="X482" i="2"/>
  <c r="Z482" i="2"/>
  <c r="U482" i="2"/>
  <c r="AA323" i="2"/>
  <c r="AA756" i="2"/>
  <c r="AA204" i="2"/>
  <c r="U623" i="2"/>
  <c r="X648" i="2"/>
  <c r="Z648" i="2"/>
  <c r="U648" i="2"/>
  <c r="X551" i="2"/>
  <c r="Z551" i="2"/>
  <c r="U551" i="2"/>
  <c r="AA911" i="2"/>
  <c r="AA645" i="2"/>
  <c r="AA837" i="2"/>
  <c r="X552" i="2"/>
  <c r="Z552" i="2"/>
  <c r="U552" i="2"/>
  <c r="AA216" i="2"/>
  <c r="AA660" i="2"/>
  <c r="X276" i="2"/>
  <c r="Z276" i="2"/>
  <c r="U276" i="2"/>
  <c r="X906" i="2"/>
  <c r="Z906" i="2"/>
  <c r="U906" i="2"/>
  <c r="AA565" i="2"/>
  <c r="AA518" i="2"/>
  <c r="U445" i="2"/>
  <c r="AA549" i="2"/>
  <c r="AA421" i="2"/>
  <c r="Z907" i="2"/>
  <c r="X907" i="2"/>
  <c r="AA907" i="2"/>
  <c r="AA736" i="2"/>
  <c r="U535" i="2"/>
  <c r="X748" i="2"/>
  <c r="Z748" i="2"/>
  <c r="U748" i="2"/>
  <c r="AA286" i="2"/>
  <c r="AA345" i="2"/>
  <c r="AA422" i="2"/>
  <c r="AA368" i="2"/>
  <c r="X855" i="2"/>
  <c r="Z855" i="2"/>
  <c r="U855" i="2"/>
  <c r="AA31" i="2"/>
  <c r="AA523" i="2"/>
  <c r="AA358" i="2"/>
  <c r="AA384" i="2"/>
  <c r="AA682" i="2"/>
  <c r="X336" i="2"/>
  <c r="Z336" i="2"/>
  <c r="U336" i="2"/>
  <c r="X752" i="2"/>
  <c r="Z752" i="2"/>
  <c r="U752" i="2"/>
  <c r="AA635" i="2"/>
  <c r="X635" i="2"/>
  <c r="Z635" i="2"/>
  <c r="Z822" i="2"/>
  <c r="X822" i="2"/>
  <c r="AA822" i="2"/>
  <c r="AA619" i="2"/>
  <c r="X734" i="2"/>
  <c r="Z734" i="2"/>
  <c r="U734" i="2"/>
  <c r="X696" i="2"/>
  <c r="Z696" i="2"/>
  <c r="U696" i="2"/>
  <c r="U714" i="2"/>
  <c r="AA393" i="2"/>
  <c r="X764" i="2"/>
  <c r="Z764" i="2"/>
  <c r="U764" i="2"/>
  <c r="AA8" i="2"/>
  <c r="AA242" i="2"/>
  <c r="Z726" i="2"/>
  <c r="X726" i="2"/>
  <c r="AA726" i="2"/>
  <c r="AA447" i="2"/>
  <c r="AA365" i="2"/>
  <c r="X842" i="2"/>
  <c r="Z842" i="2"/>
  <c r="U842" i="2"/>
  <c r="X823" i="2"/>
  <c r="Z823" i="2"/>
  <c r="U823" i="2"/>
  <c r="U919" i="2"/>
  <c r="AA63" i="2"/>
  <c r="AA46" i="2"/>
  <c r="X840" i="2"/>
  <c r="Z840" i="2"/>
  <c r="U840" i="2"/>
  <c r="AA461" i="2"/>
  <c r="X747" i="2"/>
  <c r="Z747" i="2"/>
  <c r="U747" i="2"/>
  <c r="AA429" i="2"/>
  <c r="X362" i="2"/>
  <c r="Z362" i="2"/>
  <c r="U362" i="2"/>
  <c r="X636" i="2"/>
  <c r="Z636" i="2"/>
  <c r="U636" i="2"/>
  <c r="U601" i="2"/>
  <c r="AA520" i="2"/>
  <c r="U481" i="2"/>
  <c r="AA297" i="2"/>
  <c r="AA531" i="2"/>
  <c r="AA919" i="2"/>
  <c r="X919" i="2"/>
  <c r="Z919" i="2"/>
  <c r="AA670" i="2"/>
  <c r="AA743" i="2"/>
  <c r="AA249" i="2"/>
  <c r="AA540" i="2"/>
  <c r="AA150" i="2"/>
  <c r="X634" i="2"/>
  <c r="Z634" i="2"/>
  <c r="U634" i="2"/>
  <c r="AA411" i="2"/>
  <c r="AA403" i="2"/>
  <c r="AA454" i="2"/>
  <c r="X368" i="2"/>
  <c r="Z368" i="2"/>
  <c r="U368" i="2"/>
  <c r="U616" i="2"/>
  <c r="AA196" i="2"/>
  <c r="X605" i="2"/>
  <c r="Z605" i="2"/>
  <c r="U605" i="2"/>
  <c r="AA406" i="2"/>
  <c r="X438" i="2"/>
  <c r="Z438" i="2"/>
  <c r="U438" i="2"/>
  <c r="Z133" i="2"/>
  <c r="X133" i="2"/>
  <c r="AA133" i="2"/>
  <c r="AA381" i="2"/>
  <c r="X553" i="2"/>
  <c r="Z553" i="2"/>
  <c r="U553" i="2"/>
  <c r="AA253" i="2"/>
  <c r="Z751" i="2"/>
  <c r="X751" i="2"/>
  <c r="AA751" i="2"/>
  <c r="U574" i="2"/>
  <c r="X462" i="2"/>
  <c r="Z462" i="2"/>
  <c r="U462" i="2"/>
  <c r="AA424" i="2"/>
  <c r="X861" i="2"/>
  <c r="Z861" i="2"/>
  <c r="U861" i="2"/>
  <c r="AA486" i="2"/>
  <c r="X653" i="2"/>
  <c r="Z653" i="2"/>
  <c r="U653" i="2"/>
  <c r="AA759" i="2"/>
  <c r="Z367" i="2"/>
  <c r="X367" i="2"/>
  <c r="AA367" i="2"/>
  <c r="AA817" i="2"/>
  <c r="X886" i="2"/>
  <c r="Z886" i="2"/>
  <c r="U886" i="2"/>
  <c r="AA589" i="2"/>
  <c r="AA596" i="2"/>
  <c r="X845" i="2"/>
  <c r="Z845" i="2"/>
  <c r="U845" i="2"/>
  <c r="AA896" i="2"/>
  <c r="X821" i="2"/>
  <c r="Z821" i="2"/>
  <c r="U821" i="2"/>
  <c r="AA361" i="2"/>
  <c r="AA613" i="2"/>
  <c r="X519" i="2"/>
  <c r="Z519" i="2"/>
  <c r="U519" i="2"/>
  <c r="X680" i="2"/>
  <c r="Z680" i="2"/>
  <c r="U680" i="2"/>
  <c r="AA346" i="2"/>
  <c r="X894" i="2"/>
  <c r="Z894" i="2"/>
  <c r="U894" i="2"/>
  <c r="AA76" i="2"/>
  <c r="AA813" i="2"/>
  <c r="AA758" i="2"/>
  <c r="AA767" i="2"/>
  <c r="X775" i="2"/>
  <c r="Z775" i="2"/>
  <c r="U775" i="2"/>
  <c r="X784" i="2"/>
  <c r="Z784" i="2"/>
  <c r="U784" i="2"/>
  <c r="AA708" i="2"/>
  <c r="X609" i="2"/>
  <c r="Z609" i="2"/>
  <c r="U609" i="2"/>
  <c r="X729" i="2"/>
  <c r="Z729" i="2"/>
  <c r="U729" i="2"/>
  <c r="Z535" i="2"/>
  <c r="X535" i="2"/>
  <c r="AA535" i="2"/>
  <c r="X422" i="2"/>
  <c r="Z422" i="2"/>
  <c r="U422" i="2"/>
  <c r="Z269" i="2"/>
  <c r="X269" i="2"/>
  <c r="AA269" i="2"/>
  <c r="AA111" i="2"/>
  <c r="AA654" i="2"/>
  <c r="AA431" i="2"/>
  <c r="AA575" i="2"/>
  <c r="X500" i="2"/>
  <c r="Z500" i="2"/>
  <c r="U500" i="2"/>
  <c r="Z557" i="2"/>
  <c r="X557" i="2"/>
  <c r="AA557" i="2"/>
  <c r="U206" i="2"/>
  <c r="AA400" i="2"/>
  <c r="AA618" i="2"/>
  <c r="AA524" i="2"/>
  <c r="AA490" i="2"/>
  <c r="X848" i="2"/>
  <c r="Z848" i="2"/>
  <c r="U848" i="2"/>
  <c r="AA371" i="2"/>
  <c r="Z579" i="2"/>
  <c r="X579" i="2"/>
  <c r="AA579" i="2"/>
  <c r="X755" i="2"/>
  <c r="Z755" i="2"/>
  <c r="U755" i="2"/>
  <c r="X295" i="2"/>
  <c r="Z295" i="2"/>
  <c r="U295" i="2"/>
  <c r="AA201" i="2"/>
  <c r="AA761" i="2"/>
  <c r="AA308" i="2"/>
  <c r="AA480" i="2"/>
  <c r="AA754" i="2"/>
  <c r="X531" i="2"/>
  <c r="Z531" i="2"/>
  <c r="U531" i="2"/>
  <c r="Z601" i="2"/>
  <c r="X601" i="2"/>
  <c r="AA601" i="2"/>
  <c r="AA591" i="2"/>
  <c r="U382" i="2"/>
  <c r="X453" i="2"/>
  <c r="Z453" i="2"/>
  <c r="U453" i="2"/>
  <c r="AA890" i="2"/>
  <c r="U513" i="2"/>
  <c r="AA749" i="2"/>
  <c r="U107" i="2"/>
  <c r="U571" i="2"/>
  <c r="U302" i="2"/>
  <c r="AA231" i="2"/>
  <c r="AA452" i="2"/>
  <c r="AA781" i="2"/>
  <c r="X492" i="2"/>
  <c r="Z492" i="2"/>
  <c r="U492" i="2"/>
  <c r="X532" i="2"/>
  <c r="Z532" i="2"/>
  <c r="U532" i="2"/>
  <c r="X381" i="2"/>
  <c r="Z381" i="2"/>
  <c r="U381" i="2"/>
  <c r="AA650" i="2"/>
  <c r="AA499" i="2"/>
  <c r="X790" i="2"/>
  <c r="Z790" i="2"/>
  <c r="U790" i="2"/>
  <c r="AA502" i="2"/>
  <c r="Z310" i="2"/>
  <c r="X310" i="2"/>
  <c r="AA310" i="2"/>
  <c r="U202" i="2"/>
  <c r="AA677" i="2"/>
  <c r="AA351" i="2"/>
  <c r="AA313" i="2"/>
  <c r="U372" i="2"/>
  <c r="AA698" i="2"/>
  <c r="AA528" i="2"/>
  <c r="AA303" i="2"/>
  <c r="AA293" i="2"/>
  <c r="X505" i="2"/>
  <c r="Z505" i="2"/>
  <c r="U505" i="2"/>
  <c r="X63" i="2"/>
  <c r="Z63" i="2"/>
  <c r="U63" i="2"/>
  <c r="Z513" i="2"/>
  <c r="X513" i="2"/>
  <c r="AA513" i="2"/>
  <c r="U703" i="2"/>
  <c r="U227" i="2"/>
  <c r="AA214" i="2"/>
  <c r="AA441" i="2"/>
  <c r="X524" i="2"/>
  <c r="Z524" i="2"/>
  <c r="U524" i="2"/>
  <c r="AA304" i="2"/>
  <c r="U875" i="2"/>
  <c r="AA671" i="2"/>
  <c r="AA258" i="2"/>
  <c r="AA599" i="2"/>
  <c r="X599" i="2"/>
  <c r="Z599" i="2"/>
  <c r="AA396" i="2"/>
  <c r="AA206" i="2"/>
  <c r="X206" i="2"/>
  <c r="Z206" i="2"/>
  <c r="AA300" i="2"/>
  <c r="X797" i="2"/>
  <c r="Z797" i="2"/>
  <c r="U797" i="2"/>
  <c r="AA901" i="2"/>
  <c r="X520" i="2"/>
  <c r="Z520" i="2"/>
  <c r="U520" i="2"/>
  <c r="AA835" i="2"/>
  <c r="AA693" i="2"/>
  <c r="AA714" i="2"/>
  <c r="X714" i="2"/>
  <c r="Z714" i="2"/>
  <c r="AA854" i="2"/>
  <c r="AA481" i="2"/>
  <c r="X481" i="2"/>
  <c r="Z481" i="2"/>
  <c r="AA479" i="2"/>
  <c r="U380" i="2"/>
  <c r="AA344" i="2"/>
  <c r="X525" i="2"/>
  <c r="Z525" i="2"/>
  <c r="U525" i="2"/>
  <c r="X526" i="2"/>
  <c r="Z526" i="2"/>
  <c r="U526" i="2"/>
  <c r="X902" i="2"/>
  <c r="Z902" i="2"/>
  <c r="U902" i="2"/>
  <c r="X865" i="2"/>
  <c r="Z865" i="2"/>
  <c r="U865" i="2"/>
  <c r="X776" i="2"/>
  <c r="Z776" i="2"/>
  <c r="U776" i="2"/>
  <c r="X738" i="2"/>
  <c r="Z738" i="2"/>
  <c r="U738" i="2"/>
  <c r="AA372" i="2"/>
  <c r="X372" i="2"/>
  <c r="Z372" i="2"/>
  <c r="X541" i="2"/>
  <c r="Z541" i="2"/>
  <c r="U541" i="2"/>
  <c r="X461" i="2"/>
  <c r="Z461" i="2"/>
  <c r="U461" i="2"/>
  <c r="X668" i="2"/>
  <c r="Z668" i="2"/>
  <c r="U668" i="2"/>
  <c r="X346" i="2"/>
  <c r="Z346" i="2"/>
  <c r="U346" i="2"/>
  <c r="X361" i="2"/>
  <c r="Z361" i="2"/>
  <c r="U361" i="2"/>
  <c r="X813" i="2"/>
  <c r="Z813" i="2"/>
  <c r="U813" i="2"/>
  <c r="AA457" i="2"/>
  <c r="X796" i="2"/>
  <c r="Z796" i="2"/>
  <c r="U796" i="2"/>
  <c r="X707" i="2"/>
  <c r="Z707" i="2"/>
  <c r="U707" i="2"/>
  <c r="AA443" i="2"/>
  <c r="AA420" i="2"/>
  <c r="AA814" i="2"/>
  <c r="X196" i="2"/>
  <c r="Z196" i="2"/>
  <c r="U196" i="2"/>
  <c r="X472" i="2"/>
  <c r="Z472" i="2"/>
  <c r="U472" i="2"/>
  <c r="AA250" i="2"/>
  <c r="AA702" i="2"/>
  <c r="X465" i="2"/>
  <c r="Z465" i="2"/>
  <c r="U465" i="2"/>
  <c r="X739" i="2"/>
  <c r="Z739" i="2"/>
  <c r="U739" i="2"/>
  <c r="X816" i="2"/>
  <c r="Z816" i="2"/>
  <c r="U816" i="2"/>
  <c r="U348" i="2"/>
  <c r="AA190" i="2"/>
  <c r="X480" i="2"/>
  <c r="Z480" i="2"/>
  <c r="U480" i="2"/>
  <c r="X591" i="2"/>
  <c r="Z591" i="2"/>
  <c r="U591" i="2"/>
  <c r="AA24" i="2"/>
  <c r="X890" i="2"/>
  <c r="Z890" i="2"/>
  <c r="U890" i="2"/>
  <c r="X584" i="2"/>
  <c r="Z584" i="2"/>
  <c r="U584" i="2"/>
  <c r="AA517" i="2"/>
  <c r="AA622" i="2"/>
  <c r="X781" i="2"/>
  <c r="Z781" i="2"/>
  <c r="U781" i="2"/>
  <c r="U331" i="2"/>
  <c r="X698" i="2"/>
  <c r="Z698" i="2"/>
  <c r="U698" i="2"/>
  <c r="AA471" i="2"/>
  <c r="X837" i="2"/>
  <c r="Z837" i="2"/>
  <c r="U837" i="2"/>
  <c r="X789" i="2"/>
  <c r="Z789" i="2"/>
  <c r="U789" i="2"/>
  <c r="X466" i="2"/>
  <c r="Z466" i="2"/>
  <c r="U466" i="2"/>
  <c r="U225" i="2"/>
  <c r="AA418" i="2"/>
  <c r="X290" i="2"/>
  <c r="Z290" i="2"/>
  <c r="U290" i="2"/>
  <c r="X351" i="2"/>
  <c r="Z351" i="2"/>
  <c r="U351" i="2"/>
  <c r="AA491" i="2"/>
  <c r="X249" i="2"/>
  <c r="Z249" i="2"/>
  <c r="U249" i="2"/>
  <c r="X853" i="2"/>
  <c r="Z853" i="2"/>
  <c r="U853" i="2"/>
  <c r="AA169" i="2"/>
  <c r="X735" i="2"/>
  <c r="Z735" i="2"/>
  <c r="U735" i="2"/>
  <c r="X411" i="2"/>
  <c r="Z411" i="2"/>
  <c r="U411" i="2"/>
  <c r="AA181" i="2"/>
  <c r="AA522" i="2"/>
  <c r="X832" i="2"/>
  <c r="Z832" i="2"/>
  <c r="U832" i="2"/>
  <c r="AA556" i="2"/>
  <c r="X441" i="2"/>
  <c r="Z441" i="2"/>
  <c r="U441" i="2"/>
  <c r="AA895" i="2"/>
  <c r="AA64" i="2"/>
  <c r="AA442" i="2"/>
  <c r="AA314" i="2"/>
  <c r="X768" i="2"/>
  <c r="Z768" i="2"/>
  <c r="U768" i="2"/>
  <c r="X396" i="2"/>
  <c r="Z396" i="2"/>
  <c r="U396" i="2"/>
  <c r="X893" i="2"/>
  <c r="Z893" i="2"/>
  <c r="U893" i="2"/>
  <c r="AA658" i="2"/>
  <c r="X562" i="2"/>
  <c r="Z562" i="2"/>
  <c r="U562" i="2"/>
  <c r="AA567" i="2"/>
  <c r="AA456" i="2"/>
  <c r="AA185" i="2"/>
  <c r="X686" i="2"/>
  <c r="Z686" i="2"/>
  <c r="U686" i="2"/>
  <c r="AA630" i="2"/>
  <c r="X708" i="2"/>
  <c r="Z708" i="2"/>
  <c r="U708" i="2"/>
  <c r="AA170" i="2"/>
  <c r="X150" i="2"/>
  <c r="Z150" i="2"/>
  <c r="U150" i="2"/>
  <c r="X801" i="2"/>
  <c r="Z801" i="2"/>
  <c r="U801" i="2"/>
  <c r="AA616" i="2"/>
  <c r="X616" i="2"/>
  <c r="Z616" i="2"/>
  <c r="AA451" i="2"/>
  <c r="AA501" i="2"/>
  <c r="X650" i="2"/>
  <c r="Z650" i="2"/>
  <c r="U650" i="2"/>
  <c r="AA763" i="2"/>
  <c r="AA437" i="2"/>
  <c r="AA507" i="2"/>
  <c r="X447" i="2"/>
  <c r="Z447" i="2"/>
  <c r="U447" i="2"/>
  <c r="AA412" i="2"/>
  <c r="AA788" i="2"/>
  <c r="AA301" i="2"/>
  <c r="Z571" i="2"/>
  <c r="X571" i="2"/>
  <c r="AA571" i="2"/>
  <c r="Z331" i="2"/>
  <c r="X331" i="2"/>
  <c r="AA331" i="2"/>
  <c r="AA90" i="2"/>
  <c r="Z382" i="2"/>
  <c r="X382" i="2"/>
  <c r="AA382" i="2"/>
  <c r="AA234" i="2"/>
  <c r="Z227" i="2"/>
  <c r="X227" i="2"/>
  <c r="AA227" i="2"/>
  <c r="X471" i="2"/>
  <c r="Z471" i="2"/>
  <c r="U471" i="2"/>
  <c r="AA55" i="2"/>
  <c r="U312" i="2"/>
  <c r="AA104" i="2"/>
  <c r="AA380" i="2"/>
  <c r="X380" i="2"/>
  <c r="Z380" i="2"/>
  <c r="AA152" i="2"/>
  <c r="AA427" i="2"/>
  <c r="AA155" i="2"/>
  <c r="AA84" i="2"/>
  <c r="X84" i="2"/>
  <c r="Z84" i="2"/>
  <c r="AA143" i="2"/>
  <c r="AA623" i="2"/>
  <c r="X623" i="2"/>
  <c r="Z623" i="2"/>
  <c r="U87" i="2"/>
  <c r="X800" i="2"/>
  <c r="Z800" i="2"/>
  <c r="U800" i="2"/>
  <c r="AA193" i="2"/>
  <c r="AA75" i="2"/>
  <c r="X289" i="2"/>
  <c r="Z289" i="2"/>
  <c r="U289" i="2"/>
  <c r="AA97" i="2"/>
  <c r="AA620" i="2"/>
  <c r="U110" i="2"/>
  <c r="AA639" i="2"/>
  <c r="X633" i="2"/>
  <c r="Z633" i="2"/>
  <c r="U633" i="2"/>
  <c r="X915" i="2"/>
  <c r="Z915" i="2"/>
  <c r="U915" i="2"/>
  <c r="AA689" i="2"/>
  <c r="U164" i="2"/>
  <c r="AA495" i="2"/>
  <c r="AA275" i="2"/>
  <c r="AA324" i="2"/>
  <c r="X911" i="2"/>
  <c r="Z911" i="2"/>
  <c r="U911" i="2"/>
  <c r="X820" i="2"/>
  <c r="Z820" i="2"/>
  <c r="U820" i="2"/>
  <c r="X104" i="2"/>
  <c r="Z104" i="2"/>
  <c r="U104" i="2"/>
  <c r="AA637" i="2"/>
  <c r="AA474" i="2"/>
  <c r="AA831" i="2"/>
  <c r="AA98" i="2"/>
  <c r="AA213" i="2"/>
  <c r="AA395" i="2"/>
  <c r="AA149" i="2"/>
  <c r="U385" i="2"/>
  <c r="U255" i="2"/>
  <c r="AA126" i="2"/>
  <c r="AA4" i="2"/>
  <c r="U40" i="2"/>
  <c r="AA305" i="2"/>
  <c r="AA593" i="2"/>
  <c r="AA529" i="2"/>
  <c r="AA666" i="2"/>
  <c r="U415" i="2"/>
  <c r="AA488" i="2"/>
  <c r="X313" i="2"/>
  <c r="Z313" i="2"/>
  <c r="U313" i="2"/>
  <c r="AA340" i="2"/>
  <c r="AA132" i="2"/>
  <c r="X293" i="2"/>
  <c r="Z293" i="2"/>
  <c r="U293" i="2"/>
  <c r="U160" i="2"/>
  <c r="X429" i="2"/>
  <c r="Z429" i="2"/>
  <c r="U429" i="2"/>
  <c r="AA685" i="2"/>
  <c r="AA57" i="2"/>
  <c r="AA341" i="2"/>
  <c r="U448" i="2"/>
  <c r="AA119" i="2"/>
  <c r="U128" i="2"/>
  <c r="AA20" i="2"/>
  <c r="AA399" i="2"/>
  <c r="AA307" i="2"/>
  <c r="U178" i="2"/>
  <c r="X126" i="2"/>
  <c r="Z126" i="2"/>
  <c r="U126" i="2"/>
  <c r="AA464" i="2"/>
  <c r="X916" i="2"/>
  <c r="Z916" i="2"/>
  <c r="U916" i="2"/>
  <c r="X452" i="2"/>
  <c r="Z452" i="2"/>
  <c r="U452" i="2"/>
  <c r="AA174" i="2"/>
  <c r="X839" i="2"/>
  <c r="Z839" i="2"/>
  <c r="U839" i="2"/>
  <c r="AA489" i="2"/>
  <c r="X757" i="2"/>
  <c r="Z757" i="2"/>
  <c r="U757" i="2"/>
  <c r="X880" i="2"/>
  <c r="Z880" i="2"/>
  <c r="U880" i="2"/>
  <c r="X413" i="2"/>
  <c r="Z413" i="2"/>
  <c r="U413" i="2"/>
  <c r="X695" i="2"/>
  <c r="Z695" i="2"/>
  <c r="U695" i="2"/>
  <c r="AA321" i="2"/>
  <c r="X901" i="2"/>
  <c r="Z901" i="2"/>
  <c r="U901" i="2"/>
  <c r="U279" i="2"/>
  <c r="X111" i="2"/>
  <c r="Z111" i="2"/>
  <c r="U111" i="2"/>
  <c r="AA568" i="2"/>
  <c r="Z574" i="2"/>
  <c r="X574" i="2"/>
  <c r="AA574" i="2"/>
  <c r="AA239" i="2"/>
  <c r="X143" i="2"/>
  <c r="Z143" i="2"/>
  <c r="U143" i="2"/>
  <c r="X889" i="2"/>
  <c r="Z889" i="2"/>
  <c r="U889" i="2"/>
  <c r="X841" i="2"/>
  <c r="Z841" i="2"/>
  <c r="U841" i="2"/>
  <c r="X530" i="2"/>
  <c r="Z530" i="2"/>
  <c r="U530" i="2"/>
  <c r="AA298" i="2"/>
  <c r="X383" i="2"/>
  <c r="Z383" i="2"/>
  <c r="U383" i="2"/>
  <c r="Z875" i="2"/>
  <c r="X875" i="2"/>
  <c r="AA875" i="2"/>
  <c r="X24" i="2"/>
  <c r="Z24" i="2"/>
  <c r="U24" i="2"/>
  <c r="X301" i="2"/>
  <c r="Z301" i="2"/>
  <c r="U301" i="2"/>
  <c r="Z527" i="2"/>
  <c r="X527" i="2"/>
  <c r="AA527" i="2"/>
  <c r="X655" i="2"/>
  <c r="Z655" i="2"/>
  <c r="U655" i="2"/>
  <c r="Z703" i="2"/>
  <c r="X703" i="2"/>
  <c r="AA703" i="2"/>
  <c r="X234" i="2"/>
  <c r="Z234" i="2"/>
  <c r="U234" i="2"/>
  <c r="X320" i="2"/>
  <c r="Z320" i="2"/>
  <c r="U320" i="2"/>
  <c r="AA128" i="2"/>
  <c r="X128" i="2"/>
  <c r="Z128" i="2"/>
  <c r="X300" i="2"/>
  <c r="Z300" i="2"/>
  <c r="U300" i="2"/>
  <c r="AA423" i="2"/>
  <c r="X76" i="2"/>
  <c r="Z76" i="2"/>
  <c r="U76" i="2"/>
  <c r="U602" i="2"/>
  <c r="X207" i="2"/>
  <c r="Z207" i="2"/>
  <c r="U207" i="2"/>
  <c r="AA414" i="2"/>
  <c r="AA385" i="2"/>
  <c r="X385" i="2"/>
  <c r="Z385" i="2"/>
  <c r="Z202" i="2"/>
  <c r="X202" i="2"/>
  <c r="AA202" i="2"/>
  <c r="X399" i="2"/>
  <c r="Z399" i="2"/>
  <c r="U399" i="2"/>
  <c r="Z107" i="2"/>
  <c r="X107" i="2"/>
  <c r="AA107" i="2"/>
  <c r="AA564" i="2"/>
  <c r="AA497" i="2"/>
  <c r="AA614" i="2"/>
  <c r="X731" i="2"/>
  <c r="Z731" i="2"/>
  <c r="U731" i="2"/>
  <c r="Z302" i="2"/>
  <c r="X302" i="2"/>
  <c r="AA302" i="2"/>
  <c r="AA719" i="2"/>
  <c r="AA273" i="2"/>
  <c r="AA61" i="2"/>
  <c r="U12" i="2"/>
  <c r="X340" i="2"/>
  <c r="Z340" i="2"/>
  <c r="U340" i="2"/>
  <c r="X818" i="2"/>
  <c r="Z818" i="2"/>
  <c r="U818" i="2"/>
  <c r="AA225" i="2"/>
  <c r="X225" i="2"/>
  <c r="Z225" i="2"/>
  <c r="AA359" i="2"/>
  <c r="X637" i="2"/>
  <c r="Z637" i="2"/>
  <c r="U637" i="2"/>
  <c r="Z602" i="2"/>
  <c r="X602" i="2"/>
  <c r="AA602" i="2"/>
  <c r="X689" i="2"/>
  <c r="Z689" i="2"/>
  <c r="U689" i="2"/>
  <c r="AA339" i="2"/>
  <c r="X495" i="2"/>
  <c r="Z495" i="2"/>
  <c r="U495" i="2"/>
  <c r="X767" i="2"/>
  <c r="Z767" i="2"/>
  <c r="U767" i="2"/>
  <c r="X275" i="2"/>
  <c r="Z275" i="2"/>
  <c r="U275" i="2"/>
  <c r="AA376" i="2"/>
  <c r="X400" i="2"/>
  <c r="Z400" i="2"/>
  <c r="U400" i="2"/>
  <c r="AA545" i="2"/>
  <c r="AA160" i="2"/>
  <c r="X160" i="2"/>
  <c r="Z160" i="2"/>
  <c r="AA37" i="2"/>
  <c r="X213" i="2"/>
  <c r="Z213" i="2"/>
  <c r="U213" i="2"/>
  <c r="AA287" i="2"/>
  <c r="AA36" i="2"/>
  <c r="X242" i="2"/>
  <c r="Z242" i="2"/>
  <c r="U242" i="2"/>
  <c r="AA137" i="2"/>
  <c r="Z445" i="2"/>
  <c r="X445" i="2"/>
  <c r="AA445" i="2"/>
  <c r="AA388" i="2"/>
  <c r="Z558" i="2"/>
  <c r="X558" i="2"/>
  <c r="AA558" i="2"/>
  <c r="X642" i="2"/>
  <c r="Z642" i="2"/>
  <c r="U642" i="2"/>
  <c r="Z444" i="2"/>
  <c r="X444" i="2"/>
  <c r="AA444" i="2"/>
  <c r="AA459" i="2"/>
  <c r="X514" i="2"/>
  <c r="Z514" i="2"/>
  <c r="U514" i="2"/>
  <c r="AA294" i="2"/>
  <c r="AA247" i="2"/>
  <c r="AA7" i="2"/>
  <c r="AA555" i="2"/>
  <c r="X371" i="2"/>
  <c r="Z371" i="2"/>
  <c r="U371" i="2"/>
  <c r="X666" i="2"/>
  <c r="Z666" i="2"/>
  <c r="U666" i="2"/>
  <c r="AA82" i="2"/>
  <c r="X488" i="2"/>
  <c r="Z488" i="2"/>
  <c r="U488" i="2"/>
  <c r="X507" i="2"/>
  <c r="Z507" i="2"/>
  <c r="U507" i="2"/>
  <c r="AA416" i="2"/>
  <c r="AA440" i="2"/>
  <c r="U607" i="2"/>
  <c r="X856" i="2"/>
  <c r="Z856" i="2"/>
  <c r="U856" i="2"/>
  <c r="X838" i="2"/>
  <c r="Z838" i="2"/>
  <c r="U838" i="2"/>
  <c r="X641" i="2"/>
  <c r="Z641" i="2"/>
  <c r="U641" i="2"/>
  <c r="X759" i="2"/>
  <c r="Z759" i="2"/>
  <c r="U759" i="2"/>
  <c r="AA496" i="2"/>
  <c r="X900" i="2"/>
  <c r="Z900" i="2"/>
  <c r="U900" i="2"/>
  <c r="X885" i="2"/>
  <c r="Z885" i="2"/>
  <c r="U885" i="2"/>
  <c r="AA504" i="2"/>
  <c r="AA277" i="2"/>
  <c r="AA261" i="2"/>
  <c r="X490" i="2"/>
  <c r="Z490" i="2"/>
  <c r="U490" i="2"/>
  <c r="AA533" i="2"/>
  <c r="AA727" i="2"/>
  <c r="X814" i="2"/>
  <c r="Z814" i="2"/>
  <c r="U814" i="2"/>
  <c r="X896" i="2"/>
  <c r="Z896" i="2"/>
  <c r="U896" i="2"/>
  <c r="AA19" i="2"/>
  <c r="X442" i="2"/>
  <c r="Z442" i="2"/>
  <c r="U442" i="2"/>
  <c r="AA570" i="2"/>
  <c r="X565" i="2"/>
  <c r="Z565" i="2"/>
  <c r="U565" i="2"/>
  <c r="X543" i="2"/>
  <c r="Z543" i="2"/>
  <c r="U543" i="2"/>
  <c r="AA448" i="2"/>
  <c r="X448" i="2"/>
  <c r="Z448" i="2"/>
  <c r="AA54" i="2"/>
  <c r="X375" i="2"/>
  <c r="Z375" i="2"/>
  <c r="U375" i="2"/>
  <c r="AA178" i="2"/>
  <c r="X178" i="2"/>
  <c r="Z178" i="2"/>
  <c r="U205" i="2"/>
  <c r="X831" i="2"/>
  <c r="Z831" i="2"/>
  <c r="U831" i="2"/>
  <c r="AA398" i="2"/>
  <c r="X502" i="2"/>
  <c r="Z502" i="2"/>
  <c r="U502" i="2"/>
  <c r="AA144" i="2"/>
  <c r="AA476" i="2"/>
  <c r="AA235" i="2"/>
  <c r="AA182" i="2"/>
  <c r="AA259" i="2"/>
  <c r="X119" i="2"/>
  <c r="Z119" i="2"/>
  <c r="U119" i="2"/>
  <c r="U147" i="2"/>
  <c r="AA370" i="2"/>
  <c r="AA369" i="2"/>
  <c r="AA547" i="2"/>
  <c r="AA509" i="2"/>
  <c r="AA299" i="2"/>
  <c r="X309" i="2"/>
  <c r="Z309" i="2"/>
  <c r="U309" i="2"/>
  <c r="AA353" i="2"/>
  <c r="AA158" i="2"/>
  <c r="AA21" i="2"/>
  <c r="AA296" i="2"/>
  <c r="AA692" i="2"/>
  <c r="X427" i="2"/>
  <c r="Z427" i="2"/>
  <c r="U427" i="2"/>
  <c r="AA772" i="2"/>
  <c r="AA217" i="2"/>
  <c r="AA597" i="2"/>
  <c r="X564" i="2"/>
  <c r="Z564" i="2"/>
  <c r="U564" i="2"/>
  <c r="AA338" i="2"/>
  <c r="AA212" i="2"/>
  <c r="AA284" i="2"/>
  <c r="X806" i="2"/>
  <c r="Z806" i="2"/>
  <c r="U806" i="2"/>
  <c r="AA366" i="2"/>
  <c r="AA317" i="2"/>
  <c r="AA425" i="2"/>
  <c r="X639" i="2"/>
  <c r="Z639" i="2"/>
  <c r="U639" i="2"/>
  <c r="U291" i="2"/>
  <c r="AA241" i="2"/>
  <c r="X82" i="2"/>
  <c r="Z82" i="2"/>
  <c r="U82" i="2"/>
  <c r="X596" i="2"/>
  <c r="Z596" i="2"/>
  <c r="U596" i="2"/>
  <c r="X459" i="2"/>
  <c r="Z459" i="2"/>
  <c r="U459" i="2"/>
  <c r="X750" i="2"/>
  <c r="Z750" i="2"/>
  <c r="U750" i="2"/>
  <c r="X717" i="2"/>
  <c r="Z717" i="2"/>
  <c r="U717" i="2"/>
  <c r="X895" i="2"/>
  <c r="Z895" i="2"/>
  <c r="U895" i="2"/>
  <c r="X778" i="2"/>
  <c r="Z778" i="2"/>
  <c r="U778" i="2"/>
  <c r="AA80" i="2"/>
  <c r="X504" i="2"/>
  <c r="Z504" i="2"/>
  <c r="U504" i="2"/>
  <c r="X522" i="2"/>
  <c r="Z522" i="2"/>
  <c r="U522" i="2"/>
  <c r="U363" i="2"/>
  <c r="U210" i="2"/>
  <c r="AA224" i="2"/>
  <c r="X805" i="2"/>
  <c r="Z805" i="2"/>
  <c r="U805" i="2"/>
  <c r="X485" i="2"/>
  <c r="Z485" i="2"/>
  <c r="U485" i="2"/>
  <c r="X709" i="2"/>
  <c r="Z709" i="2"/>
  <c r="U709" i="2"/>
  <c r="X716" i="2"/>
  <c r="Z716" i="2"/>
  <c r="U716" i="2"/>
  <c r="X654" i="2"/>
  <c r="Z654" i="2"/>
  <c r="U654" i="2"/>
  <c r="X622" i="2"/>
  <c r="Z622" i="2"/>
  <c r="U622" i="2"/>
  <c r="X489" i="2"/>
  <c r="Z489" i="2"/>
  <c r="U489" i="2"/>
  <c r="AA450" i="2"/>
  <c r="AA342" i="2"/>
  <c r="AA243" i="2"/>
  <c r="X661" i="2"/>
  <c r="Z661" i="2"/>
  <c r="U661" i="2"/>
  <c r="X397" i="2"/>
  <c r="Z397" i="2"/>
  <c r="U397" i="2"/>
  <c r="AA203" i="2"/>
  <c r="AA327" i="2"/>
  <c r="Z255" i="2"/>
  <c r="X255" i="2"/>
  <c r="AA255" i="2"/>
  <c r="AA131" i="2"/>
  <c r="AA391" i="2"/>
  <c r="Z415" i="2"/>
  <c r="X415" i="2"/>
  <c r="AA415" i="2"/>
  <c r="X615" i="2"/>
  <c r="Z615" i="2"/>
  <c r="U615" i="2"/>
  <c r="X763" i="2"/>
  <c r="Z763" i="2"/>
  <c r="U763" i="2"/>
  <c r="X418" i="2"/>
  <c r="Z418" i="2"/>
  <c r="U418" i="2"/>
  <c r="AA594" i="2"/>
  <c r="X644" i="2"/>
  <c r="Z644" i="2"/>
  <c r="U644" i="2"/>
  <c r="X314" i="2"/>
  <c r="Z314" i="2"/>
  <c r="U314" i="2"/>
  <c r="AA62" i="2"/>
  <c r="AA186" i="2"/>
  <c r="AA95" i="2"/>
  <c r="X294" i="2"/>
  <c r="Z294" i="2"/>
  <c r="U294" i="2"/>
  <c r="U354" i="2"/>
  <c r="X317" i="2"/>
  <c r="Z317" i="2"/>
  <c r="U317" i="2"/>
  <c r="AA140" i="2"/>
  <c r="AA226" i="2"/>
  <c r="AA248" i="2"/>
  <c r="AA319" i="2"/>
  <c r="AA705" i="2"/>
  <c r="AA35" i="2"/>
  <c r="AA13" i="2"/>
  <c r="AA211" i="2"/>
  <c r="Z205" i="2"/>
  <c r="X205" i="2"/>
  <c r="AA205" i="2"/>
  <c r="X528" i="2"/>
  <c r="Z528" i="2"/>
  <c r="U528" i="2"/>
  <c r="AA59" i="2"/>
  <c r="X631" i="2"/>
  <c r="Z631" i="2"/>
  <c r="U631" i="2"/>
  <c r="AA322" i="2"/>
  <c r="X158" i="2"/>
  <c r="Z158" i="2"/>
  <c r="U158" i="2"/>
  <c r="X718" i="2"/>
  <c r="Z718" i="2"/>
  <c r="U718" i="2"/>
  <c r="X723" i="2"/>
  <c r="Z723" i="2"/>
  <c r="U723" i="2"/>
  <c r="X338" i="2"/>
  <c r="Z338" i="2"/>
  <c r="U338" i="2"/>
  <c r="AA268" i="2"/>
  <c r="AA161" i="2"/>
  <c r="U460" i="2"/>
  <c r="AA172" i="2"/>
  <c r="X539" i="2"/>
  <c r="Z539" i="2"/>
  <c r="U539" i="2"/>
  <c r="X218" i="2"/>
  <c r="Z218" i="2"/>
  <c r="U218" i="2"/>
  <c r="AA177" i="2"/>
  <c r="AA378" i="2"/>
  <c r="AA129" i="2"/>
  <c r="AA394" i="2"/>
  <c r="U770" i="2"/>
  <c r="AA41" i="2"/>
  <c r="AA101" i="2"/>
  <c r="AA254" i="2"/>
  <c r="Z607" i="2"/>
  <c r="X607" i="2"/>
  <c r="AA607" i="2"/>
  <c r="AA563" i="2"/>
  <c r="X425" i="2"/>
  <c r="Z425" i="2"/>
  <c r="U425" i="2"/>
  <c r="U484" i="2"/>
  <c r="U219" i="2"/>
  <c r="AA257" i="2"/>
  <c r="AA110" i="2"/>
  <c r="X110" i="2"/>
  <c r="Z110" i="2"/>
  <c r="AA419" i="2"/>
  <c r="AA38" i="2"/>
  <c r="Z210" i="2"/>
  <c r="X210" i="2"/>
  <c r="AA210" i="2"/>
  <c r="AA124" i="2"/>
  <c r="AA288" i="2"/>
  <c r="AA17" i="2"/>
  <c r="X450" i="2"/>
  <c r="Z450" i="2"/>
  <c r="U450" i="2"/>
  <c r="X144" i="2"/>
  <c r="Z144" i="2"/>
  <c r="U144" i="2"/>
  <c r="X555" i="2"/>
  <c r="Z555" i="2"/>
  <c r="U555" i="2"/>
  <c r="X268" i="2"/>
  <c r="Z268" i="2"/>
  <c r="U268" i="2"/>
  <c r="AA47" i="2"/>
  <c r="X403" i="2"/>
  <c r="Z403" i="2"/>
  <c r="U403" i="2"/>
  <c r="X529" i="2"/>
  <c r="Z529" i="2"/>
  <c r="U529" i="2"/>
  <c r="U165" i="2"/>
  <c r="Z40" i="2"/>
  <c r="X40" i="2"/>
  <c r="AA40" i="2"/>
  <c r="AA168" i="2"/>
  <c r="X204" i="2"/>
  <c r="Z204" i="2"/>
  <c r="U204" i="2"/>
  <c r="X214" i="2"/>
  <c r="Z214" i="2"/>
  <c r="U214" i="2"/>
  <c r="X700" i="2"/>
  <c r="Z700" i="2"/>
  <c r="U700" i="2"/>
  <c r="AA188" i="2"/>
  <c r="X296" i="2"/>
  <c r="Z296" i="2"/>
  <c r="U296" i="2"/>
  <c r="U116" i="2"/>
  <c r="AA102" i="2"/>
  <c r="AA279" i="2"/>
  <c r="X279" i="2"/>
  <c r="Z279" i="2"/>
  <c r="U449" i="2"/>
  <c r="U167" i="2"/>
  <c r="AA192" i="2"/>
  <c r="X261" i="2"/>
  <c r="Z261" i="2"/>
  <c r="U261" i="2"/>
  <c r="Z219" i="2"/>
  <c r="X219" i="2"/>
  <c r="AA219" i="2"/>
  <c r="X414" i="2"/>
  <c r="Z414" i="2"/>
  <c r="U414" i="2"/>
  <c r="X474" i="2"/>
  <c r="Z474" i="2"/>
  <c r="U474" i="2"/>
  <c r="X182" i="2"/>
  <c r="Z182" i="2"/>
  <c r="U182" i="2"/>
  <c r="AA164" i="2"/>
  <c r="X164" i="2"/>
  <c r="Z164" i="2"/>
  <c r="AA439" i="2"/>
  <c r="X117" i="2"/>
  <c r="Z117" i="2"/>
  <c r="U117" i="2"/>
  <c r="AA52" i="2"/>
  <c r="AA463" i="2"/>
  <c r="AA70" i="2"/>
  <c r="AA770" i="2"/>
  <c r="X770" i="2"/>
  <c r="Z770" i="2"/>
  <c r="AA335" i="2"/>
  <c r="AA646" i="2"/>
  <c r="AA34" i="2"/>
  <c r="X643" i="2"/>
  <c r="Z643" i="2"/>
  <c r="U643" i="2"/>
  <c r="X345" i="2"/>
  <c r="Z345" i="2"/>
  <c r="U345" i="2"/>
  <c r="X511" i="2"/>
  <c r="Z511" i="2"/>
  <c r="U511" i="2"/>
  <c r="AA141" i="2"/>
  <c r="X665" i="2"/>
  <c r="Z665" i="2"/>
  <c r="U665" i="2"/>
  <c r="AA71" i="2"/>
  <c r="AA278" i="2"/>
  <c r="X469" i="2"/>
  <c r="Z469" i="2"/>
  <c r="U469" i="2"/>
  <c r="AA473" i="2"/>
  <c r="Z363" i="2"/>
  <c r="X363" i="2"/>
  <c r="AA363" i="2"/>
  <c r="X674" i="2"/>
  <c r="Z674" i="2"/>
  <c r="U674" i="2"/>
  <c r="X307" i="2"/>
  <c r="Z307" i="2"/>
  <c r="U307" i="2"/>
  <c r="AA165" i="2"/>
  <c r="X165" i="2"/>
  <c r="Z165" i="2"/>
  <c r="AA6" i="2"/>
  <c r="AA157" i="2"/>
  <c r="AA401" i="2"/>
  <c r="AA291" i="2"/>
  <c r="X291" i="2"/>
  <c r="Z291" i="2"/>
  <c r="X253" i="2"/>
  <c r="Z253" i="2"/>
  <c r="U253" i="2"/>
  <c r="AA87" i="2"/>
  <c r="X87" i="2"/>
  <c r="Z87" i="2"/>
  <c r="X395" i="2"/>
  <c r="Z395" i="2"/>
  <c r="U395" i="2"/>
  <c r="AA223" i="2"/>
  <c r="AA521" i="2"/>
  <c r="AA274" i="2"/>
  <c r="X419" i="2"/>
  <c r="Z419" i="2"/>
  <c r="U419" i="2"/>
  <c r="AA779" i="2"/>
  <c r="AA494" i="2"/>
  <c r="AA311" i="2"/>
  <c r="AA48" i="2"/>
  <c r="AA238" i="2"/>
  <c r="X376" i="2"/>
  <c r="Z376" i="2"/>
  <c r="U376" i="2"/>
  <c r="AA58" i="2"/>
  <c r="X188" i="2"/>
  <c r="Z188" i="2"/>
  <c r="U188" i="2"/>
  <c r="X630" i="2"/>
  <c r="Z630" i="2"/>
  <c r="U630" i="2"/>
  <c r="AA49" i="2"/>
  <c r="AA78" i="2"/>
  <c r="AA151" i="2"/>
  <c r="X259" i="2"/>
  <c r="Z259" i="2"/>
  <c r="U259" i="2"/>
  <c r="X254" i="2"/>
  <c r="Z254" i="2"/>
  <c r="U254" i="2"/>
  <c r="X186" i="2"/>
  <c r="Z186" i="2"/>
  <c r="U186" i="2"/>
  <c r="X424" i="2"/>
  <c r="Z424" i="2"/>
  <c r="U424" i="2"/>
  <c r="AA142" i="2"/>
  <c r="X594" i="2"/>
  <c r="Z594" i="2"/>
  <c r="U594" i="2"/>
  <c r="Z460" i="2"/>
  <c r="X460" i="2"/>
  <c r="AA460" i="2"/>
  <c r="X443" i="2"/>
  <c r="Z443" i="2"/>
  <c r="U443" i="2"/>
  <c r="X38" i="2"/>
  <c r="Z38" i="2"/>
  <c r="U38" i="2"/>
  <c r="X327" i="2"/>
  <c r="Z327" i="2"/>
  <c r="U327" i="2"/>
  <c r="X41" i="2"/>
  <c r="Z41" i="2"/>
  <c r="U41" i="2"/>
  <c r="U106" i="2"/>
  <c r="AA167" i="2"/>
  <c r="X167" i="2"/>
  <c r="Z167" i="2"/>
  <c r="X80" i="2"/>
  <c r="Z80" i="2"/>
  <c r="U80" i="2"/>
  <c r="AA153" i="2"/>
  <c r="AA121" i="2"/>
  <c r="AA105" i="2"/>
  <c r="X676" i="2"/>
  <c r="Z676" i="2"/>
  <c r="U676" i="2"/>
  <c r="X765" i="2"/>
  <c r="Z765" i="2"/>
  <c r="U765" i="2"/>
  <c r="AA79" i="2"/>
  <c r="X304" i="2"/>
  <c r="Z304" i="2"/>
  <c r="U304" i="2"/>
  <c r="AA260" i="2"/>
  <c r="X226" i="2"/>
  <c r="Z226" i="2"/>
  <c r="U226" i="2"/>
  <c r="AA280" i="2"/>
  <c r="AA426" i="2"/>
  <c r="AA5" i="2"/>
  <c r="AA9" i="2"/>
  <c r="AA135" i="2"/>
  <c r="AA498" i="2"/>
  <c r="AA348" i="2"/>
  <c r="X348" i="2"/>
  <c r="Z348" i="2"/>
  <c r="AA183" i="2"/>
  <c r="Z106" i="2"/>
  <c r="X106" i="2"/>
  <c r="AA106" i="2"/>
  <c r="AA229" i="2"/>
  <c r="X534" i="2"/>
  <c r="Z534" i="2"/>
  <c r="U534" i="2"/>
  <c r="AA433" i="2"/>
  <c r="AA537" i="2"/>
  <c r="X815" i="2"/>
  <c r="Z815" i="2"/>
  <c r="U815" i="2"/>
  <c r="X618" i="2"/>
  <c r="Z618" i="2"/>
  <c r="U618" i="2"/>
  <c r="Z312" i="2"/>
  <c r="X312" i="2"/>
  <c r="AA312" i="2"/>
  <c r="X211" i="2"/>
  <c r="Z211" i="2"/>
  <c r="U211" i="2"/>
  <c r="X19" i="2"/>
  <c r="Z19" i="2"/>
  <c r="U19" i="2"/>
  <c r="AA404" i="2"/>
  <c r="AA354" i="2"/>
  <c r="X354" i="2"/>
  <c r="Z354" i="2"/>
  <c r="AA711" i="2"/>
  <c r="X4" i="2"/>
  <c r="Z4" i="2"/>
  <c r="U4" i="2"/>
  <c r="AA285" i="2"/>
  <c r="U386" i="2"/>
  <c r="X36" i="2"/>
  <c r="Z36" i="2"/>
  <c r="U36" i="2"/>
  <c r="X628" i="2"/>
  <c r="Z628" i="2"/>
  <c r="U628" i="2"/>
  <c r="X754" i="2"/>
  <c r="Z754" i="2"/>
  <c r="U754" i="2"/>
  <c r="AA624" i="2"/>
  <c r="X52" i="2"/>
  <c r="Z52" i="2"/>
  <c r="U52" i="2"/>
  <c r="X568" i="2"/>
  <c r="Z568" i="2"/>
  <c r="U568" i="2"/>
  <c r="X849" i="2"/>
  <c r="Z849" i="2"/>
  <c r="U849" i="2"/>
  <c r="X912" i="2"/>
  <c r="Z912" i="2"/>
  <c r="U912" i="2"/>
  <c r="AA477" i="2"/>
  <c r="X491" i="2"/>
  <c r="Z491" i="2"/>
  <c r="U491" i="2"/>
  <c r="AA256" i="2"/>
  <c r="X652" i="2"/>
  <c r="Z652" i="2"/>
  <c r="U652" i="2"/>
  <c r="AA15" i="2"/>
  <c r="AA166" i="2"/>
  <c r="X248" i="2"/>
  <c r="Z248" i="2"/>
  <c r="U248" i="2"/>
  <c r="X682" i="2"/>
  <c r="Z682" i="2"/>
  <c r="U682" i="2"/>
  <c r="AA162" i="2"/>
  <c r="AA232" i="2"/>
  <c r="AA208" i="2"/>
  <c r="X859" i="2"/>
  <c r="Z859" i="2"/>
  <c r="U859" i="2"/>
  <c r="AA122" i="2"/>
  <c r="X486" i="2"/>
  <c r="Z486" i="2"/>
  <c r="U486" i="2"/>
  <c r="AA405" i="2"/>
  <c r="AA475" i="2"/>
  <c r="AA349" i="2"/>
  <c r="X61" i="2"/>
  <c r="Z61" i="2"/>
  <c r="U61" i="2"/>
  <c r="X431" i="2"/>
  <c r="Z431" i="2"/>
  <c r="U431" i="2"/>
  <c r="X426" i="2"/>
  <c r="Z426" i="2"/>
  <c r="U426" i="2"/>
  <c r="AA246" i="2"/>
  <c r="U72" i="2"/>
  <c r="AA92" i="2"/>
  <c r="X224" i="2"/>
  <c r="Z224" i="2"/>
  <c r="U224" i="2"/>
  <c r="AA379" i="2"/>
  <c r="AA171" i="2"/>
  <c r="X5" i="2"/>
  <c r="Z5" i="2"/>
  <c r="U5" i="2"/>
  <c r="X135" i="2"/>
  <c r="Z135" i="2"/>
  <c r="U135" i="2"/>
  <c r="X223" i="2"/>
  <c r="Z223" i="2"/>
  <c r="U223" i="2"/>
  <c r="X498" i="2"/>
  <c r="Z498" i="2"/>
  <c r="U498" i="2"/>
  <c r="X257" i="2"/>
  <c r="Z257" i="2"/>
  <c r="U257" i="2"/>
  <c r="AA127" i="2"/>
  <c r="X743" i="2"/>
  <c r="Z743" i="2"/>
  <c r="U743" i="2"/>
  <c r="X421" i="2"/>
  <c r="Z421" i="2"/>
  <c r="U421" i="2"/>
  <c r="X478" i="2"/>
  <c r="Z478" i="2"/>
  <c r="U478" i="2"/>
  <c r="X153" i="2"/>
  <c r="Z153" i="2"/>
  <c r="U153" i="2"/>
  <c r="X740" i="2"/>
  <c r="Z740" i="2"/>
  <c r="U740" i="2"/>
  <c r="AA27" i="2"/>
  <c r="X170" i="2"/>
  <c r="Z170" i="2"/>
  <c r="U170" i="2"/>
  <c r="X324" i="2"/>
  <c r="Z324" i="2"/>
  <c r="U324" i="2"/>
  <c r="AA281" i="2"/>
  <c r="X786" i="2"/>
  <c r="Z786" i="2"/>
  <c r="U786" i="2"/>
  <c r="AA272" i="2"/>
  <c r="X588" i="2"/>
  <c r="Z588" i="2"/>
  <c r="U588" i="2"/>
  <c r="X516" i="2"/>
  <c r="Z516" i="2"/>
  <c r="U516" i="2"/>
  <c r="X339" i="2"/>
  <c r="Z339" i="2"/>
  <c r="U339" i="2"/>
  <c r="X575" i="2"/>
  <c r="Z575" i="2"/>
  <c r="U575" i="2"/>
  <c r="U237" i="2"/>
  <c r="AA176" i="2"/>
  <c r="AA32" i="2"/>
  <c r="AA432" i="2"/>
  <c r="AA116" i="2"/>
  <c r="X116" i="2"/>
  <c r="Z116" i="2"/>
  <c r="X142" i="2"/>
  <c r="Z142" i="2"/>
  <c r="U142" i="2"/>
  <c r="AA251" i="2"/>
  <c r="X332" i="2"/>
  <c r="Z332" i="2"/>
  <c r="U332" i="2"/>
  <c r="AA60" i="2"/>
  <c r="X556" i="2"/>
  <c r="Z556" i="2"/>
  <c r="U556" i="2"/>
  <c r="AA163" i="2"/>
  <c r="AA25" i="2"/>
  <c r="X772" i="2"/>
  <c r="Z772" i="2"/>
  <c r="U772" i="2"/>
  <c r="U266" i="2"/>
  <c r="X387" i="2"/>
  <c r="Z387" i="2"/>
  <c r="U387" i="2"/>
  <c r="AA11" i="2"/>
  <c r="AA187" i="2"/>
  <c r="U114" i="2"/>
  <c r="X241" i="2"/>
  <c r="Z241" i="2"/>
  <c r="U241" i="2"/>
  <c r="X494" i="2"/>
  <c r="Z494" i="2"/>
  <c r="U494" i="2"/>
  <c r="U51" i="2"/>
  <c r="X464" i="2"/>
  <c r="Z464" i="2"/>
  <c r="U464" i="2"/>
  <c r="AA156" i="2"/>
  <c r="AA484" i="2"/>
  <c r="X484" i="2"/>
  <c r="Z484" i="2"/>
  <c r="AA407" i="2"/>
  <c r="X663" i="2"/>
  <c r="Z663" i="2"/>
  <c r="U663" i="2"/>
  <c r="AA74" i="2"/>
  <c r="U16" i="2"/>
  <c r="AA245" i="2"/>
  <c r="X222" i="2"/>
  <c r="Z222" i="2"/>
  <c r="U222" i="2"/>
  <c r="X239" i="2"/>
  <c r="Z239" i="2"/>
  <c r="U239" i="2"/>
  <c r="X693" i="2"/>
  <c r="Z693" i="2"/>
  <c r="U693" i="2"/>
  <c r="U14" i="2"/>
  <c r="X496" i="2"/>
  <c r="Z496" i="2"/>
  <c r="U496" i="2"/>
  <c r="AA191" i="2"/>
  <c r="AA209" i="2"/>
  <c r="AA123" i="2"/>
  <c r="X54" i="2"/>
  <c r="Z54" i="2"/>
  <c r="U54" i="2"/>
  <c r="X508" i="2"/>
  <c r="Z508" i="2"/>
  <c r="U508" i="2"/>
  <c r="AA22" i="2"/>
  <c r="AA108" i="2"/>
  <c r="X430" i="2"/>
  <c r="Z430" i="2"/>
  <c r="U430" i="2"/>
  <c r="AA282" i="2"/>
  <c r="X455" i="2"/>
  <c r="Z455" i="2"/>
  <c r="U455" i="2"/>
  <c r="X284" i="2"/>
  <c r="Z284" i="2"/>
  <c r="U284" i="2"/>
  <c r="AA267" i="2"/>
  <c r="AA148" i="2"/>
  <c r="X203" i="2"/>
  <c r="Z203" i="2"/>
  <c r="U203" i="2"/>
  <c r="U264" i="2"/>
  <c r="X454" i="2"/>
  <c r="Z454" i="2"/>
  <c r="U454" i="2"/>
  <c r="X782" i="2"/>
  <c r="Z782" i="2"/>
  <c r="U782" i="2"/>
  <c r="AA546" i="2"/>
  <c r="U197" i="2"/>
  <c r="X59" i="2"/>
  <c r="Z59" i="2"/>
  <c r="U59" i="2"/>
  <c r="X393" i="2"/>
  <c r="Z393" i="2"/>
  <c r="U393" i="2"/>
  <c r="X673" i="2"/>
  <c r="Z673" i="2"/>
  <c r="U673" i="2"/>
  <c r="AA67" i="2"/>
  <c r="U467" i="2"/>
  <c r="X344" i="2"/>
  <c r="Z344" i="2"/>
  <c r="U344" i="2"/>
  <c r="AA184" i="2"/>
  <c r="AA266" i="2"/>
  <c r="X266" i="2"/>
  <c r="Z266" i="2"/>
  <c r="AA237" i="2"/>
  <c r="X237" i="2"/>
  <c r="Z237" i="2"/>
  <c r="X517" i="2"/>
  <c r="Z517" i="2"/>
  <c r="U517" i="2"/>
  <c r="U2" i="2"/>
  <c r="AA30" i="2"/>
  <c r="X567" i="2"/>
  <c r="Z567" i="2"/>
  <c r="U567" i="2"/>
  <c r="U134" i="2"/>
  <c r="X166" i="2"/>
  <c r="Z166" i="2"/>
  <c r="U166" i="2"/>
  <c r="AA402" i="2"/>
  <c r="AA53" i="2"/>
  <c r="X357" i="2"/>
  <c r="Z357" i="2"/>
  <c r="U357" i="2"/>
  <c r="X32" i="2"/>
  <c r="Z32" i="2"/>
  <c r="U32" i="2"/>
  <c r="AA28" i="2"/>
  <c r="AA326" i="2"/>
  <c r="X353" i="2"/>
  <c r="Z353" i="2"/>
  <c r="U353" i="2"/>
  <c r="X509" i="2"/>
  <c r="Z509" i="2"/>
  <c r="U509" i="2"/>
  <c r="X390" i="2"/>
  <c r="Z390" i="2"/>
  <c r="U390" i="2"/>
  <c r="AA265" i="2"/>
  <c r="X95" i="2"/>
  <c r="Z95" i="2"/>
  <c r="U95" i="2"/>
  <c r="U364" i="2"/>
  <c r="X359" i="2"/>
  <c r="Z359" i="2"/>
  <c r="U359" i="2"/>
  <c r="X671" i="2"/>
  <c r="Z671" i="2"/>
  <c r="U671" i="2"/>
  <c r="U199" i="2"/>
  <c r="U118" i="2"/>
  <c r="U230" i="2"/>
  <c r="U741" i="2"/>
  <c r="X46" i="2"/>
  <c r="Z46" i="2"/>
  <c r="U46" i="2"/>
  <c r="X11" i="2"/>
  <c r="Z11" i="2"/>
  <c r="U11" i="2"/>
  <c r="AA139" i="2"/>
  <c r="X129" i="2"/>
  <c r="Z129" i="2"/>
  <c r="U129" i="2"/>
  <c r="AA228" i="2"/>
  <c r="X402" i="2"/>
  <c r="Z402" i="2"/>
  <c r="U402" i="2"/>
  <c r="U175" i="2"/>
  <c r="AA200" i="2"/>
  <c r="AA356" i="2"/>
  <c r="X64" i="2"/>
  <c r="Z64" i="2"/>
  <c r="U64" i="2"/>
  <c r="AA10" i="2"/>
  <c r="U86" i="2"/>
  <c r="X433" i="2"/>
  <c r="Z433" i="2"/>
  <c r="U433" i="2"/>
  <c r="AA389" i="2"/>
  <c r="X265" i="2"/>
  <c r="Z265" i="2"/>
  <c r="U265" i="2"/>
  <c r="U318" i="2"/>
  <c r="X245" i="2"/>
  <c r="Z245" i="2"/>
  <c r="U245" i="2"/>
  <c r="AA159" i="2"/>
  <c r="X62" i="2"/>
  <c r="Z62" i="2"/>
  <c r="U62" i="2"/>
  <c r="U392" i="2"/>
  <c r="U493" i="2"/>
  <c r="AA94" i="2"/>
  <c r="U458" i="2"/>
  <c r="AA236" i="2"/>
  <c r="X311" i="2"/>
  <c r="Z311" i="2"/>
  <c r="U311" i="2"/>
  <c r="X779" i="2"/>
  <c r="Z779" i="2"/>
  <c r="U779" i="2"/>
  <c r="AA590" i="2"/>
  <c r="U18" i="2"/>
  <c r="X27" i="2"/>
  <c r="Z27" i="2"/>
  <c r="U27" i="2"/>
  <c r="X576" i="2"/>
  <c r="Z576" i="2"/>
  <c r="U576" i="2"/>
  <c r="U26" i="2"/>
  <c r="X440" i="2"/>
  <c r="Z440" i="2"/>
  <c r="U440" i="2"/>
  <c r="AA146" i="2"/>
  <c r="U83" i="2"/>
  <c r="U240" i="2"/>
  <c r="AA435" i="2"/>
  <c r="X157" i="2"/>
  <c r="Z157" i="2"/>
  <c r="U157" i="2"/>
  <c r="U93" i="2"/>
  <c r="X297" i="2"/>
  <c r="Z297" i="2"/>
  <c r="U297" i="2"/>
  <c r="AA115" i="2"/>
  <c r="X251" i="2"/>
  <c r="Z251" i="2"/>
  <c r="U251" i="2"/>
  <c r="X730" i="2"/>
  <c r="Z730" i="2"/>
  <c r="U730" i="2"/>
  <c r="U23" i="2"/>
  <c r="AA189" i="2"/>
  <c r="X549" i="2"/>
  <c r="Z549" i="2"/>
  <c r="U549" i="2"/>
  <c r="AA325" i="2"/>
  <c r="X621" i="2"/>
  <c r="Z621" i="2"/>
  <c r="U621" i="2"/>
  <c r="X162" i="2"/>
  <c r="Z162" i="2"/>
  <c r="U162" i="2"/>
  <c r="U221" i="2"/>
  <c r="X156" i="2"/>
  <c r="Z156" i="2"/>
  <c r="U156" i="2"/>
  <c r="X733" i="2"/>
  <c r="Z733" i="2"/>
  <c r="U733" i="2"/>
  <c r="X518" i="2"/>
  <c r="Z518" i="2"/>
  <c r="U518" i="2"/>
  <c r="X550" i="2"/>
  <c r="Z550" i="2"/>
  <c r="U550" i="2"/>
  <c r="X451" i="2"/>
  <c r="Z451" i="2"/>
  <c r="U451" i="2"/>
  <c r="X701" i="2"/>
  <c r="Z701" i="2"/>
  <c r="U701" i="2"/>
  <c r="AA230" i="2"/>
  <c r="X230" i="2"/>
  <c r="Z230" i="2"/>
  <c r="X247" i="2"/>
  <c r="Z247" i="2"/>
  <c r="U247" i="2"/>
  <c r="X610" i="2"/>
  <c r="Z610" i="2"/>
  <c r="U610" i="2"/>
  <c r="AA542" i="2"/>
  <c r="X439" i="2"/>
  <c r="Z439" i="2"/>
  <c r="U439" i="2"/>
  <c r="X638" i="2"/>
  <c r="Z638" i="2"/>
  <c r="U638" i="2"/>
  <c r="AA14" i="2"/>
  <c r="X14" i="2"/>
  <c r="Z14" i="2"/>
  <c r="U113" i="2"/>
  <c r="X684" i="2"/>
  <c r="Z684" i="2"/>
  <c r="U684" i="2"/>
  <c r="X410" i="2"/>
  <c r="Z410" i="2"/>
  <c r="U410" i="2"/>
  <c r="AA114" i="2"/>
  <c r="X114" i="2"/>
  <c r="Z114" i="2"/>
  <c r="X475" i="2"/>
  <c r="Z475" i="2"/>
  <c r="U475" i="2"/>
  <c r="AA175" i="2"/>
  <c r="X175" i="2"/>
  <c r="Z175" i="2"/>
  <c r="AA194" i="2"/>
  <c r="X238" i="2"/>
  <c r="Z238" i="2"/>
  <c r="U238" i="2"/>
  <c r="X603" i="2"/>
  <c r="Z603" i="2"/>
  <c r="U603" i="2"/>
  <c r="X148" i="2"/>
  <c r="Z148" i="2"/>
  <c r="U148" i="2"/>
  <c r="Z12" i="2"/>
  <c r="X12" i="2"/>
  <c r="AA12" i="2"/>
  <c r="X286" i="2"/>
  <c r="Z286" i="2"/>
  <c r="U286" i="2"/>
  <c r="Z449" i="2"/>
  <c r="X449" i="2"/>
  <c r="AA449" i="2"/>
  <c r="X732" i="2"/>
  <c r="Z732" i="2"/>
  <c r="U732" i="2"/>
  <c r="X864" i="2"/>
  <c r="Z864" i="2"/>
  <c r="U864" i="2"/>
  <c r="X477" i="2"/>
  <c r="Z477" i="2"/>
  <c r="U477" i="2"/>
  <c r="AA199" i="2"/>
  <c r="X199" i="2"/>
  <c r="Z199" i="2"/>
  <c r="X762" i="2"/>
  <c r="Z762" i="2"/>
  <c r="U762" i="2"/>
  <c r="AA292" i="2"/>
  <c r="X863" i="2"/>
  <c r="Z863" i="2"/>
  <c r="U863" i="2"/>
  <c r="X273" i="2"/>
  <c r="Z273" i="2"/>
  <c r="U273" i="2"/>
  <c r="X463" i="2"/>
  <c r="Z463" i="2"/>
  <c r="U463" i="2"/>
  <c r="X272" i="2"/>
  <c r="Z272" i="2"/>
  <c r="U272" i="2"/>
  <c r="AA39" i="2"/>
  <c r="X437" i="2"/>
  <c r="Z437" i="2"/>
  <c r="U437" i="2"/>
  <c r="X811" i="2"/>
  <c r="Z811" i="2"/>
  <c r="U811" i="2"/>
  <c r="AA43" i="2"/>
  <c r="X810" i="2"/>
  <c r="Z810" i="2"/>
  <c r="U810" i="2"/>
  <c r="X179" i="2"/>
  <c r="Z179" i="2"/>
  <c r="U179" i="2"/>
  <c r="X670" i="2"/>
  <c r="Z670" i="2"/>
  <c r="U670" i="2"/>
  <c r="X303" i="2"/>
  <c r="Z303" i="2"/>
  <c r="U303" i="2"/>
  <c r="X819" i="2"/>
  <c r="Z819" i="2"/>
  <c r="U819" i="2"/>
  <c r="X174" i="2"/>
  <c r="Z174" i="2"/>
  <c r="U174" i="2"/>
  <c r="X407" i="2"/>
  <c r="Z407" i="2"/>
  <c r="U407" i="2"/>
  <c r="X370" i="2"/>
  <c r="Z370" i="2"/>
  <c r="U370" i="2"/>
  <c r="AA240" i="2"/>
  <c r="X240" i="2"/>
  <c r="Z240" i="2"/>
  <c r="X533" i="2"/>
  <c r="Z533" i="2"/>
  <c r="U533" i="2"/>
  <c r="X672" i="2"/>
  <c r="Z672" i="2"/>
  <c r="U672" i="2"/>
  <c r="AA145" i="2"/>
  <c r="AA197" i="2"/>
  <c r="X197" i="2"/>
  <c r="Z197" i="2"/>
  <c r="Z72" i="2"/>
  <c r="X72" i="2"/>
  <c r="AA72" i="2"/>
  <c r="X243" i="2"/>
  <c r="Z243" i="2"/>
  <c r="U243" i="2"/>
  <c r="AA69" i="2"/>
  <c r="X177" i="2"/>
  <c r="Z177" i="2"/>
  <c r="U177" i="2"/>
  <c r="AA118" i="2"/>
  <c r="X118" i="2"/>
  <c r="Z118" i="2"/>
  <c r="AA741" i="2"/>
  <c r="X741" i="2"/>
  <c r="Z741" i="2"/>
  <c r="AA408" i="2"/>
  <c r="X613" i="2"/>
  <c r="Z613" i="2"/>
  <c r="U613" i="2"/>
  <c r="X108" i="2"/>
  <c r="Z108" i="2"/>
  <c r="U108" i="2"/>
  <c r="Z386" i="2"/>
  <c r="X386" i="2"/>
  <c r="AA386" i="2"/>
  <c r="AA154" i="2"/>
  <c r="X282" i="2"/>
  <c r="Z282" i="2"/>
  <c r="U282" i="2"/>
  <c r="X187" i="2"/>
  <c r="Z187" i="2"/>
  <c r="U187" i="2"/>
  <c r="X260" i="2"/>
  <c r="Z260" i="2"/>
  <c r="U260" i="2"/>
  <c r="X373" i="2"/>
  <c r="Z373" i="2"/>
  <c r="U373" i="2"/>
  <c r="AA468" i="2"/>
  <c r="X60" i="2"/>
  <c r="Z60" i="2"/>
  <c r="U60" i="2"/>
  <c r="AA561" i="2"/>
  <c r="U50" i="2"/>
  <c r="X22" i="2"/>
  <c r="Z22" i="2"/>
  <c r="U22" i="2"/>
  <c r="AA334" i="2"/>
  <c r="AA125" i="2"/>
  <c r="AA147" i="2"/>
  <c r="X147" i="2"/>
  <c r="Z147" i="2"/>
  <c r="X201" i="2"/>
  <c r="Z201" i="2"/>
  <c r="U201" i="2"/>
  <c r="AA42" i="2"/>
  <c r="AA99" i="2"/>
  <c r="AA45" i="2"/>
  <c r="X546" i="2"/>
  <c r="Z546" i="2"/>
  <c r="U546" i="2"/>
  <c r="AA221" i="2"/>
  <c r="X221" i="2"/>
  <c r="Z221" i="2"/>
  <c r="X470" i="2"/>
  <c r="Z470" i="2"/>
  <c r="U470" i="2"/>
  <c r="X322" i="2"/>
  <c r="Z322" i="2"/>
  <c r="U322" i="2"/>
  <c r="AA347" i="2"/>
  <c r="AA180" i="2"/>
  <c r="X131" i="2"/>
  <c r="Z131" i="2"/>
  <c r="U131" i="2"/>
  <c r="AA306" i="2"/>
  <c r="X184" i="2"/>
  <c r="Z184" i="2"/>
  <c r="U184" i="2"/>
  <c r="X137" i="2"/>
  <c r="Z137" i="2"/>
  <c r="U137" i="2"/>
  <c r="AA374" i="2"/>
  <c r="X378" i="2"/>
  <c r="Z378" i="2"/>
  <c r="U378" i="2"/>
  <c r="X412" i="2"/>
  <c r="Z412" i="2"/>
  <c r="U412" i="2"/>
  <c r="X586" i="2"/>
  <c r="Z586" i="2"/>
  <c r="U586" i="2"/>
  <c r="AA85" i="2"/>
  <c r="X30" i="2"/>
  <c r="Z30" i="2"/>
  <c r="U30" i="2"/>
  <c r="AA50" i="2"/>
  <c r="X50" i="2"/>
  <c r="Z50" i="2"/>
  <c r="X854" i="2"/>
  <c r="Z854" i="2"/>
  <c r="U854" i="2"/>
  <c r="AA337" i="2"/>
  <c r="X161" i="2"/>
  <c r="Z161" i="2"/>
  <c r="U161" i="2"/>
  <c r="X355" i="2"/>
  <c r="Z355" i="2"/>
  <c r="U355" i="2"/>
  <c r="X333" i="2"/>
  <c r="Z333" i="2"/>
  <c r="U333" i="2"/>
  <c r="X53" i="2"/>
  <c r="Z53" i="2"/>
  <c r="U53" i="2"/>
  <c r="AA33" i="2"/>
  <c r="X391" i="2"/>
  <c r="Z391" i="2"/>
  <c r="U391" i="2"/>
  <c r="AA592" i="2"/>
  <c r="X817" i="2"/>
  <c r="Z817" i="2"/>
  <c r="U817" i="2"/>
  <c r="X321" i="2"/>
  <c r="Z321" i="2"/>
  <c r="U321" i="2"/>
  <c r="AA130" i="2"/>
  <c r="X216" i="2"/>
  <c r="Z216" i="2"/>
  <c r="U216" i="2"/>
  <c r="X649" i="2"/>
  <c r="Z649" i="2"/>
  <c r="U649" i="2"/>
  <c r="X70" i="2"/>
  <c r="Z70" i="2"/>
  <c r="U70" i="2"/>
  <c r="X49" i="2"/>
  <c r="Z49" i="2"/>
  <c r="U49" i="2"/>
  <c r="X9" i="2"/>
  <c r="Z9" i="2"/>
  <c r="U9" i="2"/>
  <c r="AA109" i="2"/>
  <c r="X308" i="2"/>
  <c r="Z308" i="2"/>
  <c r="U308" i="2"/>
  <c r="AA244" i="2"/>
  <c r="X473" i="2"/>
  <c r="Z473" i="2"/>
  <c r="U473" i="2"/>
  <c r="AA26" i="2"/>
  <c r="X26" i="2"/>
  <c r="Z26" i="2"/>
  <c r="X398" i="2"/>
  <c r="Z398" i="2"/>
  <c r="U398" i="2"/>
  <c r="X319" i="2"/>
  <c r="Z319" i="2"/>
  <c r="U319" i="2"/>
  <c r="AA215" i="2"/>
  <c r="X139" i="2"/>
  <c r="Z139" i="2"/>
  <c r="U139" i="2"/>
  <c r="AA173" i="2"/>
  <c r="X228" i="2"/>
  <c r="Z228" i="2"/>
  <c r="U228" i="2"/>
  <c r="AA88" i="2"/>
  <c r="X123" i="2"/>
  <c r="Z123" i="2"/>
  <c r="U123" i="2"/>
  <c r="X356" i="2"/>
  <c r="Z356" i="2"/>
  <c r="U356" i="2"/>
  <c r="X10" i="2"/>
  <c r="Z10" i="2"/>
  <c r="U10" i="2"/>
  <c r="X702" i="2"/>
  <c r="Z702" i="2"/>
  <c r="U702" i="2"/>
  <c r="AA198" i="2"/>
  <c r="X389" i="2"/>
  <c r="Z389" i="2"/>
  <c r="U389" i="2"/>
  <c r="AA138" i="2"/>
  <c r="AA252" i="2"/>
  <c r="X909" i="2"/>
  <c r="Z909" i="2"/>
  <c r="U909" i="2"/>
  <c r="X305" i="2"/>
  <c r="Z305" i="2"/>
  <c r="U305" i="2"/>
  <c r="X711" i="2"/>
  <c r="Z711" i="2"/>
  <c r="U711" i="2"/>
  <c r="X232" i="2"/>
  <c r="Z232" i="2"/>
  <c r="U232" i="2"/>
  <c r="AA103" i="2"/>
  <c r="X25" i="2"/>
  <c r="Z25" i="2"/>
  <c r="U25" i="2"/>
  <c r="X124" i="2"/>
  <c r="Z124" i="2"/>
  <c r="U124" i="2"/>
  <c r="AA360" i="2"/>
  <c r="X212" i="2"/>
  <c r="Z212" i="2"/>
  <c r="U212" i="2"/>
  <c r="X94" i="2"/>
  <c r="Z94" i="2"/>
  <c r="U94" i="2"/>
  <c r="X236" i="2"/>
  <c r="Z236" i="2"/>
  <c r="U236" i="2"/>
  <c r="X719" i="2"/>
  <c r="Z719" i="2"/>
  <c r="U719" i="2"/>
  <c r="X590" i="2"/>
  <c r="Z590" i="2"/>
  <c r="U590" i="2"/>
  <c r="AA89" i="2"/>
  <c r="X200" i="2"/>
  <c r="Z200" i="2"/>
  <c r="U200" i="2"/>
  <c r="X416" i="2"/>
  <c r="Z416" i="2"/>
  <c r="U416" i="2"/>
  <c r="AA68" i="2"/>
  <c r="X277" i="2"/>
  <c r="Z277" i="2"/>
  <c r="U277" i="2"/>
  <c r="AA23" i="2"/>
  <c r="X23" i="2"/>
  <c r="Z23" i="2"/>
  <c r="AA136" i="2"/>
  <c r="X146" i="2"/>
  <c r="Z146" i="2"/>
  <c r="U146" i="2"/>
  <c r="X47" i="2"/>
  <c r="Z47" i="2"/>
  <c r="U47" i="2"/>
  <c r="X435" i="2"/>
  <c r="Z435" i="2"/>
  <c r="U435" i="2"/>
  <c r="X181" i="2"/>
  <c r="Z181" i="2"/>
  <c r="U181" i="2"/>
  <c r="X761" i="2"/>
  <c r="Z761" i="2"/>
  <c r="U761" i="2"/>
  <c r="X217" i="2"/>
  <c r="Z217" i="2"/>
  <c r="U217" i="2"/>
  <c r="X183" i="2"/>
  <c r="Z183" i="2"/>
  <c r="U183" i="2"/>
  <c r="X101" i="2"/>
  <c r="Z101" i="2"/>
  <c r="U101" i="2"/>
  <c r="X388" i="2"/>
  <c r="Z388" i="2"/>
  <c r="U388" i="2"/>
  <c r="X384" i="2"/>
  <c r="Z384" i="2"/>
  <c r="U384" i="2"/>
  <c r="X589" i="2"/>
  <c r="Z589" i="2"/>
  <c r="U589" i="2"/>
  <c r="X847" i="2"/>
  <c r="Z847" i="2"/>
  <c r="U847" i="2"/>
  <c r="X660" i="2"/>
  <c r="Z660" i="2"/>
  <c r="U660" i="2"/>
  <c r="X235" i="2"/>
  <c r="Z235" i="2"/>
  <c r="U235" i="2"/>
  <c r="X597" i="2"/>
  <c r="Z597" i="2"/>
  <c r="U597" i="2"/>
  <c r="AA350" i="2"/>
  <c r="AA392" i="2"/>
  <c r="X392" i="2"/>
  <c r="Z392" i="2"/>
  <c r="AA600" i="2"/>
  <c r="X617" i="2"/>
  <c r="Z617" i="2"/>
  <c r="U617" i="2"/>
  <c r="AA16" i="2"/>
  <c r="X16" i="2"/>
  <c r="Z16" i="2"/>
  <c r="X406" i="2"/>
  <c r="Z406" i="2"/>
  <c r="U406" i="2"/>
  <c r="X620" i="2"/>
  <c r="Z620" i="2"/>
  <c r="U620" i="2"/>
  <c r="AA56" i="2"/>
  <c r="Z113" i="2"/>
  <c r="X113" i="2"/>
  <c r="AA113" i="2"/>
  <c r="X29" i="2"/>
  <c r="Z29" i="2"/>
  <c r="U29" i="2"/>
  <c r="X31" i="2"/>
  <c r="Z31" i="2"/>
  <c r="U31" i="2"/>
  <c r="X858" i="2"/>
  <c r="Z858" i="2"/>
  <c r="U858" i="2"/>
  <c r="AA264" i="2"/>
  <c r="X264" i="2"/>
  <c r="Z264" i="2"/>
  <c r="AA458" i="2"/>
  <c r="X458" i="2"/>
  <c r="Z458" i="2"/>
  <c r="X21" i="2"/>
  <c r="Z21" i="2"/>
  <c r="U21" i="2"/>
  <c r="X75" i="2"/>
  <c r="Z75" i="2"/>
  <c r="U75" i="2"/>
  <c r="X281" i="2"/>
  <c r="Z281" i="2"/>
  <c r="U281" i="2"/>
  <c r="AA417" i="2"/>
  <c r="X280" i="2"/>
  <c r="Z280" i="2"/>
  <c r="U280" i="2"/>
  <c r="X646" i="2"/>
  <c r="Z646" i="2"/>
  <c r="U646" i="2"/>
  <c r="X479" i="2"/>
  <c r="Z479" i="2"/>
  <c r="U479" i="2"/>
  <c r="AA86" i="2"/>
  <c r="X86" i="2"/>
  <c r="Z86" i="2"/>
  <c r="X777" i="2"/>
  <c r="Z777" i="2"/>
  <c r="U777" i="2"/>
  <c r="AA91" i="2"/>
  <c r="AA195" i="2"/>
  <c r="AA428" i="2"/>
  <c r="X267" i="2"/>
  <c r="Z267" i="2"/>
  <c r="U267" i="2"/>
  <c r="X379" i="2"/>
  <c r="Z379" i="2"/>
  <c r="U379" i="2"/>
  <c r="X692" i="2"/>
  <c r="Z692" i="2"/>
  <c r="U692" i="2"/>
  <c r="X679" i="2"/>
  <c r="Z679" i="2"/>
  <c r="U679" i="2"/>
  <c r="X798" i="2"/>
  <c r="Z798" i="2"/>
  <c r="U798" i="2"/>
  <c r="X736" i="2"/>
  <c r="Z736" i="2"/>
  <c r="U736" i="2"/>
  <c r="X662" i="2"/>
  <c r="Z662" i="2"/>
  <c r="U662" i="2"/>
  <c r="X37" i="2"/>
  <c r="Z37" i="2"/>
  <c r="U37" i="2"/>
  <c r="X503" i="2"/>
  <c r="Z503" i="2"/>
  <c r="U503" i="2"/>
  <c r="X292" i="2"/>
  <c r="Z292" i="2"/>
  <c r="U292" i="2"/>
  <c r="X140" i="2"/>
  <c r="Z140" i="2"/>
  <c r="U140" i="2"/>
  <c r="X231" i="2"/>
  <c r="Z231" i="2"/>
  <c r="U231" i="2"/>
  <c r="X6" i="2"/>
  <c r="Z6" i="2"/>
  <c r="U6" i="2"/>
  <c r="X256" i="2"/>
  <c r="Z256" i="2"/>
  <c r="U256" i="2"/>
  <c r="X446" i="2"/>
  <c r="Z446" i="2"/>
  <c r="U446" i="2"/>
  <c r="AA93" i="2"/>
  <c r="X93" i="2"/>
  <c r="Z93" i="2"/>
  <c r="X154" i="2"/>
  <c r="Z154" i="2"/>
  <c r="U154" i="2"/>
  <c r="X58" i="2"/>
  <c r="Z58" i="2"/>
  <c r="U58" i="2"/>
  <c r="X155" i="2"/>
  <c r="Z155" i="2"/>
  <c r="U155" i="2"/>
  <c r="AA364" i="2"/>
  <c r="X364" i="2"/>
  <c r="Z364" i="2"/>
  <c r="X645" i="2"/>
  <c r="Z645" i="2"/>
  <c r="U645" i="2"/>
  <c r="X125" i="2"/>
  <c r="Z125" i="2"/>
  <c r="U125" i="2"/>
  <c r="X121" i="2"/>
  <c r="Z121" i="2"/>
  <c r="U121" i="2"/>
  <c r="X394" i="2"/>
  <c r="Z394" i="2"/>
  <c r="U394" i="2"/>
  <c r="AA493" i="2"/>
  <c r="X493" i="2"/>
  <c r="Z493" i="2"/>
  <c r="X468" i="2"/>
  <c r="Z468" i="2"/>
  <c r="U468" i="2"/>
  <c r="X99" i="2"/>
  <c r="Z99" i="2"/>
  <c r="U99" i="2"/>
  <c r="X45" i="2"/>
  <c r="Z45" i="2"/>
  <c r="U45" i="2"/>
  <c r="AA81" i="2"/>
  <c r="X145" i="2"/>
  <c r="Z145" i="2"/>
  <c r="U145" i="2"/>
  <c r="AA83" i="2"/>
  <c r="X83" i="2"/>
  <c r="Z83" i="2"/>
  <c r="X172" i="2"/>
  <c r="Z172" i="2"/>
  <c r="U172" i="2"/>
  <c r="X614" i="2"/>
  <c r="Z614" i="2"/>
  <c r="U614" i="2"/>
  <c r="X306" i="2"/>
  <c r="Z306" i="2"/>
  <c r="U306" i="2"/>
  <c r="X547" i="2"/>
  <c r="Z547" i="2"/>
  <c r="U547" i="2"/>
  <c r="X55" i="2"/>
  <c r="Z55" i="2"/>
  <c r="U55" i="2"/>
  <c r="X374" i="2"/>
  <c r="Z374" i="2"/>
  <c r="U374" i="2"/>
  <c r="X48" i="2"/>
  <c r="Z48" i="2"/>
  <c r="U48" i="2"/>
  <c r="X191" i="2"/>
  <c r="Z191" i="2"/>
  <c r="U191" i="2"/>
  <c r="X85" i="2"/>
  <c r="Z85" i="2"/>
  <c r="U85" i="2"/>
  <c r="X193" i="2"/>
  <c r="Z193" i="2"/>
  <c r="U193" i="2"/>
  <c r="X883" i="2"/>
  <c r="Z883" i="2"/>
  <c r="U883" i="2"/>
  <c r="X337" i="2"/>
  <c r="Z337" i="2"/>
  <c r="U337" i="2"/>
  <c r="X685" i="2"/>
  <c r="Z685" i="2"/>
  <c r="U685" i="2"/>
  <c r="X788" i="2"/>
  <c r="Z788" i="2"/>
  <c r="U788" i="2"/>
  <c r="AA112" i="2"/>
  <c r="X33" i="2"/>
  <c r="Z33" i="2"/>
  <c r="U33" i="2"/>
  <c r="X681" i="2"/>
  <c r="Z681" i="2"/>
  <c r="U681" i="2"/>
  <c r="X592" i="2"/>
  <c r="Z592" i="2"/>
  <c r="U592" i="2"/>
  <c r="X192" i="2"/>
  <c r="Z192" i="2"/>
  <c r="U192" i="2"/>
  <c r="X658" i="2"/>
  <c r="Z658" i="2"/>
  <c r="U658" i="2"/>
  <c r="X326" i="2"/>
  <c r="Z326" i="2"/>
  <c r="U326" i="2"/>
  <c r="AA66" i="2"/>
  <c r="X20" i="2"/>
  <c r="Z20" i="2"/>
  <c r="U20" i="2"/>
  <c r="X457" i="2"/>
  <c r="Z457" i="2"/>
  <c r="U457" i="2"/>
  <c r="AA315" i="2"/>
  <c r="X365" i="2"/>
  <c r="Z365" i="2"/>
  <c r="U365" i="2"/>
  <c r="X756" i="2"/>
  <c r="Z756" i="2"/>
  <c r="U756" i="2"/>
  <c r="X109" i="2"/>
  <c r="Z109" i="2"/>
  <c r="U109" i="2"/>
  <c r="X130" i="2"/>
  <c r="Z130" i="2"/>
  <c r="U130" i="2"/>
  <c r="X285" i="2"/>
  <c r="Z285" i="2"/>
  <c r="U285" i="2"/>
  <c r="X874" i="2"/>
  <c r="Z874" i="2"/>
  <c r="U874" i="2"/>
  <c r="X215" i="2"/>
  <c r="Z215" i="2"/>
  <c r="U215" i="2"/>
  <c r="AA316" i="2"/>
  <c r="X173" i="2"/>
  <c r="Z173" i="2"/>
  <c r="U173" i="2"/>
  <c r="X88" i="2"/>
  <c r="Z88" i="2"/>
  <c r="U88" i="2"/>
  <c r="AA120" i="2"/>
  <c r="X149" i="2"/>
  <c r="Z149" i="2"/>
  <c r="U149" i="2"/>
  <c r="X349" i="2"/>
  <c r="Z349" i="2"/>
  <c r="U349" i="2"/>
  <c r="X208" i="2"/>
  <c r="Z208" i="2"/>
  <c r="U208" i="2"/>
  <c r="AA77" i="2"/>
  <c r="X209" i="2"/>
  <c r="Z209" i="2"/>
  <c r="U209" i="2"/>
  <c r="X677" i="2"/>
  <c r="Z677" i="2"/>
  <c r="U677" i="2"/>
  <c r="AA220" i="2"/>
  <c r="X198" i="2"/>
  <c r="Z198" i="2"/>
  <c r="U198" i="2"/>
  <c r="X252" i="2"/>
  <c r="Z252" i="2"/>
  <c r="U252" i="2"/>
  <c r="X69" i="2"/>
  <c r="Z69" i="2"/>
  <c r="U69" i="2"/>
  <c r="X570" i="2"/>
  <c r="Z570" i="2"/>
  <c r="U570" i="2"/>
  <c r="X722" i="2"/>
  <c r="Z722" i="2"/>
  <c r="U722" i="2"/>
  <c r="X115" i="2"/>
  <c r="Z115" i="2"/>
  <c r="U115" i="2"/>
  <c r="X103" i="2"/>
  <c r="Z103" i="2"/>
  <c r="U103" i="2"/>
  <c r="AA3" i="2"/>
  <c r="X360" i="2"/>
  <c r="Z360" i="2"/>
  <c r="U360" i="2"/>
  <c r="X545" i="2"/>
  <c r="Z545" i="2"/>
  <c r="U545" i="2"/>
  <c r="AA73" i="2"/>
  <c r="X497" i="2"/>
  <c r="Z497" i="2"/>
  <c r="U497" i="2"/>
  <c r="X250" i="2"/>
  <c r="Z250" i="2"/>
  <c r="U250" i="2"/>
  <c r="X405" i="2"/>
  <c r="Z405" i="2"/>
  <c r="U405" i="2"/>
  <c r="AA271" i="2"/>
  <c r="X89" i="2"/>
  <c r="Z89" i="2"/>
  <c r="U89" i="2"/>
  <c r="X678" i="2"/>
  <c r="Z678" i="2"/>
  <c r="U678" i="2"/>
  <c r="X68" i="2"/>
  <c r="Z68" i="2"/>
  <c r="U68" i="2"/>
  <c r="X136" i="2"/>
  <c r="Z136" i="2"/>
  <c r="U136" i="2"/>
  <c r="X67" i="2"/>
  <c r="Z67" i="2"/>
  <c r="U67" i="2"/>
  <c r="X456" i="2"/>
  <c r="Z456" i="2"/>
  <c r="U456" i="2"/>
  <c r="X423" i="2"/>
  <c r="Z423" i="2"/>
  <c r="U423" i="2"/>
  <c r="AA96" i="2"/>
  <c r="X169" i="2"/>
  <c r="Z169" i="2"/>
  <c r="U169" i="2"/>
  <c r="AA65" i="2"/>
  <c r="X42" i="2"/>
  <c r="Z42" i="2"/>
  <c r="U42" i="2"/>
  <c r="X521" i="2"/>
  <c r="Z521" i="2"/>
  <c r="U521" i="2"/>
  <c r="X56" i="2"/>
  <c r="Z56" i="2"/>
  <c r="U56" i="2"/>
  <c r="U436" i="2"/>
  <c r="X600" i="2"/>
  <c r="Z600" i="2"/>
  <c r="U600" i="2"/>
  <c r="X657" i="2"/>
  <c r="Z657" i="2"/>
  <c r="U657" i="2"/>
  <c r="X343" i="2"/>
  <c r="Z343" i="2"/>
  <c r="U343" i="2"/>
  <c r="X369" i="2"/>
  <c r="Z369" i="2"/>
  <c r="U369" i="2"/>
  <c r="X705" i="2"/>
  <c r="Z705" i="2"/>
  <c r="U705" i="2"/>
  <c r="X7" i="2"/>
  <c r="Z7" i="2"/>
  <c r="U7" i="2"/>
  <c r="X608" i="2"/>
  <c r="Z608" i="2"/>
  <c r="U608" i="2"/>
  <c r="X619" i="2"/>
  <c r="Z619" i="2"/>
  <c r="U619" i="2"/>
  <c r="X270" i="2"/>
  <c r="Z270" i="2"/>
  <c r="U270" i="2"/>
  <c r="X585" i="2"/>
  <c r="Z585" i="2"/>
  <c r="U585" i="2"/>
  <c r="X278" i="2"/>
  <c r="Z278" i="2"/>
  <c r="U278" i="2"/>
  <c r="AA2" i="2"/>
  <c r="X2" i="2"/>
  <c r="Z2" i="2"/>
  <c r="X92" i="2"/>
  <c r="Z92" i="2"/>
  <c r="U92" i="2"/>
  <c r="X323" i="2"/>
  <c r="Z323" i="2"/>
  <c r="U323" i="2"/>
  <c r="X151" i="2"/>
  <c r="Z151" i="2"/>
  <c r="U151" i="2"/>
  <c r="X401" i="2"/>
  <c r="Z401" i="2"/>
  <c r="U401" i="2"/>
  <c r="X420" i="2"/>
  <c r="Z420" i="2"/>
  <c r="U420" i="2"/>
  <c r="X246" i="2"/>
  <c r="Z246" i="2"/>
  <c r="U246" i="2"/>
  <c r="X542" i="2"/>
  <c r="Z542" i="2"/>
  <c r="U542" i="2"/>
  <c r="X561" i="2"/>
  <c r="Z561" i="2"/>
  <c r="U561" i="2"/>
  <c r="X523" i="2"/>
  <c r="Z523" i="2"/>
  <c r="U523" i="2"/>
  <c r="U100" i="2"/>
  <c r="X408" i="2"/>
  <c r="Z408" i="2"/>
  <c r="U408" i="2"/>
  <c r="X287" i="2"/>
  <c r="Z287" i="2"/>
  <c r="U287" i="2"/>
  <c r="X624" i="2"/>
  <c r="Z624" i="2"/>
  <c r="U624" i="2"/>
  <c r="X102" i="2"/>
  <c r="Z102" i="2"/>
  <c r="U102" i="2"/>
  <c r="X189" i="2"/>
  <c r="Z189" i="2"/>
  <c r="U189" i="2"/>
  <c r="Z436" i="2"/>
  <c r="X436" i="2"/>
  <c r="AA436" i="2"/>
  <c r="X15" i="2"/>
  <c r="Z15" i="2"/>
  <c r="U15" i="2"/>
  <c r="X537" i="2"/>
  <c r="Z537" i="2"/>
  <c r="U537" i="2"/>
  <c r="X74" i="2"/>
  <c r="Z74" i="2"/>
  <c r="U74" i="2"/>
  <c r="AA713" i="2"/>
  <c r="X706" i="2"/>
  <c r="Z706" i="2"/>
  <c r="U706" i="2"/>
  <c r="X34" i="2"/>
  <c r="Z34" i="2"/>
  <c r="U34" i="2"/>
  <c r="U262" i="2"/>
  <c r="AA44" i="2"/>
  <c r="U573" i="2"/>
  <c r="X432" i="2"/>
  <c r="Z432" i="2"/>
  <c r="U432" i="2"/>
  <c r="X358" i="2"/>
  <c r="Z358" i="2"/>
  <c r="U358" i="2"/>
  <c r="X105" i="2"/>
  <c r="Z105" i="2"/>
  <c r="U105" i="2"/>
  <c r="X583" i="2"/>
  <c r="Z583" i="2"/>
  <c r="U583" i="2"/>
  <c r="X298" i="2"/>
  <c r="Z298" i="2"/>
  <c r="U298" i="2"/>
  <c r="X540" i="2"/>
  <c r="Z540" i="2"/>
  <c r="U540" i="2"/>
  <c r="X625" i="2"/>
  <c r="Z625" i="2"/>
  <c r="U625" i="2"/>
  <c r="X812" i="2"/>
  <c r="Z812" i="2"/>
  <c r="U812" i="2"/>
  <c r="X563" i="2"/>
  <c r="Z563" i="2"/>
  <c r="U563" i="2"/>
  <c r="X377" i="2"/>
  <c r="Z377" i="2"/>
  <c r="U377" i="2"/>
  <c r="X538" i="2"/>
  <c r="Z538" i="2"/>
  <c r="U538" i="2"/>
  <c r="X127" i="2"/>
  <c r="Z127" i="2"/>
  <c r="U127" i="2"/>
  <c r="X341" i="2"/>
  <c r="Z341" i="2"/>
  <c r="U341" i="2"/>
  <c r="X180" i="2"/>
  <c r="Z180" i="2"/>
  <c r="U180" i="2"/>
  <c r="AA18" i="2"/>
  <c r="X18" i="2"/>
  <c r="Z18" i="2"/>
  <c r="Z467" i="2"/>
  <c r="X467" i="2"/>
  <c r="AA467" i="2"/>
  <c r="X90" i="2"/>
  <c r="Z90" i="2"/>
  <c r="U90" i="2"/>
  <c r="X404" i="2"/>
  <c r="Z404" i="2"/>
  <c r="U404" i="2"/>
  <c r="Z134" i="2"/>
  <c r="X134" i="2"/>
  <c r="AA134" i="2"/>
  <c r="X112" i="2"/>
  <c r="Z112" i="2"/>
  <c r="U112" i="2"/>
  <c r="X163" i="2"/>
  <c r="Z163" i="2"/>
  <c r="U163" i="2"/>
  <c r="X288" i="2"/>
  <c r="Z288" i="2"/>
  <c r="U288" i="2"/>
  <c r="X299" i="2"/>
  <c r="Z299" i="2"/>
  <c r="U299" i="2"/>
  <c r="X120" i="2"/>
  <c r="Z120" i="2"/>
  <c r="U120" i="2"/>
  <c r="X28" i="2"/>
  <c r="Z28" i="2"/>
  <c r="U28" i="2"/>
  <c r="X77" i="2"/>
  <c r="Z77" i="2"/>
  <c r="U77" i="2"/>
  <c r="X220" i="2"/>
  <c r="Z220" i="2"/>
  <c r="U220" i="2"/>
  <c r="X829" i="2"/>
  <c r="Z829" i="2"/>
  <c r="U829" i="2"/>
  <c r="X593" i="2"/>
  <c r="Z593" i="2"/>
  <c r="U593" i="2"/>
  <c r="X244" i="2"/>
  <c r="Z244" i="2"/>
  <c r="U244" i="2"/>
  <c r="X96" i="2"/>
  <c r="Z96" i="2"/>
  <c r="U96" i="2"/>
  <c r="X43" i="2"/>
  <c r="Z43" i="2"/>
  <c r="U43" i="2"/>
  <c r="X428" i="2"/>
  <c r="Z428" i="2"/>
  <c r="U428" i="2"/>
  <c r="X417" i="2"/>
  <c r="Z417" i="2"/>
  <c r="U417" i="2"/>
  <c r="X39" i="2"/>
  <c r="Z39" i="2"/>
  <c r="U39" i="2"/>
  <c r="X185" i="2"/>
  <c r="Z185" i="2"/>
  <c r="U185" i="2"/>
  <c r="X713" i="2"/>
  <c r="Z713" i="2"/>
  <c r="U713" i="2"/>
  <c r="X91" i="2"/>
  <c r="Z91" i="2"/>
  <c r="U91" i="2"/>
  <c r="X159" i="2"/>
  <c r="Z159" i="2"/>
  <c r="U159" i="2"/>
  <c r="X44" i="2"/>
  <c r="Z44" i="2"/>
  <c r="U44" i="2"/>
  <c r="X720" i="2"/>
  <c r="Z720" i="2"/>
  <c r="U720" i="2"/>
  <c r="X342" i="2"/>
  <c r="Z342" i="2"/>
  <c r="U342" i="2"/>
  <c r="X141" i="2"/>
  <c r="Z141" i="2"/>
  <c r="U141" i="2"/>
  <c r="X57" i="2"/>
  <c r="Z57" i="2"/>
  <c r="U57" i="2"/>
  <c r="X780" i="2"/>
  <c r="Z780" i="2"/>
  <c r="U780" i="2"/>
  <c r="X258" i="2"/>
  <c r="Z258" i="2"/>
  <c r="U258" i="2"/>
  <c r="X727" i="2"/>
  <c r="Z727" i="2"/>
  <c r="U727" i="2"/>
  <c r="X65" i="2"/>
  <c r="Z65" i="2"/>
  <c r="U65" i="2"/>
  <c r="Z100" i="2"/>
  <c r="X100" i="2"/>
  <c r="AA100" i="2"/>
  <c r="X749" i="2"/>
  <c r="Z749" i="2"/>
  <c r="U749" i="2"/>
  <c r="Z262" i="2"/>
  <c r="X262" i="2"/>
  <c r="AA262" i="2"/>
  <c r="X152" i="2"/>
  <c r="Z152" i="2"/>
  <c r="U152" i="2"/>
  <c r="X350" i="2"/>
  <c r="Z350" i="2"/>
  <c r="U350" i="2"/>
  <c r="X274" i="2"/>
  <c r="Z274" i="2"/>
  <c r="U274" i="2"/>
  <c r="X122" i="2"/>
  <c r="Z122" i="2"/>
  <c r="U122" i="2"/>
  <c r="X229" i="2"/>
  <c r="Z229" i="2"/>
  <c r="U229" i="2"/>
  <c r="AA573" i="2"/>
  <c r="X573" i="2"/>
  <c r="Z573" i="2"/>
  <c r="Z51" i="2"/>
  <c r="X51" i="2"/>
  <c r="AA51" i="2"/>
  <c r="X835" i="2"/>
  <c r="Z835" i="2"/>
  <c r="U835" i="2"/>
  <c r="X328" i="2"/>
  <c r="Z328" i="2"/>
  <c r="U328" i="2"/>
  <c r="X81" i="2"/>
  <c r="Z81" i="2"/>
  <c r="U81" i="2"/>
  <c r="X138" i="2"/>
  <c r="Z138" i="2"/>
  <c r="U138" i="2"/>
  <c r="X132" i="2"/>
  <c r="Z132" i="2"/>
  <c r="U132" i="2"/>
  <c r="X171" i="2"/>
  <c r="Z171" i="2"/>
  <c r="U171" i="2"/>
  <c r="X501" i="2"/>
  <c r="Z501" i="2"/>
  <c r="U501" i="2"/>
  <c r="X510" i="2"/>
  <c r="Z510" i="2"/>
  <c r="U510" i="2"/>
  <c r="X315" i="2"/>
  <c r="Z315" i="2"/>
  <c r="U315" i="2"/>
  <c r="X194" i="2"/>
  <c r="Z194" i="2"/>
  <c r="U194" i="2"/>
  <c r="X195" i="2"/>
  <c r="Z195" i="2"/>
  <c r="U195" i="2"/>
  <c r="X595" i="2"/>
  <c r="Z595" i="2"/>
  <c r="U595" i="2"/>
  <c r="X499" i="2"/>
  <c r="Z499" i="2"/>
  <c r="U499" i="2"/>
  <c r="Z318" i="2"/>
  <c r="X318" i="2"/>
  <c r="AA318" i="2"/>
  <c r="X366" i="2"/>
  <c r="Z366" i="2"/>
  <c r="U366" i="2"/>
  <c r="X724" i="2"/>
  <c r="Z724" i="2"/>
  <c r="U724" i="2"/>
  <c r="X73" i="2"/>
  <c r="Z73" i="2"/>
  <c r="U73" i="2"/>
  <c r="X79" i="2"/>
  <c r="Z79" i="2"/>
  <c r="U79" i="2"/>
  <c r="X66" i="2"/>
  <c r="Z66" i="2"/>
  <c r="U66" i="2"/>
  <c r="X476" i="2"/>
  <c r="Z476" i="2"/>
  <c r="U476" i="2"/>
  <c r="X325" i="2"/>
  <c r="Z325" i="2"/>
  <c r="U325" i="2"/>
  <c r="X98" i="2"/>
  <c r="Z98" i="2"/>
  <c r="U98" i="2"/>
  <c r="X168" i="2"/>
  <c r="Z168" i="2"/>
  <c r="U168" i="2"/>
  <c r="X8" i="2"/>
  <c r="Z8" i="2"/>
  <c r="U8" i="2"/>
  <c r="X190" i="2"/>
  <c r="Z190" i="2"/>
  <c r="U190" i="2"/>
  <c r="X78" i="2"/>
  <c r="Z78" i="2"/>
  <c r="U78" i="2"/>
  <c r="X335" i="2"/>
  <c r="Z335" i="2"/>
  <c r="U335" i="2"/>
  <c r="X176" i="2"/>
  <c r="Z176" i="2"/>
  <c r="U176" i="2"/>
  <c r="X71" i="2"/>
  <c r="Z71" i="2"/>
  <c r="U71" i="2"/>
  <c r="X647" i="2"/>
  <c r="Z647" i="2"/>
  <c r="U647" i="2"/>
  <c r="X97" i="2"/>
  <c r="Z97" i="2"/>
  <c r="U97" i="2"/>
  <c r="X17" i="2"/>
  <c r="Z17" i="2"/>
  <c r="U17" i="2"/>
  <c r="X13" i="2"/>
  <c r="Z13" i="2"/>
  <c r="U13" i="2"/>
  <c r="X347" i="2"/>
  <c r="Z347" i="2"/>
  <c r="U347" i="2"/>
  <c r="X233" i="2"/>
  <c r="Z233" i="2"/>
  <c r="U233" i="2"/>
  <c r="X758" i="2"/>
  <c r="Z758" i="2"/>
  <c r="U758" i="2"/>
  <c r="X334" i="2"/>
  <c r="Z334" i="2"/>
  <c r="U334" i="2"/>
  <c r="X316" i="2"/>
  <c r="Z316" i="2"/>
  <c r="U316" i="2"/>
  <c r="X271" i="2"/>
  <c r="Z271" i="2"/>
  <c r="U271" i="2"/>
  <c r="X283" i="2"/>
  <c r="Z283" i="2"/>
  <c r="U283" i="2"/>
  <c r="X3" i="2"/>
  <c r="Z3" i="2"/>
  <c r="U3" i="2"/>
  <c r="X35" i="2"/>
  <c r="Z35" i="2"/>
  <c r="U35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Rafael Matos</author>
    <author>Rafael Fraga Resende</author>
    <author>Utilisateur de Microsoft Office</author>
  </authors>
  <commentList>
    <comment ref="M6" authorId="0" shapeId="0" xr:uid="{00000000-0006-0000-0200-000001000000}">
      <text>
        <r>
          <rPr>
            <b/>
            <sz val="9"/>
            <color indexed="81"/>
            <rFont val="Segoe UI"/>
            <family val="2"/>
          </rPr>
          <t>Rafael Matos:</t>
        </r>
        <r>
          <rPr>
            <sz val="9"/>
            <color indexed="81"/>
            <rFont val="Segoe UI"/>
            <family val="2"/>
          </rPr>
          <t xml:space="preserve">
Ponto de entrada</t>
        </r>
      </text>
    </comment>
    <comment ref="N6" authorId="0" shapeId="0" xr:uid="{00000000-0006-0000-0200-000002000000}">
      <text>
        <r>
          <rPr>
            <b/>
            <sz val="9"/>
            <color indexed="81"/>
            <rFont val="Segoe UI"/>
            <family val="2"/>
          </rPr>
          <t>Rafael Matos:</t>
        </r>
        <r>
          <rPr>
            <sz val="9"/>
            <color indexed="81"/>
            <rFont val="Segoe UI"/>
            <family val="2"/>
          </rPr>
          <t xml:space="preserve">
Saida da Base</t>
        </r>
      </text>
    </comment>
    <comment ref="O6" authorId="0" shapeId="0" xr:uid="{00000000-0006-0000-0200-000003000000}">
      <text>
        <r>
          <rPr>
            <b/>
            <sz val="9"/>
            <color indexed="81"/>
            <rFont val="Segoe UI"/>
            <family val="2"/>
          </rPr>
          <t>Rafael Matos:</t>
        </r>
        <r>
          <rPr>
            <sz val="9"/>
            <color indexed="81"/>
            <rFont val="Segoe UI"/>
            <family val="2"/>
          </rPr>
          <t xml:space="preserve">
Ultimo protocolo</t>
        </r>
      </text>
    </comment>
    <comment ref="P6" authorId="0" shapeId="0" xr:uid="{00000000-0006-0000-0200-000004000000}">
      <text>
        <r>
          <rPr>
            <b/>
            <sz val="9"/>
            <color indexed="81"/>
            <rFont val="Segoe UI"/>
            <family val="2"/>
          </rPr>
          <t>Rafael Matos:</t>
        </r>
        <r>
          <rPr>
            <sz val="9"/>
            <color indexed="81"/>
            <rFont val="Segoe UI"/>
            <family val="2"/>
          </rPr>
          <t xml:space="preserve">
Ponto de saída</t>
        </r>
      </text>
    </comment>
    <comment ref="Q6" authorId="1" shapeId="0" xr:uid="{00000000-0006-0000-0200-000005000000}">
      <text>
        <r>
          <rPr>
            <sz val="9"/>
            <color indexed="81"/>
            <rFont val="Segoe UI"/>
            <family val="2"/>
          </rPr>
          <t>Tempo gasto com outras atividades operacionais.</t>
        </r>
      </text>
    </comment>
    <comment ref="T6" authorId="2" shapeId="0" xr:uid="{00000000-0006-0000-0200-000006000000}">
      <text>
        <r>
          <rPr>
            <b/>
            <sz val="10"/>
            <color indexed="81"/>
            <rFont val="Calibri"/>
            <family val="2"/>
          </rPr>
          <t>Utilisateur de Microsoft Office:</t>
        </r>
        <r>
          <rPr>
            <sz val="10"/>
            <color indexed="81"/>
            <rFont val="Calibri"/>
            <family val="2"/>
          </rPr>
          <t xml:space="preserve">
É o tempo gasto com atividades complemntares ( DDS, deslocamento retorno) e imprevistos (pneu di caminão,…)</t>
        </r>
      </text>
    </comment>
    <comment ref="X6" authorId="2" shapeId="0" xr:uid="{00000000-0006-0000-0200-000007000000}">
      <text>
        <r>
          <rPr>
            <b/>
            <sz val="10"/>
            <color indexed="81"/>
            <rFont val="Calibri"/>
            <family val="2"/>
          </rPr>
          <t>Utilisateur de Microsoft Office:</t>
        </r>
        <r>
          <rPr>
            <sz val="10"/>
            <color indexed="81"/>
            <rFont val="Calibri"/>
            <family val="2"/>
          </rPr>
          <t xml:space="preserve">
São as 8 horas diárias em que a equipe está disponível para a empresa.
</t>
        </r>
      </text>
    </comment>
    <comment ref="Y6" authorId="2" shapeId="0" xr:uid="{00000000-0006-0000-0200-000008000000}">
      <text>
        <r>
          <rPr>
            <b/>
            <sz val="10"/>
            <color indexed="81"/>
            <rFont val="Calibri"/>
            <family val="2"/>
          </rPr>
          <t>Utilisateur de Microsoft Office:</t>
        </r>
        <r>
          <rPr>
            <sz val="10"/>
            <color indexed="81"/>
            <rFont val="Calibri"/>
            <family val="2"/>
          </rPr>
          <t xml:space="preserve">
O HH Produtivo é obtido através da soma dos Tempos Padrões (TD + TE) das atividades executadas pela equipe.
</t>
        </r>
      </text>
    </comment>
    <comment ref="Z6" authorId="2" shapeId="0" xr:uid="{00000000-0006-0000-0200-000009000000}">
      <text>
        <r>
          <rPr>
            <b/>
            <sz val="10"/>
            <color indexed="81"/>
            <rFont val="Calibri"/>
            <family val="2"/>
          </rPr>
          <t>Utilisateur de Microsoft Office:</t>
        </r>
        <r>
          <rPr>
            <sz val="10"/>
            <color indexed="81"/>
            <rFont val="Calibri"/>
            <family val="2"/>
          </rPr>
          <t xml:space="preserve">
É a diferença entre HH Disponível e HH Desvio. Portanto, é o tempo despendido de fato para execução das atividades fins.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Rafael Matos</author>
    <author>Rafael Fraga Resende</author>
    <author>Utilisateur de Microsoft Office</author>
  </authors>
  <commentList>
    <comment ref="L1" authorId="0" shapeId="0" xr:uid="{FF1FB900-48C9-43FD-8740-15E23912A6E2}">
      <text>
        <r>
          <rPr>
            <b/>
            <sz val="9"/>
            <color indexed="81"/>
            <rFont val="Segoe UI"/>
            <family val="2"/>
          </rPr>
          <t>Rafael Matos:</t>
        </r>
        <r>
          <rPr>
            <sz val="9"/>
            <color indexed="81"/>
            <rFont val="Segoe UI"/>
            <family val="2"/>
          </rPr>
          <t xml:space="preserve">
Ponto de entrada</t>
        </r>
      </text>
    </comment>
    <comment ref="M1" authorId="0" shapeId="0" xr:uid="{1010E8D7-F7A3-42A6-9E36-203F6BD1FC6F}">
      <text>
        <r>
          <rPr>
            <b/>
            <sz val="9"/>
            <color indexed="81"/>
            <rFont val="Segoe UI"/>
            <family val="2"/>
          </rPr>
          <t>Rafael Matos:</t>
        </r>
        <r>
          <rPr>
            <sz val="9"/>
            <color indexed="81"/>
            <rFont val="Segoe UI"/>
            <family val="2"/>
          </rPr>
          <t xml:space="preserve">
Saida da Base</t>
        </r>
      </text>
    </comment>
    <comment ref="N1" authorId="0" shapeId="0" xr:uid="{5F01192A-AFB8-45B5-9679-027C478E5B1D}">
      <text>
        <r>
          <rPr>
            <b/>
            <sz val="9"/>
            <color indexed="81"/>
            <rFont val="Segoe UI"/>
            <family val="2"/>
          </rPr>
          <t>Rafael Matos:</t>
        </r>
        <r>
          <rPr>
            <sz val="9"/>
            <color indexed="81"/>
            <rFont val="Segoe UI"/>
            <family val="2"/>
          </rPr>
          <t xml:space="preserve">
Ultimo protocolo</t>
        </r>
      </text>
    </comment>
    <comment ref="O1" authorId="0" shapeId="0" xr:uid="{7C15DD17-38A3-49D9-A7B9-7ABFE2B117C3}">
      <text>
        <r>
          <rPr>
            <b/>
            <sz val="9"/>
            <color indexed="81"/>
            <rFont val="Segoe UI"/>
            <family val="2"/>
          </rPr>
          <t>Rafael Matos:</t>
        </r>
        <r>
          <rPr>
            <sz val="9"/>
            <color indexed="81"/>
            <rFont val="Segoe UI"/>
            <family val="2"/>
          </rPr>
          <t xml:space="preserve">
Ponto de saída</t>
        </r>
      </text>
    </comment>
    <comment ref="P1" authorId="1" shapeId="0" xr:uid="{0404D940-C329-4F37-9F7B-F6490C250CEF}">
      <text>
        <r>
          <rPr>
            <sz val="9"/>
            <color indexed="81"/>
            <rFont val="Segoe UI"/>
            <family val="2"/>
          </rPr>
          <t>Tempo gasto com outras atividades operacionais.</t>
        </r>
      </text>
    </comment>
    <comment ref="S1" authorId="2" shapeId="0" xr:uid="{E85E636A-7302-4418-8E40-4869B431E900}">
      <text>
        <r>
          <rPr>
            <b/>
            <sz val="10"/>
            <color indexed="81"/>
            <rFont val="Calibri"/>
            <family val="2"/>
          </rPr>
          <t>Utilisateur de Microsoft Office:</t>
        </r>
        <r>
          <rPr>
            <sz val="10"/>
            <color indexed="81"/>
            <rFont val="Calibri"/>
            <family val="2"/>
          </rPr>
          <t xml:space="preserve">
É o tempo gasto com atividades complemntares ( DDS, deslocamento retorno) e imprevistos (pneu di caminão,…)</t>
        </r>
      </text>
    </comment>
    <comment ref="W1" authorId="2" shapeId="0" xr:uid="{22569B97-E12E-4B8C-A7EA-4C019A612A8A}">
      <text>
        <r>
          <rPr>
            <b/>
            <sz val="10"/>
            <color indexed="81"/>
            <rFont val="Calibri"/>
            <family val="2"/>
          </rPr>
          <t>Utilisateur de Microsoft Office:</t>
        </r>
        <r>
          <rPr>
            <sz val="10"/>
            <color indexed="81"/>
            <rFont val="Calibri"/>
            <family val="2"/>
          </rPr>
          <t xml:space="preserve">
São as 8 horas diárias em que a equipe está disponível para a empresa.
</t>
        </r>
      </text>
    </comment>
    <comment ref="X1" authorId="2" shapeId="0" xr:uid="{1D1879B6-CD59-422E-B1C2-3729E707F57B}">
      <text>
        <r>
          <rPr>
            <b/>
            <sz val="10"/>
            <color indexed="81"/>
            <rFont val="Calibri"/>
            <family val="2"/>
          </rPr>
          <t>Utilisateur de Microsoft Office:</t>
        </r>
        <r>
          <rPr>
            <sz val="10"/>
            <color indexed="81"/>
            <rFont val="Calibri"/>
            <family val="2"/>
          </rPr>
          <t xml:space="preserve">
O HH Produtivo é obtido através da soma dos Tempos Padrões (TD + TE) das atividades executadas pela equipe.
</t>
        </r>
      </text>
    </comment>
    <comment ref="Y1" authorId="2" shapeId="0" xr:uid="{98340976-BEC1-4298-939C-C0AE2F5741CD}">
      <text>
        <r>
          <rPr>
            <b/>
            <sz val="10"/>
            <color indexed="81"/>
            <rFont val="Calibri"/>
            <family val="2"/>
          </rPr>
          <t>Utilisateur de Microsoft Office:</t>
        </r>
        <r>
          <rPr>
            <sz val="10"/>
            <color indexed="81"/>
            <rFont val="Calibri"/>
            <family val="2"/>
          </rPr>
          <t xml:space="preserve">
É a diferença entre HH Disponível e HH Desvio. Portanto, é o tempo despendido de fato para execução das atividades fins.
</t>
        </r>
      </text>
    </comment>
  </commentList>
</comments>
</file>

<file path=xl/sharedStrings.xml><?xml version="1.0" encoding="utf-8"?>
<sst xmlns="http://schemas.openxmlformats.org/spreadsheetml/2006/main" count="5223" uniqueCount="532">
  <si>
    <t>Equipe realizou rondas (02 pontos).</t>
  </si>
  <si>
    <t>PXC3702</t>
  </si>
  <si>
    <t>Realizado</t>
  </si>
  <si>
    <t>EDILTON / GECIVALDO</t>
  </si>
  <si>
    <t>Equipe saindo com demanda de rondas.</t>
  </si>
  <si>
    <t>Previsto</t>
  </si>
  <si>
    <t>OUX2321</t>
  </si>
  <si>
    <t>ANDERSON / MARCO</t>
  </si>
  <si>
    <t>29/12/2017</t>
  </si>
  <si>
    <t>Equipe realizou rondas (05 pontos).</t>
  </si>
  <si>
    <t>JOILSON / VALDEI</t>
  </si>
  <si>
    <t>Equipe realizou rondas (11 pontos).</t>
  </si>
  <si>
    <t>28/12/2017</t>
  </si>
  <si>
    <t>Equipe saindo com demanda de rondas e retirada de 01 evento (02 porjetores).</t>
  </si>
  <si>
    <t>Equipe realizou rondas (08 pontos) e precisou fazer escavação em um deles.</t>
  </si>
  <si>
    <t>27/12/2017</t>
  </si>
  <si>
    <t>Equipe realizou rondas (07 pontos) e em uma delas constatou a falta de fase em um circuito, necessitando de mais tempo para solucionar o problema.</t>
  </si>
  <si>
    <t>Equipe realizou rondas (06 pontos).</t>
  </si>
  <si>
    <t>26/12/2017</t>
  </si>
  <si>
    <t>ADEMÁRIO / RONALDO</t>
  </si>
  <si>
    <t>25/12/2017</t>
  </si>
  <si>
    <t>Equipe realizou rondas (12 pontos).</t>
  </si>
  <si>
    <t>24/12/2017</t>
  </si>
  <si>
    <t>23/12/2017</t>
  </si>
  <si>
    <t>22/12/2017</t>
  </si>
  <si>
    <t>Equipe realizou rondas (03 pontos) e fez uma verificou um medidor danificado.</t>
  </si>
  <si>
    <t>21/12/2017</t>
  </si>
  <si>
    <t>20/12/2017</t>
  </si>
  <si>
    <t>http://www.google.com/maps/dir/?api=1&amp;origin=-12.889727,-38.325163&amp;waypoints=-12.885045,-38.33483%7C-12.890894,-38.335272%7C-12.837828,-38.348808%7C-12.887569,-38.352018%7C-12.899113,-38.35127%7C-12.901721,-38.310045%7C-12.895492,-38.323553&amp;destination=-12.89189,-38.327125</t>
  </si>
  <si>
    <t xml:space="preserve">Equipe realizou ronda (01 ponto).                                                         </t>
  </si>
  <si>
    <t>19/12/2017</t>
  </si>
  <si>
    <t>http://www.google.com/maps/dir/?api=1&amp;origin=-12.893955,-38.327725&amp;waypoints=-12.898078,-38.325128%7C-12.898197,-38.3394%7C-12.901327,-38.341427%7C-12.897162,-38.345571%7C-12.900242,-38.343938%7C-12.887032,-38.353276%7C-12.887558,-38.344177%7C-12.899137,-38.327813%7C-12.880897,-38.324028%7C-12.856075,-38.361473&amp;destination=-12.891807,-38.327084</t>
  </si>
  <si>
    <t>Equipe realizou ronda (01 ponto).</t>
  </si>
  <si>
    <t>JOILSON / HERVAL</t>
  </si>
  <si>
    <t>Equipe realizou rondas (03 pontos).</t>
  </si>
  <si>
    <t>15/12/2017</t>
  </si>
  <si>
    <t>Equipe saindo com demanda de ronda.</t>
  </si>
  <si>
    <t>http://www.google.com/maps/dir/?api=1&amp;origin=-12.886654,-38.3237&amp;waypoints=-12.869533,-38.301296%7C-12.86739,-38.30042%7C-12.896698,-38.324919%7C-12.896008,-38.321181%7C-12.891815,-38.31036%7C-12.885674,-38.306436%7C-12.895612,-38.294984%7C-12.864611,-38.29634%7C-12.889887,-38.321718&amp;destination=-12.891818,-38.327128</t>
  </si>
  <si>
    <t>Equipe solucionou apagão na Via Alternativa.</t>
  </si>
  <si>
    <t>PKE2278</t>
  </si>
  <si>
    <t>http://www.google.com/maps/dir/?api=1&amp;origin=-12.889459,-38.32646&amp;waypoints=-12.881122,-38.296332%7C-12.88115,-38.304056%7C-12.871603,-38.357745%7C-12.841062,-38.334224%7C-12.899032,-38.351278%7C-12.887372,-38.354253%7C-12.881909,-38.328099%7C-12.895429,-38.347297%7C-12.867724,-38.29744%7C-12.89716,-38.324762&amp;destination=-12.891808,-38.327121</t>
  </si>
  <si>
    <t>Equipe realizou ronda (01 ponto) e fez manutenção em ornamentos natalinos.</t>
  </si>
  <si>
    <t>14/12/2017</t>
  </si>
  <si>
    <t>Equipe realizou rondas (05 pontos)</t>
  </si>
  <si>
    <t xml:space="preserve">Equipe solucionou apagão na Estrada do Coco e fez acionamento de enfeites natalinos. </t>
  </si>
  <si>
    <t>13/12/2017</t>
  </si>
  <si>
    <t>http://www.google.com/maps/dir/?api=1&amp;origin=-12.889936,-38.330384&amp;waypoints=-12.877079,-38.348716%7C-12.898287,-38.338377%7C-12.897502,-38.329514%7C-12.881215,-38.331876%7C-12.839069,-38.329782%7C-12.834444,-38.331492%7C-12.89704,-38.32467&amp;destination=-12.891851,-38.327112</t>
  </si>
  <si>
    <t>Equipe retirou 02 eventos (02 projetores) e realizou rondas (05 pontos).</t>
  </si>
  <si>
    <t>Equipe saindo com demanda de rondas e retirada de 02 eventos (02 projetores).</t>
  </si>
  <si>
    <t>.</t>
  </si>
  <si>
    <t>Equipe realizou rondas (5 pontos).</t>
  </si>
  <si>
    <t>Equipe saindo com demandas de ronda.</t>
  </si>
  <si>
    <t>Equipe precisou retornar mais cedo.</t>
  </si>
  <si>
    <t>Equipe saiu atrasada</t>
  </si>
  <si>
    <t>CLAUDINEY / JOILSON / VALDEI</t>
  </si>
  <si>
    <t>Equipe realizou rondas (06 pontos) e instalou 02 eventos (04 projetores).</t>
  </si>
  <si>
    <t>Equipe saindo com demanda de rondas e instalalção de 02 eventos (04 projetores).</t>
  </si>
  <si>
    <t>Equipe realizou rondas na Praça da Matriz (10 pontos).</t>
  </si>
  <si>
    <t>Equipe saindo com demanda de ronda na praça da Matriz.</t>
  </si>
  <si>
    <t>Equipe retirou 01 evento (03 projetores 400W) e realizou rondas (05 pontos).</t>
  </si>
  <si>
    <t>Equipe saindo com demanda de ronda e retirada de 01 evento (03 projetores)</t>
  </si>
  <si>
    <t>Equipe sainda com algumas demandas Natalina.</t>
  </si>
  <si>
    <t xml:space="preserve">Equipe </t>
  </si>
  <si>
    <t>VADEI / GECIVALDO</t>
  </si>
  <si>
    <t>Equipe retirou 10 projetores de evento e realizou duas manutençoes dentro da base do CLF.</t>
  </si>
  <si>
    <t>CLAUDINEY / JOILSON</t>
  </si>
  <si>
    <t>Equipe saindo com demanda de retirada de evento.</t>
  </si>
  <si>
    <t>Equipe realizou acionamento de disjuntor em Ipitanga.</t>
  </si>
  <si>
    <t>Equipe saindo com demanda de verificar um apagao na praia de Ipitanga.</t>
  </si>
  <si>
    <t>Equipe realizou retirada de tres projetores de 400w + retirada de dois pontos de tomadas + desligamento e isolação de um poste batido na Estrada do Coco.</t>
  </si>
  <si>
    <t>Equipe saindo com demanda de retirada de eventos.</t>
  </si>
  <si>
    <t xml:space="preserve">Equipe energizou uma arvore natalina +  Visitou um apagao em Ipitanga. </t>
  </si>
  <si>
    <t>ANDERSON / GECIVALDO / MARCO</t>
  </si>
  <si>
    <t>Equipe saindo com demanda de instalação de evento.</t>
  </si>
  <si>
    <t>Equipe instalou um ponto de tomada 220w para um evento + intervenção em dois apagoes em Ipitanga.</t>
  </si>
  <si>
    <t>Equipe saindo com algumas demandas extras.</t>
  </si>
  <si>
    <t>Equipe recolheu cinco projetores de 400w.</t>
  </si>
  <si>
    <t>Equipe instalou quatro pontos de tomada em um evento  + um refletor de 400w em outro evento.</t>
  </si>
  <si>
    <t>Equipe saindo com demanda de eventos (04 projetores 400W + 02 pontos de tomada).</t>
  </si>
  <si>
    <t>Equipe realizou ronda (01 ponto), instalou 02 eventos (03 refletores 400W).</t>
  </si>
  <si>
    <t>30/11/2017</t>
  </si>
  <si>
    <t>Equipe saindo com demanda de instalação de 02 eventos (03 refletores 400W).</t>
  </si>
  <si>
    <t xml:space="preserve">Equipe realizou rondas (02 pontos), instalou 01 evento (02 refletores 400W) e fez religação de pisca-pisca do nata na Praça da Matriz. </t>
  </si>
  <si>
    <t>ADEMÁRIO / GECIVALDO / RONALDO</t>
  </si>
  <si>
    <t>29/11/2017</t>
  </si>
  <si>
    <t>Equipe saindo com demandas de rondas.</t>
  </si>
  <si>
    <t>http://www.google.com/maps/dir/?api=1&amp;origin=-12.893209,-38.327099&amp;waypoin&amp;destination=-12.891895,-38.327066</t>
  </si>
  <si>
    <t>http://www.google.com/maps/dir/?api=1&amp;origin=-12.896384,-38.329847&amp;waypoints=-12.893414,-38.320266%7C-12.859975,-38.327684%7C-12.849733,-38.338081%7C-12.881286,-38.33429%7C-12.889708,-38.325642%7C-12.885134,-38.355481%7C-12.878472,-38.352773%7C-12.895566,-38.323616&amp;destination=-12.891864,-38.327135</t>
  </si>
  <si>
    <t>Equipe realizou rondas (09 pontos).</t>
  </si>
  <si>
    <t>28/11/2017</t>
  </si>
  <si>
    <t>27/11/2017</t>
  </si>
  <si>
    <t>Alterado dia 27/11/2017 10:04:47</t>
  </si>
  <si>
    <t>Equipe realizou rondas (14 pontos).</t>
  </si>
  <si>
    <t>Equipe saindo com demandas de rondas</t>
  </si>
  <si>
    <t>26/11/2017</t>
  </si>
  <si>
    <t>Alterado dia 27/11/2017 10:02:32</t>
  </si>
  <si>
    <t>Alterado dia 27/11/2017 10:03:07</t>
  </si>
  <si>
    <t>25/11/2017</t>
  </si>
  <si>
    <t>http://www.google.com/maps/dir/?api=1&amp;origin=-12.8942,-38.327931&amp;waypoints=-12.882997,-38.283165%7C-12.838155,-38.356178%7C-12.877479,-38.324318%7C-12.888142,-38.334516%7C-12.896102,-38.34381%7C-12.895665,-38.347754%7C-12.894069,-38.356198&amp;destination=-12.891823,-38.327084</t>
  </si>
  <si>
    <t>Alterado dia 27/11/2017 09:59:21</t>
  </si>
  <si>
    <t>Equipe realizou rondas (04 pontos).</t>
  </si>
  <si>
    <t>24/11/2017</t>
  </si>
  <si>
    <t>Alterado dia 27/11/2017 09:56:55</t>
  </si>
  <si>
    <t>Equipe realizou instalação de 02 eventos (04 projetores 400W). Colaborador Joilson Costa precisou sair mais cedo para resolver um problema pessoal.</t>
  </si>
  <si>
    <t>Alterado dia 27/11/2017 09:53:27</t>
  </si>
  <si>
    <t>Equipe saindo com demanda de instalação de 02 eventos (04 refletores 400W).</t>
  </si>
  <si>
    <t>http://www.google.com/maps/dir/?api=1&amp;origin=-12.889743,-38.325572&amp;waypoints=-12.869924,-38.339055%7C-12.856535,-38.340858%7C-12.849749,-38.338106%7C-12.854642,-38.359217%7C-12.88656,-38.312448%7C-12.899262,-38.327351%7C-12.883358,-38.339343%7C-12.89556,-38.323448%7C-12.886257,-38.337358%7C-12.883875,-38.342693&amp;destination=-12.891837,-38.327092</t>
  </si>
  <si>
    <t>Alterado dia 27/11/2017 09:50:32</t>
  </si>
  <si>
    <t>23/11/2017</t>
  </si>
  <si>
    <t>Alterado dia 27/11/2017 10:05:18</t>
  </si>
  <si>
    <t>Alterado dia 27/11/2017 09:53:38</t>
  </si>
  <si>
    <t>http://www.google.com/maps/dir/?api=1&amp;origin=-12.896524,-38.332856&amp;waypoints=-12.897109,-38.3424%7C-12.896585,-38.32478%7C-12.870339,-38.320168%7C-12.837883,-38.337345%7C-12.880629,-38.331668%7C-12.878174,-38.332328%7C-12.889882,-38.351229%7C-12.890283,-38.313436%7C-12.89558,-38.323467&amp;destination=-12.891808,-38.327199</t>
  </si>
  <si>
    <t>Alterado dia 23/11/2017 09:32:17</t>
  </si>
  <si>
    <t>Equipe realizou rondas (06 pontos) + instalação de 01 ponto de tomada.</t>
  </si>
  <si>
    <t>22/11/2017</t>
  </si>
  <si>
    <t>http://www.google.com/maps/dir/?api=1&amp;origin=-12.896608,-38.330037&amp;waypoints=-12.897184,-38.33003%7C-12.894762,-38.293441%7C-12.891228,-38.301845%7C-12.893271,-38.305756%7C-12.880943,-38.306764%7C-12.882278,-38.282126%7C-12.877826,-38.285051%7C-12.883055,-38.320984%7C-12.839523,-38.35429%7C-12.841997,-38.334758&amp;destination=-12.891842,-38.327103</t>
  </si>
  <si>
    <t>Alterado dia 23/11/2017 09:24:13</t>
  </si>
  <si>
    <t>Equipe realizou ronda (01 ponto), e no mesmo serviço houve a necessidade de escavação.</t>
  </si>
  <si>
    <t>Alterado dia 23/11/2017 08:38:18</t>
  </si>
  <si>
    <t>http://www.google.com/maps/dir/?api=1&amp;origin=-12.896186,-38.329723&amp;waypoints=-12.876697,-38.352566%7C-12.865928,-38.355956%7C-12.868591,-38.33836%7C-12.878584,-38.334269%7C-12.900824,-38.346558%7C-12.886427,-38.353018%7C-12.891859,-38.327201%7C-12.898757,-38.327667%7C-12.900237,-38.308862%7C-12.890356,-38.303998%7C-12.885273,-38.293436%7C-12.87869,-38.301358%7C-12.897382,-38.325316&amp;destination=-12.891855,-38.327094</t>
  </si>
  <si>
    <t>http://www.google.com/maps/dir/?api=1&amp;origin=-12.894481,-38.328202&amp;waypoints=-12.898342,-38.325232%7C-12.890809,-38.320164%7C-12.892415,-38.31995%7C-12.89828,-38.311777%7C-12.891877,-38.327222%7C-12.90079,-38.341018%7C-12.89689,-38.342712%7C-12.871445,-38.353992%7C-12.886046,-38.345059%7C-12.899261,-38.3272%7C-12.901692,-38.316907%7C-12.860061,-38.298224&amp;destination=-12.891801,-38.327236</t>
  </si>
  <si>
    <t>Alterado dia 23/11/2017 11:22:59</t>
  </si>
  <si>
    <t>http://www.google.com/maps/dir/?api=1&amp;origin=-12.895483,-38.329079&amp;waypoints=-12.894043,-38.356227%7C-12.865278,-38.307719%7C-12.882631,-38.289522%7C-12.882456,-38.289068%7C-12.876192,-38.318258%7C-12.881113,-38.331902%7C-12.881952,-38.340722%7C-12.897404,-38.324914&amp;destination=-12.891832,-38.327134</t>
  </si>
  <si>
    <t>Equipe realizou ronda (01 ponto) e retirou 01 evento (02 refletores).</t>
  </si>
  <si>
    <t>http://www.google.com/maps/dir/?api=1&amp;origin=-12.896538,-38.332824&amp;waypoints=-12.89561,-38.347623%7C-12.887021,-38.290708%7C-12.876608,-38.291125%7C-12.883396,-38.287441%7C-12.8998,-38.296716%7C-12.899515,-38.323684%7C-12.89548,-38.323409%7C-12.8623,-38.291001&amp;destination=-12.891804,-38.327086</t>
  </si>
  <si>
    <t>Equipe realizou rondas (07 pontos) e intalou 01 evento (02 pontos de tomada).</t>
  </si>
  <si>
    <t>http://www.google.com/maps/dir/?api=1&amp;origin=-12.894356,-38.328065&amp;waypoints=-12.897085,-38.325224%7C-12.865474,-38.307881%7C-12.898974,-38.327234%7C-12.896569,-38.324835%7C-12.875713,-38.340783%7C-12.836915,-38.336042%7C-12.880569,-38.330779&amp;destination=-12.891829,-38.327093</t>
  </si>
  <si>
    <t>Equipe realizou ronda (01 ponto) e instalou 02 eventos (02 pontos de tomada + 02 refletores 400W).</t>
  </si>
  <si>
    <t>Equipe saindo com damanda de ronda e instalação de 02 eventos (02 pontos de tomada + 02 refletores 400W).</t>
  </si>
  <si>
    <t>http://www.google.com/maps/dir/?api=1&amp;origin=-12.889521,-38.330843&amp;waypoints=-12.888889,-38.337388%7C-12.891369,-38.294176%7C-12.879734,-38.298311%7C-12.843324,-38.356404%7C-12.886344,-38.345388%7C-12.897953,-38.350212%7C-12.893712,-38.303354%7C-12.878112,-38.332062%7C-12.897224,-38.324794&amp;destination=-12.891837,-38.327097</t>
  </si>
  <si>
    <t>http://www.google.com/maps/dir/?api=1&amp;origin=-12.894821,-38.328504&amp;waypoints=-12.898018,-38.325114%7C-12.88862,-38.307955%7C-12.896074,-38.294895%7C-12.882693,-38.287501%7C-12.879063,-38.284788%7C-12.878176,-38.321633%7C-12.879382,-38.332672%7C-12.899259,-38.327044%7C-12.875338,-38.339603&amp;destination=-12.891878,-38.32709</t>
  </si>
  <si>
    <t>http://www.google.com/maps/dir/?api=1&amp;origin=-12.889597,-38.326594&amp;waypoints=-12.838752,-38.349935%7C-12.908897,-38.304001%7C-12.891527,-38.328795%7C-12.870247,-38.339278%7C-12.842388,-38.35586%7C-12.866364,-38.305421&amp;destination=-12.891859,-38.327269</t>
  </si>
  <si>
    <t>Equipe instalou 02 eventos (04 refletores 400W + 01 poste).</t>
  </si>
  <si>
    <t>ANDERSON / MARCO / RONALDO</t>
  </si>
  <si>
    <t>http://www.google.com/maps/dir/?api=1&amp;origin=-12.890122,-38.330209&amp;waypoints=-12.878861,-38.285087%7C-12.880843,-38.290371%7C-12.88874,-38.288272%7C-12.886785,-38.303013%7C-12.896906,-38.318738%7C-12.87521,-38.337683%7C-12.893877,-38.340905%7C-12.877679,-38.33289%7C-12.89592,-38.347846&amp;destination=-12.891861,-38.327194</t>
  </si>
  <si>
    <t>Equipe realizou ronda (01 ponto) e instalou 01 evento (03 refletores 400W).</t>
  </si>
  <si>
    <t>GECIVALDO / RONALDO</t>
  </si>
  <si>
    <t>Equipe realizou ronda (01 ponto) e instalou 01 evento (02 refletores 400W).</t>
  </si>
  <si>
    <t>Equipe realizou rondas (02 pontos) e retirou 01 evento (03 refletores 400W).</t>
  </si>
  <si>
    <t>http://www.google.com/maps/dir/?api=1&amp;origin=-12.889978,-38.327006&amp;waypoints=-12.856733,-38.354395%7C-12.863787,-38.294222%7C-12.858545,-38.294199%7C-12.869864,-38.338376%7C-12.88249,-38.333441%7C-12.897319,-38.325312&amp;destination=-12.89175,-38.327184</t>
  </si>
  <si>
    <t>Equipe realizou ronda (01 ponto) e realizou atividade de obra.</t>
  </si>
  <si>
    <t>Equipe realizou rondas (03 pontos) e retirou evento (05 refletores 400W).</t>
  </si>
  <si>
    <t>Equipe saindo com demanda de rondas e retirada de eventos.</t>
  </si>
  <si>
    <t>Equipe realizou rondas (02 pontos) e instalou 01 evento (02 refletores 400W).</t>
  </si>
  <si>
    <t>Equipe realizou rondas (13 pontos).</t>
  </si>
  <si>
    <t>Equipe realizou rondas (07 pontos) e instalou 01 evento (02 refletores 400W).</t>
  </si>
  <si>
    <t>Equipe saindo com demanda de rondas e instalação de 01 evento (02 refletores 400W).</t>
  </si>
  <si>
    <t>http://www.google.com/maps/dir/?api=1&amp;origin=-12.895696,-38.332212&amp;waypoints=-12.873331,-38.343708%7C-12.86778,-38.299486%7C-12.879836,-38.332108%7C-12.877217,-38.329879%7C-12.894822,-38.317418%7C-12.897447,-38.324942%7C-12.877567,-38.281654&amp;destination=-12.89185,-38.327107</t>
  </si>
  <si>
    <t>Equipe realizou rondas (15 pontos).</t>
  </si>
  <si>
    <t>ADEMÁRIO / RONALDO / HENRIQUE</t>
  </si>
  <si>
    <t>Equipe realizou rondas (08 pontos), os quais necessitaram realizar escavações.</t>
  </si>
  <si>
    <t>http://www.google.com/maps/dir/?api=1&amp;origin=-12.889776,-38.325542&amp;waypoints=-12.842239,-38.334227%7C-12.877553,-38.326026%7C-12.884051,-38.33888%7C-12.879913,-38.352153%7C-12.886335,-38.352381%7C-12.860259,-38.297318%7C-12.862296,-38.290964%7C-12.885983,-38.310996%7C-12.905355,-38.302465%7C-12.897298,-38.325266&amp;destination=-12.89182,-38.327239</t>
  </si>
  <si>
    <t>31/10/2017 14:55:02</t>
  </si>
  <si>
    <t>31/10/2017 06:33:50</t>
  </si>
  <si>
    <t>31/10/2017 00:23:14</t>
  </si>
  <si>
    <t>Equipe realizou rondas (11 pontos), reprogramação de relógio horário e emendas de cabos no Calçadão de Vilas e instalação de braço completo de 1000mm na Estrada do Coco.</t>
  </si>
  <si>
    <t>ADEMÁRIO / MARCO</t>
  </si>
  <si>
    <t>Equipe saindo com demanda de rondas e obras.</t>
  </si>
  <si>
    <t>Equipe realizou rondas (07 pontos).</t>
  </si>
  <si>
    <t>Equipe realizou ronda (01 ponto) e instalou 01 evento (03 refletores).</t>
  </si>
  <si>
    <t>Equipe saindo com demanda de instalação de 01 evento (03 refletores)</t>
  </si>
  <si>
    <t>Equipe realizou ronda (01 ponto)</t>
  </si>
  <si>
    <t>Equipe retornou mais cedo porque o caminhão quebrou.</t>
  </si>
  <si>
    <t>Equipe realizou ronda (01 pontos) e instalou 01 evento (02 refletores).</t>
  </si>
  <si>
    <t>Equipe saindo com demanda de rondas e instalação de 01 evento (02 refletores 400W)</t>
  </si>
  <si>
    <t>Equipe realizou rondas (06 pontos) e retirou parte do ramal de 01 circuito.</t>
  </si>
  <si>
    <t>Equipe saindo com demanda de rondas e troca de 01 vão de rede.</t>
  </si>
  <si>
    <t xml:space="preserve">Equipe realizou rondas (02 pontos).  </t>
  </si>
  <si>
    <t>Equipe realizou ronda (01 ponto), retirou 01 evento (03 refletores) e instalou 01 evento (02 refletores + 02 pontos de tomada).</t>
  </si>
  <si>
    <t>Equipe saindo com demanda de rondas e retirada de 01 evento (02 refletores + 02 pontos de tomada).</t>
  </si>
  <si>
    <t>Equipe realizou rondas (06 pontos) e instalou película em refletor (outubro rosa).</t>
  </si>
  <si>
    <t>Equipe realizou ronda (01 ponto) e instalou 01 evento (03 projetores).</t>
  </si>
  <si>
    <t>Equipe saindo com demanda de rondas e instalação de 01 evento (03 projetores).</t>
  </si>
  <si>
    <t>Equipe realizou rondas (12 pontos) e instalou 01 evento (03 pontos de tomada).</t>
  </si>
  <si>
    <t>Equipe saindo com demanda de rondas e instalação de 01 evento (03 pontos de tomada).</t>
  </si>
  <si>
    <t>Equipe realizou rondas (05 pontos) e retirou 01 evento (03 refletores). Chuva durante o turno atrapalhou o serviço. Equipe saiu mais tarde por conta da SIPAT.</t>
  </si>
  <si>
    <t>Equipe saindo com demanda de rondas e retirada de 01 evento (03 refletores).</t>
  </si>
  <si>
    <t>Equipe realizou rondas (05 pontos). Equipe saiu mais tarde por conta da SIPAT.</t>
  </si>
  <si>
    <t>HERVAL / VALDEI</t>
  </si>
  <si>
    <t>Equipe realizou rondas (03 pontos). Equipe saiu mais tarde por conta da SIPAT.</t>
  </si>
  <si>
    <t>Equipe realizou ronda (01 ponto). Chuva durante o turno atrapalhando o serviço. Equipe saiu mais tarde por conta da SIPAT.</t>
  </si>
  <si>
    <t>Chuva durante o turno atrapalhando o serviço. Equipe saiu mais tarde por conta da SIPAT.</t>
  </si>
  <si>
    <t>Equipe realizou ronda (01 ponto). Chuva durante o turno atrapalhando o serviço.</t>
  </si>
  <si>
    <t>Equipe realizou ronda (01 pontos). Equipe saiu mais tarde por conta da SIPAT.</t>
  </si>
  <si>
    <t>Equipe saiu mais tarde por conta da SIPAT.</t>
  </si>
  <si>
    <t>Equipe saindo com demanda de rondas e retirada de 02 eventos (01 refletor e 01 ponto de tomada).</t>
  </si>
  <si>
    <t>Equipe realizou rondas (16 pontos).</t>
  </si>
  <si>
    <t>Equipe saindo com demanda de rondas, instalação de 01 evento (02 pontos de tomada) e retirada de 01 evento (02 refletores).</t>
  </si>
  <si>
    <t>Equipe saiu com demanda de ronda.</t>
  </si>
  <si>
    <t>Equipe realizou rondas (10 pontos) e instalou 02 eventos (05 refletores).</t>
  </si>
  <si>
    <t>Equipe saindo com demanda de instalação de 02 eventos (05 refletores).</t>
  </si>
  <si>
    <t>Equipe realizou rondas (10 pontos).</t>
  </si>
  <si>
    <t>Equipe realizou rondas (04 pontos) e fez instalação de 04 eventos (01 refletor + 04 pontos de tomada).</t>
  </si>
  <si>
    <t>Equipe saindo com demanda de rondas e instalação de 04 eventos (01 refletor + 04 pontos de tomada).</t>
  </si>
  <si>
    <t>Equipe realizou instalação de 01 evento (01 refletor).</t>
  </si>
  <si>
    <t>Equipe saindo com demanda de ronda e instalação de 01 evento (01 refletor)</t>
  </si>
  <si>
    <t>Equipe saindo com demanda de instalação de 01 evento (01 refletor)</t>
  </si>
  <si>
    <t>Equipe realizou rondas no Cond. Encontro das Águas (15 pontos).</t>
  </si>
  <si>
    <t>Equipe saindo com demanda de ronda no Cond. Encontro das Águas.</t>
  </si>
  <si>
    <t>Equipe realizou ronas (06 pontos).</t>
  </si>
  <si>
    <t>Equipe realizou rondas (02 pontos). Atraso na saída por conta do aniversariante do mês e supervisor fez inspeção ferremental.</t>
  </si>
  <si>
    <t xml:space="preserve">Equipe saiu com demanda de rondas. </t>
  </si>
  <si>
    <t>Equipe realizou rondas (07 pontos) e instalação de 01 evento (02 pontos de tomada).</t>
  </si>
  <si>
    <t>Equipe saiu com demanda de rondas instalação de 01 evento (02 pontos de tomada).</t>
  </si>
  <si>
    <t>Equipe realizou rondas (04 pontos) e instalou 01 evento (03 projetores).</t>
  </si>
  <si>
    <t>Equipe saiu com demanda de rondas instalação de 01 evento (03 projetores).</t>
  </si>
  <si>
    <t>Equipe realizou rondas (04 pontos) e fez instalação de 02 eventos (04 projetores).</t>
  </si>
  <si>
    <t>Equipe saiu com demanda de rondas instalação de 02 eventos (04 projetores).</t>
  </si>
  <si>
    <t>Equipe realizou instalação de 01 evento (04 projetores).</t>
  </si>
  <si>
    <t>Equipe saiu com demanda de instalação de 01 evento (04 refletores)</t>
  </si>
  <si>
    <t>Equipe realizou instalação de 05 projetores de 150W em passarela e fez troca de fase de um disjuntor.</t>
  </si>
  <si>
    <t>Equipe retirou 06 eventos (13 refletores).</t>
  </si>
  <si>
    <t>EDILTON / GECIVALDO / MARCO</t>
  </si>
  <si>
    <t>Equipe realizou rondas (08 pontos), e precisou retornar mais cedo.</t>
  </si>
  <si>
    <t>Equipe realizou rondas (02 pontos), fez instalação de 01 evento (02 projetores), retirou 01 eventos (02 projetores) e implantou 01 poste telecônico incluindo mudança do ramal no mesmo ponto.</t>
  </si>
  <si>
    <t>Equipe saindo com demanda de rondas e instalação e retirada de eventos.</t>
  </si>
  <si>
    <t>Equipe foi liberada mais cedo com autorização da supervisão.</t>
  </si>
  <si>
    <t>Equipe realizou rondas (04 pontos) e foi instalar eventos em Vilas.</t>
  </si>
  <si>
    <t>Equipe realizou ronda (01 ponto) e fez instalação de 03 refletores.</t>
  </si>
  <si>
    <t>Equipe saindo com demanda de instalação de 03 refletores.</t>
  </si>
  <si>
    <t>Equipe realizou rondas (04 pontos) e fez instalação de 01 luminária de 400w.</t>
  </si>
  <si>
    <t>Equipe saiu com demanda de rondas e instalação de 01 luminária de 400W.</t>
  </si>
  <si>
    <t>Equipe realizou retirada de 01 evento (03 refletores) e instalação de 01 evento (02 refletores).</t>
  </si>
  <si>
    <t>Equipe saindo com demanda de retirada de 01 evento (03 refletores) e instalação de 01 evento (02 refletores).</t>
  </si>
  <si>
    <t>Equipe realizou rondas (08 pontos).</t>
  </si>
  <si>
    <t>Equipe realizou instalação de 02 eventos (05 refletores e 03 pontos de tomada) e realizou rondas (11 pontos).</t>
  </si>
  <si>
    <t>Equipe saindo com demanda de ronda e instalação de 02 eventos (05 refletores e 03 pontos de tomada.</t>
  </si>
  <si>
    <t>Equipe realizou rondas (04 pontos) e fez instalação de 01 evento (03 refletores).</t>
  </si>
  <si>
    <t>Equipe saindo com demanda de ronda e instalação de 01 evento (03 refletores).</t>
  </si>
  <si>
    <t>Equipe realizou instalação de 02 eventos (04 projetores e 01 pontos de tomada).</t>
  </si>
  <si>
    <t>Equiepe realizou rondas no Calçadão de Vilas (08 pontos) e fez troca de 02 refletores.</t>
  </si>
  <si>
    <t>Equipe saindo com demanda de manutenção no Cond. Encontro das Águas.</t>
  </si>
  <si>
    <t>Equipe realizou retirada de 02 eventos (06 refletores + 02 pontos de tomada).</t>
  </si>
  <si>
    <t>Equipe saiu com demanda de retirada de 02 eventos (06 refletores + 02 pontos de tomada).</t>
  </si>
  <si>
    <t>Equipe realizou ronda (01 ponto) e fez substituição de 01 disjuntor na orla de Ipitanga.</t>
  </si>
  <si>
    <t>Equipe ficou ate as 16:08hs no Calçadão de Vilas para solucionar um curto na rede.</t>
  </si>
  <si>
    <t>Equipe saindo com 06 protocolos de sistema no total de 10 pontos sendo que 02 pontos será realizado no Calçadão de Vilas = percorrer circuito = escavação.</t>
  </si>
  <si>
    <t>Equipe realizou rondas (13 pontos) e retirou 01 refletor.</t>
  </si>
  <si>
    <t>Equipe saindo com demanda de rondas e retirada de 02 eventos.</t>
  </si>
  <si>
    <t>Equipe realizou acionamento de disjuntor na orla de ipitanga, sendo que o mesmo estava com problema e precisou retornar para fazer um acionamento direto.</t>
  </si>
  <si>
    <t>Equipe instalou 02 eventos (04 refletores, 01 ponto de tomada e 01 disjuntor), a mesma informou que choveu durante o serviço. Também foram realizadas rondas (02 pontos).</t>
  </si>
  <si>
    <t>Equipe saindo com demanda de instalação de 02 eventos (04 refletores + 01 ponto de tomada).</t>
  </si>
  <si>
    <t xml:space="preserve">Equipe visitou ponto do protocolo e informou que é um serviço fora da rotina, será verificado juntamente com a supervisão. Foi feito a retirada de 01 ponto trifásico e a equipe passou parte do turno procurando um curto em circuito subterrâneo. </t>
  </si>
  <si>
    <t>Equipe predestinada a atender 01 prot. De 03 pontos + manut. Em pontos apagados na Via Alternativa + ronda nas vias : Beira Rio, Luis Tarquineo, Priscila Dultra, Praia de Itapua, Amarilio T. dos Santos</t>
  </si>
  <si>
    <t>EDILTON / MARCO</t>
  </si>
  <si>
    <t>Equipe predestinada a atender 02 prot. De 01 ponto cada + realizar manut. Em 06 pontos já marcados pela supervisao em V. Nova + ronda na Djanira M. Bastos.</t>
  </si>
  <si>
    <t>Equipe realizou 03 prot. De 01 ponto + 01 prot. De 02 pontos e mais 09 notas de ronda.</t>
  </si>
  <si>
    <t>Equipe realizou manut. Em 09 pontos de ronda + retirada de 04 proj. de evento + instalação de 02 proj. de evento.</t>
  </si>
  <si>
    <t>ANDERSON / RONALDO</t>
  </si>
  <si>
    <t>Equipe instalou 01 reamal trifásico em evento e rondas (09 pontos).</t>
  </si>
  <si>
    <t>Equipe realizou instalação de 02 eventos (04 projetores e 02 pontos de tomada).</t>
  </si>
  <si>
    <t>Equipe saiu com demanda de instalação de 02 eventos (04 projetores e 02 pontos de tomada).</t>
  </si>
  <si>
    <t>Equipe realizou ronda (02 pontos).</t>
  </si>
  <si>
    <t>Equipe realizou ronda (10 pontos).</t>
  </si>
  <si>
    <t>Equipe retirou 04 eventos (10 refletores) e realizou rondas (03 pontos).</t>
  </si>
  <si>
    <t>Equipe saiu com demanda de ronda e retirada de eventos.</t>
  </si>
  <si>
    <t>Equipe informou que choveu bastante durante o turno.</t>
  </si>
  <si>
    <t>Equipe realizou rondas (03 pontos) e instalou 01 evento (02 refletores e 01 ponto de tomada).</t>
  </si>
  <si>
    <t>Equipe saiu com demanda de ronda e instalação de 01 evento (02 refletores e 01 pontos de tomada.</t>
  </si>
  <si>
    <t>Equipe realizou rondas (05 pontos) e instalou 02 eventos (04 refletores).</t>
  </si>
  <si>
    <t>Equipe saiu com demanda de ronda e instalação de 02 eventos (04 refletores).</t>
  </si>
  <si>
    <t>Equipe realizou ronda (08 pontos) e instalou 02 eventos (03 refletores e 01 ponto de tomada. Choveu durante o turno.</t>
  </si>
  <si>
    <t>Equipe saiu com demanda de ronda e instalação de 02 eventos.</t>
  </si>
  <si>
    <t>Colaborador Edilton teve que acompanhar a esposa em uma Emergência e por isso chegou mais tarde.</t>
  </si>
  <si>
    <t>Equipe aguardou a retirada de um veículo terceiro para realizaçao de serviço em um ponto. Equipe informa realizar serviço de um ponto na escada levando mais 40 minutos para finalizar o mesmo.</t>
  </si>
  <si>
    <t>Equipe realizou rondas (02 pontos) e retirou 01 braço de 3000mm completo. Atraso na saída por conta do aniversariante do mês e supervisor fez inspeção ferremental.</t>
  </si>
  <si>
    <t xml:space="preserve">Equipe realizou rondas e saiu mais tarde por contra da palestra (assunto: hergonomia). </t>
  </si>
  <si>
    <t xml:space="preserve">Equipe realizou 01 ronda (01 pontos) e saiu mais tarde por contra da palestra (assunto: hergonomia). </t>
  </si>
  <si>
    <t xml:space="preserve">Equipe realizou rondas (03 pontos) e saiu mais tarde por contra da palestra (assunto: hergonomia). </t>
  </si>
  <si>
    <t>Equipe realizou rondas (07 pontos), 01 protocolo de 01 ponto repetido e retornou mais cedo por conta de uma palestra na base (assunto: ergonomia).</t>
  </si>
  <si>
    <t>Equipe saiu com demanda de rondas, além dos protocolos.</t>
  </si>
  <si>
    <t>Equipe saindo atrasado pois estava esperando repor o material.</t>
  </si>
  <si>
    <t>Equipe saindo para solucionar um curto na Est. do Coco + Inst. De 01 braço completo de 3000mm em Vilas + ronda na mesma área.</t>
  </si>
  <si>
    <t>Equipe saindo atrasado pois estava esperando repor o material. Foi encontrado 01 ponto já normalizado.</t>
  </si>
  <si>
    <t>Equipe realizou 05 notas de ronda + retirada de 07 projetores.</t>
  </si>
  <si>
    <t>Equipe saiu com demanda para retirar 03 eventos (07 refletores + 02 pontos de tomada + 01 iluminação para toldo).</t>
  </si>
  <si>
    <t>Equipe realizou troca de 01 braço completo de 2000mm e instalação de 01 disjuntor trifásico.</t>
  </si>
  <si>
    <r>
      <t xml:space="preserve"> Saída da equipe comprometida por causa da Insp. De ferramental realizada e</t>
    </r>
    <r>
      <rPr>
        <b/>
        <sz val="12"/>
        <color theme="1"/>
        <rFont val="Calibri"/>
        <family val="2"/>
        <scheme val="minor"/>
      </rPr>
      <t>n</t>
    </r>
    <r>
      <rPr>
        <sz val="12"/>
        <color theme="1"/>
        <rFont val="Calibri"/>
        <family val="2"/>
        <scheme val="minor"/>
      </rPr>
      <t>tre 15:37hs e 16:00hs. Equipe saindo com demanda de troca de braço completo.</t>
    </r>
  </si>
  <si>
    <t>Equipe relalizou rondas (04 pontos), instalou e retirou eventos. Foi necessário ficar até mais tarde para concluir a retirada do evento na Praça da Matriz, por conta da segurança do material.</t>
  </si>
  <si>
    <t>Equipe saiu com demanda de ronda, instalação e retirada de 01 evento.</t>
  </si>
  <si>
    <t>Equipe realizou rondas (02 pontos), fez instalação de 01 evento e retirada de outro.</t>
  </si>
  <si>
    <t>Equipe saindo com 05 pontos sendo que 01 é para instalar uma lum. De 150w e outro é para instalar um braço de 1000mm remanejado + recolher 03 projetores do evendo da Praça do Caraguejo + instalar o evento 399 que são 02 proj + 01 ponto de luz + 01 tom. 110v + 01 tom. 220v.</t>
  </si>
  <si>
    <t>Equipe instalou os 02 eventos previstos + ronda em 02 pontos.</t>
  </si>
  <si>
    <t>Equipe saindo com 02 eventos sendo que 10 instalaçoes no CAIC e 06 na Pç. Da Matriz.</t>
  </si>
  <si>
    <t>Equipe instalou os eventos + desmobilização do evento do rest. de R$ 2,00 + 04 notas de ronda.</t>
  </si>
  <si>
    <t>Equipe saindo com 02 eventos com inst. De 03 proj. cada + desmobilização do evento no est. do rest. de R$2,00.</t>
  </si>
  <si>
    <t>Equipe informou que a chuva atrapalhou a produtividade no final do turno.</t>
  </si>
  <si>
    <t>Equipe saindo com 02 manutenções dentro do patio da SESP.</t>
  </si>
  <si>
    <t>Antes de sair da base, a equipe testou os 05 projetores dos eventos. Equipe retornou mais cedo para base para realizar insp. De ferramental.</t>
  </si>
  <si>
    <t>Equipe saiu com 02 demandas de ronda, cada uma com 02 pontos, e instalações de 02 eventos.</t>
  </si>
  <si>
    <t>Equipe retirou 01 ponto de tomada que atendia a carreta da Justiça na Itinga. Equipe retirou 03 refletores + 20mt de rede do evento PA de Vida Nova na Escola Vida Nova.</t>
  </si>
  <si>
    <t>Equipe saiu com demanda de ronda e retirada de 01 evento.</t>
  </si>
  <si>
    <t xml:space="preserve">Equipe realizou manutenção de chave magnetica e instalação da mesma para sanar problema de pontos aceso durante o dia na área da Concha Acustica. Equipe reposicionou braço caido na rua Eliezer Veloso em Ipitanga. </t>
  </si>
  <si>
    <t>HERVAL / JOILSON / VALDEI</t>
  </si>
  <si>
    <t xml:space="preserve">Equipe apoiou o evento do multirão de cirurgia das 07:00hs às 08:40hs , equipe foi atender um protocolo de 02 pontos que já estava normalizado. </t>
  </si>
  <si>
    <t>Equipe instalou 60mt de rede multiplex + 01 chave magnetica + iluminação em 17 toldos.</t>
  </si>
  <si>
    <t>Equipe saindo com 01 prot. De 01 ponto + 02 prot. De 03 pontos cada + evento do Multirão de cirurgia + reposição de 02 luminarias na Est. do coco.</t>
  </si>
  <si>
    <t>Equipe relata que a chuva comprometeu a produção e só em um atendimento, eles perderam 58mn esperando a chuva passar para iniciar o serviço. E instalou 01 evento (ponto trifásico).</t>
  </si>
  <si>
    <t>Equipe participou do DDS, teste dos projetores de evento e aguardaram o abastecimento de material no veículo que atrazou um tempo a mais. Equipe instalou 03 refletores + 35mt de rede  no colegio V. Nova sendo que 01 refletor foi externo e 02 refletores na área interna do colegio.</t>
  </si>
  <si>
    <t>Equipe saiu com demanda para instalar 01 evento (03 refletores 400W).</t>
  </si>
  <si>
    <t>Equipe saiu com demanda de ronda no Encontro das Águas.</t>
  </si>
  <si>
    <t>Equipe visitou um protocolo de 01 ponto e constatou que o problema é na obra do metrô, e realizou rondas (10 pontos)</t>
  </si>
  <si>
    <t>Equipe realizou rondas (08 pontos) e retirou 04 eventos (13 refletores)</t>
  </si>
  <si>
    <t>Equipe saiu com demandas de ronda e retirada de eventos.</t>
  </si>
  <si>
    <t xml:space="preserve">Protocolo com 20 pontos no calçadão de vilas, problema do circuito requer escavação em varios trechos para identificar curto. Equipe investiu o final do turno em escavações. </t>
  </si>
  <si>
    <t>Protocolo referente ao calçadão de vilas.</t>
  </si>
  <si>
    <t>Equipe realizou rondas (11 pontos) e retirou eventos.</t>
  </si>
  <si>
    <t>Equipe realizou rondas (02 pontos) e retirou dois eventos (03 refletores). Por falta de relê NF a equipe retornou à base mais cedo e com isso comprometendo a produtividade.</t>
  </si>
  <si>
    <t>Equiepe realizou rondas (05 pontos). Por falta de relê NF a equipe retornou à base mais cedo.</t>
  </si>
  <si>
    <t xml:space="preserve">Equipe saiu com demandas de ronda </t>
  </si>
  <si>
    <t>Equipe realizou rondas (11 pontos)</t>
  </si>
  <si>
    <t>Equipe saiu com demandas de ronda</t>
  </si>
  <si>
    <t>Equipe predestinada a realizar ronda no bairro de Vida Nova e na Djanira M. Bastos.</t>
  </si>
  <si>
    <t>Equipe prestou um apoio a equipe de Edilton entre 22:15h e 23:30h em 03 manuteçoes na rua Djanira M. Bastos ( Ponto em local perigoso - curvas )</t>
  </si>
  <si>
    <t>Equipe predestinada a realizar ronda no bairro de Itinga.</t>
  </si>
  <si>
    <t>Equipe gastou um tempo a mais para realizar uma substituiçao de um braço de 1000mm remanejado no protocolo 151969, equipe relata tambem gastar um tempo amais no protocolo 152019 que foi necessario realizar o serviço na escada.</t>
  </si>
  <si>
    <t>Ronda na Rua Nossa Senhora das Dores, Itinga, e 02 pontos na Praça da Mulher, Itinga.</t>
  </si>
  <si>
    <t>Equipe instalou 04 eventos (11refletores) e realizou rondas (07pontos).</t>
  </si>
  <si>
    <t>Eventos (11 refletores)</t>
  </si>
  <si>
    <t>Equipe realizou rondas (13 pontos), um protocolo de 01 ponto não foi executado porque precisa trocar o braço e um de 02 pontos por conta da insegurança no local.</t>
  </si>
  <si>
    <t>Manutenção no Jardim Tropical e ronda no Encontro das Águas.</t>
  </si>
  <si>
    <t>Equipe realizou ronda na orla de Ipitanga.</t>
  </si>
  <si>
    <t>Equipe saiu com demanda da supervisão para realizar ronda na orla de Ipitanga.</t>
  </si>
  <si>
    <t>Equipe normalizou parte do apagão da Via Alternativa, realizando escavação e conecxão, ascendendo 09 pontos no total.</t>
  </si>
  <si>
    <t>Equipe ralizou uma ronda (01ponto) e manutenção na Estrada do Coco, onde foi necessário escavação (21:15 - 22:00 horas)</t>
  </si>
  <si>
    <t>Equipe realizou ronda (04 pontos no mesmo logradouro)</t>
  </si>
  <si>
    <t>ANDERSON / GECIVALDO</t>
  </si>
  <si>
    <t>Manutenção no campo de Vila Nova de Portão. Regularização de circuito. Primeiro serviço finalizado às 17:03.</t>
  </si>
  <si>
    <t>Equipe realizou rondas</t>
  </si>
  <si>
    <t>Equipe instalou 01 refletor e realizou rondas.</t>
  </si>
  <si>
    <t>Equipe resolveu parte do apagão da Via Alternativa, entre 22:10 e 23:20. E realizou rondas (05 pontos). Um dos integrantes da equipe chegou atrasado por conta do trânsito.</t>
  </si>
  <si>
    <t>Evento de dia dos pais na troca de turno.</t>
  </si>
  <si>
    <t>Equipe normalizou parte do apagão da Via Expressa (09 pontos) de 20:50 às 00:18.</t>
  </si>
  <si>
    <t>Equipe realizou retirada de 02 refletores e ronda (02 pontos)</t>
  </si>
  <si>
    <t>Retirar eventos e realizar ronda.</t>
  </si>
  <si>
    <t>Equipe instalou 01 evento com lançamento de rede + 04 pontos de tomada + 09 pontos de iluminação em toldos.</t>
  </si>
  <si>
    <t>Visitar apagão na Via Expressa.</t>
  </si>
  <si>
    <t>Equipe realizou ronda (06 pontos)</t>
  </si>
  <si>
    <t>Equipe realizou rondas solicitadas pela supervisão (07 pontos)</t>
  </si>
  <si>
    <t>Equipe saiu com solicitação do cliente para executar manutenção no campo de V. N. de Portão.</t>
  </si>
  <si>
    <t>Equipe realizou 03 manutenções de ronda.</t>
  </si>
  <si>
    <t>ANDERSON / EDILTON / GECIVALDO</t>
  </si>
  <si>
    <t>Instalou eventos e realizou rondas</t>
  </si>
  <si>
    <t>Equipe realizou rondas e troca de 01 braço de 1000mm.</t>
  </si>
  <si>
    <t>Protocolo com 05 pontos foi encontrado normal.</t>
  </si>
  <si>
    <t>Veículo OUX-2321 (caminhão Ford) teve um problema no comando das patolas, o mesmo foi encaminhado para a oficina.</t>
  </si>
  <si>
    <t>Equipe instalou 01 evento. Manutenção de 17 pontos em condomínio fechado.</t>
  </si>
  <si>
    <t>Equipe realizou ronda na Av. Beira Rio, Centro.</t>
  </si>
  <si>
    <t>Equipe instalou 01 luminária.</t>
  </si>
  <si>
    <t>Equipe realizou retirada de 02 eventos</t>
  </si>
  <si>
    <t>CLEBER / HENRIQUE / HERVAL</t>
  </si>
  <si>
    <t>Equipe fez instalação de 01 ponto de tomada.</t>
  </si>
  <si>
    <t>Equipe informou que alguns logradouros não tive acesso com o caminhão, 01 ponto não foi localizado e durante alguns momentos ficaram parados por conta da chuva.</t>
  </si>
  <si>
    <t>Equipe  visitou uma nota onde foi identificado a ausencia de 60mt de rede.</t>
  </si>
  <si>
    <t>Equipe realizou 06 rondas + 01 prot. De 01 ponto + inst. Do evento OS:347 + Regularização do braço da arquibancada do campo da Boca da Mata.</t>
  </si>
  <si>
    <t>Equipe saindo com manut. Em 01 ponto de IP + Campo de V. Nova De Portao + Regularização de um braço caído na arquibancada do campo da Boca da Mata + Inst. De 03 refletores para o evento OS: 347 + Ronda na Quingoma.</t>
  </si>
  <si>
    <t>Equipe sainda com 04 pontos + ronda nas áreas de Portão e Praia de Ipitanga.</t>
  </si>
  <si>
    <t>Falta lançamento dos dados da ronda deste dia.</t>
  </si>
  <si>
    <t>Equipe saindo com 03 eventos para recolher + alguns pedidos da SESP.</t>
  </si>
  <si>
    <t>Equipe saindo com manutenção em  09 pontos + ronda em Buraquinho.</t>
  </si>
  <si>
    <t xml:space="preserve"> ADEMÁRIO ligou para o superviso relatando que iria se atrasar por conta de um acidente na via. Equipe realizou ronda em Vilas + parada para acionamento de disjuntores na via Expressa.</t>
  </si>
  <si>
    <t>Equipe retirou 01 ponto de tomada em Areia Branca inst. Dia 22/07.</t>
  </si>
  <si>
    <t>Equipe realizou manut. Em 10 ponto sendo que tiveram de escavar 01 deles assim comprometendo a produção do dia.</t>
  </si>
  <si>
    <t>Equipe teve que esperar armar 02 toldos para inst. 02 ponto de luz + 01 ponto de tomada 220v em Areia Branca (solicitação urgente do cliente autorizada pelo gerente) + normalização de 01 ponto de tomada 127v na Pç. Da Matriz + Diagnostico de falta de 01 braço no prot. 148575 localizado na praia do Sossego em Vilas.</t>
  </si>
  <si>
    <t>Equipe instalou 03 eventos + 02 manut. Na praça da Matriz.</t>
  </si>
  <si>
    <t>2</t>
  </si>
  <si>
    <t>Equipe saiu com instalação de 03 eventos + ronda.</t>
  </si>
  <si>
    <t>Equipe realizou manut. Em 13 ponto + inst. De 01 evento, ( OS :340 ).</t>
  </si>
  <si>
    <t xml:space="preserve"> </t>
  </si>
  <si>
    <t>Equipe saiu co 10 pontos + 02 manut. Solicitado pela SESP + 01 evento ( OS: 340 ).</t>
  </si>
  <si>
    <t>??</t>
  </si>
  <si>
    <t>Equipe finalizou a manutenção do campo + visita ao ponto da ouvidoria que encontrava-se normal e realizou 02 notas de ronda em refletores defronte ao Hosp. Menandro a pedido da SESP.</t>
  </si>
  <si>
    <t>Equipe saindo com manut. Em 09 ref. em um campo de Portao + 01 ponto da ouvidoria + ronda.</t>
  </si>
  <si>
    <t>Equipe executou 08 prot. + 06 rondas.</t>
  </si>
  <si>
    <t>Equipe saindo com 12 pontos + ronda na Av. Praia de Itapua.</t>
  </si>
  <si>
    <t>Equipe informa que 03 pontos teve que fazer na escada e por isso demorou mais.</t>
  </si>
  <si>
    <t>Equipe saiu com demanda da equipe de Anderson pois o mesmo estava de atestado medico.</t>
  </si>
  <si>
    <t>Equipe saiu com 03 protocolos do mesmo logradouro, cada um com mais de 03 pontos.</t>
  </si>
  <si>
    <t>Equipe instalou 01 braço de 3000mm</t>
  </si>
  <si>
    <t>Equipe irá realizar troca de 02 braços conforme OS 117.</t>
  </si>
  <si>
    <t>Colaborador Anderson passou mal por volta das 19:30hs e foi direcionado para a emergência do Hospital Aeroporto.</t>
  </si>
  <si>
    <t>Equipe saindo com 09 pontos + Realizar rondas no Centro de Lauro.</t>
  </si>
  <si>
    <t>Atraso para saída da equipe devido a necessidade de ajuste por falta de um colaborador. Anderson passou antes do fim do turno, equipe voltou mais cedo de campo.</t>
  </si>
  <si>
    <t>Equipe iniciou o serviço as 09:20 por conta da chuva.</t>
  </si>
  <si>
    <t>GERALDO / VALDEI</t>
  </si>
  <si>
    <t>Equipe instalou 01 evento + escavação na Est. do coco para regularizar apagão.</t>
  </si>
  <si>
    <t>Equipe saiu com demanda de instalação de 01 evento (02 refletores)</t>
  </si>
  <si>
    <t>Equipe realizou ronda em Buraquinho (08 pontos no mesmo logradouro)</t>
  </si>
  <si>
    <t>equipe executou 05 prot. + 01 ronda decorrente dos mesmos + 11 notas de ronda  entere a via Alternativa e a rua Luis Tarquineo.</t>
  </si>
  <si>
    <t>CLEBER / HERVAL</t>
  </si>
  <si>
    <t>Equipe saiu com demanda de ronda na Via Alternativa.</t>
  </si>
  <si>
    <t>Equipe executou 04 prot. + 04 nota de rondas decorrente dos mesmos + 07 notas de ronda na via principal de Buraquinho.</t>
  </si>
  <si>
    <t>Equipe saiu com demanda de ronda em Buraquinho.</t>
  </si>
  <si>
    <t>Equipe executou 07 prot. + 05 notas de rondas decorrente dos mesmos.</t>
  </si>
  <si>
    <t>Equipe executou 07 protocolos + 01 nota de ronda e visitou 02 end. Que não pode efetuar manut. 01 rua com risco de atolar e o outro era para repor rede.</t>
  </si>
  <si>
    <t>Equipe sando com 10 protocolos + uma solicitação da SESP com 04 pontos.</t>
  </si>
  <si>
    <t>Equipe fez manut. Em um ponto na Est. do Coco + Escavação na rotatoria da Via Expressa para solucionar um apagão.</t>
  </si>
  <si>
    <t>GERALDO / VAGNER</t>
  </si>
  <si>
    <t>Equipe levou protocolo com vários pontos apagados (sem especificação de quantidade) para verificar o problema.</t>
  </si>
  <si>
    <t>Equipe instalou 02 luminarias LED no Calçadao + reposição de 10 mt de cabo 2x16mm</t>
  </si>
  <si>
    <t>Equipe encontrou 02 pontos de logradouros diferentes já normalizados.</t>
  </si>
  <si>
    <t>Equipe realizou retirada de 01 evento, encontrou 02 pontos com defeito próximos à rede da consessionária e 01 ponto com necessidade de manutenção na rede da concessionária.</t>
  </si>
  <si>
    <t>Equipe realizou retirada de 03 eventos.</t>
  </si>
  <si>
    <t>Equipe saindo com 9 pontos + 03 eventos para retirar.</t>
  </si>
  <si>
    <t>Equipe encontrou 03 pontos normalizados, sendo eles de protocolos diferentes.</t>
  </si>
  <si>
    <t>JOILSON / GECIVALDO</t>
  </si>
  <si>
    <t>Equipe encontrou 03 pontos normalizados.</t>
  </si>
  <si>
    <t>Equipe encontrou 01 ponto normalizado.</t>
  </si>
  <si>
    <t>Equipe realizou escavação e emenda de cabos entre 17:20-18:55 para resolver um apagão em Ipitanga.</t>
  </si>
  <si>
    <t>Equipe realizou instalação de cabo solicidado pela SESP.</t>
  </si>
  <si>
    <t>Equipe saindo com 14 pontos + uma situação na secretaria de cultura em Portao a pedido da SESP.</t>
  </si>
  <si>
    <t>02 protocolos de 01 ponto encontrados normalizados. Equipe visitou a Praça de Oti, Centro, foi idenficado falta de fase, sendo esse o motivo do apagão no local.</t>
  </si>
  <si>
    <t>Equipe não encontrou 02 pontos localizado na rua Caiçara em Areia Branca. Equipe esteve no cond. Solare Residence na rua Teocrito Batista mas não foi possivel realizar a manutenção pois é necessario retornar com a Hilux.</t>
  </si>
  <si>
    <t>Equipe esteve no cemiterio de Portao mas não realizou o serviço pois trata-se de 03 pontos no interior do mesmo ( Programar serviço durante o dia ).</t>
  </si>
  <si>
    <t>EDILTON / VALDEI</t>
  </si>
  <si>
    <t>Protocolo de 02 pontos: 02 já normalizados. Protocolo de 04 pontos: 02 já normalizados</t>
  </si>
  <si>
    <t xml:space="preserve">Equipe visitou mas não fez manut. Em 02 prot. De 01 ponto pois um tem a necessidade de programar para baixar o braço e outro te que subst. O braço de 1000mm. Equipe esteve na Est. do coco para verificar um apagão mas não foi resolvido pois no trecho do apagão, capinarão e estava cheio de mato assim dificutando localizar as caixas de passagem e acesso ao circuito. </t>
  </si>
  <si>
    <t>Equipe realizou obra na praça de Vilas, ao lado do Colégio Apoio.</t>
  </si>
  <si>
    <t>Equipe ligou para o supervisor e informou que estava chovendo muito.</t>
  </si>
  <si>
    <t>Equipe saindo com 13 pontos + Manut. Do campo do Pinicão e campo do Pela Porco solicitado por TOM.</t>
  </si>
  <si>
    <t>Equipe saiu com 12 pontos de IP + 01 evento (OS:267) para intalar.</t>
  </si>
  <si>
    <t>Equipe saiu atrasada por que o colaborador Anderson Luiz esteve em uma audiencia para resolver um assunto pessoal.</t>
  </si>
  <si>
    <t xml:space="preserve">Equipe foi em um prot. De 01 ponto e realizou 04 manut. : Equipe não fez 02 prot. Pois 01 era furto de rede e o outro ponto muito proximo a rede primaria. </t>
  </si>
  <si>
    <t>Equipe visitou protocolo de 03 pontos led e idenficou necessidade de troca.</t>
  </si>
  <si>
    <t>Equipe encontrou 02 pontos normalizados, sendo um em cada protocolo de 01 ponto.</t>
  </si>
  <si>
    <t>Um protocolo de 01 ponto não foi localizado.</t>
  </si>
  <si>
    <t>Equipe saiu da base mais tarde por conta da palestra sobre hipertensão. Equipe retirou os 02 eventos e normalizou a praça do Largo do Sossego onde foi necessario fazer escavaçáo para descobrir curto.</t>
  </si>
  <si>
    <t>Equipe saíu com protocolos de sistema + 02 eventos ´para retirar + 01 praça para normalizar.</t>
  </si>
  <si>
    <t>Equipe saiu da base mais tarde por conta da palestra sobre hipertensão. Realizou manutenção em um ponto dentro da empresa.</t>
  </si>
  <si>
    <t xml:space="preserve">Equipe bateu ponto de saída mais tarde por conta da palestra sobre hipertensão. Teve 01 prot. de 02 pontos que não foi localizado e o tel. Não atende, e mais 02 prot. De 01 ponto que tinha veículo sob o ponto de serviço. </t>
  </si>
  <si>
    <t>02 protocolos de 01 ponto retornaram, equipe encontrou um normalizado e outro não foi localizado. Equipe relatou que estava chovendo muito tanto no momento da saída da base, quanto no momento de recolher e por isso recolheu alguns minutos antes do previsto.</t>
  </si>
  <si>
    <t>Equipamento do veículo Hilux PXC-3702 apresentou defeito em campo e por isso , a equipe teve que efetuar a troca de veículo. No protocolo de 09 pontos, 07 foram encontrados normais, segundo equipe.</t>
  </si>
  <si>
    <t>Equipe encontrou 03 pontos normalizados e 01 com necessidade de obra para suprir falta de rede. Equipe regularizou um apagão na via Alternativa e outro na passarela no MAXXI.</t>
  </si>
  <si>
    <t>Equipe fez instalação de 01 evento e acionamento dos disjuntores do quadro na Praça da Matriz das 18:08 às 21:47 e assim comprometendo a produtividade.</t>
  </si>
  <si>
    <t>ANTONIO / MARCO</t>
  </si>
  <si>
    <t>Previsto um inst. De 02 pontos de tomada 110v/220v na pç. Da Matriz solicitado por Tom.</t>
  </si>
  <si>
    <t xml:space="preserve">Equipe participou do DSS ( Tempo a mais até a saída da base ). </t>
  </si>
  <si>
    <t>Equipe inst. 01 ponto de tomada na Secretaria da Mulhe. O colaborador Joilson precisou se ausentar dàs 11:30hs às 13:15hs para pegar o filho no Hospital.</t>
  </si>
  <si>
    <t xml:space="preserve"> Equipe participou do DDS e do aniverssariante do mês. Colaborador ADEMÁRIO foi ao RH para esclarecer dulvidas referente ao contra-cheque e por isso atrasou ainda mais a saída da base. Equipe instalou um evento em Portao.</t>
  </si>
  <si>
    <t>ADEMÁRIO / ANDERSON</t>
  </si>
  <si>
    <t>Equipe participou do DDS e do aniverssariante do mês. Equipe relata a dificuldade de localizar alguns pontos.</t>
  </si>
  <si>
    <t>Equipe saíu com demanda de 06 pontos + 02 eventos para instalar (OS: 215 e 216) + 01 evento para recolher (OS: 217). Equipe saíu da base às 07:00hs por que o colaborador Joilson chegou 10mn atrasado pois teve que passar no Hospital onde o filho encontra-se enternado. Equipe teve que testar os projetores dos eventos.</t>
  </si>
  <si>
    <t>Equipe fez uma intervenção no quadro da praça da Matriz.</t>
  </si>
  <si>
    <t>Equipe recebeu ordem da supervisão para retirar 03 eventos.</t>
  </si>
  <si>
    <t>Equipe saindo com 07 pontos de manut. de IP + 03 eventos para recolher.</t>
  </si>
  <si>
    <t>Equipe retirou o evento do club de vilas, realizou manut. em 05 pontos a pedido do sepervisor.</t>
  </si>
  <si>
    <t>Equipe visitou 04 protocolos não podendo executar-los motivos: Braço danificado, rua com dificio acesso escorregadia,condominio fechado e projetores de campo.</t>
  </si>
  <si>
    <t>Colabrador Joilson não pode vir trabalhar ( Filho com problemas de Saúde )</t>
  </si>
  <si>
    <t>Equipe saíu da base por volta das 07:07 e só iniciou o trabalho ás 09:10hs, equipe relata estar chovendo muito. Logo em seguida holve uma Emengência com o filho do colaborador Joilson e assim suspendendo as atividades.</t>
  </si>
  <si>
    <t>Edilton / Ronaldo</t>
  </si>
  <si>
    <t>Equipe atrasou a saida da base, por que foi realizado o DSS.</t>
  </si>
  <si>
    <t xml:space="preserve">Na hora de sair da base, comecou a chover muito assim atrasando a saida da equipe. </t>
  </si>
  <si>
    <t>CLAUDINEY / CLEBER</t>
  </si>
  <si>
    <t>Equipe realizou acionamento dos disjuntores da Praça da Matriz.</t>
  </si>
  <si>
    <t>Equipe ficou atolado até ás 19:00hs, Equipe realizou manutenção em 02 proj. de 1000w na Est. do Coco. Equipe identificou e normalizou um apagao na Est. do coco.</t>
  </si>
  <si>
    <t>Equipe esteve no calçadao de Vilas para recolher uma lum. que estava pendurada.</t>
  </si>
  <si>
    <t>Equipe instalou um evento e verificou um apagao na Est. do Coco.</t>
  </si>
  <si>
    <t>EDILTON / ANDERSON</t>
  </si>
  <si>
    <t>Reunião do RH com os colaboradores na troca de turno. Assuntos concernetes ao jornada de trabalho e H.E.. Equipe fez a programação no relogio do quadro da praça da Matriz.</t>
  </si>
  <si>
    <t>Reunião do RH com os colaboradores na troca de turno. Assuntos concernetes ao jornada de trabalho e H.E..</t>
  </si>
  <si>
    <t>Joilson / Diego</t>
  </si>
  <si>
    <t>Choveu bastante durante o turno. Saída da turma atrasou devido a forte chuva no horário. Um protocolo aberto com logradouro 01 ponto, tinha 02 pontos  apagados no mesmo logradouro. Equipe desviou a rota por solicitação do supervisor para executrar manutenção em um campo de futebol que iria ser utilizado a noite. Equipe também realizou programação do relógio na Praça da Matriz, Centro.</t>
  </si>
  <si>
    <t>Choveu bastante durante o turno. Saída da turma atrasou devido a forte chuva no horário. Um protocolo com 01 ponto, tinham 02 pontos no mesmo logradouro.</t>
  </si>
  <si>
    <t>EDILTON / CLAUDINEY</t>
  </si>
  <si>
    <t>Choveu bastante durante o turno. Equipe retornou mais cedo devido a forte chuva no fim do turno. O protocolo com 04 pontos retornou com 01 sem executar manutenção, equipe relatou que o mesmo estava próximo à rede primária.</t>
  </si>
  <si>
    <t>Equipe foi desviada no meio do turno para regularização de uma luminária com risco de queda.</t>
  </si>
  <si>
    <t>Equipe fez instalação de 01 evento das 16:40 às 17:26. 01 dos protocolos com 01 ponto aberto com logradouro, foi realizado manutenção de 02 pontos no mesmo.
Houve atraso na saída da equipe pois, foi necessário identificar e solucionar um problema nos direcionadores de fluxo que não estavam funcionando.</t>
  </si>
  <si>
    <t>Equipe participou de VHS.</t>
  </si>
  <si>
    <t>Equipe recebeu uma solicitação da supervisão para realizar uma manutenção que não estava na programação.</t>
  </si>
  <si>
    <t xml:space="preserve">Equipe execultou um prot. de 02 pontos + um prot. De 01 ponto que não estava na programação que foi solicitado pelo contribuinte. </t>
  </si>
  <si>
    <t>Periodo muito chuvoso, atraso do colaborador Claudiney, que justificou ter participado de um almoço de familia por conta do dia das maes.</t>
  </si>
  <si>
    <t>ANDERSON / CLAUDINEY</t>
  </si>
  <si>
    <t>Periodo muito chuvoso.</t>
  </si>
  <si>
    <t>Durante o periodo do turno choveu muito, reunião de performace, um dos protocolos de 02 pontos estava normalizado em campo.</t>
  </si>
  <si>
    <t>Visita não programada a uma praça, solicitado pelo cliente e aprovada pelo gerente. No início do turno houve uma reunião para alinhamento de orientações e expectativas.</t>
  </si>
  <si>
    <t>Um dos colaboradores precisou ir ao médico logo após o almoço (12:46)</t>
  </si>
  <si>
    <t>Investigando o motivo da chegada mais cedo a base.</t>
  </si>
  <si>
    <t>Implantação do novo procedimento de reposição de materiais.</t>
  </si>
  <si>
    <t>Sem_fin Sit</t>
  </si>
  <si>
    <t>Sem_fin</t>
  </si>
  <si>
    <t>Rota</t>
  </si>
  <si>
    <t>% tempo parado</t>
  </si>
  <si>
    <t>Tempo parado</t>
  </si>
  <si>
    <t>Distância Sitrack</t>
  </si>
  <si>
    <t>Distorção</t>
  </si>
  <si>
    <t>C.B Sitrack</t>
  </si>
  <si>
    <t>S.B Sitrack</t>
  </si>
  <si>
    <t>Comentário sistema</t>
  </si>
  <si>
    <t>Hora inserção</t>
  </si>
  <si>
    <t>Qntd de paradas</t>
  </si>
  <si>
    <t>Colaborador 2</t>
  </si>
  <si>
    <t>Colaborador 1</t>
  </si>
  <si>
    <t>Utilização</t>
  </si>
  <si>
    <t>Produtividade</t>
  </si>
  <si>
    <t>Eficiência</t>
  </si>
  <si>
    <t>HH Trabalhado</t>
  </si>
  <si>
    <t>HH Produtivo
Total</t>
  </si>
  <si>
    <t>HH disponível</t>
  </si>
  <si>
    <t>Exc</t>
  </si>
  <si>
    <t>#</t>
  </si>
  <si>
    <t>HH AC IN/OUT</t>
  </si>
  <si>
    <t>HH AC TOT</t>
  </si>
  <si>
    <t>Pontos</t>
  </si>
  <si>
    <t>Observação</t>
  </si>
  <si>
    <t>HH AC extra</t>
  </si>
  <si>
    <t>P.S</t>
  </si>
  <si>
    <t>U.P</t>
  </si>
  <si>
    <t>S.B</t>
  </si>
  <si>
    <t>P.E</t>
  </si>
  <si>
    <t>PT &gt; 3 Pontos</t>
  </si>
  <si>
    <t>PT-3</t>
  </si>
  <si>
    <t>PT-2</t>
  </si>
  <si>
    <t>PT-1</t>
  </si>
  <si>
    <t>Qnt Colab</t>
  </si>
  <si>
    <t>Placa</t>
  </si>
  <si>
    <t>Previsto / Realizado</t>
  </si>
  <si>
    <t>Equipe</t>
  </si>
  <si>
    <t>Turno</t>
  </si>
  <si>
    <t>Data</t>
  </si>
  <si>
    <t>Sem</t>
  </si>
  <si>
    <t>Indicadores / Equipe</t>
  </si>
  <si>
    <t>Horários</t>
  </si>
  <si>
    <t>Qnt protocolos / tipo</t>
  </si>
  <si>
    <t>Desativado</t>
  </si>
  <si>
    <t>P. aut.</t>
  </si>
  <si>
    <t>Responsáveis: Vinicius Dantas e Rafael Resende</t>
  </si>
  <si>
    <t>TP &gt; 3 (por ponto)</t>
  </si>
  <si>
    <t>TP-3</t>
  </si>
  <si>
    <t>TP-2</t>
  </si>
  <si>
    <t>TP-1</t>
  </si>
  <si>
    <t>Tempo padrão / tipo protocolo</t>
  </si>
  <si>
    <t>MIP - Diário das equipes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</si>
</sst>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400]h:mm:ss\ AM/PM"/>
    <numFmt numFmtId="165" formatCode="0.0"/>
    <numFmt numFmtId="166" formatCode="d/m/yy\ h:mm;@"/>
    <numFmt numFmtId="167" formatCode="0.0%"/>
    <numFmt numFmtId="168" formatCode="h:mm;@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10"/>
      <color indexed="81"/>
      <name val="Calibri"/>
      <family val="2"/>
    </font>
    <font>
      <sz val="10"/>
      <color indexed="81"/>
      <name val="Calibri"/>
      <family val="2"/>
    </font>
    <font>
      <sz val="9"/>
      <color indexed="81"/>
      <name val="Segoe UI"/>
      <family val="2"/>
    </font>
    <font>
      <b/>
      <sz val="9"/>
      <color indexed="81"/>
      <name val="Segoe UI"/>
      <family val="2"/>
    </font>
  </fonts>
  <fills count="10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" fillId="0" borderId="0"/>
    <xf numFmtId="0" fontId="4" fillId="0" borderId="0" applyNumberFormat="0" applyFill="0" applyBorder="0" applyAlignment="0" applyProtection="0"/>
  </cellStyleXfs>
  <cellXfs count="126">
    <xf numFmtId="0" fontId="0" fillId="0" borderId="0" xfId="0"/>
    <xf numFmtId="0" fontId="3" fillId="0" borderId="0" xfId="2"/>
    <xf numFmtId="0" fontId="3" fillId="0" borderId="0" xfId="2" applyAlignment="1">
      <alignment horizontal="left"/>
    </xf>
    <xf numFmtId="164" fontId="3" fillId="0" borderId="0" xfId="2" applyNumberFormat="1"/>
    <xf numFmtId="165" fontId="3" fillId="0" borderId="0" xfId="2" applyNumberFormat="1"/>
    <xf numFmtId="164" fontId="3" fillId="0" borderId="0" xfId="2" applyNumberFormat="1" applyAlignment="1">
      <alignment horizontal="center"/>
    </xf>
    <xf numFmtId="22" fontId="3" fillId="0" borderId="0" xfId="2" applyNumberFormat="1" applyAlignment="1">
      <alignment horizontal="center"/>
    </xf>
    <xf numFmtId="166" fontId="3" fillId="0" borderId="0" xfId="2" applyNumberFormat="1"/>
    <xf numFmtId="9" fontId="3" fillId="0" borderId="0" xfId="1" applyFont="1"/>
    <xf numFmtId="20" fontId="3" fillId="0" borderId="0" xfId="2" applyNumberFormat="1"/>
    <xf numFmtId="0" fontId="3" fillId="0" borderId="0" xfId="2" applyAlignment="1">
      <alignment horizontal="center"/>
    </xf>
    <xf numFmtId="0" fontId="3" fillId="0" borderId="0" xfId="2" applyFill="1"/>
    <xf numFmtId="0" fontId="3" fillId="0" borderId="1" xfId="2" applyNumberFormat="1" applyFill="1" applyBorder="1" applyAlignment="1">
      <alignment horizontal="center" vertical="center"/>
    </xf>
    <xf numFmtId="0" fontId="3" fillId="0" borderId="1" xfId="2" applyNumberFormat="1" applyFill="1" applyBorder="1" applyAlignment="1">
      <alignment horizontal="left" vertical="center"/>
    </xf>
    <xf numFmtId="167" fontId="3" fillId="0" borderId="1" xfId="2" applyNumberFormat="1" applyFill="1" applyBorder="1" applyAlignment="1">
      <alignment horizontal="center" vertical="center"/>
    </xf>
    <xf numFmtId="164" fontId="3" fillId="0" borderId="1" xfId="2" applyNumberFormat="1" applyFill="1" applyBorder="1" applyAlignment="1">
      <alignment horizontal="center" vertical="center"/>
    </xf>
    <xf numFmtId="165" fontId="3" fillId="0" borderId="1" xfId="2" applyNumberFormat="1" applyFill="1" applyBorder="1" applyAlignment="1">
      <alignment horizontal="center" vertical="center"/>
    </xf>
    <xf numFmtId="22" fontId="3" fillId="0" borderId="1" xfId="2" applyNumberFormat="1" applyFill="1" applyBorder="1" applyAlignment="1">
      <alignment horizontal="center" vertical="center"/>
    </xf>
    <xf numFmtId="0" fontId="3" fillId="0" borderId="1" xfId="2" applyFill="1" applyBorder="1" applyAlignment="1">
      <alignment horizontal="left" vertical="center"/>
    </xf>
    <xf numFmtId="166" fontId="3" fillId="0" borderId="1" xfId="2" applyNumberFormat="1" applyFill="1" applyBorder="1" applyAlignment="1">
      <alignment horizontal="center" vertical="center"/>
    </xf>
    <xf numFmtId="2" fontId="3" fillId="0" borderId="1" xfId="2" applyNumberFormat="1" applyFill="1" applyBorder="1" applyAlignment="1">
      <alignment horizontal="center" vertical="center"/>
    </xf>
    <xf numFmtId="9" fontId="3" fillId="0" borderId="1" xfId="1" applyFont="1" applyFill="1" applyBorder="1" applyAlignment="1">
      <alignment horizontal="center" vertical="center"/>
    </xf>
    <xf numFmtId="168" fontId="3" fillId="0" borderId="1" xfId="2" applyNumberFormat="1" applyFill="1" applyBorder="1" applyAlignment="1">
      <alignment horizontal="center" vertical="center"/>
    </xf>
    <xf numFmtId="1" fontId="3" fillId="0" borderId="1" xfId="2" applyNumberFormat="1" applyFont="1" applyFill="1" applyBorder="1" applyAlignment="1">
      <alignment horizontal="center" vertical="center"/>
    </xf>
    <xf numFmtId="167" fontId="3" fillId="0" borderId="1" xfId="1" applyNumberFormat="1" applyFont="1" applyFill="1" applyBorder="1" applyAlignment="1">
      <alignment horizontal="center" vertical="center"/>
    </xf>
    <xf numFmtId="2" fontId="3" fillId="0" borderId="1" xfId="2" applyNumberFormat="1" applyFill="1" applyBorder="1" applyAlignment="1">
      <alignment horizontal="left" vertical="center"/>
    </xf>
    <xf numFmtId="20" fontId="3" fillId="0" borderId="1" xfId="2" applyNumberFormat="1" applyFill="1" applyBorder="1" applyAlignment="1">
      <alignment horizontal="center" vertical="center"/>
    </xf>
    <xf numFmtId="0" fontId="3" fillId="0" borderId="1" xfId="2" applyFill="1" applyBorder="1" applyAlignment="1">
      <alignment horizontal="center" vertical="center"/>
    </xf>
    <xf numFmtId="14" fontId="3" fillId="0" borderId="1" xfId="2" applyNumberFormat="1" applyFill="1" applyBorder="1" applyAlignment="1">
      <alignment vertical="center"/>
    </xf>
    <xf numFmtId="0" fontId="3" fillId="0" borderId="2" xfId="2" applyNumberFormat="1" applyFill="1" applyBorder="1" applyAlignment="1">
      <alignment horizontal="center" vertical="center"/>
    </xf>
    <xf numFmtId="0" fontId="3" fillId="0" borderId="2" xfId="2" applyNumberFormat="1" applyFill="1" applyBorder="1" applyAlignment="1">
      <alignment horizontal="left" vertical="center"/>
    </xf>
    <xf numFmtId="167" fontId="3" fillId="0" borderId="2" xfId="2" applyNumberFormat="1" applyFill="1" applyBorder="1" applyAlignment="1">
      <alignment horizontal="center" vertical="center"/>
    </xf>
    <xf numFmtId="164" fontId="3" fillId="0" borderId="2" xfId="2" applyNumberFormat="1" applyFill="1" applyBorder="1" applyAlignment="1">
      <alignment horizontal="center" vertical="center"/>
    </xf>
    <xf numFmtId="165" fontId="3" fillId="0" borderId="2" xfId="2" applyNumberFormat="1" applyFill="1" applyBorder="1" applyAlignment="1">
      <alignment horizontal="center" vertical="center"/>
    </xf>
    <xf numFmtId="22" fontId="3" fillId="0" borderId="2" xfId="2" applyNumberFormat="1" applyFill="1" applyBorder="1" applyAlignment="1">
      <alignment horizontal="center" vertical="center"/>
    </xf>
    <xf numFmtId="0" fontId="3" fillId="0" borderId="2" xfId="2" applyFill="1" applyBorder="1" applyAlignment="1">
      <alignment horizontal="left" vertical="center"/>
    </xf>
    <xf numFmtId="166" fontId="3" fillId="0" borderId="2" xfId="2" applyNumberFormat="1" applyFill="1" applyBorder="1" applyAlignment="1">
      <alignment horizontal="center" vertical="center"/>
    </xf>
    <xf numFmtId="2" fontId="3" fillId="0" borderId="2" xfId="2" applyNumberFormat="1" applyFill="1" applyBorder="1" applyAlignment="1">
      <alignment horizontal="center" vertical="center"/>
    </xf>
    <xf numFmtId="9" fontId="3" fillId="0" borderId="2" xfId="1" applyFont="1" applyFill="1" applyBorder="1" applyAlignment="1">
      <alignment horizontal="center" vertical="center"/>
    </xf>
    <xf numFmtId="168" fontId="3" fillId="0" borderId="2" xfId="2" applyNumberFormat="1" applyFill="1" applyBorder="1" applyAlignment="1">
      <alignment horizontal="center" vertical="center"/>
    </xf>
    <xf numFmtId="1" fontId="3" fillId="0" borderId="2" xfId="2" applyNumberFormat="1" applyFont="1" applyFill="1" applyBorder="1" applyAlignment="1">
      <alignment horizontal="center" vertical="center"/>
    </xf>
    <xf numFmtId="167" fontId="3" fillId="0" borderId="2" xfId="1" applyNumberFormat="1" applyFont="1" applyFill="1" applyBorder="1" applyAlignment="1">
      <alignment horizontal="center" vertical="center"/>
    </xf>
    <xf numFmtId="2" fontId="3" fillId="0" borderId="2" xfId="2" applyNumberFormat="1" applyFill="1" applyBorder="1" applyAlignment="1">
      <alignment horizontal="left" vertical="center"/>
    </xf>
    <xf numFmtId="20" fontId="3" fillId="0" borderId="2" xfId="2" applyNumberFormat="1" applyFill="1" applyBorder="1" applyAlignment="1">
      <alignment horizontal="center" vertical="center"/>
    </xf>
    <xf numFmtId="0" fontId="3" fillId="0" borderId="2" xfId="2" applyFill="1" applyBorder="1" applyAlignment="1">
      <alignment horizontal="center" vertical="center"/>
    </xf>
    <xf numFmtId="14" fontId="3" fillId="0" borderId="2" xfId="2" applyNumberFormat="1" applyFill="1" applyBorder="1" applyAlignment="1">
      <alignment vertical="center"/>
    </xf>
    <xf numFmtId="0" fontId="4" fillId="0" borderId="2" xfId="3" applyFill="1" applyBorder="1" applyAlignment="1">
      <alignment horizontal="left" vertical="center"/>
    </xf>
    <xf numFmtId="0" fontId="3" fillId="2" borderId="0" xfId="2" applyFill="1"/>
    <xf numFmtId="167" fontId="3" fillId="2" borderId="1" xfId="2" applyNumberFormat="1" applyFill="1" applyBorder="1" applyAlignment="1">
      <alignment horizontal="center" vertical="center"/>
    </xf>
    <xf numFmtId="164" fontId="3" fillId="2" borderId="1" xfId="2" applyNumberFormat="1" applyFill="1" applyBorder="1" applyAlignment="1">
      <alignment horizontal="center" vertical="center"/>
    </xf>
    <xf numFmtId="165" fontId="3" fillId="2" borderId="1" xfId="2" applyNumberFormat="1" applyFill="1" applyBorder="1" applyAlignment="1">
      <alignment horizontal="center" vertical="center"/>
    </xf>
    <xf numFmtId="22" fontId="3" fillId="2" borderId="1" xfId="2" applyNumberFormat="1" applyFill="1" applyBorder="1" applyAlignment="1">
      <alignment horizontal="center" vertical="center"/>
    </xf>
    <xf numFmtId="0" fontId="3" fillId="2" borderId="1" xfId="2" applyFill="1" applyBorder="1" applyAlignment="1">
      <alignment horizontal="left" vertical="center"/>
    </xf>
    <xf numFmtId="166" fontId="3" fillId="2" borderId="1" xfId="2" applyNumberFormat="1" applyFill="1" applyBorder="1" applyAlignment="1">
      <alignment horizontal="center" vertical="center"/>
    </xf>
    <xf numFmtId="0" fontId="3" fillId="2" borderId="1" xfId="2" applyNumberFormat="1" applyFill="1" applyBorder="1" applyAlignment="1">
      <alignment horizontal="center" vertical="center"/>
    </xf>
    <xf numFmtId="2" fontId="3" fillId="2" borderId="1" xfId="2" applyNumberFormat="1" applyFill="1" applyBorder="1" applyAlignment="1">
      <alignment horizontal="center" vertical="center"/>
    </xf>
    <xf numFmtId="9" fontId="3" fillId="2" borderId="1" xfId="1" applyFont="1" applyFill="1" applyBorder="1" applyAlignment="1">
      <alignment horizontal="center" vertical="center"/>
    </xf>
    <xf numFmtId="168" fontId="3" fillId="2" borderId="1" xfId="2" applyNumberFormat="1" applyFill="1" applyBorder="1" applyAlignment="1">
      <alignment horizontal="center" vertical="center"/>
    </xf>
    <xf numFmtId="1" fontId="3" fillId="2" borderId="1" xfId="2" applyNumberFormat="1" applyFont="1" applyFill="1" applyBorder="1" applyAlignment="1">
      <alignment horizontal="center" vertical="center"/>
    </xf>
    <xf numFmtId="167" fontId="3" fillId="2" borderId="1" xfId="1" applyNumberFormat="1" applyFont="1" applyFill="1" applyBorder="1" applyAlignment="1">
      <alignment horizontal="center" vertical="center"/>
    </xf>
    <xf numFmtId="2" fontId="3" fillId="2" borderId="1" xfId="2" applyNumberFormat="1" applyFill="1" applyBorder="1" applyAlignment="1">
      <alignment horizontal="left" vertical="center"/>
    </xf>
    <xf numFmtId="20" fontId="3" fillId="2" borderId="1" xfId="2" applyNumberFormat="1" applyFill="1" applyBorder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4" fontId="3" fillId="2" borderId="1" xfId="2" applyNumberFormat="1" applyFill="1" applyBorder="1" applyAlignment="1">
      <alignment vertical="center"/>
    </xf>
    <xf numFmtId="0" fontId="3" fillId="3" borderId="0" xfId="2" applyFill="1"/>
    <xf numFmtId="0" fontId="4" fillId="0" borderId="2" xfId="3" applyBorder="1"/>
    <xf numFmtId="0" fontId="4" fillId="0" borderId="1" xfId="3" applyFill="1" applyBorder="1" applyAlignment="1">
      <alignment horizontal="left" vertical="center"/>
    </xf>
    <xf numFmtId="2" fontId="3" fillId="2" borderId="2" xfId="2" applyNumberFormat="1" applyFill="1" applyBorder="1" applyAlignment="1">
      <alignment horizontal="left" vertical="center"/>
    </xf>
    <xf numFmtId="21" fontId="3" fillId="0" borderId="2" xfId="2" applyNumberFormat="1" applyFill="1" applyBorder="1" applyAlignment="1">
      <alignment horizontal="center" vertical="center"/>
    </xf>
    <xf numFmtId="0" fontId="5" fillId="0" borderId="2" xfId="3" applyFont="1" applyFill="1" applyBorder="1" applyAlignment="1">
      <alignment horizontal="left" vertical="center"/>
    </xf>
    <xf numFmtId="0" fontId="4" fillId="0" borderId="2" xfId="3" applyNumberFormat="1" applyFill="1" applyBorder="1" applyAlignment="1">
      <alignment horizontal="left" vertical="center"/>
    </xf>
    <xf numFmtId="1" fontId="3" fillId="0" borderId="2" xfId="2" applyNumberFormat="1" applyFill="1" applyBorder="1" applyAlignment="1">
      <alignment horizontal="center" vertical="center"/>
    </xf>
    <xf numFmtId="167" fontId="3" fillId="4" borderId="2" xfId="2" applyNumberFormat="1" applyFill="1" applyBorder="1" applyAlignment="1">
      <alignment horizontal="center" vertical="center"/>
    </xf>
    <xf numFmtId="164" fontId="3" fillId="4" borderId="2" xfId="2" applyNumberFormat="1" applyFill="1" applyBorder="1" applyAlignment="1">
      <alignment horizontal="center" vertical="center"/>
    </xf>
    <xf numFmtId="165" fontId="3" fillId="4" borderId="2" xfId="2" applyNumberFormat="1" applyFill="1" applyBorder="1" applyAlignment="1">
      <alignment horizontal="center" vertical="center"/>
    </xf>
    <xf numFmtId="22" fontId="3" fillId="4" borderId="2" xfId="2" applyNumberFormat="1" applyFill="1" applyBorder="1" applyAlignment="1">
      <alignment horizontal="center" vertical="center"/>
    </xf>
    <xf numFmtId="0" fontId="3" fillId="4" borderId="2" xfId="2" applyFill="1" applyBorder="1" applyAlignment="1">
      <alignment horizontal="center" vertical="center"/>
    </xf>
    <xf numFmtId="0" fontId="3" fillId="4" borderId="2" xfId="2" applyNumberFormat="1" applyFill="1" applyBorder="1" applyAlignment="1">
      <alignment horizontal="center" vertical="center"/>
    </xf>
    <xf numFmtId="168" fontId="3" fillId="4" borderId="2" xfId="2" applyNumberFormat="1" applyFill="1" applyBorder="1" applyAlignment="1">
      <alignment horizontal="center" vertical="center"/>
    </xf>
    <xf numFmtId="20" fontId="3" fillId="4" borderId="2" xfId="2" applyNumberFormat="1" applyFill="1" applyBorder="1" applyAlignment="1">
      <alignment horizontal="center" vertical="center"/>
    </xf>
    <xf numFmtId="0" fontId="3" fillId="4" borderId="2" xfId="2" applyFill="1" applyBorder="1" applyAlignment="1">
      <alignment horizontal="left" vertical="center"/>
    </xf>
    <xf numFmtId="14" fontId="3" fillId="4" borderId="2" xfId="2" applyNumberFormat="1" applyFill="1" applyBorder="1" applyAlignment="1">
      <alignment vertical="center"/>
    </xf>
    <xf numFmtId="20" fontId="6" fillId="0" borderId="2" xfId="2" applyNumberFormat="1" applyFont="1" applyFill="1" applyBorder="1" applyAlignment="1">
      <alignment horizontal="center" vertical="center"/>
    </xf>
    <xf numFmtId="0" fontId="3" fillId="0" borderId="2" xfId="2" applyFill="1" applyBorder="1" applyAlignment="1">
      <alignment horizontal="left" vertical="center" wrapText="1"/>
    </xf>
    <xf numFmtId="20" fontId="8" fillId="0" borderId="2" xfId="2" applyNumberFormat="1" applyFont="1" applyFill="1" applyBorder="1" applyAlignment="1">
      <alignment horizontal="center" vertical="center"/>
    </xf>
    <xf numFmtId="0" fontId="3" fillId="5" borderId="0" xfId="2" applyFill="1"/>
    <xf numFmtId="0" fontId="8" fillId="0" borderId="2" xfId="2" applyFont="1" applyFill="1" applyBorder="1" applyAlignment="1">
      <alignment horizontal="center" vertical="center"/>
    </xf>
    <xf numFmtId="0" fontId="3" fillId="0" borderId="0" xfId="2" applyAlignment="1">
      <alignment horizontal="center" vertical="center"/>
    </xf>
    <xf numFmtId="0" fontId="3" fillId="0" borderId="3" xfId="2" applyNumberFormat="1" applyFill="1" applyBorder="1" applyAlignment="1">
      <alignment horizontal="center" vertical="center"/>
    </xf>
    <xf numFmtId="0" fontId="3" fillId="0" borderId="3" xfId="2" applyNumberFormat="1" applyFill="1" applyBorder="1" applyAlignment="1">
      <alignment horizontal="left" vertical="center"/>
    </xf>
    <xf numFmtId="0" fontId="9" fillId="0" borderId="0" xfId="2" applyFont="1"/>
    <xf numFmtId="0" fontId="9" fillId="6" borderId="3" xfId="2" applyFont="1" applyFill="1" applyBorder="1" applyAlignment="1">
      <alignment horizontal="center" vertical="center"/>
    </xf>
    <xf numFmtId="164" fontId="9" fillId="6" borderId="3" xfId="2" applyNumberFormat="1" applyFont="1" applyFill="1" applyBorder="1" applyAlignment="1">
      <alignment horizontal="center" vertical="center" wrapText="1"/>
    </xf>
    <xf numFmtId="164" fontId="9" fillId="6" borderId="3" xfId="2" applyNumberFormat="1" applyFont="1" applyFill="1" applyBorder="1" applyAlignment="1">
      <alignment horizontal="center" vertical="center"/>
    </xf>
    <xf numFmtId="165" fontId="9" fillId="6" borderId="3" xfId="2" applyNumberFormat="1" applyFont="1" applyFill="1" applyBorder="1" applyAlignment="1">
      <alignment horizontal="center" vertical="center"/>
    </xf>
    <xf numFmtId="22" fontId="9" fillId="6" borderId="3" xfId="2" applyNumberFormat="1" applyFont="1" applyFill="1" applyBorder="1" applyAlignment="1">
      <alignment horizontal="center" vertical="center"/>
    </xf>
    <xf numFmtId="22" fontId="9" fillId="6" borderId="4" xfId="2" applyNumberFormat="1" applyFont="1" applyFill="1" applyBorder="1" applyAlignment="1">
      <alignment horizontal="center" vertical="center"/>
    </xf>
    <xf numFmtId="0" fontId="9" fillId="6" borderId="4" xfId="2" applyFont="1" applyFill="1" applyBorder="1" applyAlignment="1">
      <alignment horizontal="center" vertical="center"/>
    </xf>
    <xf numFmtId="166" fontId="9" fillId="6" borderId="3" xfId="2" applyNumberFormat="1" applyFont="1" applyFill="1" applyBorder="1" applyAlignment="1">
      <alignment horizontal="center" vertical="center"/>
    </xf>
    <xf numFmtId="0" fontId="9" fillId="6" borderId="3" xfId="2" applyFont="1" applyFill="1" applyBorder="1" applyAlignment="1">
      <alignment horizontal="center" vertical="center" wrapText="1"/>
    </xf>
    <xf numFmtId="9" fontId="9" fillId="6" borderId="3" xfId="1" applyFont="1" applyFill="1" applyBorder="1" applyAlignment="1">
      <alignment horizontal="center" vertical="center"/>
    </xf>
    <xf numFmtId="0" fontId="9" fillId="6" borderId="5" xfId="2" applyFont="1" applyFill="1" applyBorder="1" applyAlignment="1">
      <alignment horizontal="center" vertical="center" wrapText="1"/>
    </xf>
    <xf numFmtId="0" fontId="9" fillId="7" borderId="3" xfId="2" applyFont="1" applyFill="1" applyBorder="1" applyAlignment="1">
      <alignment horizontal="center" vertical="center" wrapText="1"/>
    </xf>
    <xf numFmtId="0" fontId="9" fillId="7" borderId="6" xfId="2" applyFont="1" applyFill="1" applyBorder="1" applyAlignment="1">
      <alignment horizontal="center" vertical="center" wrapText="1"/>
    </xf>
    <xf numFmtId="20" fontId="9" fillId="7" borderId="3" xfId="2" applyNumberFormat="1" applyFont="1" applyFill="1" applyBorder="1" applyAlignment="1">
      <alignment horizontal="center" vertical="center" wrapText="1"/>
    </xf>
    <xf numFmtId="14" fontId="9" fillId="7" borderId="5" xfId="2" applyNumberFormat="1" applyFont="1" applyFill="1" applyBorder="1" applyAlignment="1">
      <alignment horizontal="center" vertical="center" wrapText="1"/>
    </xf>
    <xf numFmtId="14" fontId="9" fillId="7" borderId="7" xfId="2" applyNumberFormat="1" applyFont="1" applyFill="1" applyBorder="1" applyAlignment="1">
      <alignment horizontal="center" vertical="center" wrapText="1"/>
    </xf>
    <xf numFmtId="0" fontId="9" fillId="6" borderId="8" xfId="2" applyFont="1" applyFill="1" applyBorder="1" applyAlignment="1">
      <alignment horizontal="center" vertical="center" wrapText="1"/>
    </xf>
    <xf numFmtId="0" fontId="9" fillId="0" borderId="0" xfId="2" applyFont="1" applyFill="1"/>
    <xf numFmtId="9" fontId="9" fillId="6" borderId="9" xfId="1" applyFont="1" applyFill="1" applyBorder="1" applyAlignment="1">
      <alignment horizontal="center" vertical="center"/>
    </xf>
    <xf numFmtId="9" fontId="9" fillId="6" borderId="10" xfId="1" applyFont="1" applyFill="1" applyBorder="1" applyAlignment="1">
      <alignment horizontal="center" vertical="center"/>
    </xf>
    <xf numFmtId="9" fontId="9" fillId="6" borderId="11" xfId="1" applyFont="1" applyFill="1" applyBorder="1" applyAlignment="1">
      <alignment horizontal="center" vertical="center"/>
    </xf>
    <xf numFmtId="0" fontId="9" fillId="7" borderId="2" xfId="2" applyFont="1" applyFill="1" applyBorder="1" applyAlignment="1">
      <alignment horizontal="center"/>
    </xf>
    <xf numFmtId="0" fontId="0" fillId="8" borderId="12" xfId="0" applyFont="1" applyFill="1" applyBorder="1" applyAlignment="1">
      <alignment horizontal="center" vertical="center"/>
    </xf>
    <xf numFmtId="0" fontId="2" fillId="9" borderId="3" xfId="0" applyFont="1" applyFill="1" applyBorder="1" applyAlignment="1">
      <alignment horizontal="center" vertical="center"/>
    </xf>
    <xf numFmtId="168" fontId="3" fillId="0" borderId="13" xfId="2" applyNumberFormat="1" applyFill="1" applyBorder="1" applyAlignment="1">
      <alignment horizontal="center" vertical="center"/>
    </xf>
    <xf numFmtId="168" fontId="3" fillId="0" borderId="14" xfId="2" applyNumberFormat="1" applyFill="1" applyBorder="1" applyAlignment="1">
      <alignment horizontal="center" vertical="center"/>
    </xf>
    <xf numFmtId="168" fontId="3" fillId="0" borderId="15" xfId="2" applyNumberFormat="1" applyFill="1" applyBorder="1" applyAlignment="1">
      <alignment horizontal="center" vertical="center"/>
    </xf>
    <xf numFmtId="0" fontId="10" fillId="0" borderId="0" xfId="2" applyFont="1" applyBorder="1" applyAlignment="1">
      <alignment horizontal="center"/>
    </xf>
    <xf numFmtId="0" fontId="9" fillId="6" borderId="16" xfId="2" applyFont="1" applyFill="1" applyBorder="1" applyAlignment="1">
      <alignment horizontal="center" vertical="center" wrapText="1"/>
    </xf>
    <xf numFmtId="0" fontId="9" fillId="6" borderId="2" xfId="2" applyFont="1" applyFill="1" applyBorder="1" applyAlignment="1">
      <alignment horizontal="center" vertical="center" wrapText="1"/>
    </xf>
    <xf numFmtId="0" fontId="9" fillId="6" borderId="17" xfId="2" applyFont="1" applyFill="1" applyBorder="1" applyAlignment="1">
      <alignment horizontal="center" vertical="center" wrapText="1"/>
    </xf>
    <xf numFmtId="0" fontId="11" fillId="9" borderId="0" xfId="2" applyFont="1" applyFill="1" applyBorder="1" applyAlignment="1">
      <alignment horizontal="center" vertical="center"/>
    </xf>
    <xf numFmtId="0" fontId="9" fillId="6" borderId="18" xfId="2" applyFont="1" applyFill="1" applyBorder="1" applyAlignment="1">
      <alignment horizontal="center" vertical="center" wrapText="1"/>
    </xf>
    <xf numFmtId="0" fontId="9" fillId="6" borderId="19" xfId="2" applyFont="1" applyFill="1" applyBorder="1" applyAlignment="1">
      <alignment horizontal="center" vertical="center" wrapText="1"/>
    </xf>
    <xf numFmtId="0" fontId="9" fillId="6" borderId="20" xfId="2" applyFont="1" applyFill="1" applyBorder="1" applyAlignment="1">
      <alignment horizontal="center" vertical="center" wrapText="1"/>
    </xf>
  </cellXfs>
  <cellStyles count="4">
    <cellStyle name="Hyperlink" xfId="3" builtinId="8"/>
    <cellStyle name="Normal" xfId="0" builtinId="0"/>
    <cellStyle name="Normal 2" xfId="2" xr:uid="{B97CA7B3-A9F2-4593-833E-DF0EF0123813}"/>
    <cellStyle name="Percent" xfId="1" builtinId="5"/>
  </cellStyles>
  <dxfs count="104"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7" formatCode="0.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4" formatCode="[$-F400]h:mm:ss\ AM/P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0.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[$-F400]h:mm:ss\ AM/P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27" formatCode="dd/mm/yyyy\ h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6" formatCode="d/m/yy\ h: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8" formatCode="h: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8" formatCode="h: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8" formatCode="h: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z val="12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7" formatCode="0.0%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8" formatCode="h: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8" formatCode="h: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h: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5" formatCode="h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5" formatCode="h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5" formatCode="h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5" formatCode="h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auto="1"/>
        </top>
      </border>
    </dxf>
    <dxf>
      <border>
        <bottom style="thin">
          <color auto="1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FF0000"/>
      </font>
      <fill>
        <patternFill>
          <bgColor rgb="FFFFFF00"/>
        </patternFill>
      </fill>
    </dxf>
    <dxf>
      <fill>
        <patternFill>
          <bgColor theme="2" tint="-0.24994659260841701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>
          <bgColor theme="2" tint="-0.2499465926084170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border outline="0">
        <top style="thin">
          <color theme="4" tint="0.39997558519241921"/>
        </top>
      </border>
    </dxf>
    <dxf>
      <border outline="0">
        <bottom style="thin">
          <color auto="1"/>
        </bottom>
      </border>
    </dxf>
    <dxf>
      <border outline="0">
        <top style="thin">
          <color auto="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7" formatCode="0.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4" formatCode="[$-F400]h:mm:ss\ AM/P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0.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[$-F400]h:mm:ss\ AM/P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27" formatCode="dd/mm/yyyy\ h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7" formatCode="dd/mm/yyyy\ 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6" formatCode="d/m/yy\ h: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8" formatCode="h: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8" formatCode="h: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8" formatCode="h: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z val="12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7" formatCode="0.0%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8" formatCode="h: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8" formatCode="h: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h: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5" formatCode="h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5" formatCode="h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5" formatCode="h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5" formatCode="h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auto="1"/>
        </top>
      </border>
    </dxf>
    <dxf>
      <border>
        <bottom style="thin">
          <color auto="1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</xdr:colOff>
      <xdr:row>0</xdr:row>
      <xdr:rowOff>0</xdr:rowOff>
    </xdr:from>
    <xdr:ext cx="1330832" cy="411442"/>
    <xdr:pic>
      <xdr:nvPicPr>
        <xdr:cNvPr id="2" name="Imagem 1">
          <a:extLst>
            <a:ext uri="{FF2B5EF4-FFF2-40B4-BE49-F238E27FC236}">
              <a16:creationId xmlns:a16="http://schemas.microsoft.com/office/drawing/2014/main" id="{A628705F-F71D-44AF-90A2-5D5D837B5D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1330832" cy="4114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5</xdr:col>
      <xdr:colOff>163285</xdr:colOff>
      <xdr:row>3</xdr:row>
      <xdr:rowOff>47625</xdr:rowOff>
    </xdr:from>
    <xdr:to>
      <xdr:col>6</xdr:col>
      <xdr:colOff>244928</xdr:colOff>
      <xdr:row>4</xdr:row>
      <xdr:rowOff>88447</xdr:rowOff>
    </xdr:to>
    <xdr:sp macro="[0]!bt_realizado" textlink="">
      <xdr:nvSpPr>
        <xdr:cNvPr id="3" name="Retângulo de cantos arredondados 3">
          <a:extLst>
            <a:ext uri="{FF2B5EF4-FFF2-40B4-BE49-F238E27FC236}">
              <a16:creationId xmlns:a16="http://schemas.microsoft.com/office/drawing/2014/main" id="{2AF82CDF-643A-45A8-BF17-EF52FE9DC741}"/>
            </a:ext>
          </a:extLst>
        </xdr:cNvPr>
        <xdr:cNvSpPr/>
      </xdr:nvSpPr>
      <xdr:spPr>
        <a:xfrm>
          <a:off x="4354285" y="619125"/>
          <a:ext cx="919843" cy="231322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Realizado</a:t>
          </a:r>
        </a:p>
      </xdr:txBody>
    </xdr:sp>
    <xdr:clientData/>
  </xdr:twoCellAnchor>
  <xdr:twoCellAnchor>
    <xdr:from>
      <xdr:col>6</xdr:col>
      <xdr:colOff>340178</xdr:colOff>
      <xdr:row>3</xdr:row>
      <xdr:rowOff>47625</xdr:rowOff>
    </xdr:from>
    <xdr:to>
      <xdr:col>7</xdr:col>
      <xdr:colOff>272143</xdr:colOff>
      <xdr:row>4</xdr:row>
      <xdr:rowOff>88447</xdr:rowOff>
    </xdr:to>
    <xdr:sp macro="[0]!bt_showall" textlink="">
      <xdr:nvSpPr>
        <xdr:cNvPr id="4" name="Retângulo de cantos arredondados 4">
          <a:extLst>
            <a:ext uri="{FF2B5EF4-FFF2-40B4-BE49-F238E27FC236}">
              <a16:creationId xmlns:a16="http://schemas.microsoft.com/office/drawing/2014/main" id="{8639F52F-464C-465C-9C7D-B16C6370FE1E}"/>
            </a:ext>
          </a:extLst>
        </xdr:cNvPr>
        <xdr:cNvSpPr/>
      </xdr:nvSpPr>
      <xdr:spPr>
        <a:xfrm>
          <a:off x="5369378" y="619125"/>
          <a:ext cx="770165" cy="231322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Show</a:t>
          </a:r>
          <a:r>
            <a:rPr lang="pt-BR" sz="1100" b="1" baseline="0"/>
            <a:t> all</a:t>
          </a:r>
          <a:endParaRPr lang="pt-BR" sz="1100" b="1"/>
        </a:p>
      </xdr:txBody>
    </xdr:sp>
    <xdr:clientData/>
  </xdr:twoCellAnchor>
  <xdr:twoCellAnchor>
    <xdr:from>
      <xdr:col>33</xdr:col>
      <xdr:colOff>190501</xdr:colOff>
      <xdr:row>3</xdr:row>
      <xdr:rowOff>34018</xdr:rowOff>
    </xdr:from>
    <xdr:to>
      <xdr:col>33</xdr:col>
      <xdr:colOff>1265465</xdr:colOff>
      <xdr:row>4</xdr:row>
      <xdr:rowOff>74840</xdr:rowOff>
    </xdr:to>
    <xdr:sp macro="[0]!Filt_Temparado" textlink="">
      <xdr:nvSpPr>
        <xdr:cNvPr id="5" name="Retângulo de cantos arredondados 6">
          <a:extLst>
            <a:ext uri="{FF2B5EF4-FFF2-40B4-BE49-F238E27FC236}">
              <a16:creationId xmlns:a16="http://schemas.microsoft.com/office/drawing/2014/main" id="{84383696-7BB1-4111-84E3-3CCC426C31C3}"/>
            </a:ext>
          </a:extLst>
        </xdr:cNvPr>
        <xdr:cNvSpPr/>
      </xdr:nvSpPr>
      <xdr:spPr>
        <a:xfrm>
          <a:off x="27851101" y="605518"/>
          <a:ext cx="646339" cy="231322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Tempo</a:t>
          </a:r>
          <a:r>
            <a:rPr lang="pt-BR" sz="1100" b="1" baseline="0"/>
            <a:t> parado</a:t>
          </a:r>
          <a:endParaRPr lang="pt-BR" sz="1100" b="1"/>
        </a:p>
      </xdr:txBody>
    </xdr:sp>
    <xdr:clientData/>
  </xdr:twoCellAnchor>
  <xdr:twoCellAnchor>
    <xdr:from>
      <xdr:col>34</xdr:col>
      <xdr:colOff>149678</xdr:colOff>
      <xdr:row>3</xdr:row>
      <xdr:rowOff>34018</xdr:rowOff>
    </xdr:from>
    <xdr:to>
      <xdr:col>34</xdr:col>
      <xdr:colOff>1224642</xdr:colOff>
      <xdr:row>4</xdr:row>
      <xdr:rowOff>74840</xdr:rowOff>
    </xdr:to>
    <xdr:sp macro="[0]!Filt_Eventos" textlink="">
      <xdr:nvSpPr>
        <xdr:cNvPr id="6" name="Retângulo de cantos arredondados 7">
          <a:extLst>
            <a:ext uri="{FF2B5EF4-FFF2-40B4-BE49-F238E27FC236}">
              <a16:creationId xmlns:a16="http://schemas.microsoft.com/office/drawing/2014/main" id="{1BB4CF01-6D26-43F7-BCAE-87A5EA607325}"/>
            </a:ext>
          </a:extLst>
        </xdr:cNvPr>
        <xdr:cNvSpPr/>
      </xdr:nvSpPr>
      <xdr:spPr>
        <a:xfrm>
          <a:off x="28648478" y="605518"/>
          <a:ext cx="684439" cy="231322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Eventos</a:t>
          </a:r>
        </a:p>
      </xdr:txBody>
    </xdr:sp>
    <xdr:clientData/>
  </xdr:twoCellAnchor>
  <xdr:twoCellAnchor>
    <xdr:from>
      <xdr:col>35</xdr:col>
      <xdr:colOff>190500</xdr:colOff>
      <xdr:row>3</xdr:row>
      <xdr:rowOff>27215</xdr:rowOff>
    </xdr:from>
    <xdr:to>
      <xdr:col>35</xdr:col>
      <xdr:colOff>1265464</xdr:colOff>
      <xdr:row>4</xdr:row>
      <xdr:rowOff>68037</xdr:rowOff>
    </xdr:to>
    <xdr:sp macro="[0]!Filt_Tempviagem" textlink="">
      <xdr:nvSpPr>
        <xdr:cNvPr id="7" name="Retângulo de cantos arredondados 8">
          <a:extLst>
            <a:ext uri="{FF2B5EF4-FFF2-40B4-BE49-F238E27FC236}">
              <a16:creationId xmlns:a16="http://schemas.microsoft.com/office/drawing/2014/main" id="{3FCCC7BB-7978-4E04-ADE4-0357865F6E01}"/>
            </a:ext>
          </a:extLst>
        </xdr:cNvPr>
        <xdr:cNvSpPr/>
      </xdr:nvSpPr>
      <xdr:spPr>
        <a:xfrm>
          <a:off x="29527500" y="598715"/>
          <a:ext cx="646339" cy="231322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Tempo viagem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I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gência"/>
      <sheetName val="Análise Equipe"/>
      <sheetName val="Excessões"/>
      <sheetName val="Eficiência Individual"/>
      <sheetName val="Análises gerais"/>
      <sheetName val="Análise Sitrack"/>
      <sheetName val="Inf Gerais"/>
      <sheetName val="Sitrack"/>
      <sheetName val="Tempo parado"/>
      <sheetName val="Temp viagem"/>
    </sheetNames>
    <sheetDataSet>
      <sheetData sheetId="0"/>
      <sheetData sheetId="1">
        <row r="8">
          <cell r="B8" t="str">
            <v>JOILSON / VALDEI</v>
          </cell>
        </row>
      </sheetData>
      <sheetData sheetId="2">
        <row r="6">
          <cell r="H6" t="str">
            <v>Desativadas</v>
          </cell>
        </row>
      </sheetData>
      <sheetData sheetId="3"/>
      <sheetData sheetId="4"/>
      <sheetData sheetId="5"/>
      <sheetData sheetId="6"/>
      <sheetData sheetId="7"/>
      <sheetData sheetId="8">
        <row r="3">
          <cell r="A3" t="str">
            <v>NOME</v>
          </cell>
          <cell r="B3" t="str">
            <v>PLACA</v>
          </cell>
          <cell r="G3" t="str">
            <v>LONGITUD</v>
          </cell>
          <cell r="H3" t="str">
            <v>INÍCIO PARADA</v>
          </cell>
          <cell r="I3" t="str">
            <v>INÍCIO SAÍDA</v>
          </cell>
          <cell r="J3" t="str">
            <v>HORAS PARADO</v>
          </cell>
        </row>
        <row r="4">
          <cell r="A4" t="str">
            <v>BASICO</v>
          </cell>
          <cell r="B4" t="str">
            <v>PXC3702</v>
          </cell>
          <cell r="G4">
            <v>-3832720700</v>
          </cell>
          <cell r="H4">
            <v>43038.017928240741</v>
          </cell>
          <cell r="I4">
            <v>43038.666863425926</v>
          </cell>
          <cell r="J4">
            <v>0.64893518518518511</v>
          </cell>
        </row>
        <row r="5">
          <cell r="A5" t="str">
            <v>TOUCH</v>
          </cell>
          <cell r="B5" t="str">
            <v>PKE2278</v>
          </cell>
          <cell r="G5">
            <v>-3832346000</v>
          </cell>
          <cell r="H5">
            <v>43038.279085648152</v>
          </cell>
          <cell r="I5">
            <v>43038.282627314817</v>
          </cell>
          <cell r="J5">
            <v>3.5416666666666665E-3</v>
          </cell>
        </row>
        <row r="6">
          <cell r="A6" t="str">
            <v>TOUCH</v>
          </cell>
          <cell r="B6" t="str">
            <v>PKE2278</v>
          </cell>
          <cell r="G6">
            <v>-3829220500</v>
          </cell>
          <cell r="H6">
            <v>43038.294085648151</v>
          </cell>
          <cell r="I6">
            <v>43038.323564814818</v>
          </cell>
          <cell r="J6">
            <v>2.9479166666666667E-2</v>
          </cell>
        </row>
        <row r="7">
          <cell r="A7" t="str">
            <v>TOUCH</v>
          </cell>
          <cell r="B7" t="str">
            <v>PKE2278</v>
          </cell>
          <cell r="G7">
            <v>-3832725800</v>
          </cell>
          <cell r="H7">
            <v>43038.344884259262</v>
          </cell>
          <cell r="I7">
            <v>43038.348391203705</v>
          </cell>
          <cell r="J7">
            <v>3.5069444444444445E-3</v>
          </cell>
        </row>
        <row r="8">
          <cell r="A8" t="str">
            <v>TOUCH</v>
          </cell>
          <cell r="B8" t="str">
            <v>PKE2278</v>
          </cell>
          <cell r="G8">
            <v>-3828982600</v>
          </cell>
          <cell r="H8">
            <v>43038.368807870371</v>
          </cell>
          <cell r="I8">
            <v>43038.387002314812</v>
          </cell>
          <cell r="J8">
            <v>1.8194444444444444E-2</v>
          </cell>
        </row>
        <row r="9">
          <cell r="A9" t="str">
            <v>TOUCH</v>
          </cell>
          <cell r="B9" t="str">
            <v>PKE2278</v>
          </cell>
          <cell r="G9">
            <v>-3828843300</v>
          </cell>
          <cell r="H9">
            <v>43038.388877314814</v>
          </cell>
          <cell r="I9">
            <v>43038.47457175926</v>
          </cell>
          <cell r="J9">
            <v>8.5694444444444448E-2</v>
          </cell>
        </row>
        <row r="10">
          <cell r="A10" t="str">
            <v>TOUCH</v>
          </cell>
          <cell r="B10" t="str">
            <v>PKE2278</v>
          </cell>
          <cell r="G10">
            <v>-3828909200</v>
          </cell>
          <cell r="H10">
            <v>43038.477870370371</v>
          </cell>
          <cell r="I10">
            <v>43038.552604166667</v>
          </cell>
          <cell r="J10">
            <v>7.4733796296296298E-2</v>
          </cell>
        </row>
        <row r="11">
          <cell r="A11" t="str">
            <v>TOUCH</v>
          </cell>
          <cell r="B11" t="str">
            <v>PKE2278</v>
          </cell>
          <cell r="G11">
            <v>-3828914000</v>
          </cell>
          <cell r="H11">
            <v>43038.554097222222</v>
          </cell>
          <cell r="I11">
            <v>43038.614548611113</v>
          </cell>
          <cell r="J11">
            <v>6.0451388888888895E-2</v>
          </cell>
        </row>
        <row r="12">
          <cell r="A12" t="str">
            <v>TOUCH</v>
          </cell>
          <cell r="B12" t="str">
            <v>PKE2278</v>
          </cell>
          <cell r="G12">
            <v>-3832721400</v>
          </cell>
          <cell r="H12">
            <v>43038.632465277777</v>
          </cell>
          <cell r="I12">
            <v>43038.676041666666</v>
          </cell>
          <cell r="J12">
            <v>4.3576388888888894E-2</v>
          </cell>
        </row>
        <row r="13">
          <cell r="A13" t="str">
            <v>BASICO</v>
          </cell>
          <cell r="B13" t="str">
            <v>PXC3702</v>
          </cell>
          <cell r="G13">
            <v>-3831461300</v>
          </cell>
          <cell r="H13">
            <v>43038.674884259257</v>
          </cell>
          <cell r="I13">
            <v>43038.677384259259</v>
          </cell>
          <cell r="J13">
            <v>2.5000000000000001E-3</v>
          </cell>
        </row>
        <row r="14">
          <cell r="A14" t="str">
            <v>TOUCH</v>
          </cell>
          <cell r="B14" t="str">
            <v>PKE2278</v>
          </cell>
          <cell r="G14">
            <v>-3832988200</v>
          </cell>
          <cell r="H14">
            <v>43038.681527777779</v>
          </cell>
          <cell r="I14">
            <v>43038.691886574074</v>
          </cell>
          <cell r="J14">
            <v>1.0358796296296295E-2</v>
          </cell>
        </row>
        <row r="15">
          <cell r="A15" t="str">
            <v>BASICO</v>
          </cell>
          <cell r="B15" t="str">
            <v>PXC3702</v>
          </cell>
          <cell r="G15">
            <v>-3831492700</v>
          </cell>
          <cell r="H15">
            <v>43038.686041666668</v>
          </cell>
          <cell r="I15">
            <v>43038.698819444442</v>
          </cell>
          <cell r="J15">
            <v>1.2777777777777777E-2</v>
          </cell>
        </row>
        <row r="16">
          <cell r="A16" t="str">
            <v>TOUCH</v>
          </cell>
          <cell r="B16" t="str">
            <v>PKE2278</v>
          </cell>
          <cell r="G16">
            <v>-3828201800</v>
          </cell>
          <cell r="H16">
            <v>43038.701307870368</v>
          </cell>
          <cell r="I16">
            <v>43038.705266203702</v>
          </cell>
          <cell r="J16">
            <v>3.9583333333333337E-3</v>
          </cell>
        </row>
        <row r="17">
          <cell r="A17" t="str">
            <v>BASICO</v>
          </cell>
          <cell r="B17" t="str">
            <v>PXC3702</v>
          </cell>
          <cell r="G17">
            <v>-3833911200</v>
          </cell>
          <cell r="H17">
            <v>43038.709479166668</v>
          </cell>
          <cell r="I17">
            <v>43038.726863425924</v>
          </cell>
          <cell r="J17">
            <v>1.7384259259259262E-2</v>
          </cell>
        </row>
        <row r="18">
          <cell r="A18" t="str">
            <v>TOUCH</v>
          </cell>
          <cell r="B18" t="str">
            <v>PKE2278</v>
          </cell>
          <cell r="G18">
            <v>-3830898900</v>
          </cell>
          <cell r="H18">
            <v>43038.718391203707</v>
          </cell>
          <cell r="I18">
            <v>43038.748981481483</v>
          </cell>
          <cell r="J18">
            <v>3.0590277777777775E-2</v>
          </cell>
        </row>
        <row r="19">
          <cell r="A19" t="str">
            <v>BASICO</v>
          </cell>
          <cell r="B19" t="str">
            <v>PXC3702</v>
          </cell>
          <cell r="G19">
            <v>-3832547200</v>
          </cell>
          <cell r="H19">
            <v>43038.731099537035</v>
          </cell>
          <cell r="I19">
            <v>43038.739641203705</v>
          </cell>
          <cell r="J19">
            <v>8.5416666666666679E-3</v>
          </cell>
        </row>
        <row r="20">
          <cell r="A20" t="str">
            <v>BASICO</v>
          </cell>
          <cell r="B20" t="str">
            <v>PXC3702</v>
          </cell>
          <cell r="G20">
            <v>-3833172100</v>
          </cell>
          <cell r="H20">
            <v>43038.744884259257</v>
          </cell>
          <cell r="I20">
            <v>43038.754895833335</v>
          </cell>
          <cell r="J20">
            <v>1.0011574074074074E-2</v>
          </cell>
        </row>
        <row r="21">
          <cell r="A21" t="str">
            <v>BASICO</v>
          </cell>
          <cell r="B21" t="str">
            <v>PXC3702</v>
          </cell>
          <cell r="G21">
            <v>-3832910900</v>
          </cell>
          <cell r="H21">
            <v>43038.756932870368</v>
          </cell>
          <cell r="I21">
            <v>43038.759884259256</v>
          </cell>
          <cell r="J21">
            <v>2.9513888888888888E-3</v>
          </cell>
        </row>
        <row r="22">
          <cell r="A22" t="str">
            <v>TOUCH</v>
          </cell>
          <cell r="B22" t="str">
            <v>PKE2278</v>
          </cell>
          <cell r="G22">
            <v>-3828195900</v>
          </cell>
          <cell r="H22">
            <v>43038.76158564815</v>
          </cell>
          <cell r="I22">
            <v>43038.763391203705</v>
          </cell>
          <cell r="J22">
            <v>1.8055555555555557E-3</v>
          </cell>
        </row>
        <row r="23">
          <cell r="A23" t="str">
            <v>BASICO</v>
          </cell>
          <cell r="B23" t="str">
            <v>PXC3702</v>
          </cell>
          <cell r="G23">
            <v>-3833220600</v>
          </cell>
          <cell r="H23">
            <v>43038.762083333335</v>
          </cell>
          <cell r="I23">
            <v>43038.788576388892</v>
          </cell>
          <cell r="J23">
            <v>2.6493055555555558E-2</v>
          </cell>
        </row>
        <row r="24">
          <cell r="A24" t="str">
            <v>TOUCH</v>
          </cell>
          <cell r="B24" t="str">
            <v>PKE2278</v>
          </cell>
          <cell r="G24">
            <v>-3834945400</v>
          </cell>
          <cell r="H24">
            <v>43038.782002314816</v>
          </cell>
          <cell r="I24">
            <v>43038.800300925926</v>
          </cell>
          <cell r="J24">
            <v>1.8298611111111113E-2</v>
          </cell>
        </row>
        <row r="25">
          <cell r="A25" t="str">
            <v>BASICO</v>
          </cell>
          <cell r="B25" t="str">
            <v>PXC3702</v>
          </cell>
          <cell r="G25">
            <v>-3833427000</v>
          </cell>
          <cell r="H25">
            <v>43038.792048611111</v>
          </cell>
          <cell r="I25">
            <v>43038.793993055559</v>
          </cell>
          <cell r="J25">
            <v>1.9444444444444442E-3</v>
          </cell>
        </row>
        <row r="26">
          <cell r="A26" t="str">
            <v>TOUCH</v>
          </cell>
          <cell r="B26" t="str">
            <v>PKE2278</v>
          </cell>
          <cell r="G26">
            <v>-3834060800</v>
          </cell>
          <cell r="H26">
            <v>43038.805717592593</v>
          </cell>
          <cell r="I26">
            <v>43038.815960648149</v>
          </cell>
          <cell r="J26">
            <v>1.0243055555555556E-2</v>
          </cell>
        </row>
        <row r="27">
          <cell r="A27" t="str">
            <v>BASICO</v>
          </cell>
          <cell r="B27" t="str">
            <v>PXC3702</v>
          </cell>
          <cell r="G27">
            <v>-3833887900</v>
          </cell>
          <cell r="H27">
            <v>43038.808587962965</v>
          </cell>
          <cell r="I27">
            <v>43038.817372685182</v>
          </cell>
          <cell r="J27">
            <v>8.7847222222222233E-3</v>
          </cell>
        </row>
        <row r="28">
          <cell r="A28" t="str">
            <v>TOUCH</v>
          </cell>
          <cell r="B28" t="str">
            <v>PKE2278</v>
          </cell>
          <cell r="G28">
            <v>-3833228600</v>
          </cell>
          <cell r="H28">
            <v>43038.822627314818</v>
          </cell>
          <cell r="I28">
            <v>43038.870266203703</v>
          </cell>
          <cell r="J28">
            <v>4.763888888888889E-2</v>
          </cell>
        </row>
        <row r="29">
          <cell r="A29" t="str">
            <v>BASICO</v>
          </cell>
          <cell r="B29" t="str">
            <v>PXC3702</v>
          </cell>
          <cell r="G29">
            <v>-3835842000</v>
          </cell>
          <cell r="H29">
            <v>43038.834629629629</v>
          </cell>
          <cell r="I29">
            <v>43038.836782407408</v>
          </cell>
          <cell r="J29">
            <v>2.1527777777777778E-3</v>
          </cell>
        </row>
        <row r="30">
          <cell r="A30" t="str">
            <v>BASICO</v>
          </cell>
          <cell r="B30" t="str">
            <v>PXC3702</v>
          </cell>
          <cell r="G30">
            <v>-3835179700</v>
          </cell>
          <cell r="H30">
            <v>43038.841087962966</v>
          </cell>
          <cell r="I30">
            <v>43038.860844907409</v>
          </cell>
          <cell r="J30">
            <v>1.9756944444444445E-2</v>
          </cell>
        </row>
        <row r="31">
          <cell r="A31" t="str">
            <v>TOUCH</v>
          </cell>
          <cell r="B31" t="str">
            <v>PKE2278</v>
          </cell>
          <cell r="G31">
            <v>-3832758900</v>
          </cell>
          <cell r="H31">
            <v>43038.872835648152</v>
          </cell>
          <cell r="I31">
            <v>43038.888460648152</v>
          </cell>
          <cell r="J31">
            <v>1.5625E-2</v>
          </cell>
        </row>
        <row r="32">
          <cell r="A32" t="str">
            <v>BASICO</v>
          </cell>
          <cell r="B32" t="str">
            <v>PXC3702</v>
          </cell>
          <cell r="G32">
            <v>-3834868300</v>
          </cell>
          <cell r="H32">
            <v>43038.882152777776</v>
          </cell>
          <cell r="I32">
            <v>43038.888310185182</v>
          </cell>
          <cell r="J32">
            <v>6.1574074074074074E-3</v>
          </cell>
        </row>
        <row r="33">
          <cell r="A33" t="str">
            <v>BASICO</v>
          </cell>
          <cell r="B33" t="str">
            <v>PXC3702</v>
          </cell>
          <cell r="G33">
            <v>-3835262300</v>
          </cell>
          <cell r="H33">
            <v>43038.891365740739</v>
          </cell>
          <cell r="I33">
            <v>43038.933252314811</v>
          </cell>
          <cell r="J33">
            <v>4.1886574074074069E-2</v>
          </cell>
        </row>
        <row r="34">
          <cell r="A34" t="str">
            <v>TOUCH</v>
          </cell>
          <cell r="B34" t="str">
            <v>PKE2278</v>
          </cell>
          <cell r="G34">
            <v>-3833927200</v>
          </cell>
          <cell r="H34">
            <v>43038.902037037034</v>
          </cell>
          <cell r="I34">
            <v>43038.91165509259</v>
          </cell>
          <cell r="J34">
            <v>9.618055555555555E-3</v>
          </cell>
        </row>
        <row r="35">
          <cell r="A35" t="str">
            <v>TOUCH</v>
          </cell>
          <cell r="B35" t="str">
            <v>PKE2278</v>
          </cell>
          <cell r="G35">
            <v>-3832995400</v>
          </cell>
          <cell r="H35">
            <v>43038.91547453704</v>
          </cell>
          <cell r="I35">
            <v>43038.93513888889</v>
          </cell>
          <cell r="J35">
            <v>1.9664351851851853E-2</v>
          </cell>
        </row>
        <row r="36">
          <cell r="A36" t="str">
            <v>BASICO</v>
          </cell>
          <cell r="B36" t="str">
            <v>PXC3702</v>
          </cell>
          <cell r="G36">
            <v>-3835355900</v>
          </cell>
          <cell r="H36">
            <v>43038.936296296299</v>
          </cell>
          <cell r="I36">
            <v>43038.940532407411</v>
          </cell>
          <cell r="J36">
            <v>4.2361111111111106E-3</v>
          </cell>
        </row>
        <row r="37">
          <cell r="A37" t="str">
            <v>TOUCH</v>
          </cell>
          <cell r="B37" t="str">
            <v>PKE2278</v>
          </cell>
          <cell r="G37">
            <v>-3832377400</v>
          </cell>
          <cell r="H37">
            <v>43038.937847222223</v>
          </cell>
          <cell r="I37">
            <v>43038.947291666664</v>
          </cell>
          <cell r="J37">
            <v>9.4444444444444445E-3</v>
          </cell>
        </row>
        <row r="38">
          <cell r="A38" t="str">
            <v>BASICO</v>
          </cell>
          <cell r="B38" t="str">
            <v>PXC3702</v>
          </cell>
          <cell r="G38">
            <v>-3835594400</v>
          </cell>
          <cell r="H38">
            <v>43038.942129629628</v>
          </cell>
          <cell r="I38">
            <v>43038.954780092594</v>
          </cell>
          <cell r="J38">
            <v>1.2650462962962962E-2</v>
          </cell>
        </row>
        <row r="39">
          <cell r="A39" t="str">
            <v>TOUCH</v>
          </cell>
          <cell r="B39" t="str">
            <v>PKE2278</v>
          </cell>
          <cell r="G39">
            <v>-3829387800</v>
          </cell>
          <cell r="H39">
            <v>43038.959027777775</v>
          </cell>
          <cell r="I39">
            <v>43038.967152777775</v>
          </cell>
          <cell r="J39">
            <v>8.1249999999999985E-3</v>
          </cell>
        </row>
        <row r="40">
          <cell r="A40" t="str">
            <v>TOUCH</v>
          </cell>
          <cell r="B40" t="str">
            <v>PKE2278</v>
          </cell>
          <cell r="G40">
            <v>-3828118300</v>
          </cell>
          <cell r="H40">
            <v>43038.97079861111</v>
          </cell>
          <cell r="I40">
            <v>43038.986979166664</v>
          </cell>
          <cell r="J40">
            <v>1.6180555555555556E-2</v>
          </cell>
        </row>
        <row r="41">
          <cell r="A41" t="str">
            <v>BASICO</v>
          </cell>
          <cell r="B41" t="str">
            <v>PXC3702</v>
          </cell>
          <cell r="G41">
            <v>-3832559100</v>
          </cell>
          <cell r="H41">
            <v>43038.985833333332</v>
          </cell>
          <cell r="I41">
            <v>43038.995347222219</v>
          </cell>
          <cell r="J41">
            <v>9.5138888888888894E-3</v>
          </cell>
        </row>
        <row r="42">
          <cell r="A42" t="str">
            <v>TOUCH</v>
          </cell>
          <cell r="B42" t="str">
            <v>PKE2278</v>
          </cell>
          <cell r="G42">
            <v>-3833013900</v>
          </cell>
          <cell r="H42">
            <v>43039.000138888892</v>
          </cell>
          <cell r="I42">
            <v>43039.012372685182</v>
          </cell>
          <cell r="J42">
            <v>1.2233796296296296E-2</v>
          </cell>
        </row>
        <row r="43">
          <cell r="A43" t="str">
            <v>BASICO</v>
          </cell>
          <cell r="B43" t="str">
            <v>PXC3702</v>
          </cell>
          <cell r="G43">
            <v>-3834617000</v>
          </cell>
          <cell r="H43">
            <v>43039.001076388886</v>
          </cell>
          <cell r="I43">
            <v>43039.004189814812</v>
          </cell>
          <cell r="J43">
            <v>3.1134259259259257E-3</v>
          </cell>
        </row>
        <row r="44">
          <cell r="A44" t="str">
            <v>BASICO</v>
          </cell>
          <cell r="B44" t="str">
            <v>PXC3702</v>
          </cell>
          <cell r="G44">
            <v>-3833005000</v>
          </cell>
          <cell r="H44">
            <v>43039.00885416667</v>
          </cell>
          <cell r="I44">
            <v>43039.012499999997</v>
          </cell>
          <cell r="J44">
            <v>3.645833333333333E-3</v>
          </cell>
        </row>
        <row r="45">
          <cell r="A45" t="str">
            <v>TOUCH</v>
          </cell>
          <cell r="B45" t="str">
            <v>PKE2278</v>
          </cell>
          <cell r="G45">
            <v>-3832716500</v>
          </cell>
          <cell r="H45">
            <v>43039.016087962962</v>
          </cell>
          <cell r="I45">
            <v>43039.272974537038</v>
          </cell>
          <cell r="J45">
            <v>0.25688657407407406</v>
          </cell>
        </row>
        <row r="46">
          <cell r="A46" t="str">
            <v>BASICO</v>
          </cell>
          <cell r="B46" t="str">
            <v>PXC3702</v>
          </cell>
          <cell r="G46">
            <v>-3832729200</v>
          </cell>
          <cell r="H46">
            <v>43039.016134259262</v>
          </cell>
          <cell r="I46">
            <v>43039.273495370369</v>
          </cell>
          <cell r="J46">
            <v>0.2573611111111111</v>
          </cell>
        </row>
        <row r="47">
          <cell r="A47" t="str">
            <v>BASICO</v>
          </cell>
          <cell r="B47" t="str">
            <v>PXC3702</v>
          </cell>
          <cell r="G47">
            <v>-3832520800</v>
          </cell>
          <cell r="H47">
            <v>43039.278738425928</v>
          </cell>
          <cell r="I47">
            <v>43039.297361111108</v>
          </cell>
          <cell r="J47">
            <v>1.8622685185185183E-2</v>
          </cell>
        </row>
        <row r="48">
          <cell r="A48" t="str">
            <v>TOUCH</v>
          </cell>
          <cell r="B48" t="str">
            <v>PKE2278</v>
          </cell>
          <cell r="G48">
            <v>-3828823800</v>
          </cell>
          <cell r="H48">
            <v>43039.289675925924</v>
          </cell>
          <cell r="I48">
            <v>43039.319143518522</v>
          </cell>
          <cell r="J48">
            <v>2.946759259259259E-2</v>
          </cell>
        </row>
        <row r="49">
          <cell r="A49" t="str">
            <v>BASICO</v>
          </cell>
          <cell r="B49" t="str">
            <v>PXC3702</v>
          </cell>
          <cell r="G49">
            <v>-3829794900</v>
          </cell>
          <cell r="H49">
            <v>43039.305532407408</v>
          </cell>
          <cell r="I49">
            <v>43039.345150462963</v>
          </cell>
          <cell r="J49">
            <v>3.9618055555555552E-2</v>
          </cell>
        </row>
        <row r="50">
          <cell r="A50" t="str">
            <v>TOUCH</v>
          </cell>
          <cell r="B50" t="str">
            <v>PKE2278</v>
          </cell>
          <cell r="G50">
            <v>-3830288500</v>
          </cell>
          <cell r="H50">
            <v>43039.324814814812</v>
          </cell>
          <cell r="I50">
            <v>43039.328657407408</v>
          </cell>
          <cell r="J50">
            <v>3.8425925925925923E-3</v>
          </cell>
        </row>
        <row r="51">
          <cell r="A51" t="str">
            <v>BASICO</v>
          </cell>
          <cell r="B51" t="str">
            <v>PXC3702</v>
          </cell>
          <cell r="G51">
            <v>-3830873900</v>
          </cell>
          <cell r="H51">
            <v>43039.353206018517</v>
          </cell>
          <cell r="I51">
            <v>43039.357638888891</v>
          </cell>
          <cell r="J51">
            <v>4.4328703703703709E-3</v>
          </cell>
        </row>
        <row r="52">
          <cell r="A52" t="str">
            <v>TOUCH</v>
          </cell>
          <cell r="B52" t="str">
            <v>PKE2278</v>
          </cell>
          <cell r="G52">
            <v>-3845496300</v>
          </cell>
          <cell r="H52">
            <v>43039.361087962963</v>
          </cell>
          <cell r="I52">
            <v>43039.434861111113</v>
          </cell>
          <cell r="J52">
            <v>7.3773148148148157E-2</v>
          </cell>
        </row>
        <row r="53">
          <cell r="A53" t="str">
            <v>BASICO</v>
          </cell>
          <cell r="B53" t="str">
            <v>PXC3702</v>
          </cell>
          <cell r="G53">
            <v>-3833327100</v>
          </cell>
          <cell r="H53">
            <v>43039.369745370372</v>
          </cell>
          <cell r="I53">
            <v>43039.392627314817</v>
          </cell>
          <cell r="J53">
            <v>2.2881944444444444E-2</v>
          </cell>
        </row>
        <row r="54">
          <cell r="A54" t="str">
            <v>BASICO</v>
          </cell>
          <cell r="B54" t="str">
            <v>PXC3702</v>
          </cell>
          <cell r="G54">
            <v>-3832719500</v>
          </cell>
          <cell r="H54">
            <v>43039.399699074071</v>
          </cell>
          <cell r="I54">
            <v>43039.405150462961</v>
          </cell>
          <cell r="J54">
            <v>5.4513888888888884E-3</v>
          </cell>
        </row>
        <row r="55">
          <cell r="A55" t="str">
            <v>BASICO</v>
          </cell>
          <cell r="B55" t="str">
            <v>PXC3702</v>
          </cell>
          <cell r="G55">
            <v>-3833942100</v>
          </cell>
          <cell r="H55">
            <v>43039.420335648145</v>
          </cell>
          <cell r="I55">
            <v>43039.486319444448</v>
          </cell>
          <cell r="J55">
            <v>6.598379629629629E-2</v>
          </cell>
        </row>
        <row r="56">
          <cell r="A56" t="str">
            <v>TOUCH</v>
          </cell>
          <cell r="B56" t="str">
            <v>PKE2278</v>
          </cell>
          <cell r="G56">
            <v>-3832868800</v>
          </cell>
          <cell r="H56">
            <v>43039.474965277775</v>
          </cell>
          <cell r="I56">
            <v>43039.477129629631</v>
          </cell>
          <cell r="J56">
            <v>2.1643518518518518E-3</v>
          </cell>
        </row>
        <row r="57">
          <cell r="A57" t="str">
            <v>TOUCH</v>
          </cell>
          <cell r="B57" t="str">
            <v>PKE2278</v>
          </cell>
          <cell r="G57">
            <v>-3833579400</v>
          </cell>
          <cell r="H57">
            <v>43039.479618055557</v>
          </cell>
          <cell r="I57">
            <v>43039.515567129631</v>
          </cell>
          <cell r="J57">
            <v>3.5949074074074071E-2</v>
          </cell>
        </row>
        <row r="58">
          <cell r="A58" t="str">
            <v>BASICO</v>
          </cell>
          <cell r="B58" t="str">
            <v>PXC3702</v>
          </cell>
          <cell r="G58">
            <v>-3833445700</v>
          </cell>
          <cell r="H58">
            <v>43039.498645833337</v>
          </cell>
          <cell r="I58">
            <v>43039.556006944447</v>
          </cell>
          <cell r="J58">
            <v>5.7361111111111113E-2</v>
          </cell>
        </row>
        <row r="59">
          <cell r="A59" t="str">
            <v>TOUCH</v>
          </cell>
          <cell r="B59" t="str">
            <v>PKE2278</v>
          </cell>
          <cell r="G59">
            <v>-3828809800</v>
          </cell>
          <cell r="H59">
            <v>43039.532361111109</v>
          </cell>
          <cell r="I59">
            <v>43039.585497685184</v>
          </cell>
          <cell r="J59">
            <v>5.3136574074074072E-2</v>
          </cell>
        </row>
        <row r="60">
          <cell r="A60" t="str">
            <v>BASICO</v>
          </cell>
          <cell r="B60" t="str">
            <v>PXC3702</v>
          </cell>
          <cell r="G60">
            <v>-3835858800</v>
          </cell>
          <cell r="H60">
            <v>43039.572824074072</v>
          </cell>
          <cell r="I60">
            <v>43039.61215277778</v>
          </cell>
          <cell r="J60">
            <v>3.9328703703703706E-2</v>
          </cell>
        </row>
        <row r="61">
          <cell r="A61" t="str">
            <v>TOUCH</v>
          </cell>
          <cell r="B61" t="str">
            <v>PKE2278</v>
          </cell>
          <cell r="G61">
            <v>-3830258900</v>
          </cell>
          <cell r="H61">
            <v>43039.59646990741</v>
          </cell>
          <cell r="I61">
            <v>43039.597581018519</v>
          </cell>
          <cell r="J61">
            <v>1.1111111111111111E-3</v>
          </cell>
        </row>
        <row r="62">
          <cell r="A62" t="str">
            <v>TOUCH</v>
          </cell>
          <cell r="B62" t="str">
            <v>PKE2278</v>
          </cell>
          <cell r="G62">
            <v>-3832876400</v>
          </cell>
          <cell r="H62">
            <v>43039.616631944446</v>
          </cell>
          <cell r="I62">
            <v>43039.618819444448</v>
          </cell>
          <cell r="J62">
            <v>2.1874999999999998E-3</v>
          </cell>
        </row>
        <row r="63">
          <cell r="A63" t="str">
            <v>BASICO</v>
          </cell>
          <cell r="B63" t="str">
            <v>PXC3702</v>
          </cell>
          <cell r="G63">
            <v>-3833482500</v>
          </cell>
          <cell r="H63">
            <v>43039.621550925927</v>
          </cell>
          <cell r="I63">
            <v>43039.630868055552</v>
          </cell>
          <cell r="J63">
            <v>9.3171296296296283E-3</v>
          </cell>
        </row>
        <row r="64">
          <cell r="A64" t="str">
            <v>TOUCH</v>
          </cell>
          <cell r="B64" t="str">
            <v>PKE2278</v>
          </cell>
          <cell r="G64">
            <v>-3832713600</v>
          </cell>
          <cell r="H64">
            <v>43039.623136574075</v>
          </cell>
          <cell r="I64">
            <v>43040.269583333335</v>
          </cell>
          <cell r="J64">
            <v>0.64644675925925921</v>
          </cell>
        </row>
        <row r="65">
          <cell r="A65" t="str">
            <v>BASICO</v>
          </cell>
          <cell r="B65" t="str">
            <v>PXC3702</v>
          </cell>
          <cell r="G65">
            <v>-3832722500</v>
          </cell>
          <cell r="H65">
            <v>43039.643090277779</v>
          </cell>
          <cell r="I65">
            <v>43039.717662037037</v>
          </cell>
          <cell r="J65">
            <v>7.4571759259259254E-2</v>
          </cell>
        </row>
        <row r="66">
          <cell r="A66" t="str">
            <v>BASICO</v>
          </cell>
          <cell r="B66" t="str">
            <v>PXC3702</v>
          </cell>
          <cell r="G66">
            <v>-3833422700</v>
          </cell>
          <cell r="H66">
            <v>43039.738819444443</v>
          </cell>
          <cell r="I66">
            <v>43039.75377314815</v>
          </cell>
          <cell r="J66">
            <v>1.4953703703703705E-2</v>
          </cell>
        </row>
        <row r="67">
          <cell r="A67" t="str">
            <v>BASICO</v>
          </cell>
          <cell r="B67" t="str">
            <v>PXC3702</v>
          </cell>
          <cell r="G67">
            <v>-3832989900</v>
          </cell>
          <cell r="H67">
            <v>43039.770486111112</v>
          </cell>
          <cell r="I67">
            <v>43039.772118055553</v>
          </cell>
          <cell r="J67">
            <v>1.6319444444444445E-3</v>
          </cell>
        </row>
        <row r="68">
          <cell r="A68" t="str">
            <v>BASICO</v>
          </cell>
          <cell r="B68" t="str">
            <v>PXC3702</v>
          </cell>
          <cell r="G68">
            <v>-3832602600</v>
          </cell>
          <cell r="H68">
            <v>43039.776064814818</v>
          </cell>
          <cell r="I68">
            <v>43039.795069444444</v>
          </cell>
          <cell r="J68">
            <v>1.9004629629629632E-2</v>
          </cell>
        </row>
        <row r="69">
          <cell r="A69" t="str">
            <v>BASICO</v>
          </cell>
          <cell r="B69" t="str">
            <v>PXC3702</v>
          </cell>
          <cell r="G69">
            <v>-3833888000</v>
          </cell>
          <cell r="H69">
            <v>43039.803298611114</v>
          </cell>
          <cell r="I69">
            <v>43039.81795138889</v>
          </cell>
          <cell r="J69">
            <v>1.4652777777777778E-2</v>
          </cell>
        </row>
        <row r="70">
          <cell r="A70" t="str">
            <v>BASICO</v>
          </cell>
          <cell r="B70" t="str">
            <v>PXC3702</v>
          </cell>
          <cell r="G70">
            <v>-3835215300</v>
          </cell>
          <cell r="H70">
            <v>43039.823020833333</v>
          </cell>
          <cell r="I70">
            <v>43039.830717592595</v>
          </cell>
          <cell r="J70">
            <v>7.69675925925926E-3</v>
          </cell>
        </row>
        <row r="71">
          <cell r="A71" t="str">
            <v>BASICO</v>
          </cell>
          <cell r="B71" t="str">
            <v>PXC3702</v>
          </cell>
          <cell r="G71">
            <v>-3835238100</v>
          </cell>
          <cell r="H71">
            <v>43039.835092592592</v>
          </cell>
          <cell r="I71">
            <v>43039.860833333332</v>
          </cell>
          <cell r="J71">
            <v>2.5740740740740745E-2</v>
          </cell>
        </row>
        <row r="72">
          <cell r="A72" t="str">
            <v>BASICO</v>
          </cell>
          <cell r="B72" t="str">
            <v>PXC3702</v>
          </cell>
          <cell r="G72">
            <v>-3833270700</v>
          </cell>
          <cell r="H72">
            <v>43039.866701388892</v>
          </cell>
          <cell r="I72">
            <v>43039.873460648145</v>
          </cell>
          <cell r="J72">
            <v>6.7592592592592591E-3</v>
          </cell>
        </row>
        <row r="73">
          <cell r="A73" t="str">
            <v>BASICO</v>
          </cell>
          <cell r="B73" t="str">
            <v>PXC3702</v>
          </cell>
          <cell r="G73">
            <v>-3829731800</v>
          </cell>
          <cell r="H73">
            <v>43039.887430555558</v>
          </cell>
          <cell r="I73">
            <v>43039.897592592592</v>
          </cell>
          <cell r="J73">
            <v>1.0162037037037037E-2</v>
          </cell>
        </row>
        <row r="74">
          <cell r="A74" t="str">
            <v>BASICO</v>
          </cell>
          <cell r="B74" t="str">
            <v>PXC3702</v>
          </cell>
          <cell r="G74">
            <v>-3829096400</v>
          </cell>
          <cell r="H74">
            <v>43039.901250000003</v>
          </cell>
          <cell r="I74">
            <v>43039.914618055554</v>
          </cell>
          <cell r="J74">
            <v>1.3368055555555557E-2</v>
          </cell>
        </row>
        <row r="75">
          <cell r="A75" t="str">
            <v>BASICO</v>
          </cell>
          <cell r="B75" t="str">
            <v>PXC3702</v>
          </cell>
          <cell r="G75">
            <v>-3831099600</v>
          </cell>
          <cell r="H75">
            <v>43039.920370370368</v>
          </cell>
          <cell r="I75">
            <v>43039.929236111115</v>
          </cell>
          <cell r="J75">
            <v>8.8657407407407417E-3</v>
          </cell>
        </row>
        <row r="76">
          <cell r="A76" t="str">
            <v>BASICO</v>
          </cell>
          <cell r="B76" t="str">
            <v>PXC3702</v>
          </cell>
          <cell r="G76">
            <v>-3830246500</v>
          </cell>
          <cell r="H76">
            <v>43039.937037037038</v>
          </cell>
          <cell r="I76">
            <v>43039.955474537041</v>
          </cell>
          <cell r="J76">
            <v>1.8437499999999999E-2</v>
          </cell>
        </row>
        <row r="77">
          <cell r="A77" t="str">
            <v>BASICO</v>
          </cell>
          <cell r="B77" t="str">
            <v>PXC3702</v>
          </cell>
          <cell r="G77">
            <v>-3832526600</v>
          </cell>
          <cell r="H77">
            <v>43039.962731481479</v>
          </cell>
          <cell r="I77">
            <v>43040.006493055553</v>
          </cell>
          <cell r="J77">
            <v>4.3761574074074078E-2</v>
          </cell>
        </row>
        <row r="78">
          <cell r="A78" t="str">
            <v>BASICO</v>
          </cell>
          <cell r="B78" t="str">
            <v>PXC3702</v>
          </cell>
          <cell r="G78">
            <v>-3832723900</v>
          </cell>
          <cell r="H78">
            <v>43040.013749999998</v>
          </cell>
          <cell r="I78">
            <v>43040.276458333334</v>
          </cell>
          <cell r="J78">
            <v>0.26270833333333332</v>
          </cell>
        </row>
        <row r="79">
          <cell r="A79" t="str">
            <v>TOUCH</v>
          </cell>
          <cell r="B79" t="str">
            <v>PKE2278</v>
          </cell>
          <cell r="G79">
            <v>-3831383500</v>
          </cell>
          <cell r="H79">
            <v>43040.277569444443</v>
          </cell>
          <cell r="I79">
            <v>43040.279652777775</v>
          </cell>
          <cell r="J79">
            <v>2.0833333333333333E-3</v>
          </cell>
        </row>
        <row r="80">
          <cell r="A80" t="str">
            <v>BASICO</v>
          </cell>
          <cell r="B80" t="str">
            <v>PXC3702</v>
          </cell>
          <cell r="G80">
            <v>-3832524500</v>
          </cell>
          <cell r="H80">
            <v>43040.281770833331</v>
          </cell>
          <cell r="I80">
            <v>43040.296099537038</v>
          </cell>
          <cell r="J80">
            <v>1.4328703703703703E-2</v>
          </cell>
        </row>
        <row r="81">
          <cell r="A81" t="str">
            <v>TOUCH</v>
          </cell>
          <cell r="B81" t="str">
            <v>PKE2278</v>
          </cell>
          <cell r="G81">
            <v>-3828768500</v>
          </cell>
          <cell r="H81">
            <v>43040.289895833332</v>
          </cell>
          <cell r="I81">
            <v>43040.46</v>
          </cell>
          <cell r="J81">
            <v>0.17010416666666664</v>
          </cell>
        </row>
        <row r="82">
          <cell r="A82" t="str">
            <v>BASICO</v>
          </cell>
          <cell r="B82" t="str">
            <v>PXC3702</v>
          </cell>
          <cell r="G82">
            <v>-3829551500</v>
          </cell>
          <cell r="H82">
            <v>43040.305289351854</v>
          </cell>
          <cell r="I82">
            <v>43040.340266203704</v>
          </cell>
          <cell r="J82">
            <v>3.4976851851851849E-2</v>
          </cell>
        </row>
        <row r="83">
          <cell r="A83" t="str">
            <v>BASICO</v>
          </cell>
          <cell r="B83" t="str">
            <v>PXC3702</v>
          </cell>
          <cell r="G83">
            <v>-3829524600</v>
          </cell>
          <cell r="H83">
            <v>43040.348923611113</v>
          </cell>
          <cell r="I83">
            <v>43040.368946759256</v>
          </cell>
          <cell r="J83">
            <v>2.0023148148148148E-2</v>
          </cell>
        </row>
        <row r="84">
          <cell r="A84" t="str">
            <v>BASICO</v>
          </cell>
          <cell r="B84" t="str">
            <v>PXC3702</v>
          </cell>
          <cell r="G84">
            <v>-3830710400</v>
          </cell>
          <cell r="H84">
            <v>43040.37295138889</v>
          </cell>
          <cell r="I84">
            <v>43040.38244212963</v>
          </cell>
          <cell r="J84">
            <v>9.4907407407407406E-3</v>
          </cell>
        </row>
        <row r="85">
          <cell r="A85" t="str">
            <v>BASICO</v>
          </cell>
          <cell r="B85" t="str">
            <v>PXC3702</v>
          </cell>
          <cell r="G85">
            <v>-3832279600</v>
          </cell>
          <cell r="H85">
            <v>43040.394768518519</v>
          </cell>
          <cell r="I85">
            <v>43040.42050925926</v>
          </cell>
          <cell r="J85">
            <v>2.5740740740740745E-2</v>
          </cell>
        </row>
        <row r="86">
          <cell r="A86" t="str">
            <v>BASICO</v>
          </cell>
          <cell r="B86" t="str">
            <v>PXC3702</v>
          </cell>
          <cell r="G86">
            <v>-3832721800</v>
          </cell>
          <cell r="H86">
            <v>43040.425370370373</v>
          </cell>
          <cell r="I86">
            <v>43040.42864583333</v>
          </cell>
          <cell r="J86">
            <v>3.2754629629629631E-3</v>
          </cell>
        </row>
        <row r="87">
          <cell r="A87" t="str">
            <v>BASICO</v>
          </cell>
          <cell r="B87" t="str">
            <v>PXC3702</v>
          </cell>
          <cell r="G87">
            <v>-3833527700</v>
          </cell>
          <cell r="H87">
            <v>43040.430902777778</v>
          </cell>
          <cell r="I87">
            <v>43040.440891203703</v>
          </cell>
          <cell r="J87">
            <v>9.9884259259259266E-3</v>
          </cell>
        </row>
        <row r="88">
          <cell r="A88" t="str">
            <v>BASICO</v>
          </cell>
          <cell r="B88" t="str">
            <v>PXC3702</v>
          </cell>
          <cell r="G88">
            <v>-3833432800</v>
          </cell>
          <cell r="H88">
            <v>43040.442650462966</v>
          </cell>
          <cell r="I88">
            <v>43040.448078703703</v>
          </cell>
          <cell r="J88">
            <v>5.4282407407407404E-3</v>
          </cell>
        </row>
        <row r="89">
          <cell r="A89" t="str">
            <v>BASICO</v>
          </cell>
          <cell r="B89" t="str">
            <v>PXC3702</v>
          </cell>
          <cell r="G89">
            <v>-3833660400</v>
          </cell>
          <cell r="H89">
            <v>43040.451863425929</v>
          </cell>
          <cell r="I89">
            <v>43040.45480324074</v>
          </cell>
          <cell r="J89">
            <v>2.9398148148148148E-3</v>
          </cell>
        </row>
        <row r="90">
          <cell r="A90" t="str">
            <v>TOUCH</v>
          </cell>
          <cell r="B90" t="str">
            <v>PKE2278</v>
          </cell>
          <cell r="G90">
            <v>-3829971200</v>
          </cell>
          <cell r="H90">
            <v>43040.466354166667</v>
          </cell>
          <cell r="I90">
            <v>43040.482604166667</v>
          </cell>
          <cell r="J90">
            <v>1.6249999999999997E-2</v>
          </cell>
        </row>
        <row r="91">
          <cell r="A91" t="str">
            <v>BASICO</v>
          </cell>
          <cell r="B91" t="str">
            <v>PXC3702</v>
          </cell>
          <cell r="G91">
            <v>-3833207600</v>
          </cell>
          <cell r="H91">
            <v>43040.466678240744</v>
          </cell>
          <cell r="I91">
            <v>43040.484027777777</v>
          </cell>
          <cell r="J91">
            <v>1.7349537037037038E-2</v>
          </cell>
        </row>
        <row r="92">
          <cell r="A92" t="str">
            <v>TOUCH</v>
          </cell>
          <cell r="B92" t="str">
            <v>PKE2278</v>
          </cell>
          <cell r="G92">
            <v>-3829421600</v>
          </cell>
          <cell r="H92">
            <v>43040.490729166668</v>
          </cell>
          <cell r="I92">
            <v>43040.53570601852</v>
          </cell>
          <cell r="J92">
            <v>4.4976851851851851E-2</v>
          </cell>
        </row>
        <row r="93">
          <cell r="A93" t="str">
            <v>BASICO</v>
          </cell>
          <cell r="B93" t="str">
            <v>PXC3702</v>
          </cell>
          <cell r="G93">
            <v>-3832783200</v>
          </cell>
          <cell r="H93">
            <v>43040.49722222222</v>
          </cell>
          <cell r="I93">
            <v>43040.548564814817</v>
          </cell>
          <cell r="J93">
            <v>5.1342592592592586E-2</v>
          </cell>
        </row>
        <row r="94">
          <cell r="A94" t="str">
            <v>TOUCH</v>
          </cell>
          <cell r="B94" t="str">
            <v>PKE2278</v>
          </cell>
          <cell r="G94">
            <v>-3828677100</v>
          </cell>
          <cell r="H94">
            <v>43040.540405092594</v>
          </cell>
          <cell r="I94">
            <v>43040.59103009259</v>
          </cell>
          <cell r="J94">
            <v>5.0625000000000003E-2</v>
          </cell>
        </row>
        <row r="95">
          <cell r="A95" t="str">
            <v>BASICO</v>
          </cell>
          <cell r="B95" t="str">
            <v>PXC3702</v>
          </cell>
          <cell r="G95">
            <v>-3835505100</v>
          </cell>
          <cell r="H95">
            <v>43040.562754629631</v>
          </cell>
          <cell r="I95">
            <v>43040.591226851851</v>
          </cell>
          <cell r="J95">
            <v>2.8472222222222222E-2</v>
          </cell>
        </row>
        <row r="96">
          <cell r="A96" t="str">
            <v>BASICO</v>
          </cell>
          <cell r="B96" t="str">
            <v>PXC3702</v>
          </cell>
          <cell r="G96">
            <v>-3835774700</v>
          </cell>
          <cell r="H96">
            <v>43040.595324074071</v>
          </cell>
          <cell r="I96">
            <v>43040.597592592596</v>
          </cell>
          <cell r="J96">
            <v>2.2685185185185182E-3</v>
          </cell>
        </row>
        <row r="97">
          <cell r="A97" t="str">
            <v>BASICO</v>
          </cell>
          <cell r="B97" t="str">
            <v>PXC3702</v>
          </cell>
          <cell r="G97">
            <v>-3835785200</v>
          </cell>
          <cell r="H97">
            <v>43040.60328703704</v>
          </cell>
          <cell r="I97">
            <v>43040.607071759259</v>
          </cell>
          <cell r="J97">
            <v>3.7847222222222223E-3</v>
          </cell>
        </row>
        <row r="98">
          <cell r="A98" t="str">
            <v>TOUCH</v>
          </cell>
          <cell r="B98" t="str">
            <v>PKE2278</v>
          </cell>
          <cell r="G98">
            <v>-3832721700</v>
          </cell>
          <cell r="H98">
            <v>43040.619953703703</v>
          </cell>
          <cell r="I98">
            <v>43040.956006944441</v>
          </cell>
          <cell r="J98">
            <v>0.33605324074074078</v>
          </cell>
        </row>
        <row r="99">
          <cell r="A99" t="str">
            <v>BASICO</v>
          </cell>
          <cell r="B99" t="str">
            <v>PXC3702</v>
          </cell>
          <cell r="G99">
            <v>-3834813900</v>
          </cell>
          <cell r="H99">
            <v>43040.620324074072</v>
          </cell>
          <cell r="I99">
            <v>43040.688645833332</v>
          </cell>
          <cell r="J99">
            <v>6.8321759259259263E-2</v>
          </cell>
        </row>
        <row r="100">
          <cell r="A100" t="str">
            <v>BASICO</v>
          </cell>
          <cell r="B100" t="str">
            <v>PXC3702</v>
          </cell>
          <cell r="G100">
            <v>-3832709500</v>
          </cell>
          <cell r="H100">
            <v>43040.702766203707</v>
          </cell>
          <cell r="I100">
            <v>43041.290381944447</v>
          </cell>
          <cell r="J100">
            <v>0.58761574074074074</v>
          </cell>
        </row>
        <row r="101">
          <cell r="A101" t="str">
            <v>TOUCH</v>
          </cell>
          <cell r="B101" t="str">
            <v>PKE2278</v>
          </cell>
          <cell r="G101">
            <v>-3829755400</v>
          </cell>
          <cell r="H101">
            <v>43040.9684375</v>
          </cell>
          <cell r="I101">
            <v>43041.036215277774</v>
          </cell>
          <cell r="J101">
            <v>6.7777777777777784E-2</v>
          </cell>
        </row>
        <row r="102">
          <cell r="A102" t="str">
            <v>TOUCH</v>
          </cell>
          <cell r="B102" t="str">
            <v>PKE2278</v>
          </cell>
          <cell r="G102">
            <v>-3831450900</v>
          </cell>
          <cell r="H102">
            <v>43041.044872685183</v>
          </cell>
          <cell r="I102">
            <v>43041.087083333332</v>
          </cell>
          <cell r="J102">
            <v>4.221064814814815E-2</v>
          </cell>
        </row>
        <row r="103">
          <cell r="A103" t="str">
            <v>TOUCH</v>
          </cell>
          <cell r="B103" t="str">
            <v>PKE2278</v>
          </cell>
          <cell r="G103">
            <v>-3834274700</v>
          </cell>
          <cell r="H103">
            <v>43041.096620370372</v>
          </cell>
          <cell r="I103">
            <v>43041.176261574074</v>
          </cell>
          <cell r="J103">
            <v>7.96412037037037E-2</v>
          </cell>
        </row>
        <row r="104">
          <cell r="A104" t="str">
            <v>TOUCH</v>
          </cell>
          <cell r="B104" t="str">
            <v>PKE2278</v>
          </cell>
          <cell r="G104">
            <v>-3832991100</v>
          </cell>
          <cell r="H104">
            <v>43041.178877314815</v>
          </cell>
          <cell r="I104">
            <v>43041.212881944448</v>
          </cell>
          <cell r="J104">
            <v>3.4004629629629628E-2</v>
          </cell>
        </row>
        <row r="105">
          <cell r="A105" t="str">
            <v>TOUCH</v>
          </cell>
          <cell r="B105" t="str">
            <v>PKE2278</v>
          </cell>
          <cell r="G105">
            <v>-3832710900</v>
          </cell>
          <cell r="H105">
            <v>43041.216643518521</v>
          </cell>
          <cell r="I105">
            <v>43041.27070601852</v>
          </cell>
          <cell r="J105">
            <v>5.4062500000000006E-2</v>
          </cell>
        </row>
        <row r="106">
          <cell r="A106" t="str">
            <v>TOUCH</v>
          </cell>
          <cell r="B106" t="str">
            <v>PKE2278</v>
          </cell>
          <cell r="G106">
            <v>-3833375500</v>
          </cell>
          <cell r="H106">
            <v>43041.274722222224</v>
          </cell>
          <cell r="I106">
            <v>43041.281851851854</v>
          </cell>
          <cell r="J106">
            <v>7.1296296296296307E-3</v>
          </cell>
        </row>
        <row r="107">
          <cell r="A107" t="str">
            <v>BASICO</v>
          </cell>
          <cell r="B107" t="str">
            <v>PXC3702</v>
          </cell>
          <cell r="G107">
            <v>-3832522900</v>
          </cell>
          <cell r="H107">
            <v>43041.295173611114</v>
          </cell>
          <cell r="I107">
            <v>43041.308935185189</v>
          </cell>
          <cell r="J107">
            <v>1.3761574074074074E-2</v>
          </cell>
        </row>
        <row r="108">
          <cell r="A108" t="str">
            <v>TOUCH</v>
          </cell>
          <cell r="B108" t="str">
            <v>PKE2278</v>
          </cell>
          <cell r="G108">
            <v>-3828231300</v>
          </cell>
          <cell r="H108">
            <v>43041.295590277776</v>
          </cell>
          <cell r="I108">
            <v>43041.404513888891</v>
          </cell>
          <cell r="J108">
            <v>0.10892361111111111</v>
          </cell>
        </row>
        <row r="109">
          <cell r="A109" t="str">
            <v>BASICO</v>
          </cell>
          <cell r="B109" t="str">
            <v>PXC3702</v>
          </cell>
          <cell r="G109">
            <v>-3830556100</v>
          </cell>
          <cell r="H109">
            <v>43041.31591435185</v>
          </cell>
          <cell r="I109">
            <v>43041.392280092594</v>
          </cell>
          <cell r="J109">
            <v>7.6365740740740748E-2</v>
          </cell>
        </row>
        <row r="110">
          <cell r="A110" t="str">
            <v>BASICO</v>
          </cell>
          <cell r="B110" t="str">
            <v>PXC3702</v>
          </cell>
          <cell r="G110">
            <v>-3831387400</v>
          </cell>
          <cell r="H110">
            <v>43041.399537037039</v>
          </cell>
          <cell r="I110">
            <v>43041.405902777777</v>
          </cell>
          <cell r="J110">
            <v>6.3657407407407404E-3</v>
          </cell>
        </row>
        <row r="111">
          <cell r="A111" t="str">
            <v>BASICO</v>
          </cell>
          <cell r="B111" t="str">
            <v>PXC3702</v>
          </cell>
          <cell r="G111">
            <v>-3831351000</v>
          </cell>
          <cell r="H111">
            <v>43041.407557870371</v>
          </cell>
          <cell r="I111">
            <v>43041.414641203701</v>
          </cell>
          <cell r="J111">
            <v>7.083333333333333E-3</v>
          </cell>
        </row>
        <row r="112">
          <cell r="A112" t="str">
            <v>TOUCH</v>
          </cell>
          <cell r="B112" t="str">
            <v>PKE2278</v>
          </cell>
          <cell r="G112">
            <v>-3833193900</v>
          </cell>
          <cell r="H112">
            <v>43041.416145833333</v>
          </cell>
          <cell r="I112">
            <v>43041.482129629629</v>
          </cell>
          <cell r="J112">
            <v>6.598379629629629E-2</v>
          </cell>
        </row>
        <row r="113">
          <cell r="A113" t="str">
            <v>BASICO</v>
          </cell>
          <cell r="B113" t="str">
            <v>PXC3702</v>
          </cell>
          <cell r="G113">
            <v>-3831425000</v>
          </cell>
          <cell r="H113">
            <v>43041.416493055556</v>
          </cell>
          <cell r="I113">
            <v>43041.426238425927</v>
          </cell>
          <cell r="J113">
            <v>9.7453703703703713E-3</v>
          </cell>
        </row>
        <row r="114">
          <cell r="A114" t="str">
            <v>BASICO</v>
          </cell>
          <cell r="B114" t="str">
            <v>PXC3702</v>
          </cell>
          <cell r="G114">
            <v>-3831697400</v>
          </cell>
          <cell r="H114">
            <v>43041.430173611108</v>
          </cell>
          <cell r="I114">
            <v>43041.433645833335</v>
          </cell>
          <cell r="J114">
            <v>3.472222222222222E-3</v>
          </cell>
        </row>
        <row r="115">
          <cell r="A115" t="str">
            <v>BASICO</v>
          </cell>
          <cell r="B115" t="str">
            <v>PXC3702</v>
          </cell>
          <cell r="G115">
            <v>-3831765100</v>
          </cell>
          <cell r="H115">
            <v>43041.437673611108</v>
          </cell>
          <cell r="I115">
            <v>43041.447118055556</v>
          </cell>
          <cell r="J115">
            <v>9.4444444444444445E-3</v>
          </cell>
        </row>
        <row r="116">
          <cell r="A116" t="str">
            <v>BASICO</v>
          </cell>
          <cell r="B116" t="str">
            <v>PXC3702</v>
          </cell>
          <cell r="G116">
            <v>-3831589200</v>
          </cell>
          <cell r="H116">
            <v>43041.451944444445</v>
          </cell>
          <cell r="I116">
            <v>43041.459583333337</v>
          </cell>
          <cell r="J116">
            <v>7.6388888888888886E-3</v>
          </cell>
        </row>
        <row r="117">
          <cell r="A117" t="str">
            <v>BASICO</v>
          </cell>
          <cell r="B117" t="str">
            <v>PXC3702</v>
          </cell>
          <cell r="G117">
            <v>-3831454800</v>
          </cell>
          <cell r="H117">
            <v>43041.461770833332</v>
          </cell>
          <cell r="I117">
            <v>43041.478541666664</v>
          </cell>
          <cell r="J117">
            <v>1.6770833333333332E-2</v>
          </cell>
        </row>
        <row r="118">
          <cell r="A118" t="str">
            <v>BASICO</v>
          </cell>
          <cell r="B118" t="str">
            <v>PXC3702</v>
          </cell>
          <cell r="G118">
            <v>-3832153600</v>
          </cell>
          <cell r="H118">
            <v>43041.488599537035</v>
          </cell>
          <cell r="I118">
            <v>43041.526817129627</v>
          </cell>
          <cell r="J118">
            <v>3.8217592592592588E-2</v>
          </cell>
        </row>
        <row r="119">
          <cell r="A119" t="str">
            <v>TOUCH</v>
          </cell>
          <cell r="B119" t="str">
            <v>PKE2278</v>
          </cell>
          <cell r="G119">
            <v>-3833578700</v>
          </cell>
          <cell r="H119">
            <v>43041.489351851851</v>
          </cell>
          <cell r="I119">
            <v>43041.545046296298</v>
          </cell>
          <cell r="J119">
            <v>5.5694444444444442E-2</v>
          </cell>
        </row>
        <row r="120">
          <cell r="A120" t="str">
            <v>BASICO</v>
          </cell>
          <cell r="B120" t="str">
            <v>PXC3702</v>
          </cell>
          <cell r="G120">
            <v>-3832723200</v>
          </cell>
          <cell r="H120">
            <v>43041.532696759263</v>
          </cell>
          <cell r="I120">
            <v>43041.553553240738</v>
          </cell>
          <cell r="J120">
            <v>2.0856481481481479E-2</v>
          </cell>
        </row>
        <row r="121">
          <cell r="A121" t="str">
            <v>TOUCH</v>
          </cell>
          <cell r="B121" t="str">
            <v>PKE2278</v>
          </cell>
          <cell r="G121">
            <v>-3832553800</v>
          </cell>
          <cell r="H121">
            <v>43041.551400462966</v>
          </cell>
          <cell r="I121">
            <v>43041.559178240743</v>
          </cell>
          <cell r="J121">
            <v>7.7777777777777767E-3</v>
          </cell>
        </row>
        <row r="122">
          <cell r="A122" t="str">
            <v>BASICO</v>
          </cell>
          <cell r="B122" t="str">
            <v>PXC3702</v>
          </cell>
          <cell r="G122">
            <v>-3833114400</v>
          </cell>
          <cell r="H122">
            <v>43041.555601851855</v>
          </cell>
          <cell r="I122">
            <v>43041.558761574073</v>
          </cell>
          <cell r="J122">
            <v>3.1597222222222222E-3</v>
          </cell>
        </row>
        <row r="123">
          <cell r="A123" t="str">
            <v>TOUCH</v>
          </cell>
          <cell r="B123" t="str">
            <v>PKE2278</v>
          </cell>
          <cell r="G123">
            <v>-3833121500</v>
          </cell>
          <cell r="H123">
            <v>43041.561678240738</v>
          </cell>
          <cell r="I123">
            <v>43041.571469907409</v>
          </cell>
          <cell r="J123">
            <v>9.7916666666666655E-3</v>
          </cell>
        </row>
        <row r="124">
          <cell r="A124" t="str">
            <v>BASICO</v>
          </cell>
          <cell r="B124" t="str">
            <v>PXC3702</v>
          </cell>
          <cell r="G124">
            <v>-3834775100</v>
          </cell>
          <cell r="H124">
            <v>43041.565752314818</v>
          </cell>
          <cell r="I124">
            <v>43041.596087962964</v>
          </cell>
          <cell r="J124">
            <v>3.0335648148148143E-2</v>
          </cell>
        </row>
        <row r="125">
          <cell r="A125" t="str">
            <v>TOUCH</v>
          </cell>
          <cell r="B125" t="str">
            <v>PKE2278</v>
          </cell>
          <cell r="G125">
            <v>-3832807700</v>
          </cell>
          <cell r="H125">
            <v>43041.573900462965</v>
          </cell>
          <cell r="I125">
            <v>43041.575208333335</v>
          </cell>
          <cell r="J125">
            <v>1.3078703703703705E-3</v>
          </cell>
        </row>
        <row r="126">
          <cell r="A126" t="str">
            <v>TOUCH</v>
          </cell>
          <cell r="B126" t="str">
            <v>PKE2278</v>
          </cell>
          <cell r="G126">
            <v>-3834863700</v>
          </cell>
          <cell r="H126">
            <v>43041.580393518518</v>
          </cell>
          <cell r="I126">
            <v>43041.593738425923</v>
          </cell>
          <cell r="J126">
            <v>1.3344907407407408E-2</v>
          </cell>
        </row>
        <row r="127">
          <cell r="A127" t="str">
            <v>TOUCH</v>
          </cell>
          <cell r="B127" t="str">
            <v>PKE2278</v>
          </cell>
          <cell r="G127">
            <v>-3832724700</v>
          </cell>
          <cell r="H127">
            <v>43041.599548611113</v>
          </cell>
          <cell r="I127">
            <v>43041.951192129629</v>
          </cell>
          <cell r="J127">
            <v>0.35164351851851849</v>
          </cell>
        </row>
        <row r="128">
          <cell r="A128" t="str">
            <v>BASICO</v>
          </cell>
          <cell r="B128" t="str">
            <v>PXC3702</v>
          </cell>
          <cell r="G128">
            <v>-3830568200</v>
          </cell>
          <cell r="H128">
            <v>43041.607754629629</v>
          </cell>
          <cell r="I128">
            <v>43041.6093287037</v>
          </cell>
          <cell r="J128">
            <v>1.5740740740740741E-3</v>
          </cell>
        </row>
        <row r="129">
          <cell r="A129" t="str">
            <v>BASICO</v>
          </cell>
          <cell r="B129" t="str">
            <v>PXC3702</v>
          </cell>
          <cell r="G129">
            <v>-3831436900</v>
          </cell>
          <cell r="H129">
            <v>43041.617824074077</v>
          </cell>
          <cell r="I129">
            <v>43041.620023148149</v>
          </cell>
          <cell r="J129">
            <v>2.1990740740740742E-3</v>
          </cell>
        </row>
        <row r="130">
          <cell r="A130" t="str">
            <v>BASICO</v>
          </cell>
          <cell r="B130" t="str">
            <v>PXC3702</v>
          </cell>
          <cell r="G130">
            <v>-3832712500</v>
          </cell>
          <cell r="H130">
            <v>43041.624560185184</v>
          </cell>
          <cell r="I130">
            <v>43042.281435185185</v>
          </cell>
          <cell r="J130">
            <v>0.65687499999999999</v>
          </cell>
        </row>
        <row r="131">
          <cell r="A131" t="str">
            <v>TOUCH</v>
          </cell>
          <cell r="B131" t="str">
            <v>PKE2278</v>
          </cell>
          <cell r="G131">
            <v>-3833321300</v>
          </cell>
          <cell r="H131">
            <v>43041.956620370373</v>
          </cell>
          <cell r="I131">
            <v>43042.183530092596</v>
          </cell>
          <cell r="J131">
            <v>0.22690972222222225</v>
          </cell>
        </row>
        <row r="132">
          <cell r="A132" t="str">
            <v>TOUCH</v>
          </cell>
          <cell r="B132" t="str">
            <v>PKE2278</v>
          </cell>
          <cell r="G132">
            <v>-3833002300</v>
          </cell>
          <cell r="H132">
            <v>43042.191527777781</v>
          </cell>
          <cell r="I132">
            <v>43042.213402777779</v>
          </cell>
          <cell r="J132">
            <v>2.1875000000000002E-2</v>
          </cell>
        </row>
        <row r="133">
          <cell r="A133" t="str">
            <v>TOUCH</v>
          </cell>
          <cell r="B133" t="str">
            <v>PKE2278</v>
          </cell>
          <cell r="G133">
            <v>-3832722700</v>
          </cell>
          <cell r="H133">
            <v>43042.216770833336</v>
          </cell>
          <cell r="I133">
            <v>43042.951261574075</v>
          </cell>
          <cell r="J133">
            <v>0.73449074074074072</v>
          </cell>
        </row>
        <row r="134">
          <cell r="A134" t="str">
            <v>BASICO</v>
          </cell>
          <cell r="B134" t="str">
            <v>PXC3702</v>
          </cell>
          <cell r="G134">
            <v>-3832513400</v>
          </cell>
          <cell r="H134">
            <v>43042.286296296297</v>
          </cell>
          <cell r="I134">
            <v>43042.298159722224</v>
          </cell>
          <cell r="J134">
            <v>1.1863425925925925E-2</v>
          </cell>
        </row>
        <row r="135">
          <cell r="A135" t="str">
            <v>BASICO</v>
          </cell>
          <cell r="B135" t="str">
            <v>PXC3702</v>
          </cell>
          <cell r="G135">
            <v>-3832997700</v>
          </cell>
          <cell r="H135">
            <v>43042.302743055552</v>
          </cell>
          <cell r="I135">
            <v>43042.306250000001</v>
          </cell>
          <cell r="J135">
            <v>3.5069444444444445E-3</v>
          </cell>
        </row>
        <row r="136">
          <cell r="A136" t="str">
            <v>BASICO</v>
          </cell>
          <cell r="B136" t="str">
            <v>PXC3702</v>
          </cell>
          <cell r="G136">
            <v>-3832762600</v>
          </cell>
          <cell r="H136">
            <v>43042.312847222223</v>
          </cell>
          <cell r="I136">
            <v>43042.315694444442</v>
          </cell>
          <cell r="J136">
            <v>2.8472222222222219E-3</v>
          </cell>
        </row>
        <row r="137">
          <cell r="A137" t="str">
            <v>BASICO</v>
          </cell>
          <cell r="B137" t="str">
            <v>PXC3702</v>
          </cell>
          <cell r="G137">
            <v>-3832994000</v>
          </cell>
          <cell r="H137">
            <v>43042.319062499999</v>
          </cell>
          <cell r="I137">
            <v>43042.326828703706</v>
          </cell>
          <cell r="J137">
            <v>7.7662037037037031E-3</v>
          </cell>
        </row>
        <row r="138">
          <cell r="A138" t="str">
            <v>BASICO</v>
          </cell>
          <cell r="B138" t="str">
            <v>PXC3702</v>
          </cell>
          <cell r="G138">
            <v>-3833924500</v>
          </cell>
          <cell r="H138">
            <v>43042.334155092591</v>
          </cell>
          <cell r="I138">
            <v>43042.351840277777</v>
          </cell>
          <cell r="J138">
            <v>1.7685185185185182E-2</v>
          </cell>
        </row>
        <row r="139">
          <cell r="A139" t="str">
            <v>BASICO</v>
          </cell>
          <cell r="B139" t="str">
            <v>PXC3702</v>
          </cell>
          <cell r="G139">
            <v>-3834022100</v>
          </cell>
          <cell r="H139">
            <v>43042.353750000002</v>
          </cell>
          <cell r="I139">
            <v>43042.356388888889</v>
          </cell>
          <cell r="J139">
            <v>2.6388888888888885E-3</v>
          </cell>
        </row>
        <row r="140">
          <cell r="A140" t="str">
            <v>BASICO</v>
          </cell>
          <cell r="B140" t="str">
            <v>PXC3702</v>
          </cell>
          <cell r="G140">
            <v>-3834304500</v>
          </cell>
          <cell r="H140">
            <v>43042.360902777778</v>
          </cell>
          <cell r="I140">
            <v>43042.375798611109</v>
          </cell>
          <cell r="J140">
            <v>1.4895833333333332E-2</v>
          </cell>
        </row>
        <row r="141">
          <cell r="A141" t="str">
            <v>BASICO</v>
          </cell>
          <cell r="B141" t="str">
            <v>PXC3702</v>
          </cell>
          <cell r="G141">
            <v>-3835556900</v>
          </cell>
          <cell r="H141">
            <v>43042.381840277776</v>
          </cell>
          <cell r="I141">
            <v>43042.394479166665</v>
          </cell>
          <cell r="J141">
            <v>1.2638888888888889E-2</v>
          </cell>
        </row>
        <row r="142">
          <cell r="A142" t="str">
            <v>BASICO</v>
          </cell>
          <cell r="B142" t="str">
            <v>PXC3702</v>
          </cell>
          <cell r="G142">
            <v>-3835843700</v>
          </cell>
          <cell r="H142">
            <v>43042.396145833336</v>
          </cell>
          <cell r="I142">
            <v>43042.401631944442</v>
          </cell>
          <cell r="J142">
            <v>5.4861111111111117E-3</v>
          </cell>
        </row>
        <row r="143">
          <cell r="A143" t="str">
            <v>BASICO</v>
          </cell>
          <cell r="B143" t="str">
            <v>PXC3702</v>
          </cell>
          <cell r="G143">
            <v>-3836217300</v>
          </cell>
          <cell r="H143">
            <v>43042.403506944444</v>
          </cell>
          <cell r="I143">
            <v>43042.406319444446</v>
          </cell>
          <cell r="J143">
            <v>2.8124999999999995E-3</v>
          </cell>
        </row>
        <row r="144">
          <cell r="A144" t="str">
            <v>BASICO</v>
          </cell>
          <cell r="B144" t="str">
            <v>PXC3702</v>
          </cell>
          <cell r="G144">
            <v>-3834911100</v>
          </cell>
          <cell r="H144">
            <v>43042.414270833331</v>
          </cell>
          <cell r="I144">
            <v>43042.446840277778</v>
          </cell>
          <cell r="J144">
            <v>3.2569444444444443E-2</v>
          </cell>
        </row>
        <row r="145">
          <cell r="A145" t="str">
            <v>BASICO</v>
          </cell>
          <cell r="B145" t="str">
            <v>PXC3702</v>
          </cell>
          <cell r="G145">
            <v>-3832013400</v>
          </cell>
          <cell r="H145">
            <v>43042.458124999997</v>
          </cell>
          <cell r="I145">
            <v>43042.490416666667</v>
          </cell>
          <cell r="J145">
            <v>3.229166666666667E-2</v>
          </cell>
        </row>
        <row r="146">
          <cell r="A146" t="str">
            <v>BASICO</v>
          </cell>
          <cell r="B146" t="str">
            <v>PXC3702</v>
          </cell>
          <cell r="G146">
            <v>-3833597400</v>
          </cell>
          <cell r="H146">
            <v>43042.500833333332</v>
          </cell>
          <cell r="I146">
            <v>43042.50440972222</v>
          </cell>
          <cell r="J146">
            <v>3.5763888888888894E-3</v>
          </cell>
        </row>
        <row r="147">
          <cell r="A147" t="str">
            <v>BASICO</v>
          </cell>
          <cell r="B147" t="str">
            <v>PXC3702</v>
          </cell>
          <cell r="G147">
            <v>-3834366900</v>
          </cell>
          <cell r="H147">
            <v>43042.507395833331</v>
          </cell>
          <cell r="I147">
            <v>43042.561180555553</v>
          </cell>
          <cell r="J147">
            <v>5.378472222222222E-2</v>
          </cell>
        </row>
        <row r="148">
          <cell r="A148" t="str">
            <v>BASICO</v>
          </cell>
          <cell r="B148" t="str">
            <v>PXC3702</v>
          </cell>
          <cell r="G148">
            <v>-3835790200</v>
          </cell>
          <cell r="H148">
            <v>43042.570729166669</v>
          </cell>
          <cell r="I148">
            <v>43042.627060185187</v>
          </cell>
          <cell r="J148">
            <v>5.6331018518518516E-2</v>
          </cell>
        </row>
        <row r="149">
          <cell r="A149" t="str">
            <v>BASICO</v>
          </cell>
          <cell r="B149" t="str">
            <v>PXC3702</v>
          </cell>
          <cell r="G149">
            <v>-3833571200</v>
          </cell>
          <cell r="H149">
            <v>43042.637337962966</v>
          </cell>
          <cell r="I149">
            <v>43042.638310185182</v>
          </cell>
          <cell r="J149">
            <v>9.7222222222222209E-4</v>
          </cell>
        </row>
        <row r="150">
          <cell r="A150" t="str">
            <v>BASICO</v>
          </cell>
          <cell r="B150" t="str">
            <v>PXC3702</v>
          </cell>
          <cell r="G150">
            <v>-3833115200</v>
          </cell>
          <cell r="H150">
            <v>43042.641122685185</v>
          </cell>
          <cell r="I150">
            <v>43042.645254629628</v>
          </cell>
          <cell r="J150">
            <v>4.1319444444444442E-3</v>
          </cell>
        </row>
        <row r="151">
          <cell r="A151" t="str">
            <v>BASICO</v>
          </cell>
          <cell r="B151" t="str">
            <v>PXC3702</v>
          </cell>
          <cell r="G151">
            <v>-3832713700</v>
          </cell>
          <cell r="H151">
            <v>43042.648032407407</v>
          </cell>
          <cell r="I151">
            <v>43042.678310185183</v>
          </cell>
          <cell r="J151">
            <v>3.0277777777777778E-2</v>
          </cell>
        </row>
        <row r="152">
          <cell r="A152" t="str">
            <v>BASICO</v>
          </cell>
          <cell r="B152" t="str">
            <v>PXC3702</v>
          </cell>
          <cell r="G152">
            <v>-3829810500</v>
          </cell>
          <cell r="H152">
            <v>43042.693101851852</v>
          </cell>
          <cell r="I152">
            <v>43042.701886574076</v>
          </cell>
          <cell r="J152">
            <v>8.7847222222222233E-3</v>
          </cell>
        </row>
        <row r="153">
          <cell r="A153" t="str">
            <v>BASICO</v>
          </cell>
          <cell r="B153" t="str">
            <v>PXC3702</v>
          </cell>
          <cell r="G153">
            <v>-3832995900</v>
          </cell>
          <cell r="H153">
            <v>43042.717372685183</v>
          </cell>
          <cell r="I153">
            <v>43042.74181712963</v>
          </cell>
          <cell r="J153">
            <v>2.4444444444444446E-2</v>
          </cell>
        </row>
        <row r="154">
          <cell r="A154" t="str">
            <v>BASICO</v>
          </cell>
          <cell r="B154" t="str">
            <v>PXC3702</v>
          </cell>
          <cell r="G154">
            <v>-3835715800</v>
          </cell>
          <cell r="H154">
            <v>43042.755219907405</v>
          </cell>
          <cell r="I154">
            <v>43042.767164351855</v>
          </cell>
          <cell r="J154">
            <v>1.1944444444444445E-2</v>
          </cell>
        </row>
        <row r="155">
          <cell r="A155" t="str">
            <v>BASICO</v>
          </cell>
          <cell r="B155" t="str">
            <v>PXC3702</v>
          </cell>
          <cell r="G155">
            <v>-3834866500</v>
          </cell>
          <cell r="H155">
            <v>43042.776504629626</v>
          </cell>
          <cell r="I155">
            <v>43042.809652777774</v>
          </cell>
          <cell r="J155">
            <v>3.3148148148148149E-2</v>
          </cell>
        </row>
        <row r="156">
          <cell r="A156" t="str">
            <v>BASICO</v>
          </cell>
          <cell r="B156" t="str">
            <v>PXC3702</v>
          </cell>
          <cell r="G156">
            <v>-3834725900</v>
          </cell>
          <cell r="H156">
            <v>43042.817118055558</v>
          </cell>
          <cell r="I156">
            <v>43042.846458333333</v>
          </cell>
          <cell r="J156">
            <v>2.9340277777777781E-2</v>
          </cell>
        </row>
        <row r="157">
          <cell r="A157" t="str">
            <v>BASICO</v>
          </cell>
          <cell r="B157" t="str">
            <v>PXC3702</v>
          </cell>
          <cell r="G157">
            <v>-3834538000</v>
          </cell>
          <cell r="H157">
            <v>43042.850243055553</v>
          </cell>
          <cell r="I157">
            <v>43042.857118055559</v>
          </cell>
          <cell r="J157">
            <v>6.875E-3</v>
          </cell>
        </row>
        <row r="158">
          <cell r="A158" t="str">
            <v>BASICO</v>
          </cell>
          <cell r="B158" t="str">
            <v>PXC3702</v>
          </cell>
          <cell r="G158">
            <v>-3831872700</v>
          </cell>
          <cell r="H158">
            <v>43042.865694444445</v>
          </cell>
          <cell r="I158">
            <v>43042.905960648146</v>
          </cell>
          <cell r="J158">
            <v>4.02662037037037E-2</v>
          </cell>
        </row>
        <row r="159">
          <cell r="A159" t="str">
            <v>BASICO</v>
          </cell>
          <cell r="B159" t="str">
            <v>PXC3702</v>
          </cell>
          <cell r="G159">
            <v>-3829090500</v>
          </cell>
          <cell r="H159">
            <v>43042.919363425928</v>
          </cell>
          <cell r="I159">
            <v>43042.921064814815</v>
          </cell>
          <cell r="J159">
            <v>1.7013888888888892E-3</v>
          </cell>
        </row>
        <row r="160">
          <cell r="A160" t="str">
            <v>BASICO</v>
          </cell>
          <cell r="B160" t="str">
            <v>PXC3702</v>
          </cell>
          <cell r="G160">
            <v>-3831409500</v>
          </cell>
          <cell r="H160">
            <v>43042.925162037034</v>
          </cell>
          <cell r="I160">
            <v>43042.927106481482</v>
          </cell>
          <cell r="J160">
            <v>1.9444444444444442E-3</v>
          </cell>
        </row>
        <row r="161">
          <cell r="A161" t="str">
            <v>BASICO</v>
          </cell>
          <cell r="B161" t="str">
            <v>PXC3702</v>
          </cell>
          <cell r="G161">
            <v>-3832706400</v>
          </cell>
          <cell r="H161">
            <v>43042.930717592593</v>
          </cell>
          <cell r="I161">
            <v>43042.932245370372</v>
          </cell>
          <cell r="J161">
            <v>1.5277777777777779E-3</v>
          </cell>
        </row>
        <row r="162">
          <cell r="A162" t="str">
            <v>BASICO</v>
          </cell>
          <cell r="B162" t="str">
            <v>PXC3702</v>
          </cell>
          <cell r="G162">
            <v>-3831346500</v>
          </cell>
          <cell r="H162">
            <v>43042.939606481479</v>
          </cell>
          <cell r="I162">
            <v>43042.96365740741</v>
          </cell>
          <cell r="J162">
            <v>2.4050925925925924E-2</v>
          </cell>
        </row>
        <row r="163">
          <cell r="A163" t="str">
            <v>TOUCH</v>
          </cell>
          <cell r="B163" t="str">
            <v>PKE2278</v>
          </cell>
          <cell r="G163">
            <v>-3834109200</v>
          </cell>
          <cell r="H163">
            <v>43042.95511574074</v>
          </cell>
          <cell r="I163">
            <v>43042.970567129632</v>
          </cell>
          <cell r="J163">
            <v>1.545138888888889E-2</v>
          </cell>
        </row>
        <row r="164">
          <cell r="A164" t="str">
            <v>BASICO</v>
          </cell>
          <cell r="B164" t="str">
            <v>PXC3702</v>
          </cell>
          <cell r="G164">
            <v>-3831401400</v>
          </cell>
          <cell r="H164">
            <v>43042.966678240744</v>
          </cell>
          <cell r="I164">
            <v>43042.997442129628</v>
          </cell>
          <cell r="J164">
            <v>3.0763888888888886E-2</v>
          </cell>
        </row>
        <row r="165">
          <cell r="A165" t="str">
            <v>TOUCH</v>
          </cell>
          <cell r="B165" t="str">
            <v>PKE2278</v>
          </cell>
          <cell r="G165">
            <v>-3832880400</v>
          </cell>
          <cell r="H165">
            <v>43042.97587962963</v>
          </cell>
          <cell r="I165">
            <v>43042.998831018522</v>
          </cell>
          <cell r="J165">
            <v>2.2951388888888886E-2</v>
          </cell>
        </row>
        <row r="166">
          <cell r="A166" t="str">
            <v>TOUCH</v>
          </cell>
          <cell r="B166" t="str">
            <v>PKE2278</v>
          </cell>
          <cell r="G166">
            <v>-3832505100</v>
          </cell>
          <cell r="H166">
            <v>43043.000462962962</v>
          </cell>
          <cell r="I166">
            <v>43043.017754629633</v>
          </cell>
          <cell r="J166">
            <v>1.7291666666666667E-2</v>
          </cell>
        </row>
        <row r="167">
          <cell r="A167" t="str">
            <v>BASICO</v>
          </cell>
          <cell r="B167" t="str">
            <v>PXC3702</v>
          </cell>
          <cell r="G167">
            <v>-3834526300</v>
          </cell>
          <cell r="H167">
            <v>43043.003935185188</v>
          </cell>
          <cell r="I167">
            <v>43043.006851851853</v>
          </cell>
          <cell r="J167">
            <v>2.9166666666666668E-3</v>
          </cell>
        </row>
        <row r="168">
          <cell r="A168" t="str">
            <v>BASICO</v>
          </cell>
          <cell r="B168" t="str">
            <v>PXC3702</v>
          </cell>
          <cell r="G168">
            <v>-3833720100</v>
          </cell>
          <cell r="H168">
            <v>43043.016331018516</v>
          </cell>
          <cell r="I168">
            <v>43043.018310185187</v>
          </cell>
          <cell r="J168">
            <v>1.9791666666666668E-3</v>
          </cell>
        </row>
        <row r="169">
          <cell r="A169" t="str">
            <v>BASICO</v>
          </cell>
          <cell r="B169" t="str">
            <v>PXC3702</v>
          </cell>
          <cell r="G169">
            <v>-3832719400</v>
          </cell>
          <cell r="H169">
            <v>43043.020254629628</v>
          </cell>
          <cell r="I169">
            <v>43043.725752314815</v>
          </cell>
          <cell r="J169">
            <v>0.70549768518518519</v>
          </cell>
        </row>
        <row r="170">
          <cell r="A170" t="str">
            <v>TOUCH</v>
          </cell>
          <cell r="B170" t="str">
            <v>PKE2278</v>
          </cell>
          <cell r="G170">
            <v>-3831421300</v>
          </cell>
          <cell r="H170">
            <v>43043.020428240743</v>
          </cell>
          <cell r="I170">
            <v>43043.024212962962</v>
          </cell>
          <cell r="J170">
            <v>3.7847222222222223E-3</v>
          </cell>
        </row>
        <row r="171">
          <cell r="A171" t="str">
            <v>TOUCH</v>
          </cell>
          <cell r="B171" t="str">
            <v>PKE2278</v>
          </cell>
          <cell r="G171">
            <v>-3832204300</v>
          </cell>
          <cell r="H171">
            <v>43043.027824074074</v>
          </cell>
          <cell r="I171">
            <v>43043.038587962961</v>
          </cell>
          <cell r="J171">
            <v>1.0763888888888891E-2</v>
          </cell>
        </row>
        <row r="172">
          <cell r="A172" t="str">
            <v>TOUCH</v>
          </cell>
          <cell r="B172" t="str">
            <v>PKE2278</v>
          </cell>
          <cell r="G172">
            <v>-3833012600</v>
          </cell>
          <cell r="H172">
            <v>43043.04074074074</v>
          </cell>
          <cell r="I172">
            <v>43043.059525462966</v>
          </cell>
          <cell r="J172">
            <v>1.8784722222222223E-2</v>
          </cell>
        </row>
        <row r="173">
          <cell r="A173" t="str">
            <v>TOUCH</v>
          </cell>
          <cell r="B173" t="str">
            <v>PKE2278</v>
          </cell>
          <cell r="G173">
            <v>-3834314000</v>
          </cell>
          <cell r="H173">
            <v>43043.063240740739</v>
          </cell>
          <cell r="I173">
            <v>43043.081018518518</v>
          </cell>
          <cell r="J173">
            <v>1.7777777777777778E-2</v>
          </cell>
        </row>
        <row r="174">
          <cell r="A174" t="str">
            <v>TOUCH</v>
          </cell>
          <cell r="B174" t="str">
            <v>PKE2278</v>
          </cell>
          <cell r="G174">
            <v>-3832370800</v>
          </cell>
          <cell r="H174">
            <v>43043.085185185184</v>
          </cell>
          <cell r="I174">
            <v>43043.091805555552</v>
          </cell>
          <cell r="J174">
            <v>6.6203703703703702E-3</v>
          </cell>
        </row>
        <row r="175">
          <cell r="A175" t="str">
            <v>TOUCH</v>
          </cell>
          <cell r="B175" t="str">
            <v>PKE2278</v>
          </cell>
          <cell r="G175">
            <v>-3831941200</v>
          </cell>
          <cell r="H175">
            <v>43043.093240740738</v>
          </cell>
          <cell r="I175">
            <v>43043.115324074075</v>
          </cell>
          <cell r="J175">
            <v>2.2083333333333333E-2</v>
          </cell>
        </row>
        <row r="176">
          <cell r="A176" t="str">
            <v>TOUCH</v>
          </cell>
          <cell r="B176" t="str">
            <v>PKE2278</v>
          </cell>
          <cell r="G176">
            <v>-3831417600</v>
          </cell>
          <cell r="H176">
            <v>43043.117199074077</v>
          </cell>
          <cell r="I176">
            <v>43043.150879629633</v>
          </cell>
          <cell r="J176">
            <v>3.3680555555555554E-2</v>
          </cell>
        </row>
        <row r="177">
          <cell r="A177" t="str">
            <v>TOUCH</v>
          </cell>
          <cell r="B177" t="str">
            <v>PKE2278</v>
          </cell>
          <cell r="G177">
            <v>-3832964800</v>
          </cell>
          <cell r="H177">
            <v>43043.161122685182</v>
          </cell>
          <cell r="I177">
            <v>43043.194641203707</v>
          </cell>
          <cell r="J177">
            <v>3.3518518518518517E-2</v>
          </cell>
        </row>
        <row r="178">
          <cell r="A178" t="str">
            <v>TOUCH</v>
          </cell>
          <cell r="B178" t="str">
            <v>PKE2278</v>
          </cell>
          <cell r="G178">
            <v>-3832710100</v>
          </cell>
          <cell r="H178">
            <v>43043.198854166665</v>
          </cell>
          <cell r="I178">
            <v>43045.266226851854</v>
          </cell>
          <cell r="J178" t="str">
            <v>2 D 01:37:01</v>
          </cell>
        </row>
        <row r="179">
          <cell r="A179" t="str">
            <v>BASICO</v>
          </cell>
          <cell r="B179" t="str">
            <v>PXC3702</v>
          </cell>
          <cell r="G179">
            <v>-3834370800</v>
          </cell>
          <cell r="H179">
            <v>43043.74015046296</v>
          </cell>
          <cell r="I179">
            <v>43043.755509259259</v>
          </cell>
          <cell r="J179">
            <v>1.5358796296296296E-2</v>
          </cell>
        </row>
        <row r="180">
          <cell r="A180" t="str">
            <v>BASICO</v>
          </cell>
          <cell r="B180" t="str">
            <v>PXC3702</v>
          </cell>
          <cell r="G180">
            <v>-3829948600</v>
          </cell>
          <cell r="H180">
            <v>43043.786886574075</v>
          </cell>
          <cell r="I180">
            <v>43043.830358796295</v>
          </cell>
          <cell r="J180">
            <v>4.3472222222222225E-2</v>
          </cell>
        </row>
        <row r="181">
          <cell r="A181" t="str">
            <v>BASICO</v>
          </cell>
          <cell r="B181" t="str">
            <v>PXC3702</v>
          </cell>
          <cell r="G181">
            <v>-3833210800</v>
          </cell>
          <cell r="H181">
            <v>43043.841504629629</v>
          </cell>
          <cell r="I181">
            <v>43043.866712962961</v>
          </cell>
          <cell r="J181">
            <v>2.5208333333333333E-2</v>
          </cell>
        </row>
        <row r="182">
          <cell r="A182" t="str">
            <v>BASICO</v>
          </cell>
          <cell r="B182" t="str">
            <v>PXC3702</v>
          </cell>
          <cell r="G182">
            <v>-3832423400</v>
          </cell>
          <cell r="H182">
            <v>43043.873819444445</v>
          </cell>
          <cell r="I182">
            <v>43043.876979166664</v>
          </cell>
          <cell r="J182">
            <v>3.1597222222222222E-3</v>
          </cell>
        </row>
        <row r="183">
          <cell r="A183" t="str">
            <v>BASICO</v>
          </cell>
          <cell r="B183" t="str">
            <v>PXC3702</v>
          </cell>
          <cell r="G183">
            <v>-3832987900</v>
          </cell>
          <cell r="H183">
            <v>43043.880729166667</v>
          </cell>
          <cell r="I183">
            <v>43043.910428240742</v>
          </cell>
          <cell r="J183">
            <v>2.9699074074074072E-2</v>
          </cell>
        </row>
        <row r="184">
          <cell r="A184" t="str">
            <v>BASICO</v>
          </cell>
          <cell r="B184" t="str">
            <v>PXC3702</v>
          </cell>
          <cell r="G184">
            <v>-3832672500</v>
          </cell>
          <cell r="H184">
            <v>43043.916631944441</v>
          </cell>
          <cell r="I184">
            <v>43043.917395833334</v>
          </cell>
          <cell r="J184">
            <v>7.6388888888888893E-4</v>
          </cell>
        </row>
        <row r="185">
          <cell r="A185" t="str">
            <v>BASICO</v>
          </cell>
          <cell r="B185" t="str">
            <v>PXC3702</v>
          </cell>
          <cell r="G185">
            <v>-3831741800</v>
          </cell>
          <cell r="H185">
            <v>43043.920937499999</v>
          </cell>
          <cell r="I185">
            <v>43043.951041666667</v>
          </cell>
          <cell r="J185">
            <v>3.0104166666666668E-2</v>
          </cell>
        </row>
        <row r="186">
          <cell r="A186" t="str">
            <v>BASICO</v>
          </cell>
          <cell r="B186" t="str">
            <v>PXC3702</v>
          </cell>
          <cell r="G186">
            <v>-3832494200</v>
          </cell>
          <cell r="H186">
            <v>43043.954479166663</v>
          </cell>
          <cell r="I186">
            <v>43043.975937499999</v>
          </cell>
          <cell r="J186">
            <v>2.1458333333333333E-2</v>
          </cell>
        </row>
        <row r="187">
          <cell r="A187" t="str">
            <v>BASICO</v>
          </cell>
          <cell r="B187" t="str">
            <v>PXC3702</v>
          </cell>
          <cell r="G187">
            <v>-3828165400</v>
          </cell>
          <cell r="H187">
            <v>43043.985312500001</v>
          </cell>
          <cell r="I187">
            <v>43044.017164351855</v>
          </cell>
          <cell r="J187">
            <v>3.1851851851851853E-2</v>
          </cell>
        </row>
        <row r="188">
          <cell r="A188" t="str">
            <v>BASICO</v>
          </cell>
          <cell r="B188" t="str">
            <v>PXC3702</v>
          </cell>
          <cell r="G188">
            <v>-3832710700</v>
          </cell>
          <cell r="H188">
            <v>43044.02553240741</v>
          </cell>
          <cell r="I188">
            <v>43044.670289351852</v>
          </cell>
          <cell r="J188">
            <v>0.64475694444444442</v>
          </cell>
        </row>
        <row r="189">
          <cell r="A189" t="str">
            <v>BASICO</v>
          </cell>
          <cell r="B189" t="str">
            <v>PXC3702</v>
          </cell>
          <cell r="G189">
            <v>-3834582500</v>
          </cell>
          <cell r="H189">
            <v>43044.675949074073</v>
          </cell>
          <cell r="I189">
            <v>43044.678414351853</v>
          </cell>
          <cell r="J189">
            <v>2.4652777777777776E-3</v>
          </cell>
        </row>
        <row r="190">
          <cell r="A190" t="str">
            <v>BASICO</v>
          </cell>
          <cell r="B190" t="str">
            <v>PXC3702</v>
          </cell>
          <cell r="G190">
            <v>-3834662500</v>
          </cell>
          <cell r="H190">
            <v>43044.681643518517</v>
          </cell>
          <cell r="I190">
            <v>43044.700983796298</v>
          </cell>
          <cell r="J190">
            <v>1.9340277777777779E-2</v>
          </cell>
        </row>
        <row r="191">
          <cell r="A191" t="str">
            <v>BASICO</v>
          </cell>
          <cell r="B191" t="str">
            <v>PXC3702</v>
          </cell>
          <cell r="G191">
            <v>-3834829000</v>
          </cell>
          <cell r="H191">
            <v>43044.705451388887</v>
          </cell>
          <cell r="I191">
            <v>43044.707187499997</v>
          </cell>
          <cell r="J191">
            <v>1.736111111111111E-3</v>
          </cell>
        </row>
        <row r="192">
          <cell r="A192" t="str">
            <v>BASICO</v>
          </cell>
          <cell r="B192" t="str">
            <v>PXC3702</v>
          </cell>
          <cell r="G192">
            <v>-3834612600</v>
          </cell>
          <cell r="H192">
            <v>43044.709039351852</v>
          </cell>
          <cell r="I192">
            <v>43044.712511574071</v>
          </cell>
          <cell r="J192">
            <v>3.472222222222222E-3</v>
          </cell>
        </row>
        <row r="193">
          <cell r="A193" t="str">
            <v>BASICO</v>
          </cell>
          <cell r="B193" t="str">
            <v>PXC3702</v>
          </cell>
          <cell r="G193">
            <v>-3829082400</v>
          </cell>
          <cell r="H193">
            <v>43044.724664351852</v>
          </cell>
          <cell r="I193">
            <v>43044.732511574075</v>
          </cell>
          <cell r="J193">
            <v>7.8472222222222224E-3</v>
          </cell>
        </row>
        <row r="194">
          <cell r="A194" t="str">
            <v>BASICO</v>
          </cell>
          <cell r="B194" t="str">
            <v>PXC3702</v>
          </cell>
          <cell r="G194">
            <v>-3834575400</v>
          </cell>
          <cell r="H194">
            <v>43044.743796296294</v>
          </cell>
          <cell r="I194">
            <v>43044.834479166668</v>
          </cell>
          <cell r="J194">
            <v>9.0682870370370372E-2</v>
          </cell>
        </row>
        <row r="195">
          <cell r="A195" t="str">
            <v>BASICO</v>
          </cell>
          <cell r="B195" t="str">
            <v>PXC3702</v>
          </cell>
          <cell r="G195">
            <v>-3835206600</v>
          </cell>
          <cell r="H195">
            <v>43044.840555555558</v>
          </cell>
          <cell r="I195">
            <v>43044.847812499997</v>
          </cell>
          <cell r="J195">
            <v>7.2569444444444443E-3</v>
          </cell>
        </row>
        <row r="196">
          <cell r="A196" t="str">
            <v>BASICO</v>
          </cell>
          <cell r="B196" t="str">
            <v>PXC3702</v>
          </cell>
          <cell r="G196">
            <v>-3835555900</v>
          </cell>
          <cell r="H196">
            <v>43044.849618055552</v>
          </cell>
          <cell r="I196">
            <v>43044.850902777776</v>
          </cell>
          <cell r="J196">
            <v>1.2847222222222223E-3</v>
          </cell>
        </row>
        <row r="197">
          <cell r="A197" t="str">
            <v>BASICO</v>
          </cell>
          <cell r="B197" t="str">
            <v>PXC3702</v>
          </cell>
          <cell r="G197">
            <v>-3835211900</v>
          </cell>
          <cell r="H197">
            <v>43044.854722222219</v>
          </cell>
          <cell r="I197">
            <v>43044.859965277778</v>
          </cell>
          <cell r="J197">
            <v>5.2430555555555555E-3</v>
          </cell>
        </row>
        <row r="198">
          <cell r="A198" t="str">
            <v>BASICO</v>
          </cell>
          <cell r="B198" t="str">
            <v>PXC3702</v>
          </cell>
          <cell r="G198">
            <v>-3835413900</v>
          </cell>
          <cell r="H198">
            <v>43044.865173611113</v>
          </cell>
          <cell r="I198">
            <v>43044.866041666668</v>
          </cell>
          <cell r="J198">
            <v>8.6805555555555551E-4</v>
          </cell>
        </row>
        <row r="199">
          <cell r="A199" t="str">
            <v>BASICO</v>
          </cell>
          <cell r="B199" t="str">
            <v>PXC3702</v>
          </cell>
          <cell r="G199">
            <v>-3833415000</v>
          </cell>
          <cell r="H199">
            <v>43044.871944444443</v>
          </cell>
          <cell r="I199">
            <v>43044.874050925922</v>
          </cell>
          <cell r="J199">
            <v>2.1064814814814813E-3</v>
          </cell>
        </row>
        <row r="200">
          <cell r="A200" t="str">
            <v>BASICO</v>
          </cell>
          <cell r="B200" t="str">
            <v>PXC3702</v>
          </cell>
          <cell r="G200">
            <v>-3830832900</v>
          </cell>
          <cell r="H200">
            <v>43044.890243055554</v>
          </cell>
          <cell r="I200">
            <v>43044.919895833336</v>
          </cell>
          <cell r="J200">
            <v>2.9652777777777778E-2</v>
          </cell>
        </row>
        <row r="201">
          <cell r="A201" t="str">
            <v>BASICO</v>
          </cell>
          <cell r="B201" t="str">
            <v>PXC3702</v>
          </cell>
          <cell r="G201">
            <v>-3830515500</v>
          </cell>
          <cell r="H201">
            <v>43044.92260416667</v>
          </cell>
          <cell r="I201">
            <v>43044.943541666667</v>
          </cell>
          <cell r="J201">
            <v>2.0937499999999998E-2</v>
          </cell>
        </row>
        <row r="202">
          <cell r="A202" t="str">
            <v>BASICO</v>
          </cell>
          <cell r="B202" t="str">
            <v>PXC3702</v>
          </cell>
          <cell r="G202">
            <v>-3828208900</v>
          </cell>
          <cell r="H202">
            <v>43044.948888888888</v>
          </cell>
          <cell r="I202">
            <v>43044.976990740739</v>
          </cell>
          <cell r="J202">
            <v>2.8101851851851854E-2</v>
          </cell>
        </row>
        <row r="203">
          <cell r="A203" t="str">
            <v>BASICO</v>
          </cell>
          <cell r="B203" t="str">
            <v>PXC3702</v>
          </cell>
          <cell r="G203">
            <v>-3832688800</v>
          </cell>
          <cell r="H203">
            <v>43044.991018518522</v>
          </cell>
          <cell r="I203">
            <v>43044.997719907406</v>
          </cell>
          <cell r="J203">
            <v>6.7013888888888887E-3</v>
          </cell>
        </row>
        <row r="204">
          <cell r="A204" t="str">
            <v>BASICO</v>
          </cell>
          <cell r="B204" t="str">
            <v>PXC3702</v>
          </cell>
          <cell r="G204">
            <v>-3834608100</v>
          </cell>
          <cell r="H204">
            <v>43045.004525462966</v>
          </cell>
          <cell r="I204">
            <v>43045.010798611111</v>
          </cell>
          <cell r="J204">
            <v>6.2731481481481484E-3</v>
          </cell>
        </row>
        <row r="205">
          <cell r="A205" t="str">
            <v>BASICO</v>
          </cell>
          <cell r="B205" t="str">
            <v>PXC3702</v>
          </cell>
          <cell r="G205">
            <v>-3832720100</v>
          </cell>
          <cell r="H205">
            <v>43045.015324074076</v>
          </cell>
          <cell r="I205">
            <v>43045.282546296294</v>
          </cell>
          <cell r="J205">
            <v>0.26722222222222219</v>
          </cell>
        </row>
        <row r="206">
          <cell r="A206" t="str">
            <v>TOUCH</v>
          </cell>
          <cell r="B206" t="str">
            <v>PKE2278</v>
          </cell>
          <cell r="G206">
            <v>-3828604400</v>
          </cell>
          <cell r="H206">
            <v>43045.285393518519</v>
          </cell>
          <cell r="I206">
            <v>43045.317025462966</v>
          </cell>
          <cell r="J206">
            <v>3.1631944444444442E-2</v>
          </cell>
        </row>
        <row r="207">
          <cell r="A207" t="str">
            <v>BASICO</v>
          </cell>
          <cell r="B207" t="str">
            <v>PXC3702</v>
          </cell>
          <cell r="G207">
            <v>-3832517000</v>
          </cell>
          <cell r="H207">
            <v>43045.286226851851</v>
          </cell>
          <cell r="I207">
            <v>43045.3046412037</v>
          </cell>
          <cell r="J207">
            <v>1.8414351851851852E-2</v>
          </cell>
        </row>
        <row r="208">
          <cell r="A208" t="str">
            <v>BASICO</v>
          </cell>
          <cell r="B208" t="str">
            <v>PXC3702</v>
          </cell>
          <cell r="G208">
            <v>-3831219000</v>
          </cell>
          <cell r="H208">
            <v>43045.309328703705</v>
          </cell>
          <cell r="I208">
            <v>43045.332303240742</v>
          </cell>
          <cell r="J208">
            <v>2.297453703703704E-2</v>
          </cell>
        </row>
        <row r="209">
          <cell r="A209" t="str">
            <v>TOUCH</v>
          </cell>
          <cell r="B209" t="str">
            <v>PKE2278</v>
          </cell>
          <cell r="G209">
            <v>-3828546700</v>
          </cell>
          <cell r="H209">
            <v>43045.318622685183</v>
          </cell>
          <cell r="I209">
            <v>43045.442337962966</v>
          </cell>
          <cell r="J209">
            <v>0.12371527777777779</v>
          </cell>
        </row>
        <row r="210">
          <cell r="A210" t="str">
            <v>BASICO</v>
          </cell>
          <cell r="B210" t="str">
            <v>PXC3702</v>
          </cell>
          <cell r="G210">
            <v>-3830754200</v>
          </cell>
          <cell r="H210">
            <v>43045.335266203707</v>
          </cell>
          <cell r="I210">
            <v>43045.340995370374</v>
          </cell>
          <cell r="J210">
            <v>5.7291666666666671E-3</v>
          </cell>
        </row>
        <row r="211">
          <cell r="A211" t="str">
            <v>BASICO</v>
          </cell>
          <cell r="B211" t="str">
            <v>PXC3702</v>
          </cell>
          <cell r="G211">
            <v>-3830264300</v>
          </cell>
          <cell r="H211">
            <v>43045.345462962963</v>
          </cell>
          <cell r="I211">
            <v>43045.365891203706</v>
          </cell>
          <cell r="J211">
            <v>2.0428240740740743E-2</v>
          </cell>
        </row>
        <row r="212">
          <cell r="A212" t="str">
            <v>BASICO</v>
          </cell>
          <cell r="B212" t="str">
            <v>PXC3702</v>
          </cell>
          <cell r="G212">
            <v>-3832421500</v>
          </cell>
          <cell r="H212">
            <v>43045.37667824074</v>
          </cell>
          <cell r="I212">
            <v>43045.379756944443</v>
          </cell>
          <cell r="J212">
            <v>3.0787037037037037E-3</v>
          </cell>
        </row>
        <row r="213">
          <cell r="A213" t="str">
            <v>BASICO</v>
          </cell>
          <cell r="B213" t="str">
            <v>PXC3702</v>
          </cell>
          <cell r="G213">
            <v>-3832720200</v>
          </cell>
          <cell r="H213">
            <v>43045.386354166665</v>
          </cell>
          <cell r="I213">
            <v>43045.406574074077</v>
          </cell>
          <cell r="J213">
            <v>2.0219907407407409E-2</v>
          </cell>
        </row>
        <row r="214">
          <cell r="A214" t="str">
            <v>BASICO</v>
          </cell>
          <cell r="B214" t="str">
            <v>PXC3702</v>
          </cell>
          <cell r="G214">
            <v>-3833407900</v>
          </cell>
          <cell r="H214">
            <v>43045.413877314815</v>
          </cell>
          <cell r="I214">
            <v>43045.439675925925</v>
          </cell>
          <cell r="J214">
            <v>2.5798611111111109E-2</v>
          </cell>
        </row>
        <row r="215">
          <cell r="A215" t="str">
            <v>TOUCH</v>
          </cell>
          <cell r="B215" t="str">
            <v>PKE2278</v>
          </cell>
          <cell r="G215">
            <v>-3832711500</v>
          </cell>
          <cell r="H215">
            <v>43045.46334490741</v>
          </cell>
          <cell r="I215">
            <v>43045.683287037034</v>
          </cell>
          <cell r="J215">
            <v>0.21994212962962964</v>
          </cell>
        </row>
        <row r="216">
          <cell r="A216" t="str">
            <v>BASICO</v>
          </cell>
          <cell r="B216" t="str">
            <v>PXC3702</v>
          </cell>
          <cell r="G216">
            <v>-3831176200</v>
          </cell>
          <cell r="H216">
            <v>43045.469895833332</v>
          </cell>
          <cell r="I216">
            <v>43045.484988425924</v>
          </cell>
          <cell r="J216">
            <v>1.5092592592592593E-2</v>
          </cell>
        </row>
        <row r="217">
          <cell r="A217" t="str">
            <v>BASICO</v>
          </cell>
          <cell r="B217" t="str">
            <v>PXC3702</v>
          </cell>
          <cell r="G217">
            <v>-3832783900</v>
          </cell>
          <cell r="H217">
            <v>43045.49322916667</v>
          </cell>
          <cell r="I217">
            <v>43045.544548611113</v>
          </cell>
          <cell r="J217">
            <v>5.1319444444444445E-2</v>
          </cell>
        </row>
        <row r="218">
          <cell r="A218" t="str">
            <v>BASICO</v>
          </cell>
          <cell r="B218" t="str">
            <v>PXC3702</v>
          </cell>
          <cell r="G218">
            <v>-3829585700</v>
          </cell>
          <cell r="H218">
            <v>43045.561979166669</v>
          </cell>
          <cell r="I218">
            <v>43045.577569444446</v>
          </cell>
          <cell r="J218">
            <v>1.5590277777777778E-2</v>
          </cell>
        </row>
        <row r="219">
          <cell r="A219" t="str">
            <v>BASICO</v>
          </cell>
          <cell r="B219" t="str">
            <v>PXC3702</v>
          </cell>
          <cell r="G219">
            <v>-3828852900</v>
          </cell>
          <cell r="H219">
            <v>43045.583298611113</v>
          </cell>
          <cell r="I219">
            <v>43045.612337962964</v>
          </cell>
          <cell r="J219">
            <v>2.9039351851851854E-2</v>
          </cell>
        </row>
        <row r="220">
          <cell r="A220" t="str">
            <v>BASICO</v>
          </cell>
          <cell r="B220" t="str">
            <v>PXC3702</v>
          </cell>
          <cell r="G220">
            <v>-3832722500</v>
          </cell>
          <cell r="H220">
            <v>43045.624456018515</v>
          </cell>
          <cell r="I220">
            <v>43046.272523148145</v>
          </cell>
          <cell r="J220">
            <v>0.64806712962962965</v>
          </cell>
        </row>
        <row r="221">
          <cell r="A221" t="str">
            <v>TOUCH</v>
          </cell>
          <cell r="B221" t="str">
            <v>PKE2278</v>
          </cell>
          <cell r="G221">
            <v>-3832239200</v>
          </cell>
          <cell r="H221">
            <v>43045.689780092594</v>
          </cell>
          <cell r="I221">
            <v>43045.709872685184</v>
          </cell>
          <cell r="J221">
            <v>2.0092592592592592E-2</v>
          </cell>
        </row>
        <row r="222">
          <cell r="A222" t="str">
            <v>TOUCH</v>
          </cell>
          <cell r="B222" t="str">
            <v>PKE2278</v>
          </cell>
          <cell r="G222">
            <v>-3832997300</v>
          </cell>
          <cell r="H222">
            <v>43045.721192129633</v>
          </cell>
          <cell r="I222">
            <v>43045.727141203701</v>
          </cell>
          <cell r="J222">
            <v>5.9490740740740745E-3</v>
          </cell>
        </row>
        <row r="223">
          <cell r="A223" t="str">
            <v>TOUCH</v>
          </cell>
          <cell r="B223" t="str">
            <v>PKE2278</v>
          </cell>
          <cell r="G223">
            <v>-3830004500</v>
          </cell>
          <cell r="H223">
            <v>43045.7421412037</v>
          </cell>
          <cell r="I223">
            <v>43045.756689814814</v>
          </cell>
          <cell r="J223">
            <v>1.4548611111111111E-2</v>
          </cell>
        </row>
        <row r="224">
          <cell r="A224" t="str">
            <v>TOUCH</v>
          </cell>
          <cell r="B224" t="str">
            <v>PKE2278</v>
          </cell>
          <cell r="G224">
            <v>-3830806100</v>
          </cell>
          <cell r="H224">
            <v>43045.759953703702</v>
          </cell>
          <cell r="I224">
            <v>43045.786828703705</v>
          </cell>
          <cell r="J224">
            <v>2.6875E-2</v>
          </cell>
        </row>
        <row r="225">
          <cell r="A225" t="str">
            <v>TOUCH</v>
          </cell>
          <cell r="B225" t="str">
            <v>PKE2278</v>
          </cell>
          <cell r="G225">
            <v>-3831361200</v>
          </cell>
          <cell r="H225">
            <v>43045.793773148151</v>
          </cell>
          <cell r="I225">
            <v>43045.8124537037</v>
          </cell>
          <cell r="J225">
            <v>1.8680555555555554E-2</v>
          </cell>
        </row>
        <row r="226">
          <cell r="A226" t="str">
            <v>TOUCH</v>
          </cell>
          <cell r="B226" t="str">
            <v>PKE2278</v>
          </cell>
          <cell r="G226">
            <v>-3831557600</v>
          </cell>
          <cell r="H226">
            <v>43045.816134259258</v>
          </cell>
          <cell r="I226">
            <v>43045.834641203706</v>
          </cell>
          <cell r="J226">
            <v>1.8506944444444444E-2</v>
          </cell>
        </row>
        <row r="227">
          <cell r="A227" t="str">
            <v>TOUCH</v>
          </cell>
          <cell r="B227" t="str">
            <v>PKE2278</v>
          </cell>
          <cell r="G227">
            <v>-3831755400</v>
          </cell>
          <cell r="H227">
            <v>43045.84238425926</v>
          </cell>
          <cell r="I227">
            <v>43045.845925925925</v>
          </cell>
          <cell r="J227">
            <v>3.5416666666666665E-3</v>
          </cell>
        </row>
        <row r="228">
          <cell r="A228" t="str">
            <v>TOUCH</v>
          </cell>
          <cell r="B228" t="str">
            <v>PKE2278</v>
          </cell>
          <cell r="G228">
            <v>-3832363000</v>
          </cell>
          <cell r="H228">
            <v>43045.848668981482</v>
          </cell>
          <cell r="I228">
            <v>43045.860682870371</v>
          </cell>
          <cell r="J228">
            <v>1.2013888888888888E-2</v>
          </cell>
        </row>
        <row r="229">
          <cell r="A229" t="str">
            <v>TOUCH</v>
          </cell>
          <cell r="B229" t="str">
            <v>PKE2278</v>
          </cell>
          <cell r="G229">
            <v>-3829402600</v>
          </cell>
          <cell r="H229">
            <v>43045.866550925923</v>
          </cell>
          <cell r="I229">
            <v>43045.869016203702</v>
          </cell>
          <cell r="J229">
            <v>2.4652777777777776E-3</v>
          </cell>
        </row>
        <row r="230">
          <cell r="A230" t="str">
            <v>TOUCH</v>
          </cell>
          <cell r="B230" t="str">
            <v>PKE2278</v>
          </cell>
          <cell r="G230">
            <v>-3829226700</v>
          </cell>
          <cell r="H230">
            <v>43045.873182870368</v>
          </cell>
          <cell r="I230">
            <v>43045.900405092594</v>
          </cell>
          <cell r="J230">
            <v>2.7222222222222228E-2</v>
          </cell>
        </row>
        <row r="231">
          <cell r="A231" t="str">
            <v>TOUCH</v>
          </cell>
          <cell r="B231" t="str">
            <v>PKE2278</v>
          </cell>
          <cell r="G231">
            <v>-3829677000</v>
          </cell>
          <cell r="H231">
            <v>43045.904849537037</v>
          </cell>
          <cell r="I231">
            <v>43045.908009259256</v>
          </cell>
          <cell r="J231">
            <v>3.1597222222222222E-3</v>
          </cell>
        </row>
        <row r="232">
          <cell r="A232" t="str">
            <v>TOUCH</v>
          </cell>
          <cell r="B232" t="str">
            <v>PKE2278</v>
          </cell>
          <cell r="G232">
            <v>-3828583500</v>
          </cell>
          <cell r="H232">
            <v>43045.910995370374</v>
          </cell>
          <cell r="I232">
            <v>43045.914710648147</v>
          </cell>
          <cell r="J232">
            <v>3.7152777777777774E-3</v>
          </cell>
        </row>
        <row r="233">
          <cell r="A233" t="str">
            <v>TOUCH</v>
          </cell>
          <cell r="B233" t="str">
            <v>PKE2278</v>
          </cell>
          <cell r="G233">
            <v>-3828890400</v>
          </cell>
          <cell r="H233">
            <v>43045.921342592592</v>
          </cell>
          <cell r="I233">
            <v>43045.932141203702</v>
          </cell>
          <cell r="J233">
            <v>1.0798611111111111E-2</v>
          </cell>
        </row>
        <row r="234">
          <cell r="A234" t="str">
            <v>TOUCH</v>
          </cell>
          <cell r="B234" t="str">
            <v>PKE2278</v>
          </cell>
          <cell r="G234">
            <v>-3830810900</v>
          </cell>
          <cell r="H234">
            <v>43045.940023148149</v>
          </cell>
          <cell r="I234">
            <v>43045.970509259256</v>
          </cell>
          <cell r="J234">
            <v>3.0486111111111113E-2</v>
          </cell>
        </row>
        <row r="235">
          <cell r="A235" t="str">
            <v>TOUCH</v>
          </cell>
          <cell r="B235" t="str">
            <v>PKE2278</v>
          </cell>
          <cell r="G235">
            <v>-3833801700</v>
          </cell>
          <cell r="H235">
            <v>43045.977696759262</v>
          </cell>
          <cell r="I235">
            <v>43045.999502314815</v>
          </cell>
          <cell r="J235">
            <v>2.1805555555555554E-2</v>
          </cell>
        </row>
        <row r="236">
          <cell r="A236" t="str">
            <v>TOUCH</v>
          </cell>
          <cell r="B236" t="str">
            <v>PKE2278</v>
          </cell>
          <cell r="G236">
            <v>-3832718900</v>
          </cell>
          <cell r="H236">
            <v>43046.004293981481</v>
          </cell>
          <cell r="I236">
            <v>43046.289479166669</v>
          </cell>
          <cell r="J236">
            <v>0.28518518518518515</v>
          </cell>
        </row>
        <row r="237">
          <cell r="A237" t="str">
            <v>BASICO</v>
          </cell>
          <cell r="B237" t="str">
            <v>PXC3702</v>
          </cell>
          <cell r="G237">
            <v>-3832524800</v>
          </cell>
          <cell r="H237">
            <v>43046.277615740742</v>
          </cell>
          <cell r="I237">
            <v>43046.293819444443</v>
          </cell>
          <cell r="J237">
            <v>1.6203703703703703E-2</v>
          </cell>
        </row>
        <row r="238">
          <cell r="A238" t="str">
            <v>BASICO</v>
          </cell>
          <cell r="B238" t="str">
            <v>PXC3702</v>
          </cell>
          <cell r="G238">
            <v>-3830784800</v>
          </cell>
          <cell r="H238">
            <v>43046.3</v>
          </cell>
          <cell r="I238">
            <v>43046.305347222224</v>
          </cell>
          <cell r="J238">
            <v>5.347222222222222E-3</v>
          </cell>
        </row>
        <row r="239">
          <cell r="A239" t="str">
            <v>TOUCH</v>
          </cell>
          <cell r="B239" t="str">
            <v>PKE2278</v>
          </cell>
          <cell r="G239">
            <v>-3828654000</v>
          </cell>
          <cell r="H239">
            <v>43046.310416666667</v>
          </cell>
          <cell r="I239">
            <v>43046.322604166664</v>
          </cell>
          <cell r="J239">
            <v>1.2187500000000002E-2</v>
          </cell>
        </row>
        <row r="240">
          <cell r="A240" t="str">
            <v>BASICO</v>
          </cell>
          <cell r="B240" t="str">
            <v>PXC3702</v>
          </cell>
          <cell r="G240">
            <v>-3828588400</v>
          </cell>
          <cell r="H240">
            <v>43046.311967592592</v>
          </cell>
          <cell r="I240">
            <v>43046.313958333332</v>
          </cell>
          <cell r="J240">
            <v>1.9907407407407408E-3</v>
          </cell>
        </row>
        <row r="241">
          <cell r="A241" t="str">
            <v>BASICO</v>
          </cell>
          <cell r="B241" t="str">
            <v>PXC3702</v>
          </cell>
          <cell r="G241">
            <v>-3828360700</v>
          </cell>
          <cell r="H241">
            <v>43046.317743055559</v>
          </cell>
          <cell r="I241">
            <v>43046.344270833331</v>
          </cell>
          <cell r="J241">
            <v>2.6527777777777779E-2</v>
          </cell>
        </row>
        <row r="242">
          <cell r="A242" t="str">
            <v>TOUCH</v>
          </cell>
          <cell r="B242" t="str">
            <v>PKE2278</v>
          </cell>
          <cell r="G242">
            <v>-3828387900</v>
          </cell>
          <cell r="H242">
            <v>43046.325069444443</v>
          </cell>
          <cell r="I242">
            <v>43046.465902777774</v>
          </cell>
          <cell r="J242">
            <v>0.14083333333333334</v>
          </cell>
        </row>
        <row r="243">
          <cell r="A243" t="str">
            <v>BASICO</v>
          </cell>
          <cell r="B243" t="str">
            <v>PXC3702</v>
          </cell>
          <cell r="G243">
            <v>-3828583900</v>
          </cell>
          <cell r="H243">
            <v>43046.34746527778</v>
          </cell>
          <cell r="I243">
            <v>43046.359861111108</v>
          </cell>
          <cell r="J243">
            <v>1.2395833333333335E-2</v>
          </cell>
        </row>
        <row r="244">
          <cell r="A244" t="str">
            <v>BASICO</v>
          </cell>
          <cell r="B244" t="str">
            <v>PXC3702</v>
          </cell>
          <cell r="G244">
            <v>-3828816100</v>
          </cell>
          <cell r="H244">
            <v>43046.369062500002</v>
          </cell>
          <cell r="I244">
            <v>43046.402256944442</v>
          </cell>
          <cell r="J244">
            <v>3.3194444444444443E-2</v>
          </cell>
        </row>
        <row r="245">
          <cell r="A245" t="str">
            <v>BASICO</v>
          </cell>
          <cell r="B245" t="str">
            <v>PXC3702</v>
          </cell>
          <cell r="G245">
            <v>-3832723800</v>
          </cell>
          <cell r="H245">
            <v>43046.412499999999</v>
          </cell>
          <cell r="I245">
            <v>43046.422349537039</v>
          </cell>
          <cell r="J245">
            <v>9.8495370370370369E-3</v>
          </cell>
        </row>
        <row r="246">
          <cell r="A246" t="str">
            <v>BASICO</v>
          </cell>
          <cell r="B246" t="str">
            <v>PXC3702</v>
          </cell>
          <cell r="G246">
            <v>-3828585400</v>
          </cell>
          <cell r="H246">
            <v>43046.43582175926</v>
          </cell>
          <cell r="I246">
            <v>43046.472430555557</v>
          </cell>
          <cell r="J246">
            <v>3.6608796296296299E-2</v>
          </cell>
        </row>
        <row r="247">
          <cell r="A247" t="str">
            <v>TOUCH</v>
          </cell>
          <cell r="B247" t="str">
            <v>PKE2278</v>
          </cell>
          <cell r="G247">
            <v>-3829970500</v>
          </cell>
          <cell r="H247">
            <v>43046.472500000003</v>
          </cell>
          <cell r="I247">
            <v>43046.507476851853</v>
          </cell>
          <cell r="J247">
            <v>3.4976851851851849E-2</v>
          </cell>
        </row>
        <row r="248">
          <cell r="A248" t="str">
            <v>BASICO</v>
          </cell>
          <cell r="B248" t="str">
            <v>PXC3702</v>
          </cell>
          <cell r="G248">
            <v>-3828317500</v>
          </cell>
          <cell r="H248">
            <v>43046.475277777776</v>
          </cell>
          <cell r="I248">
            <v>43046.493148148147</v>
          </cell>
          <cell r="J248">
            <v>1.7870370370370373E-2</v>
          </cell>
        </row>
        <row r="249">
          <cell r="A249" t="str">
            <v>TOUCH</v>
          </cell>
          <cell r="B249" t="str">
            <v>PKE2278</v>
          </cell>
          <cell r="G249">
            <v>-3830806500</v>
          </cell>
          <cell r="H249">
            <v>43046.510358796295</v>
          </cell>
          <cell r="I249">
            <v>43046.518379629626</v>
          </cell>
          <cell r="J249">
            <v>8.0208333333333329E-3</v>
          </cell>
        </row>
        <row r="250">
          <cell r="A250" t="str">
            <v>BASICO</v>
          </cell>
          <cell r="B250" t="str">
            <v>PXC3702</v>
          </cell>
          <cell r="G250">
            <v>-3832782400</v>
          </cell>
          <cell r="H250">
            <v>43046.516273148147</v>
          </cell>
          <cell r="I250">
            <v>43046.55777777778</v>
          </cell>
          <cell r="J250">
            <v>4.1504629629629627E-2</v>
          </cell>
        </row>
        <row r="251">
          <cell r="A251" t="str">
            <v>TOUCH</v>
          </cell>
          <cell r="B251" t="str">
            <v>PKE2278</v>
          </cell>
          <cell r="G251">
            <v>-3832724100</v>
          </cell>
          <cell r="H251">
            <v>43046.535775462966</v>
          </cell>
          <cell r="I251">
            <v>43046.662581018521</v>
          </cell>
          <cell r="J251">
            <v>0.12680555555555556</v>
          </cell>
        </row>
        <row r="252">
          <cell r="A252" t="str">
            <v>BASICO</v>
          </cell>
          <cell r="B252" t="str">
            <v>PXC3702</v>
          </cell>
          <cell r="G252">
            <v>-3830575500</v>
          </cell>
          <cell r="H252">
            <v>43046.565555555557</v>
          </cell>
          <cell r="I252">
            <v>43046.583611111113</v>
          </cell>
          <cell r="J252">
            <v>1.8055555555555557E-2</v>
          </cell>
        </row>
        <row r="253">
          <cell r="A253" t="str">
            <v>BASICO</v>
          </cell>
          <cell r="B253" t="str">
            <v>PXC3702</v>
          </cell>
          <cell r="G253">
            <v>-3830834700</v>
          </cell>
          <cell r="H253">
            <v>43046.585173611114</v>
          </cell>
          <cell r="I253">
            <v>43046.592442129629</v>
          </cell>
          <cell r="J253">
            <v>7.2685185185185188E-3</v>
          </cell>
        </row>
        <row r="254">
          <cell r="A254" t="str">
            <v>BASICO</v>
          </cell>
          <cell r="B254" t="str">
            <v>PXC3702</v>
          </cell>
          <cell r="G254">
            <v>-3831864700</v>
          </cell>
          <cell r="H254">
            <v>43046.596226851849</v>
          </cell>
          <cell r="I254">
            <v>43046.599733796298</v>
          </cell>
          <cell r="J254">
            <v>3.5069444444444445E-3</v>
          </cell>
        </row>
        <row r="255">
          <cell r="A255" t="str">
            <v>BASICO</v>
          </cell>
          <cell r="B255" t="str">
            <v>PXC3702</v>
          </cell>
          <cell r="G255">
            <v>-3833610200</v>
          </cell>
          <cell r="H255">
            <v>43046.608101851853</v>
          </cell>
          <cell r="I255">
            <v>43046.629687499997</v>
          </cell>
          <cell r="J255">
            <v>2.1585648148148145E-2</v>
          </cell>
        </row>
        <row r="256">
          <cell r="A256" t="str">
            <v>BASICO</v>
          </cell>
          <cell r="B256" t="str">
            <v>PXC3702</v>
          </cell>
          <cell r="G256">
            <v>-3832725700</v>
          </cell>
          <cell r="H256">
            <v>43046.635844907411</v>
          </cell>
          <cell r="I256">
            <v>43046.672812500001</v>
          </cell>
          <cell r="J256">
            <v>3.6967592592592594E-2</v>
          </cell>
        </row>
        <row r="257">
          <cell r="A257" t="str">
            <v>TOUCH</v>
          </cell>
          <cell r="B257" t="str">
            <v>PKE2278</v>
          </cell>
          <cell r="G257">
            <v>-3833440700</v>
          </cell>
          <cell r="H257">
            <v>43046.667094907411</v>
          </cell>
          <cell r="I257">
            <v>43046.668761574074</v>
          </cell>
          <cell r="J257">
            <v>1.6666666666666668E-3</v>
          </cell>
        </row>
        <row r="258">
          <cell r="A258" t="str">
            <v>TOUCH</v>
          </cell>
          <cell r="B258" t="str">
            <v>PKE2278</v>
          </cell>
          <cell r="G258">
            <v>-3832691800</v>
          </cell>
          <cell r="H258">
            <v>43046.670844907407</v>
          </cell>
          <cell r="I258">
            <v>43046.672372685185</v>
          </cell>
          <cell r="J258">
            <v>1.5277777777777779E-3</v>
          </cell>
        </row>
        <row r="259">
          <cell r="A259" t="str">
            <v>TOUCH</v>
          </cell>
          <cell r="B259" t="str">
            <v>PKE2278</v>
          </cell>
          <cell r="G259">
            <v>-3831828800</v>
          </cell>
          <cell r="H259">
            <v>43046.683969907404</v>
          </cell>
          <cell r="I259">
            <v>43046.721053240741</v>
          </cell>
          <cell r="J259">
            <v>3.7083333333333336E-2</v>
          </cell>
        </row>
        <row r="260">
          <cell r="A260" t="str">
            <v>BASICO</v>
          </cell>
          <cell r="B260" t="str">
            <v>PXC3702</v>
          </cell>
          <cell r="G260">
            <v>-3845516800</v>
          </cell>
          <cell r="H260">
            <v>43046.697083333333</v>
          </cell>
          <cell r="I260">
            <v>43047.673530092594</v>
          </cell>
          <cell r="J260">
            <v>0.97644675925925928</v>
          </cell>
        </row>
        <row r="261">
          <cell r="A261" t="str">
            <v>TOUCH</v>
          </cell>
          <cell r="B261" t="str">
            <v>PKE2278</v>
          </cell>
          <cell r="G261">
            <v>-3833908200</v>
          </cell>
          <cell r="H261">
            <v>43046.731990740744</v>
          </cell>
          <cell r="I261">
            <v>43046.77615740741</v>
          </cell>
          <cell r="J261">
            <v>4.4166666666666667E-2</v>
          </cell>
        </row>
        <row r="262">
          <cell r="A262" t="str">
            <v>TOUCH</v>
          </cell>
          <cell r="B262" t="str">
            <v>PKE2278</v>
          </cell>
          <cell r="G262">
            <v>-3834235800</v>
          </cell>
          <cell r="H262">
            <v>43046.783032407409</v>
          </cell>
          <cell r="I262">
            <v>43046.805601851855</v>
          </cell>
          <cell r="J262">
            <v>2.2569444444444444E-2</v>
          </cell>
        </row>
        <row r="263">
          <cell r="A263" t="str">
            <v>TOUCH</v>
          </cell>
          <cell r="B263" t="str">
            <v>PKE2278</v>
          </cell>
          <cell r="G263">
            <v>-3833184800</v>
          </cell>
          <cell r="H263">
            <v>43046.809872685182</v>
          </cell>
          <cell r="I263">
            <v>43046.813101851854</v>
          </cell>
          <cell r="J263">
            <v>3.2291666666666666E-3</v>
          </cell>
        </row>
        <row r="264">
          <cell r="A264" t="str">
            <v>TOUCH</v>
          </cell>
          <cell r="B264" t="str">
            <v>PKE2278</v>
          </cell>
          <cell r="G264">
            <v>-3833316800</v>
          </cell>
          <cell r="H264">
            <v>43046.81449074074</v>
          </cell>
          <cell r="I264">
            <v>43046.863680555558</v>
          </cell>
          <cell r="J264">
            <v>4.9189814814814818E-2</v>
          </cell>
        </row>
        <row r="265">
          <cell r="A265" t="str">
            <v>TOUCH</v>
          </cell>
          <cell r="B265" t="str">
            <v>PKE2278</v>
          </cell>
          <cell r="G265">
            <v>-3835361400</v>
          </cell>
          <cell r="H265">
            <v>43046.87427083333</v>
          </cell>
          <cell r="I265">
            <v>43046.875104166669</v>
          </cell>
          <cell r="J265">
            <v>8.3333333333333339E-4</v>
          </cell>
        </row>
        <row r="266">
          <cell r="A266" t="str">
            <v>TOUCH</v>
          </cell>
          <cell r="B266" t="str">
            <v>PKE2278</v>
          </cell>
          <cell r="G266">
            <v>-3834750200</v>
          </cell>
          <cell r="H266">
            <v>43046.878750000003</v>
          </cell>
          <cell r="I266">
            <v>43046.886597222219</v>
          </cell>
          <cell r="J266">
            <v>7.8472222222222224E-3</v>
          </cell>
        </row>
        <row r="267">
          <cell r="A267" t="str">
            <v>TOUCH</v>
          </cell>
          <cell r="B267" t="str">
            <v>PKE2278</v>
          </cell>
          <cell r="G267">
            <v>-3834403900</v>
          </cell>
          <cell r="H267">
            <v>43046.888993055552</v>
          </cell>
          <cell r="I267">
            <v>43046.908125000002</v>
          </cell>
          <cell r="J267">
            <v>1.9131944444444444E-2</v>
          </cell>
        </row>
        <row r="268">
          <cell r="A268" t="str">
            <v>TOUCH</v>
          </cell>
          <cell r="B268" t="str">
            <v>PKE2278</v>
          </cell>
          <cell r="G268">
            <v>-3835055000</v>
          </cell>
          <cell r="H268">
            <v>43046.916076388887</v>
          </cell>
          <cell r="I268">
            <v>43046.93246527778</v>
          </cell>
          <cell r="J268">
            <v>1.638888888888889E-2</v>
          </cell>
        </row>
        <row r="269">
          <cell r="A269" t="str">
            <v>TOUCH</v>
          </cell>
          <cell r="B269" t="str">
            <v>PKE2278</v>
          </cell>
          <cell r="G269">
            <v>-3834293600</v>
          </cell>
          <cell r="H269">
            <v>43046.936736111114</v>
          </cell>
          <cell r="I269">
            <v>43046.957499999997</v>
          </cell>
          <cell r="J269">
            <v>2.0763888888888887E-2</v>
          </cell>
        </row>
        <row r="270">
          <cell r="A270" t="str">
            <v>TOUCH</v>
          </cell>
          <cell r="B270" t="str">
            <v>PKE2278</v>
          </cell>
          <cell r="G270">
            <v>-3834532100</v>
          </cell>
          <cell r="H270">
            <v>43046.959826388891</v>
          </cell>
          <cell r="I270">
            <v>43046.961238425924</v>
          </cell>
          <cell r="J270">
            <v>1.4120370370370369E-3</v>
          </cell>
        </row>
        <row r="271">
          <cell r="A271" t="str">
            <v>TOUCH</v>
          </cell>
          <cell r="B271" t="str">
            <v>PKE2278</v>
          </cell>
          <cell r="G271">
            <v>-3834537900</v>
          </cell>
          <cell r="H271">
            <v>43046.963472222225</v>
          </cell>
          <cell r="I271">
            <v>43046.964791666665</v>
          </cell>
          <cell r="J271">
            <v>1.3194444444444443E-3</v>
          </cell>
        </row>
        <row r="272">
          <cell r="A272" t="str">
            <v>TOUCH</v>
          </cell>
          <cell r="B272" t="str">
            <v>PKE2278</v>
          </cell>
          <cell r="G272">
            <v>-3832269900</v>
          </cell>
          <cell r="H272">
            <v>43046.97184027778</v>
          </cell>
          <cell r="I272">
            <v>43046.984618055554</v>
          </cell>
          <cell r="J272">
            <v>1.2777777777777777E-2</v>
          </cell>
        </row>
        <row r="273">
          <cell r="A273" t="str">
            <v>TOUCH</v>
          </cell>
          <cell r="B273" t="str">
            <v>PKE2278</v>
          </cell>
          <cell r="G273">
            <v>-3830205500</v>
          </cell>
          <cell r="H273">
            <v>43046.990104166667</v>
          </cell>
          <cell r="I273">
            <v>43046.997916666667</v>
          </cell>
          <cell r="J273">
            <v>7.8125E-3</v>
          </cell>
        </row>
        <row r="274">
          <cell r="A274" t="str">
            <v>TOUCH</v>
          </cell>
          <cell r="B274" t="str">
            <v>PKE2278</v>
          </cell>
          <cell r="G274">
            <v>-3830536400</v>
          </cell>
          <cell r="H274">
            <v>43047.001180555555</v>
          </cell>
          <cell r="I274">
            <v>43047.009398148148</v>
          </cell>
          <cell r="J274">
            <v>8.217592592592594E-3</v>
          </cell>
        </row>
        <row r="275">
          <cell r="A275" t="str">
            <v>TOUCH</v>
          </cell>
          <cell r="B275" t="str">
            <v>PKE2278</v>
          </cell>
          <cell r="G275">
            <v>-3832712700</v>
          </cell>
          <cell r="H275">
            <v>43047.016944444447</v>
          </cell>
          <cell r="I275">
            <v>43047.283993055556</v>
          </cell>
          <cell r="J275">
            <v>0.26704861111111111</v>
          </cell>
        </row>
        <row r="276">
          <cell r="A276" t="str">
            <v>TOUCH</v>
          </cell>
          <cell r="B276" t="str">
            <v>PKE2278</v>
          </cell>
          <cell r="G276">
            <v>-3828610800</v>
          </cell>
          <cell r="H276">
            <v>43047.298437500001</v>
          </cell>
          <cell r="I276">
            <v>43047.469027777777</v>
          </cell>
          <cell r="J276">
            <v>0.17059027777777777</v>
          </cell>
        </row>
        <row r="277">
          <cell r="A277" t="str">
            <v>TOUCH</v>
          </cell>
          <cell r="B277" t="str">
            <v>PKE2278</v>
          </cell>
          <cell r="G277">
            <v>-3829963800</v>
          </cell>
          <cell r="H277">
            <v>43047.475555555553</v>
          </cell>
          <cell r="I277">
            <v>43047.502210648148</v>
          </cell>
          <cell r="J277">
            <v>2.6655092592592591E-2</v>
          </cell>
        </row>
        <row r="278">
          <cell r="A278" t="str">
            <v>TOUCH</v>
          </cell>
          <cell r="B278" t="str">
            <v>PKE2278</v>
          </cell>
          <cell r="G278">
            <v>-3832390400</v>
          </cell>
          <cell r="H278">
            <v>43047.516585648147</v>
          </cell>
          <cell r="I278">
            <v>43047.517384259256</v>
          </cell>
          <cell r="J278">
            <v>7.9861111111111105E-4</v>
          </cell>
        </row>
        <row r="279">
          <cell r="A279" t="str">
            <v>TOUCH</v>
          </cell>
          <cell r="B279" t="str">
            <v>PKE2278</v>
          </cell>
          <cell r="G279">
            <v>-3832722200</v>
          </cell>
          <cell r="H279">
            <v>43047.524837962963</v>
          </cell>
          <cell r="I279">
            <v>43047.554756944446</v>
          </cell>
          <cell r="J279">
            <v>2.991898148148148E-2</v>
          </cell>
        </row>
        <row r="280">
          <cell r="A280" t="str">
            <v>TOUCH</v>
          </cell>
          <cell r="B280" t="str">
            <v>PKE2278</v>
          </cell>
          <cell r="G280">
            <v>-3833914300</v>
          </cell>
          <cell r="H280">
            <v>43047.562650462962</v>
          </cell>
          <cell r="I280">
            <v>43047.619328703702</v>
          </cell>
          <cell r="J280">
            <v>5.6678240740740737E-2</v>
          </cell>
        </row>
        <row r="281">
          <cell r="A281" t="str">
            <v>TOUCH</v>
          </cell>
          <cell r="B281" t="str">
            <v>PKE2278</v>
          </cell>
          <cell r="G281">
            <v>-3832726200</v>
          </cell>
          <cell r="H281">
            <v>43047.629155092596</v>
          </cell>
          <cell r="I281">
            <v>43047.658958333333</v>
          </cell>
          <cell r="J281">
            <v>2.9803240740740741E-2</v>
          </cell>
        </row>
        <row r="282">
          <cell r="A282" t="str">
            <v>BASICO</v>
          </cell>
          <cell r="B282" t="str">
            <v>OUX2321</v>
          </cell>
          <cell r="G282">
            <v>-3833956700</v>
          </cell>
          <cell r="H282">
            <v>43047.66300925926</v>
          </cell>
          <cell r="I282">
            <v>43047.694467592592</v>
          </cell>
          <cell r="J282">
            <v>3.1458333333333331E-2</v>
          </cell>
        </row>
        <row r="283">
          <cell r="A283" t="str">
            <v>TOUCH</v>
          </cell>
          <cell r="B283" t="str">
            <v>PKE2278</v>
          </cell>
          <cell r="G283">
            <v>-3833325800</v>
          </cell>
          <cell r="H283">
            <v>43047.664513888885</v>
          </cell>
          <cell r="I283">
            <v>43047.675937499997</v>
          </cell>
          <cell r="J283">
            <v>1.1423611111111112E-2</v>
          </cell>
        </row>
        <row r="284">
          <cell r="A284" t="str">
            <v>TOUCH</v>
          </cell>
          <cell r="B284" t="str">
            <v>PKE2278</v>
          </cell>
          <cell r="G284">
            <v>-3831693500</v>
          </cell>
          <cell r="H284">
            <v>43047.690104166664</v>
          </cell>
          <cell r="I284">
            <v>43047.703946759262</v>
          </cell>
          <cell r="J284">
            <v>1.3842592592592594E-2</v>
          </cell>
        </row>
        <row r="285">
          <cell r="A285" t="str">
            <v>BASICO</v>
          </cell>
          <cell r="B285" t="str">
            <v>OUX2321</v>
          </cell>
          <cell r="G285">
            <v>-3834189600</v>
          </cell>
          <cell r="H285">
            <v>43047.70175925926</v>
          </cell>
          <cell r="I285">
            <v>43047.710370370369</v>
          </cell>
          <cell r="J285">
            <v>8.611111111111111E-3</v>
          </cell>
        </row>
        <row r="286">
          <cell r="A286" t="str">
            <v>BASICO</v>
          </cell>
          <cell r="B286" t="str">
            <v>PXC3702</v>
          </cell>
          <cell r="G286">
            <v>-3832720500</v>
          </cell>
          <cell r="H286">
            <v>43047.704502314817</v>
          </cell>
          <cell r="I286">
            <v>43048.277141203704</v>
          </cell>
          <cell r="J286">
            <v>0.57263888888888892</v>
          </cell>
        </row>
        <row r="287">
          <cell r="A287" t="str">
            <v>TOUCH</v>
          </cell>
          <cell r="B287" t="str">
            <v>PKE2278</v>
          </cell>
          <cell r="G287">
            <v>-3831941700</v>
          </cell>
          <cell r="H287">
            <v>43047.707465277781</v>
          </cell>
          <cell r="I287">
            <v>43047.731736111113</v>
          </cell>
          <cell r="J287">
            <v>2.4270833333333335E-2</v>
          </cell>
        </row>
        <row r="288">
          <cell r="A288" t="str">
            <v>BASICO</v>
          </cell>
          <cell r="B288" t="str">
            <v>OUX2321</v>
          </cell>
          <cell r="G288">
            <v>-3832013700</v>
          </cell>
          <cell r="H288">
            <v>43047.72446759259</v>
          </cell>
          <cell r="I288">
            <v>43047.745439814818</v>
          </cell>
          <cell r="J288">
            <v>2.0972222222222222E-2</v>
          </cell>
        </row>
        <row r="289">
          <cell r="A289" t="str">
            <v>TOUCH</v>
          </cell>
          <cell r="B289" t="str">
            <v>PKE2278</v>
          </cell>
          <cell r="G289">
            <v>-3832431100</v>
          </cell>
          <cell r="H289">
            <v>43047.73364583333</v>
          </cell>
          <cell r="I289">
            <v>43047.742569444446</v>
          </cell>
          <cell r="J289">
            <v>8.9236111111111113E-3</v>
          </cell>
        </row>
        <row r="290">
          <cell r="A290" t="str">
            <v>TOUCH</v>
          </cell>
          <cell r="B290" t="str">
            <v>PKE2278</v>
          </cell>
          <cell r="G290">
            <v>-3831370400</v>
          </cell>
          <cell r="H290">
            <v>43047.745312500003</v>
          </cell>
          <cell r="I290">
            <v>43047.746145833335</v>
          </cell>
          <cell r="J290">
            <v>8.3333333333333339E-4</v>
          </cell>
        </row>
        <row r="291">
          <cell r="A291" t="str">
            <v>BASICO</v>
          </cell>
          <cell r="B291" t="str">
            <v>OUX2321</v>
          </cell>
          <cell r="G291">
            <v>-3833718600</v>
          </cell>
          <cell r="H291">
            <v>43047.755300925928</v>
          </cell>
          <cell r="I291">
            <v>43047.780648148146</v>
          </cell>
          <cell r="J291">
            <v>2.5347222222222219E-2</v>
          </cell>
        </row>
        <row r="292">
          <cell r="A292" t="str">
            <v>TOUCH</v>
          </cell>
          <cell r="B292" t="str">
            <v>PKE2278</v>
          </cell>
          <cell r="G292">
            <v>-3832722900</v>
          </cell>
          <cell r="H292">
            <v>43047.757951388892</v>
          </cell>
          <cell r="I292">
            <v>43047.769386574073</v>
          </cell>
          <cell r="J292">
            <v>1.1435185185185185E-2</v>
          </cell>
        </row>
        <row r="293">
          <cell r="A293" t="str">
            <v>TOUCH</v>
          </cell>
          <cell r="B293" t="str">
            <v>PKE2278</v>
          </cell>
          <cell r="G293">
            <v>-3830394400</v>
          </cell>
          <cell r="H293">
            <v>43047.781018518515</v>
          </cell>
          <cell r="I293">
            <v>43047.86445601852</v>
          </cell>
          <cell r="J293">
            <v>8.3437499999999998E-2</v>
          </cell>
        </row>
        <row r="294">
          <cell r="A294" t="str">
            <v>BASICO</v>
          </cell>
          <cell r="B294" t="str">
            <v>OUX2321</v>
          </cell>
          <cell r="G294">
            <v>-3834688500</v>
          </cell>
          <cell r="H294">
            <v>43047.794293981482</v>
          </cell>
          <cell r="I294">
            <v>43047.804710648146</v>
          </cell>
          <cell r="J294">
            <v>1.0416666666666666E-2</v>
          </cell>
        </row>
        <row r="295">
          <cell r="A295" t="str">
            <v>BASICO</v>
          </cell>
          <cell r="B295" t="str">
            <v>OUX2321</v>
          </cell>
          <cell r="G295">
            <v>-3835293200</v>
          </cell>
          <cell r="H295">
            <v>43047.813356481478</v>
          </cell>
          <cell r="I295">
            <v>43047.81454861111</v>
          </cell>
          <cell r="J295">
            <v>1.1921296296296296E-3</v>
          </cell>
        </row>
        <row r="296">
          <cell r="A296" t="str">
            <v>BASICO</v>
          </cell>
          <cell r="B296" t="str">
            <v>OUX2321</v>
          </cell>
          <cell r="G296">
            <v>-3835066600</v>
          </cell>
          <cell r="H296">
            <v>43047.818113425928</v>
          </cell>
          <cell r="I296">
            <v>43047.841273148151</v>
          </cell>
          <cell r="J296">
            <v>2.3159722222222224E-2</v>
          </cell>
        </row>
        <row r="297">
          <cell r="A297" t="str">
            <v>BASICO</v>
          </cell>
          <cell r="B297" t="str">
            <v>OUX2321</v>
          </cell>
          <cell r="G297">
            <v>-3835698000</v>
          </cell>
          <cell r="H297">
            <v>43047.85050925926</v>
          </cell>
          <cell r="I297">
            <v>43047.881238425929</v>
          </cell>
          <cell r="J297">
            <v>3.0729166666666669E-2</v>
          </cell>
        </row>
        <row r="298">
          <cell r="A298" t="str">
            <v>TOUCH</v>
          </cell>
          <cell r="B298" t="str">
            <v>PKE2278</v>
          </cell>
          <cell r="G298">
            <v>-3831869600</v>
          </cell>
          <cell r="H298">
            <v>43047.869976851849</v>
          </cell>
          <cell r="I298">
            <v>43047.9065625</v>
          </cell>
          <cell r="J298">
            <v>3.6585648148148145E-2</v>
          </cell>
        </row>
        <row r="299">
          <cell r="A299" t="str">
            <v>BASICO</v>
          </cell>
          <cell r="B299" t="str">
            <v>OUX2321</v>
          </cell>
          <cell r="G299">
            <v>-3835018300</v>
          </cell>
          <cell r="H299">
            <v>43047.886053240742</v>
          </cell>
          <cell r="I299">
            <v>43047.928229166668</v>
          </cell>
          <cell r="J299">
            <v>4.2175925925925922E-2</v>
          </cell>
        </row>
        <row r="300">
          <cell r="A300" t="str">
            <v>TOUCH</v>
          </cell>
          <cell r="B300" t="str">
            <v>PKE2278</v>
          </cell>
          <cell r="G300">
            <v>-3832720300</v>
          </cell>
          <cell r="H300">
            <v>43047.913124999999</v>
          </cell>
          <cell r="I300">
            <v>43047.928414351853</v>
          </cell>
          <cell r="J300">
            <v>1.5289351851851851E-2</v>
          </cell>
        </row>
        <row r="301">
          <cell r="A301" t="str">
            <v>TOUCH</v>
          </cell>
          <cell r="B301" t="str">
            <v>PKE2278</v>
          </cell>
          <cell r="G301">
            <v>-3832784200</v>
          </cell>
          <cell r="H301">
            <v>43047.932129629633</v>
          </cell>
          <cell r="I301">
            <v>43047.98878472222</v>
          </cell>
          <cell r="J301">
            <v>5.6655092592592597E-2</v>
          </cell>
        </row>
        <row r="302">
          <cell r="A302" t="str">
            <v>BASICO</v>
          </cell>
          <cell r="B302" t="str">
            <v>OUX2321</v>
          </cell>
          <cell r="G302">
            <v>-3835206900</v>
          </cell>
          <cell r="H302">
            <v>43047.93472222222</v>
          </cell>
          <cell r="I302">
            <v>43047.936655092592</v>
          </cell>
          <cell r="J302">
            <v>1.9328703703703704E-3</v>
          </cell>
        </row>
        <row r="303">
          <cell r="A303" t="str">
            <v>BASICO</v>
          </cell>
          <cell r="B303" t="str">
            <v>OUX2321</v>
          </cell>
          <cell r="G303">
            <v>-3832744000</v>
          </cell>
          <cell r="H303">
            <v>43047.944675925923</v>
          </cell>
          <cell r="I303">
            <v>43048.019675925927</v>
          </cell>
          <cell r="J303">
            <v>7.4999999999999997E-2</v>
          </cell>
        </row>
        <row r="304">
          <cell r="A304" t="str">
            <v>TOUCH</v>
          </cell>
          <cell r="B304" t="str">
            <v>PKE2278</v>
          </cell>
          <cell r="G304">
            <v>-3832578700</v>
          </cell>
          <cell r="H304">
            <v>43047.991631944446</v>
          </cell>
          <cell r="I304">
            <v>43047.998993055553</v>
          </cell>
          <cell r="J304">
            <v>7.3611111111111108E-3</v>
          </cell>
        </row>
        <row r="305">
          <cell r="A305" t="str">
            <v>TOUCH</v>
          </cell>
          <cell r="B305" t="str">
            <v>PKE2278</v>
          </cell>
          <cell r="G305">
            <v>-3832751600</v>
          </cell>
          <cell r="H305">
            <v>43048.000416666669</v>
          </cell>
          <cell r="I305">
            <v>43048.020069444443</v>
          </cell>
          <cell r="J305">
            <v>1.9652777777777779E-2</v>
          </cell>
        </row>
        <row r="306">
          <cell r="A306" t="str">
            <v>BASICO</v>
          </cell>
          <cell r="B306" t="str">
            <v>OUX2321</v>
          </cell>
          <cell r="G306">
            <v>-3832719600</v>
          </cell>
          <cell r="H306">
            <v>43048.023009259261</v>
          </cell>
          <cell r="I306">
            <v>43048.386736111112</v>
          </cell>
          <cell r="J306">
            <v>0.36372685185185188</v>
          </cell>
        </row>
        <row r="307">
          <cell r="A307" t="str">
            <v>TOUCH</v>
          </cell>
          <cell r="B307" t="str">
            <v>PKE2278</v>
          </cell>
          <cell r="G307">
            <v>-3832710500</v>
          </cell>
          <cell r="H307">
            <v>43048.023159722223</v>
          </cell>
          <cell r="I307">
            <v>43048.376527777778</v>
          </cell>
          <cell r="J307">
            <v>0.35336805555555556</v>
          </cell>
        </row>
        <row r="308">
          <cell r="A308" t="str">
            <v>BASICO</v>
          </cell>
          <cell r="B308" t="str">
            <v>PXC3702</v>
          </cell>
          <cell r="G308">
            <v>-3832522600</v>
          </cell>
          <cell r="H308">
            <v>43048.282870370371</v>
          </cell>
          <cell r="I308">
            <v>43048.292847222219</v>
          </cell>
          <cell r="J308">
            <v>9.9768518518518531E-3</v>
          </cell>
        </row>
        <row r="309">
          <cell r="A309" t="str">
            <v>BASICO</v>
          </cell>
          <cell r="B309" t="str">
            <v>PXC3702</v>
          </cell>
          <cell r="G309">
            <v>-3830683400</v>
          </cell>
          <cell r="H309">
            <v>43048.302256944444</v>
          </cell>
          <cell r="I309">
            <v>43048.337222222224</v>
          </cell>
          <cell r="J309">
            <v>3.4965277777777783E-2</v>
          </cell>
        </row>
        <row r="310">
          <cell r="A310" t="str">
            <v>BASICO</v>
          </cell>
          <cell r="B310" t="str">
            <v>PXC3702</v>
          </cell>
          <cell r="G310">
            <v>-3829954000</v>
          </cell>
          <cell r="H310">
            <v>43048.346145833333</v>
          </cell>
          <cell r="I310">
            <v>43048.361342592594</v>
          </cell>
          <cell r="J310">
            <v>1.5196759259259259E-2</v>
          </cell>
        </row>
        <row r="311">
          <cell r="A311" t="str">
            <v>BASICO</v>
          </cell>
          <cell r="B311" t="str">
            <v>PXC3702</v>
          </cell>
          <cell r="G311">
            <v>-3830223200</v>
          </cell>
          <cell r="H311">
            <v>43048.368321759262</v>
          </cell>
          <cell r="I311">
            <v>43048.374363425923</v>
          </cell>
          <cell r="J311">
            <v>6.0416666666666665E-3</v>
          </cell>
        </row>
        <row r="312">
          <cell r="A312" t="str">
            <v>TOUCH</v>
          </cell>
          <cell r="B312" t="str">
            <v>PKE2278</v>
          </cell>
          <cell r="G312">
            <v>-3833798800</v>
          </cell>
          <cell r="H312">
            <v>43048.380393518521</v>
          </cell>
          <cell r="I312">
            <v>43048.38521990741</v>
          </cell>
          <cell r="J312">
            <v>4.8263888888888887E-3</v>
          </cell>
        </row>
        <row r="313">
          <cell r="A313" t="str">
            <v>BASICO</v>
          </cell>
          <cell r="B313" t="str">
            <v>PXC3702</v>
          </cell>
          <cell r="G313">
            <v>-3828492100</v>
          </cell>
          <cell r="H313">
            <v>43048.392152777778</v>
          </cell>
          <cell r="I313">
            <v>43048.412939814814</v>
          </cell>
          <cell r="J313">
            <v>2.0787037037037038E-2</v>
          </cell>
        </row>
        <row r="314">
          <cell r="A314" t="str">
            <v>TOUCH</v>
          </cell>
          <cell r="B314" t="str">
            <v>PKE2278</v>
          </cell>
          <cell r="G314">
            <v>-3835397400</v>
          </cell>
          <cell r="H314">
            <v>43048.392210648148</v>
          </cell>
          <cell r="I314">
            <v>43048.461423611108</v>
          </cell>
          <cell r="J314">
            <v>6.9212962962962962E-2</v>
          </cell>
        </row>
        <row r="315">
          <cell r="A315" t="str">
            <v>BASICO</v>
          </cell>
          <cell r="B315" t="str">
            <v>OUX2321</v>
          </cell>
          <cell r="G315">
            <v>-3832748400</v>
          </cell>
          <cell r="H315">
            <v>43048.393506944441</v>
          </cell>
          <cell r="I315">
            <v>43048.433541666665</v>
          </cell>
          <cell r="J315">
            <v>4.0034722222222222E-2</v>
          </cell>
        </row>
        <row r="316">
          <cell r="A316" t="str">
            <v>BASICO</v>
          </cell>
          <cell r="B316" t="str">
            <v>PXC3702</v>
          </cell>
          <cell r="G316">
            <v>-3831337100</v>
          </cell>
          <cell r="H316">
            <v>43048.424849537034</v>
          </cell>
          <cell r="I316">
            <v>43048.434351851851</v>
          </cell>
          <cell r="J316">
            <v>9.5023148148148159E-3</v>
          </cell>
        </row>
        <row r="317">
          <cell r="A317" t="str">
            <v>BASICO</v>
          </cell>
          <cell r="B317" t="str">
            <v>OUX2321</v>
          </cell>
          <cell r="G317">
            <v>-3829960600</v>
          </cell>
          <cell r="H317">
            <v>43048.442326388889</v>
          </cell>
          <cell r="I317">
            <v>43048.502986111111</v>
          </cell>
          <cell r="J317">
            <v>6.0659722222222219E-2</v>
          </cell>
        </row>
        <row r="318">
          <cell r="A318" t="str">
            <v>BASICO</v>
          </cell>
          <cell r="B318" t="str">
            <v>PXC3702</v>
          </cell>
          <cell r="G318">
            <v>-3829449700</v>
          </cell>
          <cell r="H318">
            <v>43048.451539351852</v>
          </cell>
          <cell r="I318">
            <v>43048.472719907404</v>
          </cell>
          <cell r="J318">
            <v>2.1180555555555553E-2</v>
          </cell>
        </row>
        <row r="319">
          <cell r="A319" t="str">
            <v>TOUCH</v>
          </cell>
          <cell r="B319" t="str">
            <v>PKE2278</v>
          </cell>
          <cell r="G319">
            <v>-3833579400</v>
          </cell>
          <cell r="H319">
            <v>43048.474490740744</v>
          </cell>
          <cell r="I319">
            <v>43048.524861111109</v>
          </cell>
          <cell r="J319">
            <v>5.0370370370370371E-2</v>
          </cell>
        </row>
        <row r="320">
          <cell r="A320" t="str">
            <v>BASICO</v>
          </cell>
          <cell r="B320" t="str">
            <v>PXC3702</v>
          </cell>
          <cell r="G320">
            <v>-3832713500</v>
          </cell>
          <cell r="H320">
            <v>43048.486481481479</v>
          </cell>
          <cell r="I320">
            <v>43048.541006944448</v>
          </cell>
          <cell r="J320">
            <v>5.4525462962962963E-2</v>
          </cell>
        </row>
        <row r="321">
          <cell r="A321" t="str">
            <v>BASICO</v>
          </cell>
          <cell r="B321" t="str">
            <v>OUX2321</v>
          </cell>
          <cell r="G321">
            <v>-3829407200</v>
          </cell>
          <cell r="H321">
            <v>43048.516979166663</v>
          </cell>
          <cell r="I321">
            <v>43048.550254629627</v>
          </cell>
          <cell r="J321">
            <v>3.3275462962962958E-2</v>
          </cell>
        </row>
        <row r="322">
          <cell r="A322" t="str">
            <v>TOUCH</v>
          </cell>
          <cell r="B322" t="str">
            <v>PKE2278</v>
          </cell>
          <cell r="G322">
            <v>-3833180500</v>
          </cell>
          <cell r="H322">
            <v>43048.52784722222</v>
          </cell>
          <cell r="I322">
            <v>43048.530324074076</v>
          </cell>
          <cell r="J322">
            <v>2.4768518518518516E-3</v>
          </cell>
        </row>
        <row r="323">
          <cell r="A323" t="str">
            <v>TOUCH</v>
          </cell>
          <cell r="B323" t="str">
            <v>PKE2278</v>
          </cell>
          <cell r="G323">
            <v>-3832707500</v>
          </cell>
          <cell r="H323">
            <v>43048.535462962966</v>
          </cell>
          <cell r="I323">
            <v>43049.272430555553</v>
          </cell>
          <cell r="J323">
            <v>0.73696759259259259</v>
          </cell>
        </row>
        <row r="324">
          <cell r="A324" t="str">
            <v>BASICO</v>
          </cell>
          <cell r="B324" t="str">
            <v>PXC3702</v>
          </cell>
          <cell r="G324">
            <v>-3829880200</v>
          </cell>
          <cell r="H324">
            <v>43048.555648148147</v>
          </cell>
          <cell r="I324">
            <v>43048.606759259259</v>
          </cell>
          <cell r="J324">
            <v>5.1111111111111107E-2</v>
          </cell>
        </row>
        <row r="325">
          <cell r="A325" t="str">
            <v>BASICO</v>
          </cell>
          <cell r="B325" t="str">
            <v>OUX2321</v>
          </cell>
          <cell r="G325">
            <v>-3832710400</v>
          </cell>
          <cell r="H325">
            <v>43048.558275462965</v>
          </cell>
          <cell r="I325">
            <v>43048.660949074074</v>
          </cell>
          <cell r="J325">
            <v>0.10267361111111112</v>
          </cell>
        </row>
        <row r="326">
          <cell r="A326" t="str">
            <v>BASICO</v>
          </cell>
          <cell r="B326" t="str">
            <v>PXC3702</v>
          </cell>
          <cell r="G326">
            <v>-3832323500</v>
          </cell>
          <cell r="H326">
            <v>43048.613495370373</v>
          </cell>
          <cell r="I326">
            <v>43048.619050925925</v>
          </cell>
          <cell r="J326">
            <v>5.5555555555555558E-3</v>
          </cell>
        </row>
        <row r="327">
          <cell r="A327" t="str">
            <v>BASICO</v>
          </cell>
          <cell r="B327" t="str">
            <v>PXC3702</v>
          </cell>
          <cell r="G327">
            <v>-3832878900</v>
          </cell>
          <cell r="H327">
            <v>43048.621388888889</v>
          </cell>
          <cell r="I327">
            <v>43049.270185185182</v>
          </cell>
          <cell r="J327">
            <v>0.64879629629629632</v>
          </cell>
        </row>
        <row r="328">
          <cell r="A328" t="str">
            <v>BASICO</v>
          </cell>
          <cell r="B328" t="str">
            <v>OUX2321</v>
          </cell>
          <cell r="G328">
            <v>-3832741400</v>
          </cell>
          <cell r="H328">
            <v>43048.665810185186</v>
          </cell>
          <cell r="I328">
            <v>43048.684178240743</v>
          </cell>
          <cell r="J328">
            <v>1.8368055555555554E-2</v>
          </cell>
        </row>
        <row r="329">
          <cell r="A329" t="str">
            <v>BASICO</v>
          </cell>
          <cell r="B329" t="str">
            <v>OUX2321</v>
          </cell>
          <cell r="G329">
            <v>-3835771700</v>
          </cell>
          <cell r="H329">
            <v>43048.711886574078</v>
          </cell>
          <cell r="I329">
            <v>43048.713865740741</v>
          </cell>
          <cell r="J329">
            <v>1.9791666666666668E-3</v>
          </cell>
        </row>
        <row r="330">
          <cell r="A330" t="str">
            <v>BASICO</v>
          </cell>
          <cell r="B330" t="str">
            <v>OUX2321</v>
          </cell>
          <cell r="G330">
            <v>-3835990000</v>
          </cell>
          <cell r="H330">
            <v>43048.71671296296</v>
          </cell>
          <cell r="I330">
            <v>43048.719733796293</v>
          </cell>
          <cell r="J330">
            <v>3.0208333333333333E-3</v>
          </cell>
        </row>
        <row r="331">
          <cell r="A331" t="str">
            <v>BASICO</v>
          </cell>
          <cell r="B331" t="str">
            <v>OUX2321</v>
          </cell>
          <cell r="G331">
            <v>-3835598300</v>
          </cell>
          <cell r="H331">
            <v>43048.724108796298</v>
          </cell>
          <cell r="I331">
            <v>43048.755497685182</v>
          </cell>
          <cell r="J331">
            <v>3.138888888888889E-2</v>
          </cell>
        </row>
        <row r="332">
          <cell r="A332" t="str">
            <v>BASICO</v>
          </cell>
          <cell r="B332" t="str">
            <v>OUX2321</v>
          </cell>
          <cell r="G332">
            <v>-3834904800</v>
          </cell>
          <cell r="H332">
            <v>43048.765740740739</v>
          </cell>
          <cell r="I332">
            <v>43048.777199074073</v>
          </cell>
          <cell r="J332">
            <v>1.1458333333333334E-2</v>
          </cell>
        </row>
        <row r="333">
          <cell r="A333" t="str">
            <v>BASICO</v>
          </cell>
          <cell r="B333" t="str">
            <v>OUX2321</v>
          </cell>
          <cell r="G333">
            <v>-3832016400</v>
          </cell>
          <cell r="H333">
            <v>43048.790810185186</v>
          </cell>
          <cell r="I333">
            <v>43048.820740740739</v>
          </cell>
          <cell r="J333">
            <v>2.9930555555555557E-2</v>
          </cell>
        </row>
        <row r="334">
          <cell r="A334" t="str">
            <v>BASICO</v>
          </cell>
          <cell r="B334" t="str">
            <v>OUX2321</v>
          </cell>
          <cell r="G334">
            <v>-3831881700</v>
          </cell>
          <cell r="H334">
            <v>43048.831712962965</v>
          </cell>
          <cell r="I334">
            <v>43048.872256944444</v>
          </cell>
          <cell r="J334">
            <v>4.0543981481481479E-2</v>
          </cell>
        </row>
        <row r="335">
          <cell r="A335" t="str">
            <v>BASICO</v>
          </cell>
          <cell r="B335" t="str">
            <v>OUX2321</v>
          </cell>
          <cell r="G335">
            <v>-3828720800</v>
          </cell>
          <cell r="H335">
            <v>43048.882256944446</v>
          </cell>
          <cell r="I335">
            <v>43048.892222222225</v>
          </cell>
          <cell r="J335">
            <v>9.9652777777777778E-3</v>
          </cell>
        </row>
        <row r="336">
          <cell r="A336" t="str">
            <v>BASICO</v>
          </cell>
          <cell r="B336" t="str">
            <v>OUX2321</v>
          </cell>
          <cell r="G336">
            <v>-3829265800</v>
          </cell>
          <cell r="H336">
            <v>43048.898229166669</v>
          </cell>
          <cell r="I336">
            <v>43048.901666666665</v>
          </cell>
          <cell r="J336">
            <v>3.4375E-3</v>
          </cell>
        </row>
        <row r="337">
          <cell r="A337" t="str">
            <v>BASICO</v>
          </cell>
          <cell r="B337" t="str">
            <v>OUX2321</v>
          </cell>
          <cell r="G337">
            <v>-3828903600</v>
          </cell>
          <cell r="H337">
            <v>43048.90420138889</v>
          </cell>
          <cell r="I337">
            <v>43048.906944444447</v>
          </cell>
          <cell r="J337">
            <v>2.7430555555555559E-3</v>
          </cell>
        </row>
        <row r="338">
          <cell r="A338" t="str">
            <v>BASICO</v>
          </cell>
          <cell r="B338" t="str">
            <v>OUX2321</v>
          </cell>
          <cell r="G338">
            <v>-3832478300</v>
          </cell>
          <cell r="H338">
            <v>43048.962222222224</v>
          </cell>
          <cell r="I338">
            <v>43048.965717592589</v>
          </cell>
          <cell r="J338">
            <v>3.4953703703703705E-3</v>
          </cell>
        </row>
        <row r="339">
          <cell r="A339" t="str">
            <v>BASICO</v>
          </cell>
          <cell r="B339" t="str">
            <v>OUX2321</v>
          </cell>
          <cell r="G339">
            <v>-3832370900</v>
          </cell>
          <cell r="H339">
            <v>43048.967210648145</v>
          </cell>
          <cell r="I339">
            <v>43049.020104166666</v>
          </cell>
          <cell r="J339">
            <v>5.2893518518518513E-2</v>
          </cell>
        </row>
        <row r="340">
          <cell r="A340" t="str">
            <v>BASICO</v>
          </cell>
          <cell r="B340" t="str">
            <v>OUX2321</v>
          </cell>
          <cell r="G340">
            <v>-3832719900</v>
          </cell>
          <cell r="H340">
            <v>43049.024409722224</v>
          </cell>
          <cell r="I340">
            <v>43049.285763888889</v>
          </cell>
          <cell r="J340">
            <v>0.26135416666666667</v>
          </cell>
        </row>
        <row r="341">
          <cell r="A341" t="str">
            <v>BASICO</v>
          </cell>
          <cell r="B341" t="str">
            <v>PXC3702</v>
          </cell>
          <cell r="G341">
            <v>-3832518000</v>
          </cell>
          <cell r="H341">
            <v>43049.27542824074</v>
          </cell>
          <cell r="I341">
            <v>43049.290335648147</v>
          </cell>
          <cell r="J341">
            <v>1.4907407407407406E-2</v>
          </cell>
        </row>
        <row r="342">
          <cell r="A342" t="str">
            <v>TOUCH</v>
          </cell>
          <cell r="B342" t="str">
            <v>PKE2278</v>
          </cell>
          <cell r="G342">
            <v>-3833916200</v>
          </cell>
          <cell r="H342">
            <v>43049.282812500001</v>
          </cell>
          <cell r="I342">
            <v>43049.320428240739</v>
          </cell>
          <cell r="J342">
            <v>3.7615740740740741E-2</v>
          </cell>
        </row>
        <row r="343">
          <cell r="A343" t="str">
            <v>BASICO</v>
          </cell>
          <cell r="B343" t="str">
            <v>PXC3702</v>
          </cell>
          <cell r="G343">
            <v>-3832441500</v>
          </cell>
          <cell r="H343">
            <v>43049.291898148149</v>
          </cell>
          <cell r="I343">
            <v>43049.297291666669</v>
          </cell>
          <cell r="J343">
            <v>5.3935185185185188E-3</v>
          </cell>
        </row>
        <row r="344">
          <cell r="A344" t="str">
            <v>BASICO</v>
          </cell>
          <cell r="B344" t="str">
            <v>OUX2321</v>
          </cell>
          <cell r="G344">
            <v>-3831837000</v>
          </cell>
          <cell r="H344">
            <v>43049.294131944444</v>
          </cell>
          <cell r="I344">
            <v>43049.308032407411</v>
          </cell>
          <cell r="J344">
            <v>1.3900462962962962E-2</v>
          </cell>
        </row>
        <row r="345">
          <cell r="A345" t="str">
            <v>BASICO</v>
          </cell>
          <cell r="B345" t="str">
            <v>PXC3702</v>
          </cell>
          <cell r="G345">
            <v>-3832496300</v>
          </cell>
          <cell r="H345">
            <v>43049.299710648149</v>
          </cell>
          <cell r="I345">
            <v>43049.30568287037</v>
          </cell>
          <cell r="J345">
            <v>5.9722222222222225E-3</v>
          </cell>
        </row>
        <row r="346">
          <cell r="A346" t="str">
            <v>BASICO</v>
          </cell>
          <cell r="B346" t="str">
            <v>PXC3702</v>
          </cell>
          <cell r="G346">
            <v>-3829271200</v>
          </cell>
          <cell r="H346">
            <v>43049.318124999998</v>
          </cell>
          <cell r="I346">
            <v>43049.332314814812</v>
          </cell>
          <cell r="J346">
            <v>1.4189814814814815E-2</v>
          </cell>
        </row>
        <row r="347">
          <cell r="A347" t="str">
            <v>BASICO</v>
          </cell>
          <cell r="B347" t="str">
            <v>OUX2321</v>
          </cell>
          <cell r="G347">
            <v>-3828155800</v>
          </cell>
          <cell r="H347">
            <v>43049.321053240739</v>
          </cell>
          <cell r="I347">
            <v>43049.345775462964</v>
          </cell>
          <cell r="J347">
            <v>2.4722222222222225E-2</v>
          </cell>
        </row>
        <row r="348">
          <cell r="A348" t="str">
            <v>TOUCH</v>
          </cell>
          <cell r="B348" t="str">
            <v>PKE2278</v>
          </cell>
          <cell r="G348">
            <v>-3829760500</v>
          </cell>
          <cell r="H348">
            <v>43049.342268518521</v>
          </cell>
          <cell r="I348">
            <v>43049.403726851851</v>
          </cell>
          <cell r="J348">
            <v>6.1458333333333337E-2</v>
          </cell>
        </row>
        <row r="349">
          <cell r="A349" t="str">
            <v>BASICO</v>
          </cell>
          <cell r="B349" t="str">
            <v>PXC3702</v>
          </cell>
          <cell r="G349">
            <v>-3829110200</v>
          </cell>
          <cell r="H349">
            <v>43049.344305555554</v>
          </cell>
          <cell r="I349">
            <v>43049.3671412037</v>
          </cell>
          <cell r="J349">
            <v>2.2835648148148147E-2</v>
          </cell>
        </row>
        <row r="350">
          <cell r="A350" t="str">
            <v>BASICO</v>
          </cell>
          <cell r="B350" t="str">
            <v>OUX2321</v>
          </cell>
          <cell r="G350">
            <v>-3829788500</v>
          </cell>
          <cell r="H350">
            <v>43049.354930555557</v>
          </cell>
          <cell r="I350">
            <v>43049.356493055559</v>
          </cell>
          <cell r="J350">
            <v>1.5624999999999999E-3</v>
          </cell>
        </row>
        <row r="351">
          <cell r="A351" t="str">
            <v>BASICO</v>
          </cell>
          <cell r="B351" t="str">
            <v>PXC3702</v>
          </cell>
          <cell r="G351">
            <v>-3829273000</v>
          </cell>
          <cell r="H351">
            <v>43049.368946759256</v>
          </cell>
          <cell r="I351">
            <v>43049.383530092593</v>
          </cell>
          <cell r="J351">
            <v>1.4583333333333332E-2</v>
          </cell>
        </row>
        <row r="352">
          <cell r="A352" t="str">
            <v>BASICO</v>
          </cell>
          <cell r="B352" t="str">
            <v>OUX2321</v>
          </cell>
          <cell r="G352">
            <v>-3834375300</v>
          </cell>
          <cell r="H352">
            <v>43049.371180555558</v>
          </cell>
          <cell r="I352">
            <v>43049.374560185184</v>
          </cell>
          <cell r="J352">
            <v>3.37962962962963E-3</v>
          </cell>
        </row>
        <row r="353">
          <cell r="A353" t="str">
            <v>BASICO</v>
          </cell>
          <cell r="B353" t="str">
            <v>OUX2321</v>
          </cell>
          <cell r="G353">
            <v>-3834756700</v>
          </cell>
          <cell r="H353">
            <v>43049.376226851855</v>
          </cell>
          <cell r="I353">
            <v>43049.378495370373</v>
          </cell>
          <cell r="J353">
            <v>2.2685185185185182E-3</v>
          </cell>
        </row>
        <row r="354">
          <cell r="A354" t="str">
            <v>BASICO</v>
          </cell>
          <cell r="B354" t="str">
            <v>OUX2321</v>
          </cell>
          <cell r="G354">
            <v>-3834947300</v>
          </cell>
          <cell r="H354">
            <v>43049.383611111109</v>
          </cell>
          <cell r="I354">
            <v>43049.39565972222</v>
          </cell>
          <cell r="J354">
            <v>1.2048611111111112E-2</v>
          </cell>
        </row>
        <row r="355">
          <cell r="A355" t="str">
            <v>BASICO</v>
          </cell>
          <cell r="B355" t="str">
            <v>OUX2321</v>
          </cell>
          <cell r="G355">
            <v>-3834780400</v>
          </cell>
          <cell r="H355">
            <v>43049.397430555553</v>
          </cell>
          <cell r="I355">
            <v>43049.406851851854</v>
          </cell>
          <cell r="J355">
            <v>9.4212962962962957E-3</v>
          </cell>
        </row>
        <row r="356">
          <cell r="A356" t="str">
            <v>BASICO</v>
          </cell>
          <cell r="B356" t="str">
            <v>PXC3702</v>
          </cell>
          <cell r="G356">
            <v>-3830911200</v>
          </cell>
          <cell r="H356">
            <v>43049.398356481484</v>
          </cell>
          <cell r="I356">
            <v>43049.407384259262</v>
          </cell>
          <cell r="J356">
            <v>9.0277777777777787E-3</v>
          </cell>
        </row>
        <row r="357">
          <cell r="A357" t="str">
            <v>TOUCH</v>
          </cell>
          <cell r="B357" t="str">
            <v>PKE2278</v>
          </cell>
          <cell r="G357">
            <v>-3829748500</v>
          </cell>
          <cell r="H357">
            <v>43049.408483796295</v>
          </cell>
          <cell r="I357">
            <v>43049.473993055559</v>
          </cell>
          <cell r="J357">
            <v>6.5509259259259267E-2</v>
          </cell>
        </row>
        <row r="358">
          <cell r="A358" t="str">
            <v>BASICO</v>
          </cell>
          <cell r="B358" t="str">
            <v>OUX2321</v>
          </cell>
          <cell r="G358">
            <v>-3833771900</v>
          </cell>
          <cell r="H358">
            <v>43049.41233796296</v>
          </cell>
          <cell r="I358">
            <v>43049.414456018516</v>
          </cell>
          <cell r="J358">
            <v>2.1180555555555553E-3</v>
          </cell>
        </row>
        <row r="359">
          <cell r="A359" t="str">
            <v>BASICO</v>
          </cell>
          <cell r="B359" t="str">
            <v>PXC3702</v>
          </cell>
          <cell r="G359">
            <v>-3830253600</v>
          </cell>
          <cell r="H359">
            <v>43049.414895833332</v>
          </cell>
          <cell r="I359">
            <v>43049.427881944444</v>
          </cell>
          <cell r="J359">
            <v>1.298611111111111E-2</v>
          </cell>
        </row>
        <row r="360">
          <cell r="A360" t="str">
            <v>BASICO</v>
          </cell>
          <cell r="B360" t="str">
            <v>OUX2321</v>
          </cell>
          <cell r="G360">
            <v>-3832708500</v>
          </cell>
          <cell r="H360">
            <v>43049.417858796296</v>
          </cell>
          <cell r="I360">
            <v>43049.433831018519</v>
          </cell>
          <cell r="J360">
            <v>1.5972222222222224E-2</v>
          </cell>
        </row>
        <row r="361">
          <cell r="A361" t="str">
            <v>BASICO</v>
          </cell>
          <cell r="B361" t="str">
            <v>PXC3702</v>
          </cell>
          <cell r="G361">
            <v>-3830227800</v>
          </cell>
          <cell r="H361">
            <v>43049.431527777779</v>
          </cell>
          <cell r="I361">
            <v>43049.448819444442</v>
          </cell>
          <cell r="J361">
            <v>1.7291666666666667E-2</v>
          </cell>
        </row>
        <row r="362">
          <cell r="A362" t="str">
            <v>BASICO</v>
          </cell>
          <cell r="B362" t="str">
            <v>OUX2321</v>
          </cell>
          <cell r="G362">
            <v>-3832536100</v>
          </cell>
          <cell r="H362">
            <v>43049.442511574074</v>
          </cell>
          <cell r="I362">
            <v>43049.463622685187</v>
          </cell>
          <cell r="J362">
            <v>2.1111111111111108E-2</v>
          </cell>
        </row>
        <row r="363">
          <cell r="A363" t="str">
            <v>BASICO</v>
          </cell>
          <cell r="B363" t="str">
            <v>PXC3702</v>
          </cell>
          <cell r="G363">
            <v>-3829774000</v>
          </cell>
          <cell r="H363">
            <v>43049.461006944446</v>
          </cell>
          <cell r="I363">
            <v>43049.480115740742</v>
          </cell>
          <cell r="J363">
            <v>1.9108796296296294E-2</v>
          </cell>
        </row>
        <row r="364">
          <cell r="A364" t="str">
            <v>BASICO</v>
          </cell>
          <cell r="B364" t="str">
            <v>OUX2321</v>
          </cell>
          <cell r="G364">
            <v>-3832151100</v>
          </cell>
          <cell r="H364">
            <v>43049.467777777776</v>
          </cell>
          <cell r="I364">
            <v>43049.525520833333</v>
          </cell>
          <cell r="J364">
            <v>5.7743055555555554E-2</v>
          </cell>
        </row>
        <row r="365">
          <cell r="A365" t="str">
            <v>BASICO</v>
          </cell>
          <cell r="B365" t="str">
            <v>PXC3702</v>
          </cell>
          <cell r="G365">
            <v>-3830083700</v>
          </cell>
          <cell r="H365">
            <v>43049.483958333331</v>
          </cell>
          <cell r="I365">
            <v>43049.494340277779</v>
          </cell>
          <cell r="J365">
            <v>1.0381944444444444E-2</v>
          </cell>
        </row>
        <row r="366">
          <cell r="A366" t="str">
            <v>TOUCH</v>
          </cell>
          <cell r="B366" t="str">
            <v>PKE2278</v>
          </cell>
          <cell r="G366">
            <v>-3833577400</v>
          </cell>
          <cell r="H366">
            <v>43049.487743055557</v>
          </cell>
          <cell r="I366">
            <v>43049.549490740741</v>
          </cell>
          <cell r="J366">
            <v>6.174768518518519E-2</v>
          </cell>
        </row>
        <row r="367">
          <cell r="A367" t="str">
            <v>BASICO</v>
          </cell>
          <cell r="B367" t="str">
            <v>PXC3702</v>
          </cell>
          <cell r="G367">
            <v>-3832716000</v>
          </cell>
          <cell r="H367">
            <v>43049.509375000001</v>
          </cell>
          <cell r="I367">
            <v>43049.549131944441</v>
          </cell>
          <cell r="J367">
            <v>3.9756944444444449E-2</v>
          </cell>
        </row>
        <row r="368">
          <cell r="A368" t="str">
            <v>BASICO</v>
          </cell>
          <cell r="B368" t="str">
            <v>OUX2321</v>
          </cell>
          <cell r="G368">
            <v>-3830580200</v>
          </cell>
          <cell r="H368">
            <v>43049.542002314818</v>
          </cell>
          <cell r="I368">
            <v>43049.559791666667</v>
          </cell>
          <cell r="J368">
            <v>1.7789351851851851E-2</v>
          </cell>
        </row>
        <row r="369">
          <cell r="A369" t="str">
            <v>TOUCH</v>
          </cell>
          <cell r="B369" t="str">
            <v>PKE2278</v>
          </cell>
          <cell r="G369">
            <v>-3832712200</v>
          </cell>
          <cell r="H369">
            <v>43049.555219907408</v>
          </cell>
          <cell r="I369">
            <v>43049.58488425926</v>
          </cell>
          <cell r="J369">
            <v>2.9664351851851855E-2</v>
          </cell>
        </row>
        <row r="370">
          <cell r="A370" t="str">
            <v>BASICO</v>
          </cell>
          <cell r="B370" t="str">
            <v>PXC3702</v>
          </cell>
          <cell r="G370">
            <v>-3835573900</v>
          </cell>
          <cell r="H370">
            <v>43049.566423611112</v>
          </cell>
          <cell r="I370">
            <v>43049.575011574074</v>
          </cell>
          <cell r="J370">
            <v>8.5879629629629622E-3</v>
          </cell>
        </row>
        <row r="371">
          <cell r="A371" t="str">
            <v>BASICO</v>
          </cell>
          <cell r="B371" t="str">
            <v>OUX2321</v>
          </cell>
          <cell r="G371">
            <v>-3832877800</v>
          </cell>
          <cell r="H371">
            <v>43049.566805555558</v>
          </cell>
          <cell r="I371">
            <v>43049.573541666665</v>
          </cell>
          <cell r="J371">
            <v>6.7361111111111103E-3</v>
          </cell>
        </row>
        <row r="372">
          <cell r="A372" t="str">
            <v>BASICO</v>
          </cell>
          <cell r="B372" t="str">
            <v>PXC3702</v>
          </cell>
          <cell r="G372">
            <v>-3833631200</v>
          </cell>
          <cell r="H372">
            <v>43049.581319444442</v>
          </cell>
          <cell r="I372">
            <v>43049.582291666666</v>
          </cell>
          <cell r="J372">
            <v>9.7222222222222209E-4</v>
          </cell>
        </row>
        <row r="373">
          <cell r="A373" t="str">
            <v>BASICO</v>
          </cell>
          <cell r="B373" t="str">
            <v>OUX2321</v>
          </cell>
          <cell r="G373">
            <v>-3832995500</v>
          </cell>
          <cell r="H373">
            <v>43049.583020833335</v>
          </cell>
          <cell r="I373">
            <v>43049.58388888889</v>
          </cell>
          <cell r="J373">
            <v>8.6805555555555551E-4</v>
          </cell>
        </row>
        <row r="374">
          <cell r="A374" t="str">
            <v>BASICO</v>
          </cell>
          <cell r="B374" t="str">
            <v>OUX2321</v>
          </cell>
          <cell r="G374">
            <v>-3834945300</v>
          </cell>
          <cell r="H374">
            <v>43049.589687500003</v>
          </cell>
          <cell r="I374">
            <v>43049.593333333331</v>
          </cell>
          <cell r="J374">
            <v>3.645833333333333E-3</v>
          </cell>
        </row>
        <row r="375">
          <cell r="A375" t="str">
            <v>BASICO</v>
          </cell>
          <cell r="B375" t="str">
            <v>PXC3702</v>
          </cell>
          <cell r="G375">
            <v>-3830339100</v>
          </cell>
          <cell r="H375">
            <v>43049.595590277779</v>
          </cell>
          <cell r="I375">
            <v>43049.602812500001</v>
          </cell>
          <cell r="J375">
            <v>7.2222222222222228E-3</v>
          </cell>
        </row>
        <row r="376">
          <cell r="A376" t="str">
            <v>TOUCH</v>
          </cell>
          <cell r="B376" t="str">
            <v>PKE2278</v>
          </cell>
          <cell r="G376">
            <v>-3829761400</v>
          </cell>
          <cell r="H376">
            <v>43049.599745370368</v>
          </cell>
          <cell r="I376">
            <v>43049.636400462965</v>
          </cell>
          <cell r="J376">
            <v>3.6655092592592593E-2</v>
          </cell>
        </row>
        <row r="377">
          <cell r="A377" t="str">
            <v>BASICO</v>
          </cell>
          <cell r="B377" t="str">
            <v>OUX2321</v>
          </cell>
          <cell r="G377">
            <v>-3833773400</v>
          </cell>
          <cell r="H377">
            <v>43049.606319444443</v>
          </cell>
          <cell r="I377">
            <v>43049.614652777775</v>
          </cell>
          <cell r="J377">
            <v>8.3333333333333332E-3</v>
          </cell>
        </row>
        <row r="378">
          <cell r="A378" t="str">
            <v>BASICO</v>
          </cell>
          <cell r="B378" t="str">
            <v>PXC3702</v>
          </cell>
          <cell r="G378">
            <v>-3829640700</v>
          </cell>
          <cell r="H378">
            <v>43049.606805555559</v>
          </cell>
          <cell r="I378">
            <v>43049.607638888891</v>
          </cell>
          <cell r="J378">
            <v>8.3333333333333339E-4</v>
          </cell>
        </row>
        <row r="379">
          <cell r="A379" t="str">
            <v>BASICO</v>
          </cell>
          <cell r="B379" t="str">
            <v>PXC3702</v>
          </cell>
          <cell r="G379">
            <v>-3830134700</v>
          </cell>
          <cell r="H379">
            <v>43049.610833333332</v>
          </cell>
          <cell r="I379">
            <v>43049.622233796297</v>
          </cell>
          <cell r="J379">
            <v>1.1400462962962965E-2</v>
          </cell>
        </row>
        <row r="380">
          <cell r="A380" t="str">
            <v>BASICO</v>
          </cell>
          <cell r="B380" t="str">
            <v>OUX2321</v>
          </cell>
          <cell r="G380">
            <v>-3833609000</v>
          </cell>
          <cell r="H380">
            <v>43049.616828703707</v>
          </cell>
          <cell r="I380">
            <v>43049.623576388891</v>
          </cell>
          <cell r="J380">
            <v>6.7476851851851856E-3</v>
          </cell>
        </row>
        <row r="381">
          <cell r="A381" t="str">
            <v>BASICO</v>
          </cell>
          <cell r="B381" t="str">
            <v>OUX2321</v>
          </cell>
          <cell r="G381">
            <v>-3832713300</v>
          </cell>
          <cell r="H381">
            <v>43049.630624999998</v>
          </cell>
          <cell r="I381">
            <v>43049.676574074074</v>
          </cell>
          <cell r="J381">
            <v>4.594907407407408E-2</v>
          </cell>
        </row>
        <row r="382">
          <cell r="A382" t="str">
            <v>BASICO</v>
          </cell>
          <cell r="B382" t="str">
            <v>PXC3702</v>
          </cell>
          <cell r="G382">
            <v>-3832725200</v>
          </cell>
          <cell r="H382">
            <v>43049.632361111115</v>
          </cell>
          <cell r="I382">
            <v>43049.810497685183</v>
          </cell>
          <cell r="J382">
            <v>0.1781365740740741</v>
          </cell>
        </row>
        <row r="383">
          <cell r="A383" t="str">
            <v>TOUCH</v>
          </cell>
          <cell r="B383" t="str">
            <v>PKE2278</v>
          </cell>
          <cell r="G383">
            <v>-3832713600</v>
          </cell>
          <cell r="H383">
            <v>43049.642592592594</v>
          </cell>
          <cell r="I383">
            <v>43049.699189814812</v>
          </cell>
          <cell r="J383">
            <v>5.6597222222222222E-2</v>
          </cell>
        </row>
        <row r="384">
          <cell r="A384" t="str">
            <v>BASICO</v>
          </cell>
          <cell r="B384" t="str">
            <v>OUX2321</v>
          </cell>
          <cell r="G384">
            <v>-3833954900</v>
          </cell>
          <cell r="H384">
            <v>43049.685844907406</v>
          </cell>
          <cell r="I384">
            <v>43049.732164351852</v>
          </cell>
          <cell r="J384">
            <v>4.6319444444444441E-2</v>
          </cell>
        </row>
        <row r="385">
          <cell r="A385" t="str">
            <v>TOUCH</v>
          </cell>
          <cell r="B385" t="str">
            <v>PKE2278</v>
          </cell>
          <cell r="G385">
            <v>-3834478000</v>
          </cell>
          <cell r="H385">
            <v>43049.707280092596</v>
          </cell>
          <cell r="I385">
            <v>43049.713472222225</v>
          </cell>
          <cell r="J385">
            <v>6.1921296296296299E-3</v>
          </cell>
        </row>
        <row r="386">
          <cell r="A386" t="str">
            <v>TOUCH</v>
          </cell>
          <cell r="B386" t="str">
            <v>PKE2278</v>
          </cell>
          <cell r="G386">
            <v>-3834804800</v>
          </cell>
          <cell r="H386">
            <v>43049.715509259258</v>
          </cell>
          <cell r="I386">
            <v>43049.718217592592</v>
          </cell>
          <cell r="J386">
            <v>2.7083333333333334E-3</v>
          </cell>
        </row>
        <row r="387">
          <cell r="A387" t="str">
            <v>TOUCH</v>
          </cell>
          <cell r="B387" t="str">
            <v>PKE2278</v>
          </cell>
          <cell r="G387">
            <v>-3834129000</v>
          </cell>
          <cell r="H387">
            <v>43049.730370370373</v>
          </cell>
          <cell r="I387">
            <v>43049.749432870369</v>
          </cell>
          <cell r="J387">
            <v>1.90625E-2</v>
          </cell>
        </row>
        <row r="388">
          <cell r="A388" t="str">
            <v>BASICO</v>
          </cell>
          <cell r="B388" t="str">
            <v>OUX2321</v>
          </cell>
          <cell r="G388">
            <v>-3835403200</v>
          </cell>
          <cell r="H388">
            <v>43049.743171296293</v>
          </cell>
          <cell r="I388">
            <v>43049.744525462964</v>
          </cell>
          <cell r="J388">
            <v>1.3541666666666667E-3</v>
          </cell>
        </row>
        <row r="389">
          <cell r="A389" t="str">
            <v>BASICO</v>
          </cell>
          <cell r="B389" t="str">
            <v>OUX2321</v>
          </cell>
          <cell r="G389">
            <v>-3835449500</v>
          </cell>
          <cell r="H389">
            <v>43049.751087962963</v>
          </cell>
          <cell r="I389">
            <v>43049.756435185183</v>
          </cell>
          <cell r="J389">
            <v>5.347222222222222E-3</v>
          </cell>
        </row>
        <row r="390">
          <cell r="A390" t="str">
            <v>TOUCH</v>
          </cell>
          <cell r="B390" t="str">
            <v>PKE2278</v>
          </cell>
          <cell r="G390">
            <v>-3832716800</v>
          </cell>
          <cell r="H390">
            <v>43049.757974537039</v>
          </cell>
          <cell r="I390">
            <v>43049.773865740739</v>
          </cell>
          <cell r="J390">
            <v>1.5891203703703703E-2</v>
          </cell>
        </row>
        <row r="391">
          <cell r="A391" t="str">
            <v>BASICO</v>
          </cell>
          <cell r="B391" t="str">
            <v>OUX2321</v>
          </cell>
          <cell r="G391">
            <v>-3835051900</v>
          </cell>
          <cell r="H391">
            <v>43049.760393518518</v>
          </cell>
          <cell r="I391">
            <v>43049.770914351851</v>
          </cell>
          <cell r="J391">
            <v>1.0520833333333333E-2</v>
          </cell>
        </row>
        <row r="392">
          <cell r="A392" t="str">
            <v>BASICO</v>
          </cell>
          <cell r="B392" t="str">
            <v>OUX2321</v>
          </cell>
          <cell r="G392">
            <v>-3834911300</v>
          </cell>
          <cell r="H392">
            <v>43049.772916666669</v>
          </cell>
          <cell r="I392">
            <v>43049.790185185186</v>
          </cell>
          <cell r="J392">
            <v>1.726851851851852E-2</v>
          </cell>
        </row>
        <row r="393">
          <cell r="A393" t="str">
            <v>TOUCH</v>
          </cell>
          <cell r="B393" t="str">
            <v>PKE2278</v>
          </cell>
          <cell r="G393">
            <v>-3830046300</v>
          </cell>
          <cell r="H393">
            <v>43049.783379629633</v>
          </cell>
          <cell r="I393">
            <v>43049.785891203705</v>
          </cell>
          <cell r="J393">
            <v>2.5115740740740741E-3</v>
          </cell>
        </row>
        <row r="394">
          <cell r="A394" t="str">
            <v>TOUCH</v>
          </cell>
          <cell r="B394" t="str">
            <v>PKE2278</v>
          </cell>
          <cell r="G394">
            <v>-3829083900</v>
          </cell>
          <cell r="H394">
            <v>43049.789664351854</v>
          </cell>
          <cell r="I394">
            <v>43050.003055555557</v>
          </cell>
          <cell r="J394">
            <v>0.21339120370370371</v>
          </cell>
        </row>
        <row r="395">
          <cell r="A395" t="str">
            <v>BASICO</v>
          </cell>
          <cell r="B395" t="str">
            <v>OUX2321</v>
          </cell>
          <cell r="G395">
            <v>-3835639700</v>
          </cell>
          <cell r="H395">
            <v>43049.799178240741</v>
          </cell>
          <cell r="I395">
            <v>43049.824618055558</v>
          </cell>
          <cell r="J395">
            <v>2.5439814814814814E-2</v>
          </cell>
        </row>
        <row r="396">
          <cell r="A396" t="str">
            <v>BASICO</v>
          </cell>
          <cell r="B396" t="str">
            <v>PXC3702</v>
          </cell>
          <cell r="G396">
            <v>-3829100100</v>
          </cell>
          <cell r="H396">
            <v>43049.821747685186</v>
          </cell>
          <cell r="I396">
            <v>43050.003217592595</v>
          </cell>
          <cell r="J396">
            <v>0.1814699074074074</v>
          </cell>
        </row>
        <row r="397">
          <cell r="A397" t="str">
            <v>BASICO</v>
          </cell>
          <cell r="B397" t="str">
            <v>OUX2321</v>
          </cell>
          <cell r="G397">
            <v>-3835022400</v>
          </cell>
          <cell r="H397">
            <v>43049.831435185188</v>
          </cell>
          <cell r="I397">
            <v>43049.904363425929</v>
          </cell>
          <cell r="J397">
            <v>7.2928240740740738E-2</v>
          </cell>
        </row>
        <row r="398">
          <cell r="A398" t="str">
            <v>BASICO</v>
          </cell>
          <cell r="B398" t="str">
            <v>OUX2321</v>
          </cell>
          <cell r="G398">
            <v>-3835220300</v>
          </cell>
          <cell r="H398">
            <v>43049.910300925927</v>
          </cell>
          <cell r="I398">
            <v>43049.917280092595</v>
          </cell>
          <cell r="J398">
            <v>6.9791666666666674E-3</v>
          </cell>
        </row>
        <row r="399">
          <cell r="A399" t="str">
            <v>BASICO</v>
          </cell>
          <cell r="B399" t="str">
            <v>OUX2321</v>
          </cell>
          <cell r="G399">
            <v>-3834889700</v>
          </cell>
          <cell r="H399">
            <v>43049.920011574075</v>
          </cell>
          <cell r="I399">
            <v>43049.93377314815</v>
          </cell>
          <cell r="J399">
            <v>1.3761574074074074E-2</v>
          </cell>
        </row>
        <row r="400">
          <cell r="A400" t="str">
            <v>BASICO</v>
          </cell>
          <cell r="B400" t="str">
            <v>OUX2321</v>
          </cell>
          <cell r="G400">
            <v>-3834012100</v>
          </cell>
          <cell r="H400">
            <v>43049.943622685183</v>
          </cell>
          <cell r="I400">
            <v>43049.966435185182</v>
          </cell>
          <cell r="J400">
            <v>2.2812499999999999E-2</v>
          </cell>
        </row>
        <row r="401">
          <cell r="A401" t="str">
            <v>BASICO</v>
          </cell>
          <cell r="B401" t="str">
            <v>OUX2321</v>
          </cell>
          <cell r="G401">
            <v>-3832712000</v>
          </cell>
          <cell r="H401">
            <v>43049.970023148147</v>
          </cell>
          <cell r="I401">
            <v>43049.977384259262</v>
          </cell>
          <cell r="J401">
            <v>7.3611111111111108E-3</v>
          </cell>
        </row>
        <row r="402">
          <cell r="A402" t="str">
            <v>BASICO</v>
          </cell>
          <cell r="B402" t="str">
            <v>OUX2321</v>
          </cell>
          <cell r="G402">
            <v>-3834085200</v>
          </cell>
          <cell r="H402">
            <v>43049.981238425928</v>
          </cell>
          <cell r="I402">
            <v>43050.013032407405</v>
          </cell>
          <cell r="J402">
            <v>3.1793981481481479E-2</v>
          </cell>
        </row>
        <row r="403">
          <cell r="A403" t="str">
            <v>TOUCH</v>
          </cell>
          <cell r="B403" t="str">
            <v>PKE2278</v>
          </cell>
          <cell r="G403">
            <v>-3831251200</v>
          </cell>
          <cell r="H403">
            <v>43050.00675925926</v>
          </cell>
          <cell r="I403">
            <v>43050.022685185184</v>
          </cell>
          <cell r="J403">
            <v>1.5925925925925927E-2</v>
          </cell>
        </row>
        <row r="404">
          <cell r="A404" t="str">
            <v>BASICO</v>
          </cell>
          <cell r="B404" t="str">
            <v>PXC3702</v>
          </cell>
          <cell r="G404">
            <v>-3831239000</v>
          </cell>
          <cell r="H404">
            <v>43050.006793981483</v>
          </cell>
          <cell r="I404">
            <v>43050.022824074076</v>
          </cell>
          <cell r="J404">
            <v>1.6030092592592592E-2</v>
          </cell>
        </row>
        <row r="405">
          <cell r="A405" t="str">
            <v>BASICO</v>
          </cell>
          <cell r="B405" t="str">
            <v>OUX2321</v>
          </cell>
          <cell r="G405">
            <v>-3832475400</v>
          </cell>
          <cell r="H405">
            <v>43050.018703703703</v>
          </cell>
          <cell r="I405">
            <v>43050.030590277776</v>
          </cell>
          <cell r="J405">
            <v>1.1886574074074075E-2</v>
          </cell>
        </row>
        <row r="406">
          <cell r="A406" t="str">
            <v>TOUCH</v>
          </cell>
          <cell r="B406" t="str">
            <v>PKE2278</v>
          </cell>
          <cell r="G406">
            <v>-3832746400</v>
          </cell>
          <cell r="H406">
            <v>43050.027361111112</v>
          </cell>
          <cell r="I406">
            <v>43050.036249999997</v>
          </cell>
          <cell r="J406">
            <v>8.8888888888888889E-3</v>
          </cell>
        </row>
        <row r="407">
          <cell r="A407" t="str">
            <v>BASICO</v>
          </cell>
          <cell r="B407" t="str">
            <v>PXC3702</v>
          </cell>
          <cell r="G407">
            <v>-3832744600</v>
          </cell>
          <cell r="H407">
            <v>43050.028217592589</v>
          </cell>
          <cell r="I407">
            <v>43050.036226851851</v>
          </cell>
          <cell r="J407">
            <v>8.0092592592592594E-3</v>
          </cell>
        </row>
        <row r="408">
          <cell r="A408" t="str">
            <v>BASICO</v>
          </cell>
          <cell r="B408" t="str">
            <v>OUX2321</v>
          </cell>
          <cell r="G408">
            <v>-3832434500</v>
          </cell>
          <cell r="H408">
            <v>43050.037986111114</v>
          </cell>
          <cell r="I408">
            <v>43050.042673611111</v>
          </cell>
          <cell r="J408">
            <v>4.6874999999999998E-3</v>
          </cell>
        </row>
        <row r="409">
          <cell r="A409" t="str">
            <v>BASICO</v>
          </cell>
          <cell r="B409" t="str">
            <v>PXC3702</v>
          </cell>
          <cell r="G409">
            <v>-3829666600</v>
          </cell>
          <cell r="H409">
            <v>43050.042997685188</v>
          </cell>
          <cell r="I409">
            <v>43050.073796296296</v>
          </cell>
          <cell r="J409">
            <v>3.079861111111111E-2</v>
          </cell>
        </row>
        <row r="410">
          <cell r="A410" t="str">
            <v>TOUCH</v>
          </cell>
          <cell r="B410" t="str">
            <v>PKE2278</v>
          </cell>
          <cell r="G410">
            <v>-3829669300</v>
          </cell>
          <cell r="H410">
            <v>43050.043310185189</v>
          </cell>
          <cell r="I410">
            <v>43050.073888888888</v>
          </cell>
          <cell r="J410">
            <v>3.0578703703703702E-2</v>
          </cell>
        </row>
        <row r="411">
          <cell r="A411" t="str">
            <v>BASICO</v>
          </cell>
          <cell r="B411" t="str">
            <v>OUX2321</v>
          </cell>
          <cell r="G411">
            <v>-3832295800</v>
          </cell>
          <cell r="H411">
            <v>43050.048472222225</v>
          </cell>
          <cell r="I411">
            <v>43050.064120370371</v>
          </cell>
          <cell r="J411">
            <v>1.5648148148148151E-2</v>
          </cell>
        </row>
        <row r="412">
          <cell r="A412" t="str">
            <v>BASICO</v>
          </cell>
          <cell r="B412" t="str">
            <v>OUX2321</v>
          </cell>
          <cell r="G412">
            <v>-3832710000</v>
          </cell>
          <cell r="H412">
            <v>43050.069965277777</v>
          </cell>
          <cell r="I412">
            <v>43052.371574074074</v>
          </cell>
          <cell r="J412" t="str">
            <v>2 D 07:14:19</v>
          </cell>
        </row>
        <row r="413">
          <cell r="A413" t="str">
            <v>BASICO</v>
          </cell>
          <cell r="B413" t="str">
            <v>PXC3702</v>
          </cell>
          <cell r="G413">
            <v>-3832715500</v>
          </cell>
          <cell r="H413">
            <v>43050.081157407411</v>
          </cell>
          <cell r="I413">
            <v>43050.277453703704</v>
          </cell>
          <cell r="J413">
            <v>0.1962962962962963</v>
          </cell>
        </row>
        <row r="414">
          <cell r="A414" t="str">
            <v>TOUCH</v>
          </cell>
          <cell r="B414" t="str">
            <v>PKE2278</v>
          </cell>
          <cell r="G414">
            <v>-3832712900</v>
          </cell>
          <cell r="H414">
            <v>43050.082708333335</v>
          </cell>
          <cell r="I414">
            <v>43050.461365740739</v>
          </cell>
          <cell r="J414">
            <v>0.37865740740740739</v>
          </cell>
        </row>
        <row r="415">
          <cell r="A415" t="str">
            <v>BASICO</v>
          </cell>
          <cell r="B415" t="str">
            <v>PXC3702</v>
          </cell>
          <cell r="G415">
            <v>-3832523000</v>
          </cell>
          <cell r="H415">
            <v>43050.282349537039</v>
          </cell>
          <cell r="I415">
            <v>43050.295092592591</v>
          </cell>
          <cell r="J415">
            <v>1.2743055555555556E-2</v>
          </cell>
        </row>
        <row r="416">
          <cell r="A416" t="str">
            <v>BASICO</v>
          </cell>
          <cell r="B416" t="str">
            <v>PXC3702</v>
          </cell>
          <cell r="G416">
            <v>-3831224600</v>
          </cell>
          <cell r="H416">
            <v>43050.300266203703</v>
          </cell>
          <cell r="I416">
            <v>43050.331597222219</v>
          </cell>
          <cell r="J416">
            <v>3.1331018518518515E-2</v>
          </cell>
        </row>
        <row r="417">
          <cell r="A417" t="str">
            <v>BASICO</v>
          </cell>
          <cell r="B417" t="str">
            <v>PXC3702</v>
          </cell>
          <cell r="G417">
            <v>-3832993100</v>
          </cell>
          <cell r="H417">
            <v>43050.343217592592</v>
          </cell>
          <cell r="I417">
            <v>43050.356956018521</v>
          </cell>
          <cell r="J417">
            <v>1.3738425925925926E-2</v>
          </cell>
        </row>
        <row r="418">
          <cell r="A418" t="str">
            <v>BASICO</v>
          </cell>
          <cell r="B418" t="str">
            <v>PXC3702</v>
          </cell>
          <cell r="G418">
            <v>-3834064600</v>
          </cell>
          <cell r="H418">
            <v>43050.374374999999</v>
          </cell>
          <cell r="I418">
            <v>43050.426157407404</v>
          </cell>
          <cell r="J418">
            <v>5.1782407407407409E-2</v>
          </cell>
        </row>
        <row r="419">
          <cell r="A419" t="str">
            <v>BASICO</v>
          </cell>
          <cell r="B419" t="str">
            <v>PXC3702</v>
          </cell>
          <cell r="G419">
            <v>-3833342500</v>
          </cell>
          <cell r="H419">
            <v>43050.430393518516</v>
          </cell>
          <cell r="I419">
            <v>43050.434537037036</v>
          </cell>
          <cell r="J419">
            <v>4.1435185185185186E-3</v>
          </cell>
        </row>
        <row r="420">
          <cell r="A420" t="str">
            <v>BASICO</v>
          </cell>
          <cell r="B420" t="str">
            <v>PXC3702</v>
          </cell>
          <cell r="G420">
            <v>-3832628500</v>
          </cell>
          <cell r="H420">
            <v>43050.436689814815</v>
          </cell>
          <cell r="I420">
            <v>43050.438009259262</v>
          </cell>
          <cell r="J420">
            <v>1.3194444444444443E-3</v>
          </cell>
        </row>
        <row r="421">
          <cell r="A421" t="str">
            <v>BASICO</v>
          </cell>
          <cell r="B421" t="str">
            <v>PXC3702</v>
          </cell>
          <cell r="G421">
            <v>-3828300000</v>
          </cell>
          <cell r="H421">
            <v>43050.450092592589</v>
          </cell>
          <cell r="I421">
            <v>43050.450833333336</v>
          </cell>
          <cell r="J421">
            <v>7.407407407407407E-4</v>
          </cell>
        </row>
        <row r="422">
          <cell r="A422" t="str">
            <v>BASICO</v>
          </cell>
          <cell r="B422" t="str">
            <v>PXC3702</v>
          </cell>
          <cell r="G422">
            <v>-3828456900</v>
          </cell>
          <cell r="H422">
            <v>43050.455208333333</v>
          </cell>
          <cell r="I422">
            <v>43050.481574074074</v>
          </cell>
          <cell r="J422">
            <v>2.6365740740740742E-2</v>
          </cell>
        </row>
        <row r="423">
          <cell r="A423" t="str">
            <v>TOUCH</v>
          </cell>
          <cell r="B423" t="str">
            <v>PKE2278</v>
          </cell>
          <cell r="G423">
            <v>-3829744400</v>
          </cell>
          <cell r="H423">
            <v>43050.472395833334</v>
          </cell>
          <cell r="I423">
            <v>43050.483587962961</v>
          </cell>
          <cell r="J423">
            <v>1.119212962962963E-2</v>
          </cell>
        </row>
        <row r="424">
          <cell r="A424" t="str">
            <v>BASICO</v>
          </cell>
          <cell r="B424" t="str">
            <v>PXC3702</v>
          </cell>
          <cell r="G424">
            <v>-3829426600</v>
          </cell>
          <cell r="H424">
            <v>43050.489722222221</v>
          </cell>
          <cell r="I424">
            <v>43050.490949074076</v>
          </cell>
          <cell r="J424">
            <v>1.2268518518518518E-3</v>
          </cell>
        </row>
        <row r="425">
          <cell r="A425" t="str">
            <v>TOUCH</v>
          </cell>
          <cell r="B425" t="str">
            <v>PKE2278</v>
          </cell>
          <cell r="G425">
            <v>-3829764100</v>
          </cell>
          <cell r="H425">
            <v>43050.490532407406</v>
          </cell>
          <cell r="I425">
            <v>43050.500532407408</v>
          </cell>
          <cell r="J425">
            <v>0.01</v>
          </cell>
        </row>
        <row r="426">
          <cell r="A426" t="str">
            <v>TOUCH</v>
          </cell>
          <cell r="B426" t="str">
            <v>PKE2278</v>
          </cell>
          <cell r="G426">
            <v>-3832707100</v>
          </cell>
          <cell r="H426">
            <v>43050.507974537039</v>
          </cell>
          <cell r="I426">
            <v>43050.548171296294</v>
          </cell>
          <cell r="J426">
            <v>4.0196759259259258E-2</v>
          </cell>
        </row>
        <row r="427">
          <cell r="A427" t="str">
            <v>BASICO</v>
          </cell>
          <cell r="B427" t="str">
            <v>PXC3702</v>
          </cell>
          <cell r="G427">
            <v>-3832158800</v>
          </cell>
          <cell r="H427">
            <v>43050.508067129631</v>
          </cell>
          <cell r="I427">
            <v>43050.53601851852</v>
          </cell>
          <cell r="J427">
            <v>2.7951388888888887E-2</v>
          </cell>
        </row>
        <row r="428">
          <cell r="A428" t="str">
            <v>BASICO</v>
          </cell>
          <cell r="B428" t="str">
            <v>PXC3702</v>
          </cell>
          <cell r="G428">
            <v>-3828359000</v>
          </cell>
          <cell r="H428">
            <v>43050.546423611115</v>
          </cell>
          <cell r="I428">
            <v>43050.579965277779</v>
          </cell>
          <cell r="J428">
            <v>3.3541666666666664E-2</v>
          </cell>
        </row>
        <row r="429">
          <cell r="A429" t="str">
            <v>TOUCH</v>
          </cell>
          <cell r="B429" t="str">
            <v>PKE2278</v>
          </cell>
          <cell r="G429">
            <v>-3832712100</v>
          </cell>
          <cell r="H429">
            <v>43050.55190972222</v>
          </cell>
          <cell r="I429">
            <v>43050.673680555556</v>
          </cell>
          <cell r="J429">
            <v>0.12177083333333333</v>
          </cell>
        </row>
        <row r="430">
          <cell r="A430" t="str">
            <v>BASICO</v>
          </cell>
          <cell r="B430" t="str">
            <v>PXC3702</v>
          </cell>
          <cell r="G430">
            <v>-3829123200</v>
          </cell>
          <cell r="H430">
            <v>43050.593541666669</v>
          </cell>
          <cell r="I430">
            <v>43050.600949074076</v>
          </cell>
          <cell r="J430">
            <v>7.4074074074074068E-3</v>
          </cell>
        </row>
        <row r="431">
          <cell r="A431" t="str">
            <v>BASICO</v>
          </cell>
          <cell r="B431" t="str">
            <v>PXC3702</v>
          </cell>
          <cell r="G431">
            <v>-3829160100</v>
          </cell>
          <cell r="H431">
            <v>43050.60361111111</v>
          </cell>
          <cell r="I431">
            <v>43050.622800925928</v>
          </cell>
          <cell r="J431">
            <v>1.9189814814814816E-2</v>
          </cell>
        </row>
        <row r="432">
          <cell r="A432" t="str">
            <v>BASICO</v>
          </cell>
          <cell r="B432" t="str">
            <v>PXC3702</v>
          </cell>
          <cell r="G432">
            <v>-3832720300</v>
          </cell>
          <cell r="H432">
            <v>43050.634212962963</v>
          </cell>
          <cell r="I432">
            <v>43051.268599537034</v>
          </cell>
          <cell r="J432">
            <v>0.63438657407407406</v>
          </cell>
        </row>
        <row r="433">
          <cell r="A433" t="str">
            <v>TOUCH</v>
          </cell>
          <cell r="B433" t="str">
            <v>PKE2278</v>
          </cell>
          <cell r="G433">
            <v>-3833000500</v>
          </cell>
          <cell r="H433">
            <v>43050.683020833334</v>
          </cell>
          <cell r="I433">
            <v>43050.701527777775</v>
          </cell>
          <cell r="J433">
            <v>1.8506944444444444E-2</v>
          </cell>
        </row>
        <row r="434">
          <cell r="A434" t="str">
            <v>TOUCH</v>
          </cell>
          <cell r="B434" t="str">
            <v>PKE2278</v>
          </cell>
          <cell r="G434">
            <v>-3830428200</v>
          </cell>
          <cell r="H434">
            <v>43050.709641203706</v>
          </cell>
          <cell r="I434">
            <v>43050.728958333333</v>
          </cell>
          <cell r="J434">
            <v>1.9317129629629629E-2</v>
          </cell>
        </row>
        <row r="435">
          <cell r="A435" t="str">
            <v>TOUCH</v>
          </cell>
          <cell r="B435" t="str">
            <v>PKE2278</v>
          </cell>
          <cell r="G435">
            <v>-3832230400</v>
          </cell>
          <cell r="H435">
            <v>43050.741180555553</v>
          </cell>
          <cell r="I435">
            <v>43050.760648148149</v>
          </cell>
          <cell r="J435">
            <v>1.9467592592592595E-2</v>
          </cell>
        </row>
        <row r="436">
          <cell r="A436" t="str">
            <v>TOUCH</v>
          </cell>
          <cell r="B436" t="str">
            <v>PKE2278</v>
          </cell>
          <cell r="G436">
            <v>-3832423800</v>
          </cell>
          <cell r="H436">
            <v>43050.762812499997</v>
          </cell>
          <cell r="I436">
            <v>43050.765069444446</v>
          </cell>
          <cell r="J436">
            <v>2.2569444444444447E-3</v>
          </cell>
        </row>
        <row r="437">
          <cell r="A437" t="str">
            <v>TOUCH</v>
          </cell>
          <cell r="B437" t="str">
            <v>PKE2278</v>
          </cell>
          <cell r="G437">
            <v>-3832635000</v>
          </cell>
          <cell r="H437">
            <v>43050.767592592594</v>
          </cell>
          <cell r="I437">
            <v>43050.80909722222</v>
          </cell>
          <cell r="J437">
            <v>4.1504629629629627E-2</v>
          </cell>
        </row>
        <row r="438">
          <cell r="A438" t="str">
            <v>TOUCH</v>
          </cell>
          <cell r="B438" t="str">
            <v>PKE2278</v>
          </cell>
          <cell r="G438">
            <v>-3834254400</v>
          </cell>
          <cell r="H438">
            <v>43050.814618055556</v>
          </cell>
          <cell r="I438">
            <v>43050.818402777775</v>
          </cell>
          <cell r="J438">
            <v>3.7847222222222223E-3</v>
          </cell>
        </row>
        <row r="439">
          <cell r="A439" t="str">
            <v>TOUCH</v>
          </cell>
          <cell r="B439" t="str">
            <v>PKE2278</v>
          </cell>
          <cell r="G439">
            <v>-3835277100</v>
          </cell>
          <cell r="H439">
            <v>43050.829479166663</v>
          </cell>
          <cell r="I439">
            <v>43050.848576388889</v>
          </cell>
          <cell r="J439">
            <v>1.909722222222222E-2</v>
          </cell>
        </row>
        <row r="440">
          <cell r="A440" t="str">
            <v>TOUCH</v>
          </cell>
          <cell r="B440" t="str">
            <v>PKE2278</v>
          </cell>
          <cell r="G440">
            <v>-3831926800</v>
          </cell>
          <cell r="H440">
            <v>43050.859479166669</v>
          </cell>
          <cell r="I440">
            <v>43050.860231481478</v>
          </cell>
          <cell r="J440">
            <v>7.5231481481481471E-4</v>
          </cell>
        </row>
        <row r="441">
          <cell r="A441" t="str">
            <v>TOUCH</v>
          </cell>
          <cell r="B441" t="str">
            <v>PKE2278</v>
          </cell>
          <cell r="G441">
            <v>-3830911000</v>
          </cell>
          <cell r="H441">
            <v>43050.864965277775</v>
          </cell>
          <cell r="I441">
            <v>43050.891458333332</v>
          </cell>
          <cell r="J441">
            <v>2.6493055555555558E-2</v>
          </cell>
        </row>
        <row r="442">
          <cell r="A442" t="str">
            <v>TOUCH</v>
          </cell>
          <cell r="B442" t="str">
            <v>PKE2278</v>
          </cell>
          <cell r="G442">
            <v>-3834474600</v>
          </cell>
          <cell r="H442">
            <v>43050.903090277781</v>
          </cell>
          <cell r="I442">
            <v>43050.907708333332</v>
          </cell>
          <cell r="J442">
            <v>4.6180555555555558E-3</v>
          </cell>
        </row>
        <row r="443">
          <cell r="A443" t="str">
            <v>TOUCH</v>
          </cell>
          <cell r="B443" t="str">
            <v>PKE2278</v>
          </cell>
          <cell r="G443">
            <v>-3835383800</v>
          </cell>
          <cell r="H443">
            <v>43050.91138888889</v>
          </cell>
          <cell r="I443">
            <v>43050.957384259258</v>
          </cell>
          <cell r="J443">
            <v>4.5995370370370374E-2</v>
          </cell>
        </row>
        <row r="444">
          <cell r="A444" t="str">
            <v>TOUCH</v>
          </cell>
          <cell r="B444" t="str">
            <v>PKE2278</v>
          </cell>
          <cell r="G444">
            <v>-3834404600</v>
          </cell>
          <cell r="H444">
            <v>43050.961539351854</v>
          </cell>
          <cell r="I444">
            <v>43050.967002314814</v>
          </cell>
          <cell r="J444">
            <v>5.4629629629629637E-3</v>
          </cell>
        </row>
        <row r="445">
          <cell r="A445" t="str">
            <v>TOUCH</v>
          </cell>
          <cell r="B445" t="str">
            <v>PKE2278</v>
          </cell>
          <cell r="G445">
            <v>-3833449400</v>
          </cell>
          <cell r="H445">
            <v>43050.976446759261</v>
          </cell>
          <cell r="I445">
            <v>43050.983483796299</v>
          </cell>
          <cell r="J445">
            <v>7.037037037037037E-3</v>
          </cell>
        </row>
        <row r="446">
          <cell r="A446" t="str">
            <v>TOUCH</v>
          </cell>
          <cell r="B446" t="str">
            <v>PKE2278</v>
          </cell>
          <cell r="G446">
            <v>-3833343600</v>
          </cell>
          <cell r="H446">
            <v>43050.986574074072</v>
          </cell>
          <cell r="I446">
            <v>43051.020543981482</v>
          </cell>
          <cell r="J446">
            <v>3.3969907407407407E-2</v>
          </cell>
        </row>
        <row r="447">
          <cell r="A447" t="str">
            <v>TOUCH</v>
          </cell>
          <cell r="B447" t="str">
            <v>PKE2278</v>
          </cell>
          <cell r="G447">
            <v>-3832710600</v>
          </cell>
          <cell r="H447">
            <v>43051.025717592594</v>
          </cell>
          <cell r="I447">
            <v>43051.669293981482</v>
          </cell>
          <cell r="J447">
            <v>0.64357638888888891</v>
          </cell>
        </row>
        <row r="448">
          <cell r="A448" t="str">
            <v>BASICO</v>
          </cell>
          <cell r="B448" t="str">
            <v>PXC3702</v>
          </cell>
          <cell r="G448">
            <v>-3828802200</v>
          </cell>
          <cell r="H448">
            <v>43051.279409722221</v>
          </cell>
          <cell r="I448">
            <v>43051.286030092589</v>
          </cell>
          <cell r="J448">
            <v>6.6203703703703702E-3</v>
          </cell>
        </row>
        <row r="449">
          <cell r="A449" t="str">
            <v>BASICO</v>
          </cell>
          <cell r="B449" t="str">
            <v>PXC3702</v>
          </cell>
          <cell r="G449">
            <v>-3832537700</v>
          </cell>
          <cell r="H449">
            <v>43051.297326388885</v>
          </cell>
          <cell r="I449">
            <v>43051.309212962966</v>
          </cell>
          <cell r="J449">
            <v>1.1886574074074075E-2</v>
          </cell>
        </row>
        <row r="450">
          <cell r="A450" t="str">
            <v>BASICO</v>
          </cell>
          <cell r="B450" t="str">
            <v>PXC3702</v>
          </cell>
          <cell r="G450">
            <v>-3832718800</v>
          </cell>
          <cell r="H450">
            <v>43051.313379629632</v>
          </cell>
          <cell r="I450">
            <v>43051.323148148149</v>
          </cell>
          <cell r="J450">
            <v>9.7685185185185184E-3</v>
          </cell>
        </row>
        <row r="451">
          <cell r="A451" t="str">
            <v>BASICO</v>
          </cell>
          <cell r="B451" t="str">
            <v>PXC3702</v>
          </cell>
          <cell r="G451">
            <v>-3832423000</v>
          </cell>
          <cell r="H451">
            <v>43051.325891203705</v>
          </cell>
          <cell r="I451">
            <v>43051.326689814814</v>
          </cell>
          <cell r="J451">
            <v>7.9861111111111105E-4</v>
          </cell>
        </row>
        <row r="452">
          <cell r="A452" t="str">
            <v>BASICO</v>
          </cell>
          <cell r="B452" t="str">
            <v>PXC3702</v>
          </cell>
          <cell r="G452">
            <v>-3832790400</v>
          </cell>
          <cell r="H452">
            <v>43051.328703703701</v>
          </cell>
          <cell r="I452">
            <v>43051.331516203703</v>
          </cell>
          <cell r="J452">
            <v>2.8124999999999995E-3</v>
          </cell>
        </row>
        <row r="453">
          <cell r="A453" t="str">
            <v>BASICO</v>
          </cell>
          <cell r="B453" t="str">
            <v>PXC3702</v>
          </cell>
          <cell r="G453">
            <v>-3833070800</v>
          </cell>
          <cell r="H453">
            <v>43051.332997685182</v>
          </cell>
          <cell r="I453">
            <v>43051.345023148147</v>
          </cell>
          <cell r="J453">
            <v>1.2025462962962962E-2</v>
          </cell>
        </row>
        <row r="454">
          <cell r="A454" t="str">
            <v>BASICO</v>
          </cell>
          <cell r="B454" t="str">
            <v>PXC3702</v>
          </cell>
          <cell r="G454">
            <v>-3832329800</v>
          </cell>
          <cell r="H454">
            <v>43051.354803240742</v>
          </cell>
          <cell r="I454">
            <v>43051.356307870374</v>
          </cell>
          <cell r="J454">
            <v>1.5046296296296294E-3</v>
          </cell>
        </row>
        <row r="455">
          <cell r="A455" t="str">
            <v>BASICO</v>
          </cell>
          <cell r="B455" t="str">
            <v>PXC3702</v>
          </cell>
          <cell r="G455">
            <v>-3832372800</v>
          </cell>
          <cell r="H455">
            <v>43051.363287037035</v>
          </cell>
          <cell r="I455">
            <v>43051.374560185184</v>
          </cell>
          <cell r="J455">
            <v>1.1273148148148148E-2</v>
          </cell>
        </row>
        <row r="456">
          <cell r="A456" t="str">
            <v>BASICO</v>
          </cell>
          <cell r="B456" t="str">
            <v>PXC3702</v>
          </cell>
          <cell r="G456">
            <v>-3833941700</v>
          </cell>
          <cell r="H456">
            <v>43051.380196759259</v>
          </cell>
          <cell r="I456">
            <v>43051.384363425925</v>
          </cell>
          <cell r="J456">
            <v>4.1666666666666666E-3</v>
          </cell>
        </row>
        <row r="457">
          <cell r="A457" t="str">
            <v>BASICO</v>
          </cell>
          <cell r="B457" t="str">
            <v>PXC3702</v>
          </cell>
          <cell r="G457">
            <v>-3833984700</v>
          </cell>
          <cell r="H457">
            <v>43051.38658564815</v>
          </cell>
          <cell r="I457">
            <v>43051.392395833333</v>
          </cell>
          <cell r="J457">
            <v>5.8101851851851856E-3</v>
          </cell>
        </row>
        <row r="458">
          <cell r="A458" t="str">
            <v>BASICO</v>
          </cell>
          <cell r="B458" t="str">
            <v>PXC3702</v>
          </cell>
          <cell r="G458">
            <v>-3833711000</v>
          </cell>
          <cell r="H458">
            <v>43051.397638888891</v>
          </cell>
          <cell r="I458">
            <v>43051.398900462962</v>
          </cell>
          <cell r="J458">
            <v>1.261574074074074E-3</v>
          </cell>
        </row>
        <row r="459">
          <cell r="A459" t="str">
            <v>BASICO</v>
          </cell>
          <cell r="B459" t="str">
            <v>PXC3702</v>
          </cell>
          <cell r="G459">
            <v>-3833921900</v>
          </cell>
          <cell r="H459">
            <v>43051.400763888887</v>
          </cell>
          <cell r="I459">
            <v>43051.404108796298</v>
          </cell>
          <cell r="J459">
            <v>3.3449074074074071E-3</v>
          </cell>
        </row>
        <row r="460">
          <cell r="A460" t="str">
            <v>BASICO</v>
          </cell>
          <cell r="B460" t="str">
            <v>PXC3702</v>
          </cell>
          <cell r="G460">
            <v>-3836095600</v>
          </cell>
          <cell r="H460">
            <v>43051.413958333331</v>
          </cell>
          <cell r="I460">
            <v>43051.455648148149</v>
          </cell>
          <cell r="J460">
            <v>4.1689814814814818E-2</v>
          </cell>
        </row>
        <row r="461">
          <cell r="A461" t="str">
            <v>BASICO</v>
          </cell>
          <cell r="B461" t="str">
            <v>PXC3702</v>
          </cell>
          <cell r="G461">
            <v>-3831337100</v>
          </cell>
          <cell r="H461">
            <v>43051.477256944447</v>
          </cell>
          <cell r="I461">
            <v>43051.50104166667</v>
          </cell>
          <cell r="J461">
            <v>2.3784722222222221E-2</v>
          </cell>
        </row>
        <row r="462">
          <cell r="A462" t="str">
            <v>BASICO</v>
          </cell>
          <cell r="B462" t="str">
            <v>PXC3702</v>
          </cell>
          <cell r="G462">
            <v>-3832179600</v>
          </cell>
          <cell r="H462">
            <v>43051.505335648151</v>
          </cell>
          <cell r="I462">
            <v>43051.542002314818</v>
          </cell>
          <cell r="J462">
            <v>3.6666666666666667E-2</v>
          </cell>
        </row>
        <row r="463">
          <cell r="A463" t="str">
            <v>BASICO</v>
          </cell>
          <cell r="B463" t="str">
            <v>PXC3702</v>
          </cell>
          <cell r="G463">
            <v>-3832696300</v>
          </cell>
          <cell r="H463">
            <v>43051.545439814814</v>
          </cell>
          <cell r="I463">
            <v>43051.579525462963</v>
          </cell>
          <cell r="J463">
            <v>3.408564814814815E-2</v>
          </cell>
        </row>
        <row r="464">
          <cell r="A464" t="str">
            <v>BASICO</v>
          </cell>
          <cell r="B464" t="str">
            <v>PXC3702</v>
          </cell>
          <cell r="G464">
            <v>-3831007100</v>
          </cell>
          <cell r="H464">
            <v>43051.586076388892</v>
          </cell>
          <cell r="I464">
            <v>43051.618645833332</v>
          </cell>
          <cell r="J464">
            <v>3.2569444444444443E-2</v>
          </cell>
        </row>
        <row r="465">
          <cell r="A465" t="str">
            <v>BASICO</v>
          </cell>
          <cell r="B465" t="str">
            <v>PXC3702</v>
          </cell>
          <cell r="G465">
            <v>-3831356600</v>
          </cell>
          <cell r="H465">
            <v>43051.622743055559</v>
          </cell>
          <cell r="I465">
            <v>43051.624988425923</v>
          </cell>
          <cell r="J465">
            <v>2.2453703703703702E-3</v>
          </cell>
        </row>
        <row r="466">
          <cell r="A466" t="str">
            <v>BASICO</v>
          </cell>
          <cell r="B466" t="str">
            <v>PXC3702</v>
          </cell>
          <cell r="G466">
            <v>-3832720100</v>
          </cell>
          <cell r="H466">
            <v>43051.633159722223</v>
          </cell>
          <cell r="I466">
            <v>43052.580833333333</v>
          </cell>
          <cell r="J466">
            <v>0.94767361111111104</v>
          </cell>
        </row>
        <row r="467">
          <cell r="A467" t="str">
            <v>TOUCH</v>
          </cell>
          <cell r="B467" t="str">
            <v>PKE2278</v>
          </cell>
          <cell r="G467">
            <v>-3835246500</v>
          </cell>
          <cell r="H467">
            <v>43051.679467592592</v>
          </cell>
          <cell r="I467">
            <v>43051.709814814814</v>
          </cell>
          <cell r="J467">
            <v>3.0347222222222223E-2</v>
          </cell>
        </row>
        <row r="468">
          <cell r="A468" t="str">
            <v>TOUCH</v>
          </cell>
          <cell r="B468" t="str">
            <v>PKE2278</v>
          </cell>
          <cell r="G468">
            <v>-3835887500</v>
          </cell>
          <cell r="H468">
            <v>43051.722175925926</v>
          </cell>
          <cell r="I468">
            <v>43051.724953703706</v>
          </cell>
          <cell r="J468">
            <v>2.7777777777777779E-3</v>
          </cell>
        </row>
        <row r="469">
          <cell r="A469" t="str">
            <v>TOUCH</v>
          </cell>
          <cell r="B469" t="str">
            <v>PKE2278</v>
          </cell>
          <cell r="G469">
            <v>-3835425800</v>
          </cell>
          <cell r="H469">
            <v>43051.729120370372</v>
          </cell>
          <cell r="I469">
            <v>43051.737118055556</v>
          </cell>
          <cell r="J469">
            <v>7.9976851851851858E-3</v>
          </cell>
        </row>
        <row r="470">
          <cell r="A470" t="str">
            <v>TOUCH</v>
          </cell>
          <cell r="B470" t="str">
            <v>PKE2278</v>
          </cell>
          <cell r="G470">
            <v>-3832396100</v>
          </cell>
          <cell r="H470">
            <v>43051.745486111111</v>
          </cell>
          <cell r="I470">
            <v>43051.787187499998</v>
          </cell>
          <cell r="J470">
            <v>4.1701388888888885E-2</v>
          </cell>
        </row>
        <row r="471">
          <cell r="A471" t="str">
            <v>TOUCH</v>
          </cell>
          <cell r="B471" t="str">
            <v>PKE2278</v>
          </cell>
          <cell r="G471">
            <v>-3835428000</v>
          </cell>
          <cell r="H471">
            <v>43051.796249999999</v>
          </cell>
          <cell r="I471">
            <v>43051.812650462962</v>
          </cell>
          <cell r="J471">
            <v>1.6400462962962964E-2</v>
          </cell>
        </row>
        <row r="472">
          <cell r="A472" t="str">
            <v>TOUCH</v>
          </cell>
          <cell r="B472" t="str">
            <v>PKE2278</v>
          </cell>
          <cell r="G472">
            <v>-3835556500</v>
          </cell>
          <cell r="H472">
            <v>43051.820289351854</v>
          </cell>
          <cell r="I472">
            <v>43051.836423611108</v>
          </cell>
          <cell r="J472">
            <v>1.6134259259259261E-2</v>
          </cell>
        </row>
        <row r="473">
          <cell r="A473" t="str">
            <v>TOUCH</v>
          </cell>
          <cell r="B473" t="str">
            <v>PKE2278</v>
          </cell>
          <cell r="G473">
            <v>-3833353300</v>
          </cell>
          <cell r="H473">
            <v>43051.843055555553</v>
          </cell>
          <cell r="I473">
            <v>43051.882881944446</v>
          </cell>
          <cell r="J473">
            <v>3.982638888888889E-2</v>
          </cell>
        </row>
        <row r="474">
          <cell r="A474" t="str">
            <v>TOUCH</v>
          </cell>
          <cell r="B474" t="str">
            <v>PKE2278</v>
          </cell>
          <cell r="G474">
            <v>-3832749000</v>
          </cell>
          <cell r="H474">
            <v>43051.891365740739</v>
          </cell>
          <cell r="I474">
            <v>43051.898865740739</v>
          </cell>
          <cell r="J474">
            <v>7.5000000000000006E-3</v>
          </cell>
        </row>
        <row r="475">
          <cell r="A475" t="str">
            <v>TOUCH</v>
          </cell>
          <cell r="B475" t="str">
            <v>PKE2278</v>
          </cell>
          <cell r="G475">
            <v>-3831385200</v>
          </cell>
          <cell r="H475">
            <v>43051.903969907406</v>
          </cell>
          <cell r="I475">
            <v>43051.904965277776</v>
          </cell>
          <cell r="J475">
            <v>9.9537037037037042E-4</v>
          </cell>
        </row>
        <row r="476">
          <cell r="A476" t="str">
            <v>TOUCH</v>
          </cell>
          <cell r="B476" t="str">
            <v>PKE2278</v>
          </cell>
          <cell r="G476">
            <v>-3830425300</v>
          </cell>
          <cell r="H476">
            <v>43051.912916666668</v>
          </cell>
          <cell r="I476">
            <v>43051.930844907409</v>
          </cell>
          <cell r="J476">
            <v>1.7928240740740741E-2</v>
          </cell>
        </row>
        <row r="477">
          <cell r="A477" t="str">
            <v>TOUCH</v>
          </cell>
          <cell r="B477" t="str">
            <v>PKE2278</v>
          </cell>
          <cell r="G477">
            <v>-3830905800</v>
          </cell>
          <cell r="H477">
            <v>43051.93445601852</v>
          </cell>
          <cell r="I477">
            <v>43051.941712962966</v>
          </cell>
          <cell r="J477">
            <v>7.2569444444444443E-3</v>
          </cell>
        </row>
        <row r="478">
          <cell r="A478" t="str">
            <v>TOUCH</v>
          </cell>
          <cell r="B478" t="str">
            <v>PKE2278</v>
          </cell>
          <cell r="G478">
            <v>-3832538400</v>
          </cell>
          <cell r="H478">
            <v>43051.946331018517</v>
          </cell>
          <cell r="I478">
            <v>43051.977754629632</v>
          </cell>
          <cell r="J478">
            <v>3.142361111111111E-2</v>
          </cell>
        </row>
        <row r="479">
          <cell r="A479" t="str">
            <v>TOUCH</v>
          </cell>
          <cell r="B479" t="str">
            <v>PKE2278</v>
          </cell>
          <cell r="G479">
            <v>-3835198700</v>
          </cell>
          <cell r="H479">
            <v>43051.984884259262</v>
          </cell>
          <cell r="I479">
            <v>43052.005914351852</v>
          </cell>
          <cell r="J479">
            <v>2.1030092592592597E-2</v>
          </cell>
        </row>
        <row r="480">
          <cell r="A480" t="str">
            <v>TOUCH</v>
          </cell>
          <cell r="B480" t="str">
            <v>PKE2278</v>
          </cell>
          <cell r="G480">
            <v>-3832717900</v>
          </cell>
          <cell r="H480">
            <v>43052.013645833336</v>
          </cell>
          <cell r="I480">
            <v>43052.69122685185</v>
          </cell>
          <cell r="J480">
            <v>0.6775810185185186</v>
          </cell>
        </row>
        <row r="481">
          <cell r="A481" t="str">
            <v>BASICO</v>
          </cell>
          <cell r="B481" t="str">
            <v>OUX2321</v>
          </cell>
          <cell r="G481">
            <v>-3832100700</v>
          </cell>
          <cell r="H481">
            <v>43052.380185185182</v>
          </cell>
          <cell r="I481">
            <v>43052.383912037039</v>
          </cell>
          <cell r="J481">
            <v>3.7268518518518514E-3</v>
          </cell>
        </row>
        <row r="482">
          <cell r="A482" t="str">
            <v>BASICO</v>
          </cell>
          <cell r="B482" t="str">
            <v>OUX2321</v>
          </cell>
          <cell r="G482">
            <v>-3832135100</v>
          </cell>
          <cell r="H482">
            <v>43052.38622685185</v>
          </cell>
          <cell r="I482">
            <v>43052.426759259259</v>
          </cell>
          <cell r="J482">
            <v>4.0532407407407406E-2</v>
          </cell>
        </row>
        <row r="483">
          <cell r="A483" t="str">
            <v>BASICO</v>
          </cell>
          <cell r="B483" t="str">
            <v>OUX2321</v>
          </cell>
          <cell r="G483">
            <v>-3832095600</v>
          </cell>
          <cell r="H483">
            <v>43052.429351851853</v>
          </cell>
          <cell r="I483">
            <v>43052.445254629631</v>
          </cell>
          <cell r="J483">
            <v>1.5902777777777776E-2</v>
          </cell>
        </row>
        <row r="484">
          <cell r="A484" t="str">
            <v>BASICO</v>
          </cell>
          <cell r="B484" t="str">
            <v>OUX2321</v>
          </cell>
          <cell r="G484">
            <v>-3832464300</v>
          </cell>
          <cell r="H484">
            <v>43052.450983796298</v>
          </cell>
          <cell r="I484">
            <v>43052.454432870371</v>
          </cell>
          <cell r="J484">
            <v>3.4490740740740745E-3</v>
          </cell>
        </row>
        <row r="485">
          <cell r="A485" t="str">
            <v>BASICO</v>
          </cell>
          <cell r="B485" t="str">
            <v>OUX2321</v>
          </cell>
          <cell r="G485">
            <v>-3833597700</v>
          </cell>
          <cell r="H485">
            <v>43052.458171296297</v>
          </cell>
          <cell r="I485">
            <v>43052.508761574078</v>
          </cell>
          <cell r="J485">
            <v>5.0590277777777776E-2</v>
          </cell>
        </row>
        <row r="486">
          <cell r="A486" t="str">
            <v>BASICO</v>
          </cell>
          <cell r="B486" t="str">
            <v>OUX2321</v>
          </cell>
          <cell r="G486">
            <v>-3833841900</v>
          </cell>
          <cell r="H486">
            <v>43052.514224537037</v>
          </cell>
          <cell r="I486">
            <v>43052.569976851853</v>
          </cell>
          <cell r="J486">
            <v>5.5752314814814817E-2</v>
          </cell>
        </row>
        <row r="487">
          <cell r="A487" t="str">
            <v>BASICO</v>
          </cell>
          <cell r="B487" t="str">
            <v>OUX2321</v>
          </cell>
          <cell r="G487">
            <v>-3832710000</v>
          </cell>
          <cell r="H487">
            <v>43052.578587962962</v>
          </cell>
          <cell r="I487">
            <v>43052.680208333331</v>
          </cell>
          <cell r="J487">
            <v>0.10162037037037037</v>
          </cell>
        </row>
        <row r="488">
          <cell r="A488" t="str">
            <v>BASICO</v>
          </cell>
          <cell r="B488" t="str">
            <v>PXC3702</v>
          </cell>
          <cell r="G488">
            <v>-3832891500</v>
          </cell>
          <cell r="H488">
            <v>43052.585046296299</v>
          </cell>
          <cell r="I488">
            <v>43052.588125000002</v>
          </cell>
          <cell r="J488">
            <v>3.0787037037037037E-3</v>
          </cell>
        </row>
        <row r="489">
          <cell r="A489" t="str">
            <v>BASICO</v>
          </cell>
          <cell r="B489" t="str">
            <v>PXC3702</v>
          </cell>
          <cell r="G489">
            <v>-3832721000</v>
          </cell>
          <cell r="H489">
            <v>43052.592222222222</v>
          </cell>
          <cell r="I489">
            <v>43055.659780092596</v>
          </cell>
          <cell r="J489" t="str">
            <v>3 D 01:37:17</v>
          </cell>
        </row>
        <row r="490">
          <cell r="A490" t="str">
            <v>BASICO</v>
          </cell>
          <cell r="B490" t="str">
            <v>OUX2321</v>
          </cell>
          <cell r="G490">
            <v>-3834950700</v>
          </cell>
          <cell r="H490">
            <v>43052.693055555559</v>
          </cell>
          <cell r="I490">
            <v>43052.70826388889</v>
          </cell>
          <cell r="J490">
            <v>1.5208333333333332E-2</v>
          </cell>
        </row>
        <row r="491">
          <cell r="A491" t="str">
            <v>TOUCH</v>
          </cell>
          <cell r="B491" t="str">
            <v>PKE2278</v>
          </cell>
          <cell r="G491">
            <v>-3835439500</v>
          </cell>
          <cell r="H491">
            <v>43052.702384259261</v>
          </cell>
          <cell r="I491">
            <v>43052.830682870372</v>
          </cell>
          <cell r="J491">
            <v>0.1282986111111111</v>
          </cell>
        </row>
        <row r="492">
          <cell r="A492" t="str">
            <v>BASICO</v>
          </cell>
          <cell r="B492" t="str">
            <v>OUX2321</v>
          </cell>
          <cell r="G492">
            <v>-3835620000</v>
          </cell>
          <cell r="H492">
            <v>43052.714108796295</v>
          </cell>
          <cell r="I492">
            <v>43052.7425</v>
          </cell>
          <cell r="J492">
            <v>2.8391203703703707E-2</v>
          </cell>
        </row>
        <row r="493">
          <cell r="A493" t="str">
            <v>BASICO</v>
          </cell>
          <cell r="B493" t="str">
            <v>OUX2321</v>
          </cell>
          <cell r="G493">
            <v>-3834743800</v>
          </cell>
          <cell r="H493">
            <v>43052.750694444447</v>
          </cell>
          <cell r="I493">
            <v>43052.752060185187</v>
          </cell>
          <cell r="J493">
            <v>1.3657407407407409E-3</v>
          </cell>
        </row>
        <row r="494">
          <cell r="A494" t="str">
            <v>BASICO</v>
          </cell>
          <cell r="B494" t="str">
            <v>OUX2321</v>
          </cell>
          <cell r="G494">
            <v>-3834900500</v>
          </cell>
          <cell r="H494">
            <v>43052.755381944444</v>
          </cell>
          <cell r="I494">
            <v>43052.768240740741</v>
          </cell>
          <cell r="J494">
            <v>1.2858796296296297E-2</v>
          </cell>
        </row>
        <row r="495">
          <cell r="A495" t="str">
            <v>BASICO</v>
          </cell>
          <cell r="B495" t="str">
            <v>OUX2321</v>
          </cell>
          <cell r="G495">
            <v>-3833605100</v>
          </cell>
          <cell r="H495">
            <v>43052.776365740741</v>
          </cell>
          <cell r="I495">
            <v>43052.798182870371</v>
          </cell>
          <cell r="J495">
            <v>2.1817129629629631E-2</v>
          </cell>
        </row>
        <row r="496">
          <cell r="A496" t="str">
            <v>BASICO</v>
          </cell>
          <cell r="B496" t="str">
            <v>OUX2321</v>
          </cell>
          <cell r="G496">
            <v>-3834001300</v>
          </cell>
          <cell r="H496">
            <v>43052.803043981483</v>
          </cell>
          <cell r="I496">
            <v>43052.814467592594</v>
          </cell>
          <cell r="J496">
            <v>1.1423611111111112E-2</v>
          </cell>
        </row>
        <row r="497">
          <cell r="A497" t="str">
            <v>BASICO</v>
          </cell>
          <cell r="B497" t="str">
            <v>OUX2321</v>
          </cell>
          <cell r="G497">
            <v>-3833189300</v>
          </cell>
          <cell r="H497">
            <v>43052.829756944448</v>
          </cell>
          <cell r="I497">
            <v>43052.899340277778</v>
          </cell>
          <cell r="J497">
            <v>6.958333333333333E-2</v>
          </cell>
        </row>
        <row r="498">
          <cell r="A498" t="str">
            <v>TOUCH</v>
          </cell>
          <cell r="B498" t="str">
            <v>PKE2278</v>
          </cell>
          <cell r="G498">
            <v>-3835428300</v>
          </cell>
          <cell r="H498">
            <v>43052.835868055554</v>
          </cell>
          <cell r="I498">
            <v>43052.838229166664</v>
          </cell>
          <cell r="J498">
            <v>2.3611111111111111E-3</v>
          </cell>
        </row>
        <row r="499">
          <cell r="A499" t="str">
            <v>TOUCH</v>
          </cell>
          <cell r="B499" t="str">
            <v>PKE2278</v>
          </cell>
          <cell r="G499">
            <v>-3829422200</v>
          </cell>
          <cell r="H499">
            <v>43052.857812499999</v>
          </cell>
          <cell r="I499">
            <v>43052.873854166668</v>
          </cell>
          <cell r="J499">
            <v>1.6041666666666666E-2</v>
          </cell>
        </row>
        <row r="500">
          <cell r="A500" t="str">
            <v>TOUCH</v>
          </cell>
          <cell r="B500" t="str">
            <v>PKE2278</v>
          </cell>
          <cell r="G500">
            <v>-3829419900</v>
          </cell>
          <cell r="H500">
            <v>43052.875694444447</v>
          </cell>
          <cell r="I500">
            <v>43052.888159722221</v>
          </cell>
          <cell r="J500">
            <v>1.2465277777777777E-2</v>
          </cell>
        </row>
        <row r="501">
          <cell r="A501" t="str">
            <v>TOUCH</v>
          </cell>
          <cell r="B501" t="str">
            <v>PKE2278</v>
          </cell>
          <cell r="G501">
            <v>-3831388100</v>
          </cell>
          <cell r="H501">
            <v>43052.898784722223</v>
          </cell>
          <cell r="I501">
            <v>43052.903229166666</v>
          </cell>
          <cell r="J501">
            <v>4.4444444444444444E-3</v>
          </cell>
        </row>
        <row r="502">
          <cell r="A502" t="str">
            <v>TOUCH</v>
          </cell>
          <cell r="B502" t="str">
            <v>PKE2278</v>
          </cell>
          <cell r="G502">
            <v>-3832994000</v>
          </cell>
          <cell r="H502">
            <v>43052.907812500001</v>
          </cell>
          <cell r="I502">
            <v>43052.913229166668</v>
          </cell>
          <cell r="J502">
            <v>5.4166666666666669E-3</v>
          </cell>
        </row>
        <row r="503">
          <cell r="A503" t="str">
            <v>BASICO</v>
          </cell>
          <cell r="B503" t="str">
            <v>OUX2321</v>
          </cell>
          <cell r="G503">
            <v>-3830645700</v>
          </cell>
          <cell r="H503">
            <v>43052.910543981481</v>
          </cell>
          <cell r="I503">
            <v>43052.94809027778</v>
          </cell>
          <cell r="J503">
            <v>3.75462962962963E-2</v>
          </cell>
        </row>
        <row r="504">
          <cell r="A504" t="str">
            <v>TOUCH</v>
          </cell>
          <cell r="B504" t="str">
            <v>PKE2278</v>
          </cell>
          <cell r="G504">
            <v>-3833837600</v>
          </cell>
          <cell r="H504">
            <v>43052.922013888892</v>
          </cell>
          <cell r="I504">
            <v>43052.96465277778</v>
          </cell>
          <cell r="J504">
            <v>4.2638888888888893E-2</v>
          </cell>
        </row>
        <row r="505">
          <cell r="A505" t="str">
            <v>BASICO</v>
          </cell>
          <cell r="B505" t="str">
            <v>OUX2321</v>
          </cell>
          <cell r="G505">
            <v>-3830548600</v>
          </cell>
          <cell r="H505">
            <v>43052.953425925924</v>
          </cell>
          <cell r="I505">
            <v>43052.967974537038</v>
          </cell>
          <cell r="J505">
            <v>1.4548611111111111E-2</v>
          </cell>
        </row>
        <row r="506">
          <cell r="A506" t="str">
            <v>BASICO</v>
          </cell>
          <cell r="B506" t="str">
            <v>OUX2321</v>
          </cell>
          <cell r="G506">
            <v>-3832530800</v>
          </cell>
          <cell r="H506">
            <v>43052.978229166663</v>
          </cell>
          <cell r="I506">
            <v>43053.017800925925</v>
          </cell>
          <cell r="J506">
            <v>3.9571759259259258E-2</v>
          </cell>
        </row>
        <row r="507">
          <cell r="A507" t="str">
            <v>TOUCH</v>
          </cell>
          <cell r="B507" t="str">
            <v>PKE2278</v>
          </cell>
          <cell r="G507">
            <v>-3833344100</v>
          </cell>
          <cell r="H507">
            <v>43052.987951388888</v>
          </cell>
          <cell r="I507">
            <v>43052.996076388888</v>
          </cell>
          <cell r="J507">
            <v>8.1249999999999985E-3</v>
          </cell>
        </row>
        <row r="508">
          <cell r="A508" t="str">
            <v>TOUCH</v>
          </cell>
          <cell r="B508" t="str">
            <v>PKE2278</v>
          </cell>
          <cell r="G508">
            <v>-3832531200</v>
          </cell>
          <cell r="H508">
            <v>43053.004791666666</v>
          </cell>
          <cell r="I508">
            <v>43053.016805555555</v>
          </cell>
          <cell r="J508">
            <v>1.2013888888888888E-2</v>
          </cell>
        </row>
        <row r="509">
          <cell r="A509" t="str">
            <v>TOUCH</v>
          </cell>
          <cell r="B509" t="str">
            <v>PKE2278</v>
          </cell>
          <cell r="G509">
            <v>-3832718400</v>
          </cell>
          <cell r="H509">
            <v>43053.020451388889</v>
          </cell>
          <cell r="I509">
            <v>43053.28633101852</v>
          </cell>
          <cell r="J509">
            <v>0.26587962962962963</v>
          </cell>
        </row>
        <row r="510">
          <cell r="A510" t="str">
            <v>BASICO</v>
          </cell>
          <cell r="B510" t="str">
            <v>OUX2321</v>
          </cell>
          <cell r="G510">
            <v>-3832732500</v>
          </cell>
          <cell r="H510">
            <v>43053.021111111113</v>
          </cell>
          <cell r="I510">
            <v>43053.289282407408</v>
          </cell>
          <cell r="J510">
            <v>0.26817129629629627</v>
          </cell>
        </row>
        <row r="511">
          <cell r="A511" t="str">
            <v>TOUCH</v>
          </cell>
          <cell r="B511" t="str">
            <v>PKE2278</v>
          </cell>
          <cell r="G511">
            <v>-3832520500</v>
          </cell>
          <cell r="H511">
            <v>43053.292349537034</v>
          </cell>
          <cell r="I511">
            <v>43053.304594907408</v>
          </cell>
          <cell r="J511">
            <v>1.224537037037037E-2</v>
          </cell>
        </row>
        <row r="512">
          <cell r="A512" t="str">
            <v>BASICO</v>
          </cell>
          <cell r="B512" t="str">
            <v>OUX2321</v>
          </cell>
          <cell r="G512">
            <v>-3832263100</v>
          </cell>
          <cell r="H512">
            <v>43053.298738425925</v>
          </cell>
          <cell r="I512">
            <v>43053.320115740738</v>
          </cell>
          <cell r="J512">
            <v>2.1377314814814818E-2</v>
          </cell>
        </row>
        <row r="513">
          <cell r="A513" t="str">
            <v>TOUCH</v>
          </cell>
          <cell r="B513" t="str">
            <v>PKE2278</v>
          </cell>
          <cell r="G513">
            <v>-3831975700</v>
          </cell>
          <cell r="H513">
            <v>43053.31527777778</v>
          </cell>
          <cell r="I513">
            <v>43053.333622685182</v>
          </cell>
          <cell r="J513">
            <v>1.834490740740741E-2</v>
          </cell>
        </row>
        <row r="514">
          <cell r="A514" t="str">
            <v>BASICO</v>
          </cell>
          <cell r="B514" t="str">
            <v>OUX2321</v>
          </cell>
          <cell r="G514">
            <v>-3829726400</v>
          </cell>
          <cell r="H514">
            <v>43053.328761574077</v>
          </cell>
          <cell r="I514">
            <v>43053.349583333336</v>
          </cell>
          <cell r="J514">
            <v>2.0821759259259259E-2</v>
          </cell>
        </row>
        <row r="515">
          <cell r="A515" t="str">
            <v>TOUCH</v>
          </cell>
          <cell r="B515" t="str">
            <v>PKE2278</v>
          </cell>
          <cell r="G515">
            <v>-3832790400</v>
          </cell>
          <cell r="H515">
            <v>43053.336539351854</v>
          </cell>
          <cell r="I515">
            <v>43053.374756944446</v>
          </cell>
          <cell r="J515">
            <v>3.8217592592592588E-2</v>
          </cell>
        </row>
        <row r="516">
          <cell r="A516" t="str">
            <v>BASICO</v>
          </cell>
          <cell r="B516" t="str">
            <v>OUX2321</v>
          </cell>
          <cell r="G516">
            <v>-3833416700</v>
          </cell>
          <cell r="H516">
            <v>43053.361967592595</v>
          </cell>
          <cell r="I516">
            <v>43053.362662037034</v>
          </cell>
          <cell r="J516">
            <v>6.9444444444444447E-4</v>
          </cell>
        </row>
        <row r="517">
          <cell r="A517" t="str">
            <v>BASICO</v>
          </cell>
          <cell r="B517" t="str">
            <v>OUX2321</v>
          </cell>
          <cell r="G517">
            <v>-3834639100</v>
          </cell>
          <cell r="H517">
            <v>43053.369502314818</v>
          </cell>
          <cell r="I517">
            <v>43053.406087962961</v>
          </cell>
          <cell r="J517">
            <v>3.6585648148148145E-2</v>
          </cell>
        </row>
        <row r="518">
          <cell r="A518" t="str">
            <v>TOUCH</v>
          </cell>
          <cell r="B518" t="str">
            <v>PKE2278</v>
          </cell>
          <cell r="G518">
            <v>-3832721700</v>
          </cell>
          <cell r="H518">
            <v>43053.389131944445</v>
          </cell>
          <cell r="I518">
            <v>43053.410474537035</v>
          </cell>
          <cell r="J518">
            <v>2.1342592592592594E-2</v>
          </cell>
        </row>
        <row r="519">
          <cell r="A519" t="str">
            <v>BASICO</v>
          </cell>
          <cell r="B519" t="str">
            <v>OUX2321</v>
          </cell>
          <cell r="G519">
            <v>-3832710500</v>
          </cell>
          <cell r="H519">
            <v>43053.413298611114</v>
          </cell>
          <cell r="I519">
            <v>43053.430983796294</v>
          </cell>
          <cell r="J519">
            <v>1.7685185185185182E-2</v>
          </cell>
        </row>
        <row r="520">
          <cell r="A520" t="str">
            <v>TOUCH</v>
          </cell>
          <cell r="B520" t="str">
            <v>PKE2278</v>
          </cell>
          <cell r="G520">
            <v>-3832409200</v>
          </cell>
          <cell r="H520">
            <v>43053.41505787037</v>
          </cell>
          <cell r="I520">
            <v>43053.421203703707</v>
          </cell>
          <cell r="J520">
            <v>6.145833333333333E-3</v>
          </cell>
        </row>
        <row r="521">
          <cell r="A521" t="str">
            <v>TOUCH</v>
          </cell>
          <cell r="B521" t="str">
            <v>PKE2278</v>
          </cell>
          <cell r="G521">
            <v>-3832813300</v>
          </cell>
          <cell r="H521">
            <v>43053.423738425925</v>
          </cell>
          <cell r="I521">
            <v>43053.426192129627</v>
          </cell>
          <cell r="J521">
            <v>2.4537037037037036E-3</v>
          </cell>
        </row>
        <row r="522">
          <cell r="A522" t="str">
            <v>TOUCH</v>
          </cell>
          <cell r="B522" t="str">
            <v>PKE2278</v>
          </cell>
          <cell r="G522">
            <v>-3833523700</v>
          </cell>
          <cell r="H522">
            <v>43053.432233796295</v>
          </cell>
          <cell r="I522">
            <v>43053.433391203704</v>
          </cell>
          <cell r="J522">
            <v>1.1574074074074073E-3</v>
          </cell>
        </row>
        <row r="523">
          <cell r="A523" t="str">
            <v>TOUCH</v>
          </cell>
          <cell r="B523" t="str">
            <v>PKE2278</v>
          </cell>
          <cell r="G523">
            <v>-3833266900</v>
          </cell>
          <cell r="H523">
            <v>43053.438969907409</v>
          </cell>
          <cell r="I523">
            <v>43053.460717592592</v>
          </cell>
          <cell r="J523">
            <v>2.1747685185185186E-2</v>
          </cell>
        </row>
        <row r="524">
          <cell r="A524" t="str">
            <v>BASICO</v>
          </cell>
          <cell r="B524" t="str">
            <v>OUX2321</v>
          </cell>
          <cell r="G524">
            <v>-3830727300</v>
          </cell>
          <cell r="H524">
            <v>43053.44189814815</v>
          </cell>
          <cell r="I524">
            <v>43053.454837962963</v>
          </cell>
          <cell r="J524">
            <v>1.2939814814814814E-2</v>
          </cell>
        </row>
        <row r="525">
          <cell r="A525" t="str">
            <v>BASICO</v>
          </cell>
          <cell r="B525" t="str">
            <v>OUX2321</v>
          </cell>
          <cell r="G525">
            <v>-3832146200</v>
          </cell>
          <cell r="H525">
            <v>43053.462268518517</v>
          </cell>
          <cell r="I525">
            <v>43053.579872685186</v>
          </cell>
          <cell r="J525">
            <v>0.11760416666666666</v>
          </cell>
        </row>
        <row r="526">
          <cell r="A526" t="str">
            <v>TOUCH</v>
          </cell>
          <cell r="B526" t="str">
            <v>PKE2278</v>
          </cell>
          <cell r="G526">
            <v>-3833029000</v>
          </cell>
          <cell r="H526">
            <v>43053.476956018516</v>
          </cell>
          <cell r="I526">
            <v>43053.538530092592</v>
          </cell>
          <cell r="J526">
            <v>6.157407407407408E-2</v>
          </cell>
        </row>
        <row r="527">
          <cell r="A527" t="str">
            <v>TOUCH</v>
          </cell>
          <cell r="B527" t="str">
            <v>PKE2278</v>
          </cell>
          <cell r="G527">
            <v>-3832114800</v>
          </cell>
          <cell r="H527">
            <v>43053.54724537037</v>
          </cell>
          <cell r="I527">
            <v>43053.573009259257</v>
          </cell>
          <cell r="J527">
            <v>2.5763888888888892E-2</v>
          </cell>
        </row>
        <row r="528">
          <cell r="A528" t="str">
            <v>TOUCH</v>
          </cell>
          <cell r="B528" t="str">
            <v>PKE2278</v>
          </cell>
          <cell r="G528">
            <v>-3832100000</v>
          </cell>
          <cell r="H528">
            <v>43053.577627314815</v>
          </cell>
          <cell r="I528">
            <v>43053.614537037036</v>
          </cell>
          <cell r="J528">
            <v>3.6909722222222226E-2</v>
          </cell>
        </row>
        <row r="529">
          <cell r="A529" t="str">
            <v>BASICO</v>
          </cell>
          <cell r="B529" t="str">
            <v>OUX2321</v>
          </cell>
          <cell r="G529">
            <v>-3833177400</v>
          </cell>
          <cell r="H529">
            <v>43053.587673611109</v>
          </cell>
          <cell r="I529">
            <v>43053.601851851854</v>
          </cell>
          <cell r="J529">
            <v>1.4178240740740741E-2</v>
          </cell>
        </row>
        <row r="530">
          <cell r="A530" t="str">
            <v>BASICO</v>
          </cell>
          <cell r="B530" t="str">
            <v>OUX2321</v>
          </cell>
          <cell r="G530">
            <v>-3832715100</v>
          </cell>
          <cell r="H530">
            <v>43053.60491898148</v>
          </cell>
          <cell r="I530">
            <v>43053.671620370369</v>
          </cell>
          <cell r="J530">
            <v>6.6701388888888893E-2</v>
          </cell>
        </row>
        <row r="531">
          <cell r="A531" t="str">
            <v>TOUCH</v>
          </cell>
          <cell r="B531" t="str">
            <v>PKE2278</v>
          </cell>
          <cell r="G531">
            <v>-3832720500</v>
          </cell>
          <cell r="H531">
            <v>43053.617905092593</v>
          </cell>
          <cell r="I531">
            <v>43054.293935185182</v>
          </cell>
          <cell r="J531">
            <v>0.67603009259259261</v>
          </cell>
        </row>
        <row r="532">
          <cell r="A532" t="str">
            <v>BASICO</v>
          </cell>
          <cell r="B532" t="str">
            <v>OUX2321</v>
          </cell>
          <cell r="G532">
            <v>-3832954100</v>
          </cell>
          <cell r="H532">
            <v>43053.677581018521</v>
          </cell>
          <cell r="I532">
            <v>43053.720173611109</v>
          </cell>
          <cell r="J532">
            <v>4.2592592592592592E-2</v>
          </cell>
        </row>
        <row r="533">
          <cell r="A533" t="str">
            <v>BASICO</v>
          </cell>
          <cell r="B533" t="str">
            <v>OUX2321</v>
          </cell>
          <cell r="G533">
            <v>-3835165600</v>
          </cell>
          <cell r="H533">
            <v>43053.744143518517</v>
          </cell>
          <cell r="I533">
            <v>43053.796261574076</v>
          </cell>
          <cell r="J533">
            <v>5.2118055555555563E-2</v>
          </cell>
        </row>
        <row r="534">
          <cell r="A534" t="str">
            <v>BASICO</v>
          </cell>
          <cell r="B534" t="str">
            <v>OUX2321</v>
          </cell>
          <cell r="G534">
            <v>-3832712400</v>
          </cell>
          <cell r="H534">
            <v>43053.803402777776</v>
          </cell>
          <cell r="I534">
            <v>43053.808379629627</v>
          </cell>
          <cell r="J534">
            <v>4.9768518518518521E-3</v>
          </cell>
        </row>
        <row r="535">
          <cell r="A535" t="str">
            <v>BASICO</v>
          </cell>
          <cell r="B535" t="str">
            <v>OUX2321</v>
          </cell>
          <cell r="G535">
            <v>-3834838000</v>
          </cell>
          <cell r="H535">
            <v>43053.816608796296</v>
          </cell>
          <cell r="I535">
            <v>43053.82271990741</v>
          </cell>
          <cell r="J535">
            <v>6.1111111111111114E-3</v>
          </cell>
        </row>
        <row r="536">
          <cell r="A536" t="str">
            <v>BASICO</v>
          </cell>
          <cell r="B536" t="str">
            <v>OUX2321</v>
          </cell>
          <cell r="G536">
            <v>-3833190200</v>
          </cell>
          <cell r="H536">
            <v>43053.833483796298</v>
          </cell>
          <cell r="I536">
            <v>43053.889803240738</v>
          </cell>
          <cell r="J536">
            <v>5.6319444444444443E-2</v>
          </cell>
        </row>
        <row r="537">
          <cell r="A537" t="str">
            <v>BASICO</v>
          </cell>
          <cell r="B537" t="str">
            <v>OUX2321</v>
          </cell>
          <cell r="G537">
            <v>-3833137300</v>
          </cell>
          <cell r="H537">
            <v>43053.896539351852</v>
          </cell>
          <cell r="I537">
            <v>43053.907083333332</v>
          </cell>
          <cell r="J537">
            <v>1.0543981481481481E-2</v>
          </cell>
        </row>
        <row r="538">
          <cell r="A538" t="str">
            <v>BASICO</v>
          </cell>
          <cell r="B538" t="str">
            <v>OUX2321</v>
          </cell>
          <cell r="G538">
            <v>-3829582000</v>
          </cell>
          <cell r="H538">
            <v>43053.9216087963</v>
          </cell>
          <cell r="I538">
            <v>43053.948645833334</v>
          </cell>
          <cell r="J538">
            <v>2.7037037037037037E-2</v>
          </cell>
        </row>
        <row r="539">
          <cell r="A539" t="str">
            <v>BASICO</v>
          </cell>
          <cell r="B539" t="str">
            <v>OUX2321</v>
          </cell>
          <cell r="G539">
            <v>-3828308500</v>
          </cell>
          <cell r="H539">
            <v>43053.952708333331</v>
          </cell>
          <cell r="I539">
            <v>43053.957627314812</v>
          </cell>
          <cell r="J539">
            <v>4.9189814814814816E-3</v>
          </cell>
        </row>
        <row r="540">
          <cell r="A540" t="str">
            <v>BASICO</v>
          </cell>
          <cell r="B540" t="str">
            <v>OUX2321</v>
          </cell>
          <cell r="G540">
            <v>-3829953600</v>
          </cell>
          <cell r="H540">
            <v>43053.980497685188</v>
          </cell>
          <cell r="I540">
            <v>43053.989629629628</v>
          </cell>
          <cell r="J540">
            <v>9.1319444444444443E-3</v>
          </cell>
        </row>
        <row r="541">
          <cell r="A541" t="str">
            <v>BASICO</v>
          </cell>
          <cell r="B541" t="str">
            <v>OUX2321</v>
          </cell>
          <cell r="G541">
            <v>-3833184100</v>
          </cell>
          <cell r="H541">
            <v>43053.997361111113</v>
          </cell>
          <cell r="I541">
            <v>43054.009074074071</v>
          </cell>
          <cell r="J541">
            <v>1.1712962962962965E-2</v>
          </cell>
        </row>
        <row r="542">
          <cell r="A542" t="str">
            <v>BASICO</v>
          </cell>
          <cell r="B542" t="str">
            <v>OUX2321</v>
          </cell>
          <cell r="G542">
            <v>-3832711500</v>
          </cell>
          <cell r="H542">
            <v>43054.021817129629</v>
          </cell>
          <cell r="I542">
            <v>43054.650543981479</v>
          </cell>
          <cell r="J542">
            <v>0.62872685185185184</v>
          </cell>
        </row>
        <row r="543">
          <cell r="A543" t="str">
            <v>TOUCH</v>
          </cell>
          <cell r="B543" t="str">
            <v>PKE2278</v>
          </cell>
          <cell r="G543">
            <v>-3835605600</v>
          </cell>
          <cell r="H543">
            <v>43054.302511574075</v>
          </cell>
          <cell r="I543">
            <v>43054.313287037039</v>
          </cell>
          <cell r="J543">
            <v>1.0775462962962964E-2</v>
          </cell>
        </row>
        <row r="544">
          <cell r="A544" t="str">
            <v>TOUCH</v>
          </cell>
          <cell r="B544" t="str">
            <v>PKE2278</v>
          </cell>
          <cell r="G544">
            <v>-3829106700</v>
          </cell>
          <cell r="H544">
            <v>43054.332662037035</v>
          </cell>
          <cell r="I544">
            <v>43054.365405092591</v>
          </cell>
          <cell r="J544">
            <v>3.2743055555555553E-2</v>
          </cell>
        </row>
        <row r="545">
          <cell r="A545" t="str">
            <v>TOUCH</v>
          </cell>
          <cell r="B545" t="str">
            <v>PKE2278</v>
          </cell>
          <cell r="G545">
            <v>-3833653100</v>
          </cell>
          <cell r="H545">
            <v>43054.374016203707</v>
          </cell>
          <cell r="I545">
            <v>43054.391203703701</v>
          </cell>
          <cell r="J545">
            <v>1.7187499999999998E-2</v>
          </cell>
        </row>
        <row r="546">
          <cell r="A546" t="str">
            <v>TOUCH</v>
          </cell>
          <cell r="B546" t="str">
            <v>PKE2278</v>
          </cell>
          <cell r="G546">
            <v>-3835609500</v>
          </cell>
          <cell r="H546">
            <v>43054.398009259261</v>
          </cell>
          <cell r="I546">
            <v>43054.421469907407</v>
          </cell>
          <cell r="J546">
            <v>2.3460648148148147E-2</v>
          </cell>
        </row>
        <row r="547">
          <cell r="A547" t="str">
            <v>TOUCH</v>
          </cell>
          <cell r="B547" t="str">
            <v>PKE2278</v>
          </cell>
          <cell r="G547">
            <v>-3834522400</v>
          </cell>
          <cell r="H547">
            <v>43054.428553240738</v>
          </cell>
          <cell r="I547">
            <v>43054.431018518517</v>
          </cell>
          <cell r="J547">
            <v>2.4652777777777776E-3</v>
          </cell>
        </row>
        <row r="548">
          <cell r="A548" t="str">
            <v>TOUCH</v>
          </cell>
          <cell r="B548" t="str">
            <v>PKE2278</v>
          </cell>
          <cell r="G548">
            <v>-3832160200</v>
          </cell>
          <cell r="H548">
            <v>43054.437581018516</v>
          </cell>
          <cell r="I548">
            <v>43054.500127314815</v>
          </cell>
          <cell r="J548">
            <v>6.2546296296296294E-2</v>
          </cell>
        </row>
        <row r="549">
          <cell r="A549" t="str">
            <v>TOUCH</v>
          </cell>
          <cell r="B549" t="str">
            <v>PKE2278</v>
          </cell>
          <cell r="G549">
            <v>-3830383500</v>
          </cell>
          <cell r="H549">
            <v>43054.506064814814</v>
          </cell>
          <cell r="I549">
            <v>43054.507557870369</v>
          </cell>
          <cell r="J549">
            <v>1.4930555555555556E-3</v>
          </cell>
        </row>
        <row r="550">
          <cell r="A550" t="str">
            <v>TOUCH</v>
          </cell>
          <cell r="B550" t="str">
            <v>PKE2278</v>
          </cell>
          <cell r="G550">
            <v>-3831889500</v>
          </cell>
          <cell r="H550">
            <v>43054.512488425928</v>
          </cell>
          <cell r="I550">
            <v>43054.562835648147</v>
          </cell>
          <cell r="J550">
            <v>5.0347222222222217E-2</v>
          </cell>
        </row>
        <row r="551">
          <cell r="A551" t="str">
            <v>TOUCH</v>
          </cell>
          <cell r="B551" t="str">
            <v>PKE2278</v>
          </cell>
          <cell r="G551">
            <v>-3832095200</v>
          </cell>
          <cell r="H551">
            <v>43054.573460648149</v>
          </cell>
          <cell r="I551">
            <v>43054.587824074071</v>
          </cell>
          <cell r="J551">
            <v>1.4363425925925925E-2</v>
          </cell>
        </row>
        <row r="552">
          <cell r="A552" t="str">
            <v>TOUCH</v>
          </cell>
          <cell r="B552" t="str">
            <v>PKE2278</v>
          </cell>
          <cell r="G552">
            <v>-3834839800</v>
          </cell>
          <cell r="H552">
            <v>43054.597685185188</v>
          </cell>
          <cell r="I552">
            <v>43054.601655092592</v>
          </cell>
          <cell r="J552">
            <v>3.9699074074074072E-3</v>
          </cell>
        </row>
        <row r="553">
          <cell r="A553" t="str">
            <v>TOUCH</v>
          </cell>
          <cell r="B553" t="str">
            <v>PKE2278</v>
          </cell>
          <cell r="G553">
            <v>-3830659700</v>
          </cell>
          <cell r="H553">
            <v>43054.617696759262</v>
          </cell>
          <cell r="I553">
            <v>43054.640787037039</v>
          </cell>
          <cell r="J553">
            <v>2.3090277777777779E-2</v>
          </cell>
        </row>
        <row r="554">
          <cell r="A554" t="str">
            <v>TOUCH</v>
          </cell>
          <cell r="B554" t="str">
            <v>PKE2278</v>
          </cell>
          <cell r="G554">
            <v>-3832719100</v>
          </cell>
          <cell r="H554">
            <v>43054.646793981483</v>
          </cell>
          <cell r="I554">
            <v>43055.283935185187</v>
          </cell>
          <cell r="J554">
            <v>0.63714120370370375</v>
          </cell>
        </row>
        <row r="555">
          <cell r="A555" t="str">
            <v>BASICO</v>
          </cell>
          <cell r="B555" t="str">
            <v>OUX2321</v>
          </cell>
          <cell r="G555">
            <v>-3828508700</v>
          </cell>
          <cell r="H555">
            <v>43054.670775462961</v>
          </cell>
          <cell r="I555">
            <v>43054.693981481483</v>
          </cell>
          <cell r="J555">
            <v>2.3206018518518515E-2</v>
          </cell>
        </row>
        <row r="556">
          <cell r="A556" t="str">
            <v>BASICO</v>
          </cell>
          <cell r="B556" t="str">
            <v>OUX2321</v>
          </cell>
          <cell r="G556">
            <v>-3829037100</v>
          </cell>
          <cell r="H556">
            <v>43054.695960648147</v>
          </cell>
          <cell r="I556">
            <v>43054.719699074078</v>
          </cell>
          <cell r="J556">
            <v>2.3738425925925923E-2</v>
          </cell>
        </row>
        <row r="557">
          <cell r="A557" t="str">
            <v>BASICO</v>
          </cell>
          <cell r="B557" t="str">
            <v>OUX2321</v>
          </cell>
          <cell r="G557">
            <v>-3828333100</v>
          </cell>
          <cell r="H557">
            <v>43054.725752314815</v>
          </cell>
          <cell r="I557">
            <v>43054.727071759262</v>
          </cell>
          <cell r="J557">
            <v>1.3194444444444443E-3</v>
          </cell>
        </row>
        <row r="558">
          <cell r="A558" t="str">
            <v>BASICO</v>
          </cell>
          <cell r="B558" t="str">
            <v>OUX2321</v>
          </cell>
          <cell r="G558">
            <v>-3828827200</v>
          </cell>
          <cell r="H558">
            <v>43054.730821759258</v>
          </cell>
          <cell r="I558">
            <v>43054.763460648152</v>
          </cell>
          <cell r="J558">
            <v>3.2638888888888891E-2</v>
          </cell>
        </row>
        <row r="559">
          <cell r="A559" t="str">
            <v>BASICO</v>
          </cell>
          <cell r="B559" t="str">
            <v>OUX2321</v>
          </cell>
          <cell r="G559">
            <v>-3829664800</v>
          </cell>
          <cell r="H559">
            <v>43054.767939814818</v>
          </cell>
          <cell r="I559">
            <v>43054.774768518517</v>
          </cell>
          <cell r="J559">
            <v>6.828703703703704E-3</v>
          </cell>
        </row>
        <row r="560">
          <cell r="A560" t="str">
            <v>BASICO</v>
          </cell>
          <cell r="B560" t="str">
            <v>OUX2321</v>
          </cell>
          <cell r="G560">
            <v>-3830301300</v>
          </cell>
          <cell r="H560">
            <v>43054.785173611112</v>
          </cell>
          <cell r="I560">
            <v>43054.80195601852</v>
          </cell>
          <cell r="J560">
            <v>1.6782407407407409E-2</v>
          </cell>
        </row>
        <row r="561">
          <cell r="A561" t="str">
            <v>BASICO</v>
          </cell>
          <cell r="B561" t="str">
            <v>OUX2321</v>
          </cell>
          <cell r="G561">
            <v>-3831982800</v>
          </cell>
          <cell r="H561">
            <v>43054.806435185186</v>
          </cell>
          <cell r="I561">
            <v>43054.808483796296</v>
          </cell>
          <cell r="J561">
            <v>2.0486111111111113E-3</v>
          </cell>
        </row>
        <row r="562">
          <cell r="A562" t="str">
            <v>BASICO</v>
          </cell>
          <cell r="B562" t="str">
            <v>OUX2321</v>
          </cell>
          <cell r="G562">
            <v>-3831873800</v>
          </cell>
          <cell r="H562">
            <v>43054.811990740738</v>
          </cell>
          <cell r="I562">
            <v>43054.862164351849</v>
          </cell>
          <cell r="J562">
            <v>5.0173611111111106E-2</v>
          </cell>
        </row>
        <row r="563">
          <cell r="A563" t="str">
            <v>BASICO</v>
          </cell>
          <cell r="B563" t="str">
            <v>OUX2321</v>
          </cell>
          <cell r="G563">
            <v>-3832374900</v>
          </cell>
          <cell r="H563">
            <v>43054.880046296297</v>
          </cell>
          <cell r="I563">
            <v>43054.881296296298</v>
          </cell>
          <cell r="J563">
            <v>1.25E-3</v>
          </cell>
        </row>
        <row r="564">
          <cell r="A564" t="str">
            <v>BASICO</v>
          </cell>
          <cell r="B564" t="str">
            <v>OUX2321</v>
          </cell>
          <cell r="G564">
            <v>-3832880500</v>
          </cell>
          <cell r="H564">
            <v>43054.883263888885</v>
          </cell>
          <cell r="I564">
            <v>43054.890115740738</v>
          </cell>
          <cell r="J564">
            <v>6.851851851851852E-3</v>
          </cell>
        </row>
        <row r="565">
          <cell r="A565" t="str">
            <v>BASICO</v>
          </cell>
          <cell r="B565" t="str">
            <v>OUX2321</v>
          </cell>
          <cell r="G565">
            <v>-3833768300</v>
          </cell>
          <cell r="H565">
            <v>43054.896597222221</v>
          </cell>
          <cell r="I565">
            <v>43054.92355324074</v>
          </cell>
          <cell r="J565">
            <v>2.6956018518518522E-2</v>
          </cell>
        </row>
        <row r="566">
          <cell r="A566" t="str">
            <v>BASICO</v>
          </cell>
          <cell r="B566" t="str">
            <v>OUX2321</v>
          </cell>
          <cell r="G566">
            <v>-3834090500</v>
          </cell>
          <cell r="H566">
            <v>43054.931643518517</v>
          </cell>
          <cell r="I566">
            <v>43054.959074074075</v>
          </cell>
          <cell r="J566">
            <v>2.7430555555555555E-2</v>
          </cell>
        </row>
        <row r="567">
          <cell r="A567" t="str">
            <v>BASICO</v>
          </cell>
          <cell r="B567" t="str">
            <v>OUX2321</v>
          </cell>
          <cell r="G567">
            <v>-3833289000</v>
          </cell>
          <cell r="H567">
            <v>43054.970324074071</v>
          </cell>
          <cell r="I567">
            <v>43054.982476851852</v>
          </cell>
          <cell r="J567">
            <v>1.2152777777777778E-2</v>
          </cell>
        </row>
        <row r="568">
          <cell r="A568" t="str">
            <v>BASICO</v>
          </cell>
          <cell r="B568" t="str">
            <v>OUX2321</v>
          </cell>
          <cell r="G568">
            <v>-3834784600</v>
          </cell>
          <cell r="H568">
            <v>43054.997800925928</v>
          </cell>
          <cell r="I568">
            <v>43055.00681712963</v>
          </cell>
          <cell r="J568">
            <v>9.0162037037037034E-3</v>
          </cell>
        </row>
        <row r="569">
          <cell r="A569" t="str">
            <v>BASICO</v>
          </cell>
          <cell r="B569" t="str">
            <v>OUX2321</v>
          </cell>
          <cell r="G569">
            <v>-3832719400</v>
          </cell>
          <cell r="H569">
            <v>43055.011736111112</v>
          </cell>
          <cell r="I569">
            <v>43055.275289351855</v>
          </cell>
          <cell r="J569">
            <v>0.26355324074074077</v>
          </cell>
        </row>
        <row r="570">
          <cell r="A570" t="str">
            <v>BASICO</v>
          </cell>
          <cell r="B570" t="str">
            <v>OUX2321</v>
          </cell>
          <cell r="G570">
            <v>-3834819600</v>
          </cell>
          <cell r="H570">
            <v>43055.282824074071</v>
          </cell>
          <cell r="I570">
            <v>43055.36445601852</v>
          </cell>
          <cell r="J570">
            <v>8.1631944444444438E-2</v>
          </cell>
        </row>
        <row r="571">
          <cell r="A571" t="str">
            <v>TOUCH</v>
          </cell>
          <cell r="B571" t="str">
            <v>PKE2278</v>
          </cell>
          <cell r="G571">
            <v>-3832383000</v>
          </cell>
          <cell r="H571">
            <v>43055.287060185183</v>
          </cell>
          <cell r="I571">
            <v>43055.289467592593</v>
          </cell>
          <cell r="J571">
            <v>2.4074074074074076E-3</v>
          </cell>
        </row>
        <row r="572">
          <cell r="A572" t="str">
            <v>TOUCH</v>
          </cell>
          <cell r="B572" t="str">
            <v>PKE2278</v>
          </cell>
          <cell r="G572">
            <v>-3832525000</v>
          </cell>
          <cell r="H572">
            <v>43055.29855324074</v>
          </cell>
          <cell r="I572">
            <v>43055.312291666669</v>
          </cell>
          <cell r="J572">
            <v>1.3738425925925926E-2</v>
          </cell>
        </row>
        <row r="573">
          <cell r="A573" t="str">
            <v>TOUCH</v>
          </cell>
          <cell r="B573" t="str">
            <v>PKE2278</v>
          </cell>
          <cell r="G573">
            <v>-3832038700</v>
          </cell>
          <cell r="H573">
            <v>43055.315983796296</v>
          </cell>
          <cell r="I573">
            <v>43055.335150462961</v>
          </cell>
          <cell r="J573">
            <v>1.9166666666666669E-2</v>
          </cell>
        </row>
        <row r="574">
          <cell r="A574" t="str">
            <v>TOUCH</v>
          </cell>
          <cell r="B574" t="str">
            <v>PKE2278</v>
          </cell>
          <cell r="G574">
            <v>-3829678600</v>
          </cell>
          <cell r="H574">
            <v>43055.3434375</v>
          </cell>
          <cell r="I574">
            <v>43055.429062499999</v>
          </cell>
          <cell r="J574">
            <v>8.5625000000000007E-2</v>
          </cell>
        </row>
        <row r="575">
          <cell r="A575" t="str">
            <v>BASICO</v>
          </cell>
          <cell r="B575" t="str">
            <v>OUX2321</v>
          </cell>
          <cell r="G575">
            <v>-3833601000</v>
          </cell>
          <cell r="H575">
            <v>43055.369490740741</v>
          </cell>
          <cell r="I575">
            <v>43055.370567129627</v>
          </cell>
          <cell r="J575">
            <v>1.0763888888888889E-3</v>
          </cell>
        </row>
        <row r="576">
          <cell r="A576" t="str">
            <v>BASICO</v>
          </cell>
          <cell r="B576" t="str">
            <v>OUX2321</v>
          </cell>
          <cell r="G576">
            <v>-3833143500</v>
          </cell>
          <cell r="H576">
            <v>43055.373449074075</v>
          </cell>
          <cell r="I576">
            <v>43055.381423611114</v>
          </cell>
          <cell r="J576">
            <v>7.9745370370370369E-3</v>
          </cell>
        </row>
        <row r="577">
          <cell r="A577" t="str">
            <v>BASICO</v>
          </cell>
          <cell r="B577" t="str">
            <v>OUX2321</v>
          </cell>
          <cell r="G577">
            <v>-3832714200</v>
          </cell>
          <cell r="H577">
            <v>43055.384201388886</v>
          </cell>
          <cell r="I577">
            <v>43055.400567129633</v>
          </cell>
          <cell r="J577">
            <v>1.636574074074074E-2</v>
          </cell>
        </row>
        <row r="578">
          <cell r="A578" t="str">
            <v>BASICO</v>
          </cell>
          <cell r="B578" t="str">
            <v>OUX2321</v>
          </cell>
          <cell r="G578">
            <v>-3834821600</v>
          </cell>
          <cell r="H578">
            <v>43055.407824074071</v>
          </cell>
          <cell r="I578">
            <v>43055.492534722223</v>
          </cell>
          <cell r="J578">
            <v>8.4710648148148146E-2</v>
          </cell>
        </row>
        <row r="579">
          <cell r="A579" t="str">
            <v>TOUCH</v>
          </cell>
          <cell r="B579" t="str">
            <v>PKE2278</v>
          </cell>
          <cell r="G579">
            <v>-3829962300</v>
          </cell>
          <cell r="H579">
            <v>43055.430532407408</v>
          </cell>
          <cell r="I579">
            <v>43055.436076388891</v>
          </cell>
          <cell r="J579">
            <v>5.5439814814814822E-3</v>
          </cell>
        </row>
        <row r="580">
          <cell r="A580" t="str">
            <v>TOUCH</v>
          </cell>
          <cell r="B580" t="str">
            <v>PKE2278</v>
          </cell>
          <cell r="G580">
            <v>-3830401200</v>
          </cell>
          <cell r="H580">
            <v>43055.441423611112</v>
          </cell>
          <cell r="I580">
            <v>43055.467476851853</v>
          </cell>
          <cell r="J580">
            <v>2.6053240740740738E-2</v>
          </cell>
        </row>
        <row r="581">
          <cell r="A581" t="str">
            <v>TOUCH</v>
          </cell>
          <cell r="B581" t="str">
            <v>PKE2278</v>
          </cell>
          <cell r="G581">
            <v>-3832148400</v>
          </cell>
          <cell r="H581">
            <v>43055.474942129629</v>
          </cell>
          <cell r="I581">
            <v>43055.47583333333</v>
          </cell>
          <cell r="J581">
            <v>8.9120370370370362E-4</v>
          </cell>
        </row>
        <row r="582">
          <cell r="A582" t="str">
            <v>TOUCH</v>
          </cell>
          <cell r="B582" t="str">
            <v>PKE2278</v>
          </cell>
          <cell r="G582">
            <v>-3834811900</v>
          </cell>
          <cell r="H582">
            <v>43055.485659722224</v>
          </cell>
          <cell r="I582">
            <v>43055.488657407404</v>
          </cell>
          <cell r="J582">
            <v>2.9976851851851848E-3</v>
          </cell>
        </row>
        <row r="583">
          <cell r="A583" t="str">
            <v>TOUCH</v>
          </cell>
          <cell r="B583" t="str">
            <v>PKE2278</v>
          </cell>
          <cell r="G583">
            <v>-3833430700</v>
          </cell>
          <cell r="H583">
            <v>43055.497361111113</v>
          </cell>
          <cell r="I583">
            <v>43055.548831018517</v>
          </cell>
          <cell r="J583">
            <v>5.1469907407407402E-2</v>
          </cell>
        </row>
        <row r="584">
          <cell r="A584" t="str">
            <v>BASICO</v>
          </cell>
          <cell r="B584" t="str">
            <v>OUX2321</v>
          </cell>
          <cell r="G584">
            <v>-3833451700</v>
          </cell>
          <cell r="H584">
            <v>43055.497708333336</v>
          </cell>
          <cell r="I584">
            <v>43055.5469212963</v>
          </cell>
          <cell r="J584">
            <v>4.9212962962962958E-2</v>
          </cell>
        </row>
        <row r="585">
          <cell r="A585" t="str">
            <v>BASICO</v>
          </cell>
          <cell r="B585" t="str">
            <v>OUX2321</v>
          </cell>
          <cell r="G585">
            <v>-3834811900</v>
          </cell>
          <cell r="H585">
            <v>43055.551944444444</v>
          </cell>
          <cell r="I585">
            <v>43055.670405092591</v>
          </cell>
          <cell r="J585">
            <v>0.11846064814814815</v>
          </cell>
        </row>
        <row r="586">
          <cell r="A586" t="str">
            <v>TOUCH</v>
          </cell>
          <cell r="B586" t="str">
            <v>PKE2278</v>
          </cell>
          <cell r="G586">
            <v>-3829724700</v>
          </cell>
          <cell r="H586">
            <v>43055.560856481483</v>
          </cell>
          <cell r="I586">
            <v>43055.60429398148</v>
          </cell>
          <cell r="J586">
            <v>4.3437499999999997E-2</v>
          </cell>
        </row>
        <row r="587">
          <cell r="A587" t="str">
            <v>TOUCH</v>
          </cell>
          <cell r="B587" t="str">
            <v>PKE2278</v>
          </cell>
          <cell r="G587">
            <v>-3832711300</v>
          </cell>
          <cell r="H587">
            <v>43055.613518518519</v>
          </cell>
          <cell r="I587">
            <v>43055.669687499998</v>
          </cell>
          <cell r="J587">
            <v>5.6168981481481479E-2</v>
          </cell>
        </row>
        <row r="588">
          <cell r="A588" t="str">
            <v>TOUCH</v>
          </cell>
          <cell r="B588" t="str">
            <v>PKE2278</v>
          </cell>
          <cell r="G588">
            <v>-3835588800</v>
          </cell>
          <cell r="H588">
            <v>43055.678831018522</v>
          </cell>
          <cell r="I588">
            <v>43055.680034722223</v>
          </cell>
          <cell r="J588">
            <v>1.2037037037037038E-3</v>
          </cell>
        </row>
        <row r="589">
          <cell r="A589" t="str">
            <v>BASICO</v>
          </cell>
          <cell r="B589" t="str">
            <v>OUX2321</v>
          </cell>
          <cell r="G589">
            <v>-3832707900</v>
          </cell>
          <cell r="H589">
            <v>43055.681921296295</v>
          </cell>
          <cell r="I589">
            <v>43056.386944444443</v>
          </cell>
          <cell r="J589">
            <v>0.70502314814814815</v>
          </cell>
        </row>
        <row r="590">
          <cell r="A590" t="str">
            <v>BASICO</v>
          </cell>
          <cell r="B590" t="str">
            <v>PXC3702</v>
          </cell>
          <cell r="G590">
            <v>-3845536700</v>
          </cell>
          <cell r="H590">
            <v>43055.683472222219</v>
          </cell>
          <cell r="I590">
            <v>43056.713379629633</v>
          </cell>
          <cell r="J590" t="str">
            <v>1 D 00:43:04</v>
          </cell>
        </row>
        <row r="591">
          <cell r="A591" t="str">
            <v>TOUCH</v>
          </cell>
          <cell r="B591" t="str">
            <v>PKE2278</v>
          </cell>
          <cell r="G591">
            <v>-3834993500</v>
          </cell>
          <cell r="H591">
            <v>43055.690520833334</v>
          </cell>
          <cell r="I591">
            <v>43055.731400462966</v>
          </cell>
          <cell r="J591">
            <v>4.0879629629629634E-2</v>
          </cell>
        </row>
        <row r="592">
          <cell r="A592" t="str">
            <v>TOUCH</v>
          </cell>
          <cell r="B592" t="str">
            <v>PKE2278</v>
          </cell>
          <cell r="G592">
            <v>-3831512400</v>
          </cell>
          <cell r="H592">
            <v>43055.755659722221</v>
          </cell>
          <cell r="I592">
            <v>43055.758472222224</v>
          </cell>
          <cell r="J592">
            <v>2.8124999999999995E-3</v>
          </cell>
        </row>
        <row r="593">
          <cell r="A593" t="str">
            <v>TOUCH</v>
          </cell>
          <cell r="B593" t="str">
            <v>PKE2278</v>
          </cell>
          <cell r="G593">
            <v>-3830400100</v>
          </cell>
          <cell r="H593">
            <v>43055.761956018519</v>
          </cell>
          <cell r="I593">
            <v>43055.882974537039</v>
          </cell>
          <cell r="J593">
            <v>0.12101851851851853</v>
          </cell>
        </row>
        <row r="594">
          <cell r="A594" t="str">
            <v>TOUCH</v>
          </cell>
          <cell r="B594" t="str">
            <v>PKE2278</v>
          </cell>
          <cell r="G594">
            <v>-3833476200</v>
          </cell>
          <cell r="H594">
            <v>43055.895173611112</v>
          </cell>
          <cell r="I594">
            <v>43055.899270833332</v>
          </cell>
          <cell r="J594">
            <v>4.0972222222222226E-3</v>
          </cell>
        </row>
        <row r="595">
          <cell r="A595" t="str">
            <v>TOUCH</v>
          </cell>
          <cell r="B595" t="str">
            <v>PKE2278</v>
          </cell>
          <cell r="G595">
            <v>-3832879500</v>
          </cell>
          <cell r="H595">
            <v>43055.90420138889</v>
          </cell>
          <cell r="I595">
            <v>43055.917800925927</v>
          </cell>
          <cell r="J595">
            <v>1.3599537037037037E-2</v>
          </cell>
        </row>
        <row r="596">
          <cell r="A596" t="str">
            <v>TOUCH</v>
          </cell>
          <cell r="B596" t="str">
            <v>PKE2278</v>
          </cell>
          <cell r="G596">
            <v>-3833927800</v>
          </cell>
          <cell r="H596">
            <v>43055.931134259263</v>
          </cell>
          <cell r="I596">
            <v>43055.938668981478</v>
          </cell>
          <cell r="J596">
            <v>7.5347222222222213E-3</v>
          </cell>
        </row>
        <row r="597">
          <cell r="A597" t="str">
            <v>TOUCH</v>
          </cell>
          <cell r="B597" t="str">
            <v>PKE2278</v>
          </cell>
          <cell r="G597">
            <v>-3835586000</v>
          </cell>
          <cell r="H597">
            <v>43055.951481481483</v>
          </cell>
          <cell r="I597">
            <v>43055.971562500003</v>
          </cell>
          <cell r="J597">
            <v>2.0081018518518519E-2</v>
          </cell>
        </row>
        <row r="598">
          <cell r="A598" t="str">
            <v>TOUCH</v>
          </cell>
          <cell r="B598" t="str">
            <v>PKE2278</v>
          </cell>
          <cell r="G598">
            <v>-3833179000</v>
          </cell>
          <cell r="H598">
            <v>43055.98159722222</v>
          </cell>
          <cell r="I598">
            <v>43055.984953703701</v>
          </cell>
          <cell r="J598">
            <v>3.3564814814814811E-3</v>
          </cell>
        </row>
        <row r="599">
          <cell r="A599" t="str">
            <v>TOUCH</v>
          </cell>
          <cell r="B599" t="str">
            <v>PKE2278</v>
          </cell>
          <cell r="G599">
            <v>-3830542100</v>
          </cell>
          <cell r="H599">
            <v>43055.996840277781</v>
          </cell>
          <cell r="I599">
            <v>43056.008425925924</v>
          </cell>
          <cell r="J599">
            <v>1.1585648148148149E-2</v>
          </cell>
        </row>
        <row r="600">
          <cell r="A600" t="str">
            <v>TOUCH</v>
          </cell>
          <cell r="B600" t="str">
            <v>PKE2278</v>
          </cell>
          <cell r="G600">
            <v>-3832726900</v>
          </cell>
          <cell r="H600">
            <v>43056.015659722223</v>
          </cell>
          <cell r="I600">
            <v>43056.273240740738</v>
          </cell>
          <cell r="J600">
            <v>0.2575810185185185</v>
          </cell>
        </row>
        <row r="601">
          <cell r="A601" t="str">
            <v>TOUCH</v>
          </cell>
          <cell r="B601" t="str">
            <v>PKE2278</v>
          </cell>
          <cell r="G601">
            <v>-3832511400</v>
          </cell>
          <cell r="H601">
            <v>43056.27815972222</v>
          </cell>
          <cell r="I601">
            <v>43056.293217592596</v>
          </cell>
          <cell r="J601">
            <v>1.5057870370370369E-2</v>
          </cell>
        </row>
        <row r="602">
          <cell r="A602" t="str">
            <v>TOUCH</v>
          </cell>
          <cell r="B602" t="str">
            <v>PKE2278</v>
          </cell>
          <cell r="G602">
            <v>-3830795500</v>
          </cell>
          <cell r="H602">
            <v>43056.299710648149</v>
          </cell>
          <cell r="I602">
            <v>43056.310162037036</v>
          </cell>
          <cell r="J602">
            <v>1.045138888888889E-2</v>
          </cell>
        </row>
        <row r="603">
          <cell r="A603" t="str">
            <v>TOUCH</v>
          </cell>
          <cell r="B603" t="str">
            <v>PKE2278</v>
          </cell>
          <cell r="G603">
            <v>-3829489500</v>
          </cell>
          <cell r="H603">
            <v>43056.322766203702</v>
          </cell>
          <cell r="I603">
            <v>43056.362395833334</v>
          </cell>
          <cell r="J603">
            <v>3.9629629629629633E-2</v>
          </cell>
        </row>
        <row r="604">
          <cell r="A604" t="str">
            <v>TOUCH</v>
          </cell>
          <cell r="B604" t="str">
            <v>PKE2278</v>
          </cell>
          <cell r="G604">
            <v>-3828750100</v>
          </cell>
          <cell r="H604">
            <v>43056.371064814812</v>
          </cell>
          <cell r="I604">
            <v>43056.388506944444</v>
          </cell>
          <cell r="J604">
            <v>1.744212962962963E-2</v>
          </cell>
        </row>
        <row r="605">
          <cell r="A605" t="str">
            <v>BASICO</v>
          </cell>
          <cell r="B605" t="str">
            <v>OUX2321</v>
          </cell>
          <cell r="G605">
            <v>-3833050900</v>
          </cell>
          <cell r="H605">
            <v>43056.391655092593</v>
          </cell>
          <cell r="I605">
            <v>43056.396122685182</v>
          </cell>
          <cell r="J605">
            <v>4.4675925925925933E-3</v>
          </cell>
        </row>
        <row r="606">
          <cell r="A606" t="str">
            <v>TOUCH</v>
          </cell>
          <cell r="B606" t="str">
            <v>PKE2278</v>
          </cell>
          <cell r="G606">
            <v>-3828478800</v>
          </cell>
          <cell r="H606">
            <v>43056.398460648146</v>
          </cell>
          <cell r="I606">
            <v>43056.407847222225</v>
          </cell>
          <cell r="J606">
            <v>9.386574074074075E-3</v>
          </cell>
        </row>
        <row r="607">
          <cell r="A607" t="str">
            <v>BASICO</v>
          </cell>
          <cell r="B607" t="str">
            <v>OUX2321</v>
          </cell>
          <cell r="G607">
            <v>-3830324300</v>
          </cell>
          <cell r="H607">
            <v>43056.411851851852</v>
          </cell>
          <cell r="I607">
            <v>43056.6408912037</v>
          </cell>
          <cell r="J607">
            <v>0.22903935185185187</v>
          </cell>
        </row>
        <row r="608">
          <cell r="A608" t="str">
            <v>TOUCH</v>
          </cell>
          <cell r="B608" t="str">
            <v>PKE2278</v>
          </cell>
          <cell r="G608">
            <v>-3830420800</v>
          </cell>
          <cell r="H608">
            <v>43056.415231481478</v>
          </cell>
          <cell r="I608">
            <v>43056.417824074073</v>
          </cell>
          <cell r="J608">
            <v>2.5925925925925925E-3</v>
          </cell>
        </row>
        <row r="609">
          <cell r="A609" t="str">
            <v>TOUCH</v>
          </cell>
          <cell r="B609" t="str">
            <v>PKE2278</v>
          </cell>
          <cell r="G609">
            <v>-3830230200</v>
          </cell>
          <cell r="H609">
            <v>43056.419247685182</v>
          </cell>
          <cell r="I609">
            <v>43056.421261574076</v>
          </cell>
          <cell r="J609">
            <v>2.0138888888888888E-3</v>
          </cell>
        </row>
        <row r="610">
          <cell r="A610" t="str">
            <v>TOUCH</v>
          </cell>
          <cell r="B610" t="str">
            <v>PKE2278</v>
          </cell>
          <cell r="G610">
            <v>-3832163300</v>
          </cell>
          <cell r="H610">
            <v>43056.427199074074</v>
          </cell>
          <cell r="I610">
            <v>43056.457951388889</v>
          </cell>
          <cell r="J610">
            <v>3.0752314814814816E-2</v>
          </cell>
        </row>
        <row r="611">
          <cell r="A611" t="str">
            <v>TOUCH</v>
          </cell>
          <cell r="B611" t="str">
            <v>PKE2278</v>
          </cell>
          <cell r="G611">
            <v>-3833267200</v>
          </cell>
          <cell r="H611">
            <v>43056.462685185186</v>
          </cell>
          <cell r="I611">
            <v>43056.474687499998</v>
          </cell>
          <cell r="J611">
            <v>1.2002314814814815E-2</v>
          </cell>
        </row>
        <row r="612">
          <cell r="A612" t="str">
            <v>TOUCH</v>
          </cell>
          <cell r="B612" t="str">
            <v>PKE2278</v>
          </cell>
          <cell r="G612">
            <v>-3832704400</v>
          </cell>
          <cell r="H612">
            <v>43056.484143518515</v>
          </cell>
          <cell r="I612">
            <v>43056.539618055554</v>
          </cell>
          <cell r="J612">
            <v>5.5474537037037037E-2</v>
          </cell>
        </row>
        <row r="613">
          <cell r="A613" t="str">
            <v>TOUCH</v>
          </cell>
          <cell r="B613" t="str">
            <v>PKE2278</v>
          </cell>
          <cell r="G613">
            <v>-3832412400</v>
          </cell>
          <cell r="H613">
            <v>43056.544999999998</v>
          </cell>
          <cell r="I613">
            <v>43056.546875</v>
          </cell>
          <cell r="J613">
            <v>1.8750000000000001E-3</v>
          </cell>
        </row>
        <row r="614">
          <cell r="A614" t="str">
            <v>TOUCH</v>
          </cell>
          <cell r="B614" t="str">
            <v>PKE2278</v>
          </cell>
          <cell r="G614">
            <v>-3833960300</v>
          </cell>
          <cell r="H614">
            <v>43056.557870370372</v>
          </cell>
          <cell r="I614">
            <v>43056.589259259257</v>
          </cell>
          <cell r="J614">
            <v>3.138888888888889E-2</v>
          </cell>
        </row>
        <row r="615">
          <cell r="A615" t="str">
            <v>TOUCH</v>
          </cell>
          <cell r="B615" t="str">
            <v>PKE2278</v>
          </cell>
          <cell r="G615">
            <v>-3833301400</v>
          </cell>
          <cell r="H615">
            <v>43056.59165509259</v>
          </cell>
          <cell r="I615">
            <v>43056.597881944443</v>
          </cell>
          <cell r="J615">
            <v>6.2268518518518515E-3</v>
          </cell>
        </row>
        <row r="616">
          <cell r="A616" t="str">
            <v>TOUCH</v>
          </cell>
          <cell r="B616" t="str">
            <v>PKE2278</v>
          </cell>
          <cell r="G616">
            <v>-3833432600</v>
          </cell>
          <cell r="H616">
            <v>43056.613981481481</v>
          </cell>
          <cell r="I616">
            <v>43056.619606481479</v>
          </cell>
          <cell r="J616">
            <v>5.6249999999999989E-3</v>
          </cell>
        </row>
        <row r="617">
          <cell r="A617" t="str">
            <v>TOUCH</v>
          </cell>
          <cell r="B617" t="str">
            <v>PKE2278</v>
          </cell>
          <cell r="G617">
            <v>-3833167900</v>
          </cell>
          <cell r="H617">
            <v>43056.623738425929</v>
          </cell>
          <cell r="I617">
            <v>43056.62704861111</v>
          </cell>
          <cell r="J617">
            <v>3.3101851851851851E-3</v>
          </cell>
        </row>
        <row r="618">
          <cell r="A618" t="str">
            <v>TOUCH</v>
          </cell>
          <cell r="B618" t="str">
            <v>PKE2278</v>
          </cell>
          <cell r="G618">
            <v>-3832709000</v>
          </cell>
          <cell r="H618">
            <v>43056.629756944443</v>
          </cell>
          <cell r="I618">
            <v>43056.777708333335</v>
          </cell>
          <cell r="J618">
            <v>0.1479513888888889</v>
          </cell>
        </row>
        <row r="619">
          <cell r="A619" t="str">
            <v>BASICO</v>
          </cell>
          <cell r="B619" t="str">
            <v>OUX2321</v>
          </cell>
          <cell r="G619">
            <v>-3832721800</v>
          </cell>
          <cell r="H619">
            <v>43056.654606481483</v>
          </cell>
          <cell r="I619">
            <v>43056.682291666664</v>
          </cell>
          <cell r="J619">
            <v>2.7685185185185188E-2</v>
          </cell>
        </row>
        <row r="620">
          <cell r="A620" t="str">
            <v>BASICO</v>
          </cell>
          <cell r="B620" t="str">
            <v>OUX2321</v>
          </cell>
          <cell r="G620">
            <v>-3833738800</v>
          </cell>
          <cell r="H620">
            <v>43056.685104166667</v>
          </cell>
          <cell r="I620">
            <v>43056.710034722222</v>
          </cell>
          <cell r="J620">
            <v>2.4930555555555553E-2</v>
          </cell>
        </row>
        <row r="621">
          <cell r="A621" t="str">
            <v>BASICO</v>
          </cell>
          <cell r="B621" t="str">
            <v>OUX2321</v>
          </cell>
          <cell r="G621">
            <v>-3829417600</v>
          </cell>
          <cell r="H621">
            <v>43056.734016203707</v>
          </cell>
          <cell r="I621">
            <v>43056.757152777776</v>
          </cell>
          <cell r="J621">
            <v>2.3136574074074077E-2</v>
          </cell>
        </row>
        <row r="622">
          <cell r="A622" t="str">
            <v>BASICO</v>
          </cell>
          <cell r="B622" t="str">
            <v>PXC3702</v>
          </cell>
          <cell r="G622">
            <v>-3835705000</v>
          </cell>
          <cell r="H622">
            <v>43056.746249999997</v>
          </cell>
          <cell r="I622">
            <v>43056.748935185184</v>
          </cell>
          <cell r="J622">
            <v>2.685185185185185E-3</v>
          </cell>
        </row>
        <row r="623">
          <cell r="A623" t="str">
            <v>BASICO</v>
          </cell>
          <cell r="B623" t="str">
            <v>PXC3702</v>
          </cell>
          <cell r="G623">
            <v>-3832712000</v>
          </cell>
          <cell r="H623">
            <v>43056.768206018518</v>
          </cell>
          <cell r="I623">
            <v>43056.863206018519</v>
          </cell>
          <cell r="J623">
            <v>9.5000000000000015E-2</v>
          </cell>
        </row>
        <row r="624">
          <cell r="A624" t="str">
            <v>BASICO</v>
          </cell>
          <cell r="B624" t="str">
            <v>OUX2321</v>
          </cell>
          <cell r="G624">
            <v>-3830332300</v>
          </cell>
          <cell r="H624">
            <v>43056.770208333335</v>
          </cell>
          <cell r="I624">
            <v>43056.773298611108</v>
          </cell>
          <cell r="J624">
            <v>3.0902777777777782E-3</v>
          </cell>
        </row>
        <row r="625">
          <cell r="A625" t="str">
            <v>BASICO</v>
          </cell>
          <cell r="B625" t="str">
            <v>OUX2321</v>
          </cell>
          <cell r="G625">
            <v>-3829831100</v>
          </cell>
          <cell r="H625">
            <v>43056.775243055556</v>
          </cell>
          <cell r="I625">
            <v>43056.785069444442</v>
          </cell>
          <cell r="J625">
            <v>9.8263888888888897E-3</v>
          </cell>
        </row>
        <row r="626">
          <cell r="A626" t="str">
            <v>TOUCH</v>
          </cell>
          <cell r="B626" t="str">
            <v>PKE2278</v>
          </cell>
          <cell r="G626">
            <v>-3834135000</v>
          </cell>
          <cell r="H626">
            <v>43056.786840277775</v>
          </cell>
          <cell r="I626">
            <v>43056.826944444445</v>
          </cell>
          <cell r="J626">
            <v>4.010416666666667E-2</v>
          </cell>
        </row>
        <row r="627">
          <cell r="A627" t="str">
            <v>BASICO</v>
          </cell>
          <cell r="B627" t="str">
            <v>OUX2321</v>
          </cell>
          <cell r="G627">
            <v>-3835640400</v>
          </cell>
          <cell r="H627">
            <v>43056.808020833334</v>
          </cell>
          <cell r="I627">
            <v>43056.815150462964</v>
          </cell>
          <cell r="J627">
            <v>7.1296296296296307E-3</v>
          </cell>
        </row>
        <row r="628">
          <cell r="A628" t="str">
            <v>BASICO</v>
          </cell>
          <cell r="B628" t="str">
            <v>OUX2321</v>
          </cell>
          <cell r="G628">
            <v>-3834960100</v>
          </cell>
          <cell r="H628">
            <v>43056.827916666669</v>
          </cell>
          <cell r="I628">
            <v>43056.830277777779</v>
          </cell>
          <cell r="J628">
            <v>2.3611111111111111E-3</v>
          </cell>
        </row>
        <row r="629">
          <cell r="A629" t="str">
            <v>TOUCH</v>
          </cell>
          <cell r="B629" t="str">
            <v>PKE2278</v>
          </cell>
          <cell r="G629">
            <v>-3832722900</v>
          </cell>
          <cell r="H629">
            <v>43056.831701388888</v>
          </cell>
          <cell r="I629">
            <v>43057.278344907405</v>
          </cell>
          <cell r="J629">
            <v>0.44664351851851852</v>
          </cell>
        </row>
        <row r="630">
          <cell r="A630" t="str">
            <v>BASICO</v>
          </cell>
          <cell r="B630" t="str">
            <v>OUX2321</v>
          </cell>
          <cell r="G630">
            <v>-3834538800</v>
          </cell>
          <cell r="H630">
            <v>43056.83326388889</v>
          </cell>
          <cell r="I630">
            <v>43056.842118055552</v>
          </cell>
          <cell r="J630">
            <v>8.8541666666666664E-3</v>
          </cell>
        </row>
        <row r="631">
          <cell r="A631" t="str">
            <v>BASICO</v>
          </cell>
          <cell r="B631" t="str">
            <v>OUX2321</v>
          </cell>
          <cell r="G631">
            <v>-3835021200</v>
          </cell>
          <cell r="H631">
            <v>43056.85083333333</v>
          </cell>
          <cell r="I631">
            <v>43056.902754629627</v>
          </cell>
          <cell r="J631">
            <v>5.1921296296296299E-2</v>
          </cell>
        </row>
        <row r="632">
          <cell r="A632" t="str">
            <v>BASICO</v>
          </cell>
          <cell r="B632" t="str">
            <v>PXC3702</v>
          </cell>
          <cell r="G632">
            <v>-3832775100</v>
          </cell>
          <cell r="H632">
            <v>43056.867013888892</v>
          </cell>
          <cell r="I632">
            <v>43056.966620370367</v>
          </cell>
          <cell r="J632">
            <v>9.9606481481481476E-2</v>
          </cell>
        </row>
        <row r="633">
          <cell r="A633" t="str">
            <v>BASICO</v>
          </cell>
          <cell r="B633" t="str">
            <v>OUX2321</v>
          </cell>
          <cell r="G633">
            <v>-3830560000</v>
          </cell>
          <cell r="H633">
            <v>43056.918206018519</v>
          </cell>
          <cell r="I633">
            <v>43056.922615740739</v>
          </cell>
          <cell r="J633">
            <v>4.409722222222222E-3</v>
          </cell>
        </row>
        <row r="634">
          <cell r="A634" t="str">
            <v>BASICO</v>
          </cell>
          <cell r="B634" t="str">
            <v>OUX2321</v>
          </cell>
          <cell r="G634">
            <v>-3830335400</v>
          </cell>
          <cell r="H634">
            <v>43056.931226851855</v>
          </cell>
          <cell r="I634">
            <v>43056.948275462964</v>
          </cell>
          <cell r="J634">
            <v>1.7048611111111112E-2</v>
          </cell>
        </row>
        <row r="635">
          <cell r="A635" t="str">
            <v>BASICO</v>
          </cell>
          <cell r="B635" t="str">
            <v>OUX2321</v>
          </cell>
          <cell r="G635">
            <v>-3832361000</v>
          </cell>
          <cell r="H635">
            <v>43056.957372685189</v>
          </cell>
          <cell r="I635">
            <v>43056.963379629633</v>
          </cell>
          <cell r="J635">
            <v>6.0069444444444441E-3</v>
          </cell>
        </row>
        <row r="636">
          <cell r="A636" t="str">
            <v>BASICO</v>
          </cell>
          <cell r="B636" t="str">
            <v>OUX2321</v>
          </cell>
          <cell r="G636">
            <v>-3833206200</v>
          </cell>
          <cell r="H636">
            <v>43056.966979166667</v>
          </cell>
          <cell r="I636">
            <v>43056.97892361111</v>
          </cell>
          <cell r="J636">
            <v>1.1944444444444445E-2</v>
          </cell>
        </row>
        <row r="637">
          <cell r="A637" t="str">
            <v>BASICO</v>
          </cell>
          <cell r="B637" t="str">
            <v>PXC3702</v>
          </cell>
          <cell r="G637">
            <v>-3832334200</v>
          </cell>
          <cell r="H637">
            <v>43056.969398148147</v>
          </cell>
          <cell r="I637">
            <v>43057.000879629632</v>
          </cell>
          <cell r="J637">
            <v>3.1481481481481485E-2</v>
          </cell>
        </row>
        <row r="638">
          <cell r="A638" t="str">
            <v>BASICO</v>
          </cell>
          <cell r="B638" t="str">
            <v>OUX2321</v>
          </cell>
          <cell r="G638">
            <v>-3833895700</v>
          </cell>
          <cell r="H638">
            <v>43056.98364583333</v>
          </cell>
          <cell r="I638">
            <v>43056.984652777777</v>
          </cell>
          <cell r="J638">
            <v>1.0069444444444444E-3</v>
          </cell>
        </row>
        <row r="639">
          <cell r="A639" t="str">
            <v>BASICO</v>
          </cell>
          <cell r="B639" t="str">
            <v>OUX2321</v>
          </cell>
          <cell r="G639">
            <v>-3832479400</v>
          </cell>
          <cell r="H639">
            <v>43057.004270833335</v>
          </cell>
          <cell r="I639">
            <v>43057.017638888887</v>
          </cell>
          <cell r="J639">
            <v>1.3368055555555557E-2</v>
          </cell>
        </row>
        <row r="640">
          <cell r="A640" t="str">
            <v>BASICO</v>
          </cell>
          <cell r="B640" t="str">
            <v>PXC3702</v>
          </cell>
          <cell r="G640">
            <v>-3832712700</v>
          </cell>
          <cell r="H640">
            <v>43057.006111111114</v>
          </cell>
          <cell r="I640">
            <v>43060.269456018519</v>
          </cell>
          <cell r="J640" t="str">
            <v>3 D 06:19:13</v>
          </cell>
        </row>
        <row r="641">
          <cell r="A641" t="str">
            <v>BASICO</v>
          </cell>
          <cell r="B641" t="str">
            <v>OUX2321</v>
          </cell>
          <cell r="G641">
            <v>-3832709700</v>
          </cell>
          <cell r="H641">
            <v>43057.021701388891</v>
          </cell>
          <cell r="I641">
            <v>43057.281365740739</v>
          </cell>
          <cell r="J641">
            <v>0.25966435185185183</v>
          </cell>
        </row>
        <row r="642">
          <cell r="A642" t="str">
            <v>BASICO</v>
          </cell>
          <cell r="B642" t="str">
            <v>OUX2321</v>
          </cell>
          <cell r="G642">
            <v>-3832347600</v>
          </cell>
          <cell r="H642">
            <v>43057.283888888887</v>
          </cell>
          <cell r="I642">
            <v>43057.290092592593</v>
          </cell>
          <cell r="J642">
            <v>6.2037037037037043E-3</v>
          </cell>
        </row>
        <row r="643">
          <cell r="A643" t="str">
            <v>TOUCH</v>
          </cell>
          <cell r="B643" t="str">
            <v>PKE2278</v>
          </cell>
          <cell r="G643">
            <v>-3830363900</v>
          </cell>
          <cell r="H643">
            <v>43057.29074074074</v>
          </cell>
          <cell r="I643">
            <v>43057.332511574074</v>
          </cell>
          <cell r="J643">
            <v>4.1770833333333333E-2</v>
          </cell>
        </row>
        <row r="644">
          <cell r="A644" t="str">
            <v>BASICO</v>
          </cell>
          <cell r="B644" t="str">
            <v>OUX2321</v>
          </cell>
          <cell r="G644">
            <v>-3828163500</v>
          </cell>
          <cell r="H644">
            <v>43057.300347222219</v>
          </cell>
          <cell r="I644">
            <v>43057.33152777778</v>
          </cell>
          <cell r="J644">
            <v>3.1180555555555555E-2</v>
          </cell>
        </row>
        <row r="645">
          <cell r="A645" t="str">
            <v>BASICO</v>
          </cell>
          <cell r="B645" t="str">
            <v>OUX2321</v>
          </cell>
          <cell r="G645">
            <v>-3830003600</v>
          </cell>
          <cell r="H645">
            <v>43057.336817129632</v>
          </cell>
          <cell r="I645">
            <v>43057.350034722222</v>
          </cell>
          <cell r="J645">
            <v>1.3217592592592593E-2</v>
          </cell>
        </row>
        <row r="646">
          <cell r="A646" t="str">
            <v>TOUCH</v>
          </cell>
          <cell r="B646" t="str">
            <v>PKE2278</v>
          </cell>
          <cell r="G646">
            <v>-3832734700</v>
          </cell>
          <cell r="H646">
            <v>43057.345335648148</v>
          </cell>
          <cell r="I646">
            <v>43057.346759259257</v>
          </cell>
          <cell r="J646">
            <v>1.423611111111111E-3</v>
          </cell>
        </row>
        <row r="647">
          <cell r="A647" t="str">
            <v>TOUCH</v>
          </cell>
          <cell r="B647" t="str">
            <v>PKE2278</v>
          </cell>
          <cell r="G647">
            <v>-3833352700</v>
          </cell>
          <cell r="H647">
            <v>43057.352094907408</v>
          </cell>
          <cell r="I647">
            <v>43057.357766203706</v>
          </cell>
          <cell r="J647">
            <v>5.6712962962962958E-3</v>
          </cell>
        </row>
        <row r="648">
          <cell r="A648" t="str">
            <v>BASICO</v>
          </cell>
          <cell r="B648" t="str">
            <v>OUX2321</v>
          </cell>
          <cell r="G648">
            <v>-3829114500</v>
          </cell>
          <cell r="H648">
            <v>43057.358993055554</v>
          </cell>
          <cell r="I648">
            <v>43057.372060185182</v>
          </cell>
          <cell r="J648">
            <v>1.306712962962963E-2</v>
          </cell>
        </row>
        <row r="649">
          <cell r="A649" t="str">
            <v>TOUCH</v>
          </cell>
          <cell r="B649" t="str">
            <v>PKE2278</v>
          </cell>
          <cell r="G649">
            <v>-3830349800</v>
          </cell>
          <cell r="H649">
            <v>43057.372372685182</v>
          </cell>
          <cell r="I649">
            <v>43057.422662037039</v>
          </cell>
          <cell r="J649">
            <v>5.0289351851851849E-2</v>
          </cell>
        </row>
        <row r="650">
          <cell r="A650" t="str">
            <v>BASICO</v>
          </cell>
          <cell r="B650" t="str">
            <v>OUX2321</v>
          </cell>
          <cell r="G650">
            <v>-3828974900</v>
          </cell>
          <cell r="H650">
            <v>43057.377465277779</v>
          </cell>
          <cell r="I650">
            <v>43057.379803240743</v>
          </cell>
          <cell r="J650">
            <v>2.3379629629629631E-3</v>
          </cell>
        </row>
        <row r="651">
          <cell r="A651" t="str">
            <v>BASICO</v>
          </cell>
          <cell r="B651" t="str">
            <v>OUX2321</v>
          </cell>
          <cell r="G651">
            <v>-3832719800</v>
          </cell>
          <cell r="H651">
            <v>43057.391608796293</v>
          </cell>
          <cell r="I651">
            <v>43057.41847222222</v>
          </cell>
          <cell r="J651">
            <v>2.6863425925925926E-2</v>
          </cell>
        </row>
        <row r="652">
          <cell r="A652" t="str">
            <v>BASICO</v>
          </cell>
          <cell r="B652" t="str">
            <v>OUX2321</v>
          </cell>
          <cell r="G652">
            <v>-3832724800</v>
          </cell>
          <cell r="H652">
            <v>43057.425821759258</v>
          </cell>
          <cell r="I652">
            <v>43057.470659722225</v>
          </cell>
          <cell r="J652">
            <v>4.4837962962962961E-2</v>
          </cell>
        </row>
        <row r="653">
          <cell r="A653" t="str">
            <v>TOUCH</v>
          </cell>
          <cell r="B653" t="str">
            <v>PKE2278</v>
          </cell>
          <cell r="G653">
            <v>-3832728600</v>
          </cell>
          <cell r="H653">
            <v>43057.434594907405</v>
          </cell>
          <cell r="I653">
            <v>43057.470925925925</v>
          </cell>
          <cell r="J653">
            <v>3.6331018518518519E-2</v>
          </cell>
        </row>
        <row r="654">
          <cell r="A654" t="str">
            <v>BASICO</v>
          </cell>
          <cell r="B654" t="str">
            <v>OUX2321</v>
          </cell>
          <cell r="G654">
            <v>-3832168400</v>
          </cell>
          <cell r="H654">
            <v>43057.47347222222</v>
          </cell>
          <cell r="I654">
            <v>43057.519652777781</v>
          </cell>
          <cell r="J654">
            <v>4.6180555555555558E-2</v>
          </cell>
        </row>
        <row r="655">
          <cell r="A655" t="str">
            <v>TOUCH</v>
          </cell>
          <cell r="B655" t="str">
            <v>PKE2278</v>
          </cell>
          <cell r="G655">
            <v>-3832174800</v>
          </cell>
          <cell r="H655">
            <v>43057.473553240743</v>
          </cell>
          <cell r="I655">
            <v>43057.519259259258</v>
          </cell>
          <cell r="J655">
            <v>4.5706018518518521E-2</v>
          </cell>
        </row>
        <row r="656">
          <cell r="A656" t="str">
            <v>TOUCH</v>
          </cell>
          <cell r="B656" t="str">
            <v>PKE2278</v>
          </cell>
          <cell r="G656">
            <v>-3832743800</v>
          </cell>
          <cell r="H656">
            <v>43057.523865740739</v>
          </cell>
          <cell r="I656">
            <v>43057.531550925924</v>
          </cell>
          <cell r="J656">
            <v>7.6851851851851847E-3</v>
          </cell>
        </row>
        <row r="657">
          <cell r="A657" t="str">
            <v>BASICO</v>
          </cell>
          <cell r="B657" t="str">
            <v>OUX2321</v>
          </cell>
          <cell r="G657">
            <v>-3832737400</v>
          </cell>
          <cell r="H657">
            <v>43057.523912037039</v>
          </cell>
          <cell r="I657">
            <v>43057.547037037039</v>
          </cell>
          <cell r="J657">
            <v>2.3124999999999996E-2</v>
          </cell>
        </row>
        <row r="658">
          <cell r="A658" t="str">
            <v>TOUCH</v>
          </cell>
          <cell r="B658" t="str">
            <v>PKE2278</v>
          </cell>
          <cell r="G658">
            <v>-3832718200</v>
          </cell>
          <cell r="H658">
            <v>43057.536192129628</v>
          </cell>
          <cell r="I658">
            <v>43059.268125000002</v>
          </cell>
          <cell r="J658" t="str">
            <v>1 D 17:33:59</v>
          </cell>
        </row>
        <row r="659">
          <cell r="A659" t="str">
            <v>BASICO</v>
          </cell>
          <cell r="B659" t="str">
            <v>OUX2321</v>
          </cell>
          <cell r="G659">
            <v>-3832097600</v>
          </cell>
          <cell r="H659">
            <v>43057.556250000001</v>
          </cell>
          <cell r="I659">
            <v>43057.563877314817</v>
          </cell>
          <cell r="J659">
            <v>7.6273148148148151E-3</v>
          </cell>
        </row>
        <row r="660">
          <cell r="A660" t="str">
            <v>BASICO</v>
          </cell>
          <cell r="B660" t="str">
            <v>OUX2321</v>
          </cell>
          <cell r="G660">
            <v>-3832722300</v>
          </cell>
          <cell r="H660">
            <v>43057.569351851853</v>
          </cell>
          <cell r="I660">
            <v>43057.665208333332</v>
          </cell>
          <cell r="J660">
            <v>9.5856481481481473E-2</v>
          </cell>
        </row>
        <row r="661">
          <cell r="A661" t="str">
            <v>BASICO</v>
          </cell>
          <cell r="B661" t="str">
            <v>OUX2321</v>
          </cell>
          <cell r="G661">
            <v>-3832522400</v>
          </cell>
          <cell r="H661">
            <v>43057.677627314813</v>
          </cell>
          <cell r="I661">
            <v>43057.739340277774</v>
          </cell>
          <cell r="J661">
            <v>6.1712962962962963E-2</v>
          </cell>
        </row>
        <row r="662">
          <cell r="A662" t="str">
            <v>BASICO</v>
          </cell>
          <cell r="B662" t="str">
            <v>OUX2321</v>
          </cell>
          <cell r="G662">
            <v>-3830788100</v>
          </cell>
          <cell r="H662">
            <v>43057.751875000002</v>
          </cell>
          <cell r="I662">
            <v>43057.800243055557</v>
          </cell>
          <cell r="J662">
            <v>4.836805555555556E-2</v>
          </cell>
        </row>
        <row r="663">
          <cell r="A663" t="str">
            <v>BASICO</v>
          </cell>
          <cell r="B663" t="str">
            <v>OUX2321</v>
          </cell>
          <cell r="G663">
            <v>-3832723400</v>
          </cell>
          <cell r="H663">
            <v>43057.814062500001</v>
          </cell>
          <cell r="I663">
            <v>43057.825810185182</v>
          </cell>
          <cell r="J663">
            <v>1.1747685185185186E-2</v>
          </cell>
        </row>
        <row r="664">
          <cell r="A664" t="str">
            <v>BASICO</v>
          </cell>
          <cell r="B664" t="str">
            <v>OUX2321</v>
          </cell>
          <cell r="G664">
            <v>-3832483500</v>
          </cell>
          <cell r="H664">
            <v>43057.83017361111</v>
          </cell>
          <cell r="I664">
            <v>43057.901180555556</v>
          </cell>
          <cell r="J664">
            <v>7.1006944444444442E-2</v>
          </cell>
        </row>
        <row r="665">
          <cell r="A665" t="str">
            <v>BASICO</v>
          </cell>
          <cell r="B665" t="str">
            <v>OUX2321</v>
          </cell>
          <cell r="G665">
            <v>-3832211100</v>
          </cell>
          <cell r="H665">
            <v>43057.90587962963</v>
          </cell>
          <cell r="I665">
            <v>43057.907187500001</v>
          </cell>
          <cell r="J665">
            <v>1.3078703703703705E-3</v>
          </cell>
        </row>
        <row r="666">
          <cell r="A666" t="str">
            <v>BASICO</v>
          </cell>
          <cell r="B666" t="str">
            <v>OUX2321</v>
          </cell>
          <cell r="G666">
            <v>-3834078300</v>
          </cell>
          <cell r="H666">
            <v>43057.913449074076</v>
          </cell>
          <cell r="I666">
            <v>43057.927604166667</v>
          </cell>
          <cell r="J666">
            <v>1.4155092592592592E-2</v>
          </cell>
        </row>
        <row r="667">
          <cell r="A667" t="str">
            <v>BASICO</v>
          </cell>
          <cell r="B667" t="str">
            <v>OUX2321</v>
          </cell>
          <cell r="G667">
            <v>-3833604200</v>
          </cell>
          <cell r="H667">
            <v>43057.956354166665</v>
          </cell>
          <cell r="I667">
            <v>43057.967534722222</v>
          </cell>
          <cell r="J667">
            <v>1.1180555555555556E-2</v>
          </cell>
        </row>
        <row r="668">
          <cell r="A668" t="str">
            <v>BASICO</v>
          </cell>
          <cell r="B668" t="str">
            <v>OUX2321</v>
          </cell>
          <cell r="G668">
            <v>-3833077900</v>
          </cell>
          <cell r="H668">
            <v>43058.000034722223</v>
          </cell>
          <cell r="I668">
            <v>43058.016817129632</v>
          </cell>
          <cell r="J668">
            <v>1.6782407407407409E-2</v>
          </cell>
        </row>
        <row r="669">
          <cell r="A669" t="str">
            <v>BASICO</v>
          </cell>
          <cell r="B669" t="str">
            <v>OUX2321</v>
          </cell>
          <cell r="G669">
            <v>-3832709300</v>
          </cell>
          <cell r="H669">
            <v>43058.021273148152</v>
          </cell>
          <cell r="I669">
            <v>43058.663206018522</v>
          </cell>
          <cell r="J669">
            <v>0.64193287037037039</v>
          </cell>
        </row>
        <row r="670">
          <cell r="A670" t="str">
            <v>BASICO</v>
          </cell>
          <cell r="B670" t="str">
            <v>OUX2321</v>
          </cell>
          <cell r="G670">
            <v>-3834762300</v>
          </cell>
          <cell r="H670">
            <v>43058.678032407406</v>
          </cell>
          <cell r="I670">
            <v>43058.758425925924</v>
          </cell>
          <cell r="J670">
            <v>8.0393518518518517E-2</v>
          </cell>
        </row>
        <row r="671">
          <cell r="A671" t="str">
            <v>BASICO</v>
          </cell>
          <cell r="B671" t="str">
            <v>OUX2321</v>
          </cell>
          <cell r="G671">
            <v>-3829070800</v>
          </cell>
          <cell r="H671">
            <v>43058.785451388889</v>
          </cell>
          <cell r="I671">
            <v>43058.795787037037</v>
          </cell>
          <cell r="J671">
            <v>1.0335648148148148E-2</v>
          </cell>
        </row>
        <row r="672">
          <cell r="A672" t="str">
            <v>BASICO</v>
          </cell>
          <cell r="B672" t="str">
            <v>OUX2321</v>
          </cell>
          <cell r="G672">
            <v>-3829112500</v>
          </cell>
          <cell r="H672">
            <v>43058.799189814818</v>
          </cell>
          <cell r="I672">
            <v>43058.806203703702</v>
          </cell>
          <cell r="J672">
            <v>7.013888888888889E-3</v>
          </cell>
        </row>
        <row r="673">
          <cell r="A673" t="str">
            <v>BASICO</v>
          </cell>
          <cell r="B673" t="str">
            <v>OUX2321</v>
          </cell>
          <cell r="G673">
            <v>-3828744100</v>
          </cell>
          <cell r="H673">
            <v>43058.814745370371</v>
          </cell>
          <cell r="I673">
            <v>43058.841412037036</v>
          </cell>
          <cell r="J673">
            <v>2.6666666666666668E-2</v>
          </cell>
        </row>
        <row r="674">
          <cell r="A674" t="str">
            <v>BASICO</v>
          </cell>
          <cell r="B674" t="str">
            <v>OUX2321</v>
          </cell>
          <cell r="G674">
            <v>-3829671600</v>
          </cell>
          <cell r="H674">
            <v>43058.852800925924</v>
          </cell>
          <cell r="I674">
            <v>43058.871307870373</v>
          </cell>
          <cell r="J674">
            <v>1.8506944444444444E-2</v>
          </cell>
        </row>
        <row r="675">
          <cell r="A675" t="str">
            <v>BASICO</v>
          </cell>
          <cell r="B675" t="str">
            <v>OUX2321</v>
          </cell>
          <cell r="G675">
            <v>-3832368400</v>
          </cell>
          <cell r="H675">
            <v>43058.879803240743</v>
          </cell>
          <cell r="I675">
            <v>43058.896655092591</v>
          </cell>
          <cell r="J675">
            <v>1.6851851851851851E-2</v>
          </cell>
        </row>
        <row r="676">
          <cell r="A676" t="str">
            <v>BASICO</v>
          </cell>
          <cell r="B676" t="str">
            <v>OUX2321</v>
          </cell>
          <cell r="G676">
            <v>-3835033800</v>
          </cell>
          <cell r="H676">
            <v>43058.903599537036</v>
          </cell>
          <cell r="I676">
            <v>43058.907685185186</v>
          </cell>
          <cell r="J676">
            <v>4.0856481481481481E-3</v>
          </cell>
        </row>
        <row r="677">
          <cell r="A677" t="str">
            <v>BASICO</v>
          </cell>
          <cell r="B677" t="str">
            <v>OUX2321</v>
          </cell>
          <cell r="G677">
            <v>-3832340900</v>
          </cell>
          <cell r="H677">
            <v>43058.915185185186</v>
          </cell>
          <cell r="I677">
            <v>43058.964999999997</v>
          </cell>
          <cell r="J677">
            <v>4.9814814814814812E-2</v>
          </cell>
        </row>
        <row r="678">
          <cell r="A678" t="str">
            <v>BASICO</v>
          </cell>
          <cell r="B678" t="str">
            <v>OUX2321</v>
          </cell>
          <cell r="G678">
            <v>-3832095400</v>
          </cell>
          <cell r="H678">
            <v>43058.967488425929</v>
          </cell>
          <cell r="I678">
            <v>43058.968425925923</v>
          </cell>
          <cell r="J678">
            <v>9.3750000000000007E-4</v>
          </cell>
        </row>
        <row r="679">
          <cell r="A679" t="str">
            <v>BASICO</v>
          </cell>
          <cell r="B679" t="str">
            <v>OUX2321</v>
          </cell>
          <cell r="G679">
            <v>-3829100100</v>
          </cell>
          <cell r="H679">
            <v>43058.991342592592</v>
          </cell>
          <cell r="I679">
            <v>43059.019930555558</v>
          </cell>
          <cell r="J679">
            <v>2.8587962962962964E-2</v>
          </cell>
        </row>
        <row r="680">
          <cell r="A680" t="str">
            <v>BASICO</v>
          </cell>
          <cell r="B680" t="str">
            <v>OUX2321</v>
          </cell>
          <cell r="G680">
            <v>-3832708600</v>
          </cell>
          <cell r="H680">
            <v>43059.025555555556</v>
          </cell>
          <cell r="I680">
            <v>43059.660833333335</v>
          </cell>
          <cell r="J680">
            <v>0.63527777777777772</v>
          </cell>
        </row>
        <row r="681">
          <cell r="A681" t="str">
            <v>TOUCH</v>
          </cell>
          <cell r="B681" t="str">
            <v>PKE2278</v>
          </cell>
          <cell r="G681">
            <v>-3832517100</v>
          </cell>
          <cell r="H681">
            <v>43059.273541666669</v>
          </cell>
          <cell r="I681">
            <v>43059.307673611111</v>
          </cell>
          <cell r="J681">
            <v>3.4131944444444444E-2</v>
          </cell>
        </row>
        <row r="682">
          <cell r="A682" t="str">
            <v>TOUCH</v>
          </cell>
          <cell r="B682" t="str">
            <v>PKE2278</v>
          </cell>
          <cell r="G682">
            <v>-3830404500</v>
          </cell>
          <cell r="H682">
            <v>43059.317256944443</v>
          </cell>
          <cell r="I682">
            <v>43059.323854166665</v>
          </cell>
          <cell r="J682">
            <v>6.5972222222222222E-3</v>
          </cell>
        </row>
        <row r="683">
          <cell r="A683" t="str">
            <v>TOUCH</v>
          </cell>
          <cell r="B683" t="str">
            <v>PKE2278</v>
          </cell>
          <cell r="G683">
            <v>-3828500300</v>
          </cell>
          <cell r="H683">
            <v>43059.334270833337</v>
          </cell>
          <cell r="I683">
            <v>43059.353437500002</v>
          </cell>
          <cell r="J683">
            <v>1.9166666666666669E-2</v>
          </cell>
        </row>
        <row r="684">
          <cell r="A684" t="str">
            <v>TOUCH</v>
          </cell>
          <cell r="B684" t="str">
            <v>PKE2278</v>
          </cell>
          <cell r="G684">
            <v>-3828124300</v>
          </cell>
          <cell r="H684">
            <v>43059.357025462959</v>
          </cell>
          <cell r="I684">
            <v>43059.39539351852</v>
          </cell>
          <cell r="J684">
            <v>3.8368055555555551E-2</v>
          </cell>
        </row>
        <row r="685">
          <cell r="A685" t="str">
            <v>TOUCH</v>
          </cell>
          <cell r="B685" t="str">
            <v>PKE2278</v>
          </cell>
          <cell r="G685">
            <v>-3828233800</v>
          </cell>
          <cell r="H685">
            <v>43059.397499999999</v>
          </cell>
          <cell r="I685">
            <v>43059.459791666668</v>
          </cell>
          <cell r="J685">
            <v>6.2291666666666669E-2</v>
          </cell>
        </row>
        <row r="686">
          <cell r="A686" t="str">
            <v>TOUCH</v>
          </cell>
          <cell r="B686" t="str">
            <v>PKE2278</v>
          </cell>
          <cell r="G686">
            <v>-3832720800</v>
          </cell>
          <cell r="H686">
            <v>43059.470034722224</v>
          </cell>
          <cell r="I686">
            <v>43059.480891203704</v>
          </cell>
          <cell r="J686">
            <v>1.0856481481481481E-2</v>
          </cell>
        </row>
        <row r="687">
          <cell r="A687" t="str">
            <v>TOUCH</v>
          </cell>
          <cell r="B687" t="str">
            <v>PKE2278</v>
          </cell>
          <cell r="G687">
            <v>-3834299400</v>
          </cell>
          <cell r="H687">
            <v>43059.484872685185</v>
          </cell>
          <cell r="I687">
            <v>43059.499884259261</v>
          </cell>
          <cell r="J687">
            <v>1.5011574074074075E-2</v>
          </cell>
        </row>
        <row r="688">
          <cell r="A688" t="str">
            <v>TOUCH</v>
          </cell>
          <cell r="B688" t="str">
            <v>PKE2278</v>
          </cell>
          <cell r="G688">
            <v>-3834366000</v>
          </cell>
          <cell r="H688">
            <v>43059.511342592596</v>
          </cell>
          <cell r="I688">
            <v>43059.565347222226</v>
          </cell>
          <cell r="J688">
            <v>5.4004629629629632E-2</v>
          </cell>
        </row>
        <row r="689">
          <cell r="A689" t="str">
            <v>TOUCH</v>
          </cell>
          <cell r="B689" t="str">
            <v>PKE2278</v>
          </cell>
          <cell r="G689">
            <v>-3834773200</v>
          </cell>
          <cell r="H689">
            <v>43059.567291666666</v>
          </cell>
          <cell r="I689">
            <v>43059.583182870374</v>
          </cell>
          <cell r="J689">
            <v>1.5891203703703703E-2</v>
          </cell>
        </row>
        <row r="690">
          <cell r="A690" t="str">
            <v>TOUCH</v>
          </cell>
          <cell r="B690" t="str">
            <v>PKE2278</v>
          </cell>
          <cell r="G690">
            <v>-3830660600</v>
          </cell>
          <cell r="H690">
            <v>43059.598495370374</v>
          </cell>
          <cell r="I690">
            <v>43059.608148148145</v>
          </cell>
          <cell r="J690">
            <v>9.6527777777777775E-3</v>
          </cell>
        </row>
        <row r="691">
          <cell r="A691" t="str">
            <v>TOUCH</v>
          </cell>
          <cell r="B691" t="str">
            <v>PKE2278</v>
          </cell>
          <cell r="G691">
            <v>-3830829100</v>
          </cell>
          <cell r="H691">
            <v>43059.610405092593</v>
          </cell>
          <cell r="I691">
            <v>43059.619467592594</v>
          </cell>
          <cell r="J691">
            <v>9.0624999999999994E-3</v>
          </cell>
        </row>
        <row r="692">
          <cell r="A692" t="str">
            <v>TOUCH</v>
          </cell>
          <cell r="B692" t="str">
            <v>PKE2278</v>
          </cell>
          <cell r="G692">
            <v>-3831854100</v>
          </cell>
          <cell r="H692">
            <v>43059.623287037037</v>
          </cell>
          <cell r="I692">
            <v>43059.624097222222</v>
          </cell>
          <cell r="J692">
            <v>8.1018518518518516E-4</v>
          </cell>
        </row>
        <row r="693">
          <cell r="A693" t="str">
            <v>TOUCH</v>
          </cell>
          <cell r="B693" t="str">
            <v>PKE2278</v>
          </cell>
          <cell r="G693">
            <v>-3832722000</v>
          </cell>
          <cell r="H693">
            <v>43059.627974537034</v>
          </cell>
          <cell r="I693">
            <v>43059.666620370372</v>
          </cell>
          <cell r="J693">
            <v>3.8645833333333331E-2</v>
          </cell>
        </row>
        <row r="694">
          <cell r="A694" t="str">
            <v>BASICO</v>
          </cell>
          <cell r="B694" t="str">
            <v>OUX2321</v>
          </cell>
          <cell r="G694">
            <v>-3833121000</v>
          </cell>
          <cell r="H694">
            <v>43059.662916666668</v>
          </cell>
          <cell r="I694">
            <v>43059.668229166666</v>
          </cell>
          <cell r="J694">
            <v>5.3125000000000004E-3</v>
          </cell>
        </row>
        <row r="695">
          <cell r="A695" t="str">
            <v>TOUCH</v>
          </cell>
          <cell r="B695" t="str">
            <v>PKE2278</v>
          </cell>
          <cell r="G695">
            <v>-3833323700</v>
          </cell>
          <cell r="H695">
            <v>43059.672129629631</v>
          </cell>
          <cell r="I695">
            <v>43059.691331018519</v>
          </cell>
          <cell r="J695">
            <v>1.9201388888888889E-2</v>
          </cell>
        </row>
        <row r="696">
          <cell r="A696" t="str">
            <v>BASICO</v>
          </cell>
          <cell r="B696" t="str">
            <v>OUX2321</v>
          </cell>
          <cell r="G696">
            <v>-3835622700</v>
          </cell>
          <cell r="H696">
            <v>43059.682974537034</v>
          </cell>
          <cell r="I696">
            <v>43059.734039351853</v>
          </cell>
          <cell r="J696">
            <v>5.1064814814814813E-2</v>
          </cell>
        </row>
        <row r="697">
          <cell r="A697" t="str">
            <v>TOUCH</v>
          </cell>
          <cell r="B697" t="str">
            <v>PKE2278</v>
          </cell>
          <cell r="G697">
            <v>-3832722800</v>
          </cell>
          <cell r="H697">
            <v>43059.69636574074</v>
          </cell>
          <cell r="I697">
            <v>43059.702581018515</v>
          </cell>
          <cell r="J697">
            <v>6.215277777777777E-3</v>
          </cell>
        </row>
        <row r="698">
          <cell r="A698" t="str">
            <v>TOUCH</v>
          </cell>
          <cell r="B698" t="str">
            <v>PKE2278</v>
          </cell>
          <cell r="G698">
            <v>-3832727900</v>
          </cell>
          <cell r="H698">
            <v>43059.706643518519</v>
          </cell>
          <cell r="I698">
            <v>43059.90834490741</v>
          </cell>
          <cell r="J698">
            <v>0.20170138888888889</v>
          </cell>
        </row>
        <row r="699">
          <cell r="A699" t="str">
            <v>BASICO</v>
          </cell>
          <cell r="B699" t="str">
            <v>OUX2321</v>
          </cell>
          <cell r="G699">
            <v>-3830771900</v>
          </cell>
          <cell r="H699">
            <v>43059.750428240739</v>
          </cell>
          <cell r="I699">
            <v>43059.770358796297</v>
          </cell>
          <cell r="J699">
            <v>1.9930555555555556E-2</v>
          </cell>
        </row>
        <row r="700">
          <cell r="A700" t="str">
            <v>BASICO</v>
          </cell>
          <cell r="B700" t="str">
            <v>OUX2321</v>
          </cell>
          <cell r="G700">
            <v>-3828952200</v>
          </cell>
          <cell r="H700">
            <v>43059.779803240737</v>
          </cell>
          <cell r="I700">
            <v>43059.79011574074</v>
          </cell>
          <cell r="J700">
            <v>1.03125E-2</v>
          </cell>
        </row>
        <row r="701">
          <cell r="A701" t="str">
            <v>BASICO</v>
          </cell>
          <cell r="B701" t="str">
            <v>OUX2321</v>
          </cell>
          <cell r="G701">
            <v>-3828906800</v>
          </cell>
          <cell r="H701">
            <v>43059.792094907411</v>
          </cell>
          <cell r="I701">
            <v>43059.826608796298</v>
          </cell>
          <cell r="J701">
            <v>3.4513888888888893E-2</v>
          </cell>
        </row>
        <row r="702">
          <cell r="A702" t="str">
            <v>BASICO</v>
          </cell>
          <cell r="B702" t="str">
            <v>OUX2321</v>
          </cell>
          <cell r="G702">
            <v>-3831382800</v>
          </cell>
          <cell r="H702">
            <v>43059.835046296299</v>
          </cell>
          <cell r="I702">
            <v>43059.838750000003</v>
          </cell>
          <cell r="J702">
            <v>3.7037037037037034E-3</v>
          </cell>
        </row>
        <row r="703">
          <cell r="A703" t="str">
            <v>BASICO</v>
          </cell>
          <cell r="B703" t="str">
            <v>OUX2321</v>
          </cell>
          <cell r="G703">
            <v>-3831825800</v>
          </cell>
          <cell r="H703">
            <v>43059.843101851853</v>
          </cell>
          <cell r="I703">
            <v>43059.853194444448</v>
          </cell>
          <cell r="J703">
            <v>1.0092592592592592E-2</v>
          </cell>
        </row>
        <row r="704">
          <cell r="A704" t="str">
            <v>BASICO</v>
          </cell>
          <cell r="B704" t="str">
            <v>OUX2321</v>
          </cell>
          <cell r="G704">
            <v>-3833190200</v>
          </cell>
          <cell r="H704">
            <v>43059.864340277774</v>
          </cell>
          <cell r="I704">
            <v>43059.888495370367</v>
          </cell>
          <cell r="J704">
            <v>2.4155092592592589E-2</v>
          </cell>
        </row>
        <row r="705">
          <cell r="A705" t="str">
            <v>BASICO</v>
          </cell>
          <cell r="B705" t="str">
            <v>OUX2321</v>
          </cell>
          <cell r="G705">
            <v>-3834072200</v>
          </cell>
          <cell r="H705">
            <v>43059.8987037037</v>
          </cell>
          <cell r="I705">
            <v>43059.961643518516</v>
          </cell>
          <cell r="J705">
            <v>6.293981481481481E-2</v>
          </cell>
        </row>
        <row r="706">
          <cell r="A706" t="str">
            <v>TOUCH</v>
          </cell>
          <cell r="B706" t="str">
            <v>PKE2278</v>
          </cell>
          <cell r="G706">
            <v>-3831882900</v>
          </cell>
          <cell r="H706">
            <v>43059.911736111113</v>
          </cell>
          <cell r="I706">
            <v>43059.946087962962</v>
          </cell>
          <cell r="J706">
            <v>3.4351851851851849E-2</v>
          </cell>
        </row>
        <row r="707">
          <cell r="A707" t="str">
            <v>TOUCH</v>
          </cell>
          <cell r="B707" t="str">
            <v>PKE2278</v>
          </cell>
          <cell r="G707">
            <v>-3833409500</v>
          </cell>
          <cell r="H707">
            <v>43059.964409722219</v>
          </cell>
          <cell r="I707">
            <v>43059.987372685187</v>
          </cell>
          <cell r="J707">
            <v>2.2962962962962966E-2</v>
          </cell>
        </row>
        <row r="708">
          <cell r="A708" t="str">
            <v>BASICO</v>
          </cell>
          <cell r="B708" t="str">
            <v>OUX2321</v>
          </cell>
          <cell r="G708">
            <v>-3832710300</v>
          </cell>
          <cell r="H708">
            <v>43059.967546296299</v>
          </cell>
          <cell r="I708">
            <v>43059.968935185185</v>
          </cell>
          <cell r="J708">
            <v>1.3888888888888889E-3</v>
          </cell>
        </row>
        <row r="709">
          <cell r="A709" t="str">
            <v>BASICO</v>
          </cell>
          <cell r="B709" t="str">
            <v>OUX2321</v>
          </cell>
          <cell r="G709">
            <v>-3832491400</v>
          </cell>
          <cell r="H709">
            <v>43059.973796296297</v>
          </cell>
          <cell r="I709">
            <v>43060.012662037036</v>
          </cell>
          <cell r="J709">
            <v>3.8865740740740742E-2</v>
          </cell>
        </row>
        <row r="710">
          <cell r="A710" t="str">
            <v>TOUCH</v>
          </cell>
          <cell r="B710" t="str">
            <v>PKE2278</v>
          </cell>
          <cell r="G710">
            <v>-3832709200</v>
          </cell>
          <cell r="H710">
            <v>43059.998993055553</v>
          </cell>
          <cell r="I710">
            <v>43060.666759259257</v>
          </cell>
          <cell r="J710">
            <v>0.66776620370370365</v>
          </cell>
        </row>
        <row r="711">
          <cell r="A711" t="str">
            <v>BASICO</v>
          </cell>
          <cell r="B711" t="str">
            <v>OUX2321</v>
          </cell>
          <cell r="G711">
            <v>-3832713400</v>
          </cell>
          <cell r="H711">
            <v>43060.018113425926</v>
          </cell>
          <cell r="I711">
            <v>43060.363854166666</v>
          </cell>
          <cell r="J711">
            <v>0.34574074074074074</v>
          </cell>
        </row>
        <row r="712">
          <cell r="A712" t="str">
            <v>BASICO</v>
          </cell>
          <cell r="B712" t="str">
            <v>PXC3702</v>
          </cell>
          <cell r="G712">
            <v>-3832523200</v>
          </cell>
          <cell r="H712">
            <v>43060.274421296293</v>
          </cell>
          <cell r="I712">
            <v>43060.289479166669</v>
          </cell>
          <cell r="J712">
            <v>1.5057870370370369E-2</v>
          </cell>
        </row>
        <row r="713">
          <cell r="A713" t="str">
            <v>BASICO</v>
          </cell>
          <cell r="B713" t="str">
            <v>PXC3702</v>
          </cell>
          <cell r="G713">
            <v>-3832016400</v>
          </cell>
          <cell r="H713">
            <v>43060.294733796298</v>
          </cell>
          <cell r="I713">
            <v>43060.302222222221</v>
          </cell>
          <cell r="J713">
            <v>7.4884259259259262E-3</v>
          </cell>
        </row>
        <row r="714">
          <cell r="A714" t="str">
            <v>BASICO</v>
          </cell>
          <cell r="B714" t="str">
            <v>PXC3702</v>
          </cell>
          <cell r="G714">
            <v>-3831995000</v>
          </cell>
          <cell r="H714">
            <v>43060.304583333331</v>
          </cell>
          <cell r="I714">
            <v>43060.333657407406</v>
          </cell>
          <cell r="J714">
            <v>2.9074074074074075E-2</v>
          </cell>
        </row>
        <row r="715">
          <cell r="A715" t="str">
            <v>BASICO</v>
          </cell>
          <cell r="B715" t="str">
            <v>PXC3702</v>
          </cell>
          <cell r="G715">
            <v>-3831177700</v>
          </cell>
          <cell r="H715">
            <v>43060.34175925926</v>
          </cell>
          <cell r="I715">
            <v>43060.350983796299</v>
          </cell>
          <cell r="J715">
            <v>9.2245370370370363E-3</v>
          </cell>
        </row>
        <row r="716">
          <cell r="A716" t="str">
            <v>BASICO</v>
          </cell>
          <cell r="B716" t="str">
            <v>PXC3702</v>
          </cell>
          <cell r="G716">
            <v>-3831854900</v>
          </cell>
          <cell r="H716">
            <v>43060.357199074075</v>
          </cell>
          <cell r="I716">
            <v>43060.359456018516</v>
          </cell>
          <cell r="J716">
            <v>2.2569444444444447E-3</v>
          </cell>
        </row>
        <row r="717">
          <cell r="A717" t="str">
            <v>BASICO</v>
          </cell>
          <cell r="B717" t="str">
            <v>PXC3702</v>
          </cell>
          <cell r="G717">
            <v>-3832722200</v>
          </cell>
          <cell r="H717">
            <v>43060.364016203705</v>
          </cell>
          <cell r="I717">
            <v>43060.382615740738</v>
          </cell>
          <cell r="J717">
            <v>1.8599537037037036E-2</v>
          </cell>
        </row>
        <row r="718">
          <cell r="A718" t="str">
            <v>BASICO</v>
          </cell>
          <cell r="B718" t="str">
            <v>OUX2321</v>
          </cell>
          <cell r="G718">
            <v>-3832840300</v>
          </cell>
          <cell r="H718">
            <v>43060.369270833333</v>
          </cell>
          <cell r="I718">
            <v>43060.464930555558</v>
          </cell>
          <cell r="J718">
            <v>9.5659722222222229E-2</v>
          </cell>
        </row>
        <row r="719">
          <cell r="A719" t="str">
            <v>BASICO</v>
          </cell>
          <cell r="B719" t="str">
            <v>PXC3702</v>
          </cell>
          <cell r="G719">
            <v>-3833450000</v>
          </cell>
          <cell r="H719">
            <v>43060.386643518519</v>
          </cell>
          <cell r="I719">
            <v>43060.387662037036</v>
          </cell>
          <cell r="J719">
            <v>1.0185185185185186E-3</v>
          </cell>
        </row>
        <row r="720">
          <cell r="A720" t="str">
            <v>BASICO</v>
          </cell>
          <cell r="B720" t="str">
            <v>PXC3702</v>
          </cell>
          <cell r="G720">
            <v>-3834101800</v>
          </cell>
          <cell r="H720">
            <v>43060.390682870369</v>
          </cell>
          <cell r="I720">
            <v>43060.407118055555</v>
          </cell>
          <cell r="J720">
            <v>1.6435185185185188E-2</v>
          </cell>
        </row>
        <row r="721">
          <cell r="A721" t="str">
            <v>BASICO</v>
          </cell>
          <cell r="B721" t="str">
            <v>PXC3702</v>
          </cell>
          <cell r="G721">
            <v>-3834271200</v>
          </cell>
          <cell r="H721">
            <v>43060.412291666667</v>
          </cell>
          <cell r="I721">
            <v>43060.426041666666</v>
          </cell>
          <cell r="J721">
            <v>1.375E-2</v>
          </cell>
        </row>
        <row r="722">
          <cell r="A722" t="str">
            <v>BASICO</v>
          </cell>
          <cell r="B722" t="str">
            <v>PXC3702</v>
          </cell>
          <cell r="G722">
            <v>-3835580300</v>
          </cell>
          <cell r="H722">
            <v>43060.434791666667</v>
          </cell>
          <cell r="I722">
            <v>43060.435706018521</v>
          </cell>
          <cell r="J722">
            <v>9.1435185185185185E-4</v>
          </cell>
        </row>
        <row r="723">
          <cell r="A723" t="str">
            <v>BASICO</v>
          </cell>
          <cell r="B723" t="str">
            <v>PXC3702</v>
          </cell>
          <cell r="G723">
            <v>-3835399200</v>
          </cell>
          <cell r="H723">
            <v>43060.442048611112</v>
          </cell>
          <cell r="I723">
            <v>43060.453888888886</v>
          </cell>
          <cell r="J723">
            <v>1.1840277777777778E-2</v>
          </cell>
        </row>
        <row r="724">
          <cell r="A724" t="str">
            <v>BASICO</v>
          </cell>
          <cell r="B724" t="str">
            <v>PXC3702</v>
          </cell>
          <cell r="G724">
            <v>-3834505900</v>
          </cell>
          <cell r="H724">
            <v>43060.462847222225</v>
          </cell>
          <cell r="I724">
            <v>43060.476875</v>
          </cell>
          <cell r="J724">
            <v>1.4027777777777778E-2</v>
          </cell>
        </row>
        <row r="725">
          <cell r="A725" t="str">
            <v>BASICO</v>
          </cell>
          <cell r="B725" t="str">
            <v>OUX2321</v>
          </cell>
          <cell r="G725">
            <v>-3832726200</v>
          </cell>
          <cell r="H725">
            <v>43060.471122685187</v>
          </cell>
          <cell r="I725">
            <v>43060.53292824074</v>
          </cell>
          <cell r="J725">
            <v>6.1805555555555558E-2</v>
          </cell>
        </row>
        <row r="726">
          <cell r="A726" t="str">
            <v>BASICO</v>
          </cell>
          <cell r="B726" t="str">
            <v>PXC3702</v>
          </cell>
          <cell r="G726">
            <v>-3832720000</v>
          </cell>
          <cell r="H726">
            <v>43060.486875000002</v>
          </cell>
          <cell r="I726">
            <v>43060.546446759261</v>
          </cell>
          <cell r="J726">
            <v>5.9571759259259262E-2</v>
          </cell>
        </row>
        <row r="727">
          <cell r="A727" t="str">
            <v>BASICO</v>
          </cell>
          <cell r="B727" t="str">
            <v>OUX2321</v>
          </cell>
          <cell r="G727">
            <v>-3832716000</v>
          </cell>
          <cell r="H727">
            <v>43060.538831018515</v>
          </cell>
          <cell r="I727">
            <v>43060.552199074074</v>
          </cell>
          <cell r="J727">
            <v>1.3368055555555557E-2</v>
          </cell>
        </row>
        <row r="728">
          <cell r="A728" t="str">
            <v>BASICO</v>
          </cell>
          <cell r="B728" t="str">
            <v>PXC3702</v>
          </cell>
          <cell r="G728">
            <v>-3831690700</v>
          </cell>
          <cell r="H728">
            <v>43060.552129629628</v>
          </cell>
          <cell r="I728">
            <v>43060.564502314817</v>
          </cell>
          <cell r="J728">
            <v>1.2372685185185186E-2</v>
          </cell>
        </row>
        <row r="729">
          <cell r="A729" t="str">
            <v>BASICO</v>
          </cell>
          <cell r="B729" t="str">
            <v>PXC3702</v>
          </cell>
          <cell r="G729">
            <v>-3831803900</v>
          </cell>
          <cell r="H729">
            <v>43060.566550925927</v>
          </cell>
          <cell r="I729">
            <v>43060.567627314813</v>
          </cell>
          <cell r="J729">
            <v>1.0763888888888889E-3</v>
          </cell>
        </row>
        <row r="730">
          <cell r="A730" t="str">
            <v>BASICO</v>
          </cell>
          <cell r="B730" t="str">
            <v>OUX2321</v>
          </cell>
          <cell r="G730">
            <v>-3832882600</v>
          </cell>
          <cell r="H730">
            <v>43060.5700462963</v>
          </cell>
          <cell r="I730">
            <v>43060.601273148146</v>
          </cell>
          <cell r="J730">
            <v>3.1226851851851853E-2</v>
          </cell>
        </row>
        <row r="731">
          <cell r="A731" t="str">
            <v>BASICO</v>
          </cell>
          <cell r="B731" t="str">
            <v>PXC3702</v>
          </cell>
          <cell r="G731">
            <v>-3829822400</v>
          </cell>
          <cell r="H731">
            <v>43060.583460648151</v>
          </cell>
          <cell r="I731">
            <v>43060.603888888887</v>
          </cell>
          <cell r="J731">
            <v>2.0428240740740743E-2</v>
          </cell>
        </row>
        <row r="732">
          <cell r="A732" t="str">
            <v>BASICO</v>
          </cell>
          <cell r="B732" t="str">
            <v>OUX2321</v>
          </cell>
          <cell r="G732">
            <v>-3832708900</v>
          </cell>
          <cell r="H732">
            <v>43060.602824074071</v>
          </cell>
          <cell r="I732">
            <v>43061.441793981481</v>
          </cell>
          <cell r="J732">
            <v>0.8389699074074074</v>
          </cell>
        </row>
        <row r="733">
          <cell r="A733" t="str">
            <v>BASICO</v>
          </cell>
          <cell r="B733" t="str">
            <v>PXC3702</v>
          </cell>
          <cell r="G733">
            <v>-3829613000</v>
          </cell>
          <cell r="H733">
            <v>43060.60696759259</v>
          </cell>
          <cell r="I733">
            <v>43060.608576388891</v>
          </cell>
          <cell r="J733">
            <v>1.6087962962962963E-3</v>
          </cell>
        </row>
        <row r="734">
          <cell r="A734" t="str">
            <v>BASICO</v>
          </cell>
          <cell r="B734" t="str">
            <v>PXC3702</v>
          </cell>
          <cell r="G734">
            <v>-3831069200</v>
          </cell>
          <cell r="H734">
            <v>43060.616689814815</v>
          </cell>
          <cell r="I734">
            <v>43060.620937500003</v>
          </cell>
          <cell r="J734">
            <v>4.2476851851851851E-3</v>
          </cell>
        </row>
        <row r="735">
          <cell r="A735" t="str">
            <v>BASICO</v>
          </cell>
          <cell r="B735" t="str">
            <v>PXC3702</v>
          </cell>
          <cell r="G735">
            <v>-3832723600</v>
          </cell>
          <cell r="H735">
            <v>43060.626932870371</v>
          </cell>
          <cell r="I735">
            <v>43061.300486111111</v>
          </cell>
          <cell r="J735">
            <v>0.67355324074074074</v>
          </cell>
        </row>
        <row r="736">
          <cell r="A736" t="str">
            <v>TOUCH</v>
          </cell>
          <cell r="B736" t="str">
            <v>PKE2278</v>
          </cell>
          <cell r="G736">
            <v>-3833472200</v>
          </cell>
          <cell r="H736">
            <v>43060.670289351852</v>
          </cell>
          <cell r="I736">
            <v>43060.671400462961</v>
          </cell>
          <cell r="J736">
            <v>1.1111111111111111E-3</v>
          </cell>
        </row>
        <row r="737">
          <cell r="A737" t="str">
            <v>TOUCH</v>
          </cell>
          <cell r="B737" t="str">
            <v>PKE2278</v>
          </cell>
          <cell r="G737">
            <v>-3835256600</v>
          </cell>
          <cell r="H737">
            <v>43060.688425925924</v>
          </cell>
          <cell r="I737">
            <v>43060.699178240742</v>
          </cell>
          <cell r="J737">
            <v>1.0752314814814814E-2</v>
          </cell>
        </row>
        <row r="738">
          <cell r="A738" t="str">
            <v>TOUCH</v>
          </cell>
          <cell r="B738" t="str">
            <v>PKE2278</v>
          </cell>
          <cell r="G738">
            <v>-3835595600</v>
          </cell>
          <cell r="H738">
            <v>43060.706469907411</v>
          </cell>
          <cell r="I738">
            <v>43060.714745370373</v>
          </cell>
          <cell r="J738">
            <v>8.2754629629629619E-3</v>
          </cell>
        </row>
        <row r="739">
          <cell r="A739" t="str">
            <v>TOUCH</v>
          </cell>
          <cell r="B739" t="str">
            <v>PKE2278</v>
          </cell>
          <cell r="G739">
            <v>-3833921500</v>
          </cell>
          <cell r="H739">
            <v>43060.71974537037</v>
          </cell>
          <cell r="I739">
            <v>43060.724120370367</v>
          </cell>
          <cell r="J739">
            <v>4.3749999999999995E-3</v>
          </cell>
        </row>
        <row r="740">
          <cell r="A740" t="str">
            <v>TOUCH</v>
          </cell>
          <cell r="B740" t="str">
            <v>PKE2278</v>
          </cell>
          <cell r="G740">
            <v>-3833836000</v>
          </cell>
          <cell r="H740">
            <v>43060.726099537038</v>
          </cell>
          <cell r="I740">
            <v>43060.742060185185</v>
          </cell>
          <cell r="J740">
            <v>1.5960648148148151E-2</v>
          </cell>
        </row>
        <row r="741">
          <cell r="A741" t="str">
            <v>TOUCH</v>
          </cell>
          <cell r="B741" t="str">
            <v>PKE2278</v>
          </cell>
          <cell r="G741">
            <v>-3833426900</v>
          </cell>
          <cell r="H741">
            <v>43060.746863425928</v>
          </cell>
          <cell r="I741">
            <v>43060.772870370369</v>
          </cell>
          <cell r="J741">
            <v>2.6006944444444447E-2</v>
          </cell>
        </row>
        <row r="742">
          <cell r="A742" t="str">
            <v>TOUCH</v>
          </cell>
          <cell r="B742" t="str">
            <v>PKE2278</v>
          </cell>
          <cell r="G742">
            <v>-3832286700</v>
          </cell>
          <cell r="H742">
            <v>43060.784918981481</v>
          </cell>
          <cell r="I742">
            <v>43060.786828703705</v>
          </cell>
          <cell r="J742">
            <v>1.9097222222222222E-3</v>
          </cell>
        </row>
        <row r="743">
          <cell r="A743" t="str">
            <v>TOUCH</v>
          </cell>
          <cell r="B743" t="str">
            <v>PKE2278</v>
          </cell>
          <cell r="G743">
            <v>-3834655800</v>
          </cell>
          <cell r="H743">
            <v>43060.792175925926</v>
          </cell>
          <cell r="I743">
            <v>43060.81212962963</v>
          </cell>
          <cell r="J743">
            <v>1.9953703703703706E-2</v>
          </cell>
        </row>
        <row r="744">
          <cell r="A744" t="str">
            <v>TOUCH</v>
          </cell>
          <cell r="B744" t="str">
            <v>PKE2278</v>
          </cell>
          <cell r="G744">
            <v>-3835301800</v>
          </cell>
          <cell r="H744">
            <v>43060.819606481484</v>
          </cell>
          <cell r="I744">
            <v>43060.834953703707</v>
          </cell>
          <cell r="J744">
            <v>1.5347222222222222E-2</v>
          </cell>
        </row>
        <row r="745">
          <cell r="A745" t="str">
            <v>TOUCH</v>
          </cell>
          <cell r="B745" t="str">
            <v>PKE2278</v>
          </cell>
          <cell r="G745">
            <v>-3832720100</v>
          </cell>
          <cell r="H745">
            <v>43060.843321759261</v>
          </cell>
          <cell r="I745">
            <v>43060.85491898148</v>
          </cell>
          <cell r="J745">
            <v>1.1597222222222222E-2</v>
          </cell>
        </row>
        <row r="746">
          <cell r="A746" t="str">
            <v>TOUCH</v>
          </cell>
          <cell r="B746" t="str">
            <v>PKE2278</v>
          </cell>
          <cell r="G746">
            <v>-3832766700</v>
          </cell>
          <cell r="H746">
            <v>43060.858599537038</v>
          </cell>
          <cell r="I746">
            <v>43060.868761574071</v>
          </cell>
          <cell r="J746">
            <v>1.0162037037037037E-2</v>
          </cell>
        </row>
        <row r="747">
          <cell r="A747" t="str">
            <v>TOUCH</v>
          </cell>
          <cell r="B747" t="str">
            <v>PKE2278</v>
          </cell>
          <cell r="G747">
            <v>-3830886200</v>
          </cell>
          <cell r="H747">
            <v>43060.876435185186</v>
          </cell>
          <cell r="I747">
            <v>43060.88863425926</v>
          </cell>
          <cell r="J747">
            <v>1.2199074074074072E-2</v>
          </cell>
        </row>
        <row r="748">
          <cell r="A748" t="str">
            <v>TOUCH</v>
          </cell>
          <cell r="B748" t="str">
            <v>PKE2278</v>
          </cell>
          <cell r="G748">
            <v>-3830399800</v>
          </cell>
          <cell r="H748">
            <v>43060.900196759256</v>
          </cell>
          <cell r="I748">
            <v>43060.908703703702</v>
          </cell>
          <cell r="J748">
            <v>8.5069444444444437E-3</v>
          </cell>
        </row>
        <row r="749">
          <cell r="A749" t="str">
            <v>TOUCH</v>
          </cell>
          <cell r="B749" t="str">
            <v>PKE2278</v>
          </cell>
          <cell r="G749">
            <v>-3829343600</v>
          </cell>
          <cell r="H749">
            <v>43060.915405092594</v>
          </cell>
          <cell r="I749">
            <v>43060.933530092596</v>
          </cell>
          <cell r="J749">
            <v>1.8124999999999999E-2</v>
          </cell>
        </row>
        <row r="750">
          <cell r="A750" t="str">
            <v>TOUCH</v>
          </cell>
          <cell r="B750" t="str">
            <v>PKE2278</v>
          </cell>
          <cell r="G750">
            <v>-3829623800</v>
          </cell>
          <cell r="H750">
            <v>43060.937627314815</v>
          </cell>
          <cell r="I750">
            <v>43060.942442129628</v>
          </cell>
          <cell r="J750">
            <v>4.8148148148148152E-3</v>
          </cell>
        </row>
        <row r="751">
          <cell r="A751" t="str">
            <v>TOUCH</v>
          </cell>
          <cell r="B751" t="str">
            <v>PKE2278</v>
          </cell>
          <cell r="G751">
            <v>-3829997300</v>
          </cell>
          <cell r="H751">
            <v>43060.949259259258</v>
          </cell>
          <cell r="I751">
            <v>43060.952280092592</v>
          </cell>
          <cell r="J751">
            <v>3.0208333333333333E-3</v>
          </cell>
        </row>
        <row r="752">
          <cell r="A752" t="str">
            <v>TOUCH</v>
          </cell>
          <cell r="B752" t="str">
            <v>PKE2278</v>
          </cell>
          <cell r="G752">
            <v>-3830135800</v>
          </cell>
          <cell r="H752">
            <v>43060.955405092594</v>
          </cell>
          <cell r="I752">
            <v>43060.964456018519</v>
          </cell>
          <cell r="J752">
            <v>9.0509259259259258E-3</v>
          </cell>
        </row>
        <row r="753">
          <cell r="A753" t="str">
            <v>TOUCH</v>
          </cell>
          <cell r="B753" t="str">
            <v>PKE2278</v>
          </cell>
          <cell r="G753">
            <v>-3832531600</v>
          </cell>
          <cell r="H753">
            <v>43060.972511574073</v>
          </cell>
          <cell r="I753">
            <v>43061.015370370369</v>
          </cell>
          <cell r="J753">
            <v>4.2858796296296298E-2</v>
          </cell>
        </row>
        <row r="754">
          <cell r="A754" t="str">
            <v>TOUCH</v>
          </cell>
          <cell r="B754" t="str">
            <v>PKE2278</v>
          </cell>
          <cell r="G754">
            <v>-3832709400</v>
          </cell>
          <cell r="H754">
            <v>43061.020231481481</v>
          </cell>
          <cell r="I754">
            <v>43061.287534722222</v>
          </cell>
          <cell r="J754">
            <v>0.26730324074074074</v>
          </cell>
        </row>
        <row r="755">
          <cell r="A755" t="str">
            <v>TOUCH</v>
          </cell>
          <cell r="B755" t="str">
            <v>PKE2278</v>
          </cell>
          <cell r="G755">
            <v>-3830377200</v>
          </cell>
          <cell r="H755">
            <v>43061.301249999997</v>
          </cell>
          <cell r="I755">
            <v>43061.367442129631</v>
          </cell>
          <cell r="J755">
            <v>6.6192129629629629E-2</v>
          </cell>
        </row>
        <row r="756">
          <cell r="A756" t="str">
            <v>BASICO</v>
          </cell>
          <cell r="B756" t="str">
            <v>PXC3702</v>
          </cell>
          <cell r="G756">
            <v>-3832706700</v>
          </cell>
          <cell r="H756">
            <v>43061.30609953704</v>
          </cell>
          <cell r="I756" t="str">
            <v>--</v>
          </cell>
          <cell r="J756" t="str">
            <v>1 S 0 D 16:38:13</v>
          </cell>
        </row>
        <row r="757">
          <cell r="A757" t="str">
            <v>TOUCH</v>
          </cell>
          <cell r="B757" t="str">
            <v>PKE2278</v>
          </cell>
          <cell r="G757">
            <v>-3832745800</v>
          </cell>
          <cell r="H757">
            <v>43061.377766203703</v>
          </cell>
          <cell r="I757">
            <v>43061.424953703703</v>
          </cell>
          <cell r="J757">
            <v>4.71875E-2</v>
          </cell>
        </row>
        <row r="758">
          <cell r="A758" t="str">
            <v>TOUCH</v>
          </cell>
          <cell r="B758" t="str">
            <v>PKE2278</v>
          </cell>
          <cell r="G758">
            <v>-3832713300</v>
          </cell>
          <cell r="H758">
            <v>43061.430925925924</v>
          </cell>
          <cell r="I758">
            <v>43061.656354166669</v>
          </cell>
          <cell r="J758">
            <v>0.22542824074074075</v>
          </cell>
        </row>
        <row r="759">
          <cell r="A759" t="str">
            <v>BASICO</v>
          </cell>
          <cell r="B759" t="str">
            <v>OUX2321</v>
          </cell>
          <cell r="G759">
            <v>-3832217300</v>
          </cell>
          <cell r="H759">
            <v>43061.444710648146</v>
          </cell>
          <cell r="I759">
            <v>43061.446064814816</v>
          </cell>
          <cell r="J759">
            <v>1.3541666666666667E-3</v>
          </cell>
        </row>
        <row r="760">
          <cell r="A760" t="str">
            <v>BASICO</v>
          </cell>
          <cell r="B760" t="str">
            <v>OUX2321</v>
          </cell>
          <cell r="G760">
            <v>-3832636700</v>
          </cell>
          <cell r="H760">
            <v>43061.457106481481</v>
          </cell>
          <cell r="I760">
            <v>43061.489236111112</v>
          </cell>
          <cell r="J760">
            <v>3.2129629629629626E-2</v>
          </cell>
        </row>
        <row r="761">
          <cell r="A761" t="str">
            <v>BASICO</v>
          </cell>
          <cell r="B761" t="str">
            <v>OUX2321</v>
          </cell>
          <cell r="G761">
            <v>-3831084000</v>
          </cell>
          <cell r="H761">
            <v>43061.496666666666</v>
          </cell>
          <cell r="I761">
            <v>43061.563726851855</v>
          </cell>
          <cell r="J761">
            <v>6.7060185185185181E-2</v>
          </cell>
        </row>
        <row r="762">
          <cell r="A762" t="str">
            <v>BASICO</v>
          </cell>
          <cell r="B762" t="str">
            <v>OUX2321</v>
          </cell>
          <cell r="G762">
            <v>-3832270500</v>
          </cell>
          <cell r="H762">
            <v>43061.572581018518</v>
          </cell>
          <cell r="I762">
            <v>43061.58184027778</v>
          </cell>
          <cell r="J762">
            <v>9.2592592592592605E-3</v>
          </cell>
        </row>
        <row r="763">
          <cell r="A763" t="str">
            <v>BASICO</v>
          </cell>
          <cell r="B763" t="str">
            <v>OUX2321</v>
          </cell>
          <cell r="G763">
            <v>-3832723700</v>
          </cell>
          <cell r="H763">
            <v>43061.584930555553</v>
          </cell>
          <cell r="I763">
            <v>43061.655787037038</v>
          </cell>
          <cell r="J763">
            <v>7.0856481481481479E-2</v>
          </cell>
        </row>
        <row r="764">
          <cell r="A764" t="str">
            <v>BASICO</v>
          </cell>
          <cell r="B764" t="str">
            <v>OUX2321</v>
          </cell>
          <cell r="G764">
            <v>-3833429500</v>
          </cell>
          <cell r="H764">
            <v>43061.657627314817</v>
          </cell>
          <cell r="I764">
            <v>43061.658530092594</v>
          </cell>
          <cell r="J764">
            <v>9.0277777777777784E-4</v>
          </cell>
        </row>
        <row r="765">
          <cell r="A765" t="str">
            <v>TOUCH</v>
          </cell>
          <cell r="B765" t="str">
            <v>PKE2278</v>
          </cell>
          <cell r="G765">
            <v>-3833003000</v>
          </cell>
          <cell r="H765">
            <v>43061.660740740743</v>
          </cell>
          <cell r="I765">
            <v>43061.669722222221</v>
          </cell>
          <cell r="J765">
            <v>8.9814814814814809E-3</v>
          </cell>
        </row>
        <row r="766">
          <cell r="A766" t="str">
            <v>BASICO</v>
          </cell>
          <cell r="B766" t="str">
            <v>OUX2321</v>
          </cell>
          <cell r="G766">
            <v>-3835021800</v>
          </cell>
          <cell r="H766">
            <v>43061.664189814815</v>
          </cell>
          <cell r="I766">
            <v>43061.667488425926</v>
          </cell>
          <cell r="J766">
            <v>3.2986111111111111E-3</v>
          </cell>
        </row>
        <row r="767">
          <cell r="A767" t="str">
            <v>BASICO</v>
          </cell>
          <cell r="B767" t="str">
            <v>OUX2321</v>
          </cell>
          <cell r="G767">
            <v>-3834240000</v>
          </cell>
          <cell r="H767">
            <v>43061.672175925924</v>
          </cell>
          <cell r="I767">
            <v>43061.695011574076</v>
          </cell>
          <cell r="J767">
            <v>2.2835648148148147E-2</v>
          </cell>
        </row>
        <row r="768">
          <cell r="A768" t="str">
            <v>TOUCH</v>
          </cell>
          <cell r="B768" t="str">
            <v>PKE2278</v>
          </cell>
          <cell r="G768">
            <v>-3829344100</v>
          </cell>
          <cell r="H768">
            <v>43061.687743055554</v>
          </cell>
          <cell r="I768">
            <v>43061.738113425927</v>
          </cell>
          <cell r="J768">
            <v>5.0370370370370371E-2</v>
          </cell>
        </row>
        <row r="769">
          <cell r="A769" t="str">
            <v>BASICO</v>
          </cell>
          <cell r="B769" t="str">
            <v>OUX2321</v>
          </cell>
          <cell r="G769">
            <v>-3832478000</v>
          </cell>
          <cell r="H769">
            <v>43061.705393518518</v>
          </cell>
          <cell r="I769">
            <v>43061.718564814815</v>
          </cell>
          <cell r="J769">
            <v>1.3171296296296294E-2</v>
          </cell>
        </row>
        <row r="770">
          <cell r="A770" t="str">
            <v>BASICO</v>
          </cell>
          <cell r="B770" t="str">
            <v>OUX2321</v>
          </cell>
          <cell r="G770">
            <v>-3832016800</v>
          </cell>
          <cell r="H770">
            <v>43061.727071759262</v>
          </cell>
          <cell r="I770">
            <v>43061.752175925925</v>
          </cell>
          <cell r="J770">
            <v>2.5104166666666664E-2</v>
          </cell>
        </row>
        <row r="771">
          <cell r="A771" t="str">
            <v>TOUCH</v>
          </cell>
          <cell r="B771" t="str">
            <v>PKE2278</v>
          </cell>
          <cell r="G771">
            <v>-3829371800</v>
          </cell>
          <cell r="H771">
            <v>43061.739606481482</v>
          </cell>
          <cell r="I771">
            <v>43061.742268518516</v>
          </cell>
          <cell r="J771">
            <v>2.6620370370370374E-3</v>
          </cell>
        </row>
        <row r="772">
          <cell r="A772" t="str">
            <v>TOUCH</v>
          </cell>
          <cell r="B772" t="str">
            <v>PKE2278</v>
          </cell>
          <cell r="G772">
            <v>-3830184500</v>
          </cell>
          <cell r="H772">
            <v>43061.749942129631</v>
          </cell>
          <cell r="I772">
            <v>43061.768425925926</v>
          </cell>
          <cell r="J772">
            <v>1.8483796296296297E-2</v>
          </cell>
        </row>
        <row r="773">
          <cell r="A773" t="str">
            <v>TOUCH</v>
          </cell>
          <cell r="B773" t="str">
            <v>PKE2278</v>
          </cell>
          <cell r="G773">
            <v>-3830575600</v>
          </cell>
          <cell r="H773">
            <v>43061.771203703705</v>
          </cell>
          <cell r="I773">
            <v>43061.77853009259</v>
          </cell>
          <cell r="J773">
            <v>7.3263888888888892E-3</v>
          </cell>
        </row>
        <row r="774">
          <cell r="A774" t="str">
            <v>TOUCH</v>
          </cell>
          <cell r="B774" t="str">
            <v>PKE2278</v>
          </cell>
          <cell r="G774">
            <v>-3830676400</v>
          </cell>
          <cell r="H774">
            <v>43061.783587962964</v>
          </cell>
          <cell r="I774">
            <v>43061.799791666665</v>
          </cell>
          <cell r="J774">
            <v>1.6203703703703703E-2</v>
          </cell>
        </row>
        <row r="775">
          <cell r="A775" t="str">
            <v>BASICO</v>
          </cell>
          <cell r="B775" t="str">
            <v>OUX2321</v>
          </cell>
          <cell r="G775">
            <v>-3833734500</v>
          </cell>
          <cell r="H775">
            <v>43061.787835648145</v>
          </cell>
          <cell r="I775">
            <v>43061.811909722222</v>
          </cell>
          <cell r="J775">
            <v>2.4074074074074071E-2</v>
          </cell>
        </row>
        <row r="776">
          <cell r="A776" t="str">
            <v>TOUCH</v>
          </cell>
          <cell r="B776" t="str">
            <v>PKE2278</v>
          </cell>
          <cell r="G776">
            <v>-3828212600</v>
          </cell>
          <cell r="H776">
            <v>43061.806388888886</v>
          </cell>
          <cell r="I776">
            <v>43061.873113425929</v>
          </cell>
          <cell r="J776">
            <v>6.6724537037037041E-2</v>
          </cell>
        </row>
        <row r="777">
          <cell r="A777" t="str">
            <v>BASICO</v>
          </cell>
          <cell r="B777" t="str">
            <v>OUX2321</v>
          </cell>
          <cell r="G777">
            <v>-3833166800</v>
          </cell>
          <cell r="H777">
            <v>43061.826620370368</v>
          </cell>
          <cell r="I777">
            <v>43061.876793981479</v>
          </cell>
          <cell r="J777">
            <v>5.0173611111111106E-2</v>
          </cell>
        </row>
        <row r="778">
          <cell r="A778" t="str">
            <v>TOUCH</v>
          </cell>
          <cell r="B778" t="str">
            <v>PKE2278</v>
          </cell>
          <cell r="G778">
            <v>-3828314800</v>
          </cell>
          <cell r="H778">
            <v>43061.874918981484</v>
          </cell>
          <cell r="I778">
            <v>43061.875717592593</v>
          </cell>
          <cell r="J778">
            <v>7.9861111111111105E-4</v>
          </cell>
        </row>
        <row r="779">
          <cell r="A779" t="str">
            <v>TOUCH</v>
          </cell>
          <cell r="B779" t="str">
            <v>PKE2278</v>
          </cell>
          <cell r="G779">
            <v>-3828505100</v>
          </cell>
          <cell r="H779">
            <v>43061.878460648149</v>
          </cell>
          <cell r="I779">
            <v>43061.909699074073</v>
          </cell>
          <cell r="J779">
            <v>3.123842592592593E-2</v>
          </cell>
        </row>
        <row r="780">
          <cell r="A780" t="str">
            <v>BASICO</v>
          </cell>
          <cell r="B780" t="str">
            <v>OUX2321</v>
          </cell>
          <cell r="G780">
            <v>-3833232800</v>
          </cell>
          <cell r="H780">
            <v>43061.882870370369</v>
          </cell>
          <cell r="I780">
            <v>43061.898159722223</v>
          </cell>
          <cell r="J780">
            <v>1.5289351851851851E-2</v>
          </cell>
        </row>
        <row r="781">
          <cell r="A781" t="str">
            <v>BASICO</v>
          </cell>
          <cell r="B781" t="str">
            <v>OUX2321</v>
          </cell>
          <cell r="G781">
            <v>-3835122900</v>
          </cell>
          <cell r="H781">
            <v>43061.913530092592</v>
          </cell>
          <cell r="I781">
            <v>43061.931585648148</v>
          </cell>
          <cell r="J781">
            <v>1.8055555555555557E-2</v>
          </cell>
        </row>
        <row r="782">
          <cell r="A782" t="str">
            <v>TOUCH</v>
          </cell>
          <cell r="B782" t="str">
            <v>PKE2278</v>
          </cell>
          <cell r="G782">
            <v>-3832087800</v>
          </cell>
          <cell r="H782">
            <v>43061.916516203702</v>
          </cell>
          <cell r="I782">
            <v>43061.918043981481</v>
          </cell>
          <cell r="J782">
            <v>1.5277777777777779E-3</v>
          </cell>
        </row>
        <row r="783">
          <cell r="A783" t="str">
            <v>TOUCH</v>
          </cell>
          <cell r="B783" t="str">
            <v>PKE2278</v>
          </cell>
          <cell r="G783">
            <v>-3832098400</v>
          </cell>
          <cell r="H783">
            <v>43061.924490740741</v>
          </cell>
          <cell r="I783">
            <v>43061.937268518515</v>
          </cell>
          <cell r="J783">
            <v>1.2777777777777777E-2</v>
          </cell>
        </row>
        <row r="784">
          <cell r="A784" t="str">
            <v>BASICO</v>
          </cell>
          <cell r="B784" t="str">
            <v>OUX2321</v>
          </cell>
          <cell r="G784">
            <v>-3834534400</v>
          </cell>
          <cell r="H784">
            <v>43061.936203703706</v>
          </cell>
          <cell r="I784">
            <v>43061.939733796295</v>
          </cell>
          <cell r="J784">
            <v>3.530092592592592E-3</v>
          </cell>
        </row>
        <row r="785">
          <cell r="A785" t="str">
            <v>TOUCH</v>
          </cell>
          <cell r="B785" t="str">
            <v>PKE2278</v>
          </cell>
          <cell r="G785">
            <v>-3832121900</v>
          </cell>
          <cell r="H785">
            <v>43061.939780092594</v>
          </cell>
          <cell r="I785">
            <v>43061.945856481485</v>
          </cell>
          <cell r="J785">
            <v>6.076388888888889E-3</v>
          </cell>
        </row>
        <row r="786">
          <cell r="A786" t="str">
            <v>TOUCH</v>
          </cell>
          <cell r="B786" t="str">
            <v>PKE2278</v>
          </cell>
          <cell r="G786">
            <v>-3833475600</v>
          </cell>
          <cell r="H786">
            <v>43061.960092592592</v>
          </cell>
          <cell r="I786">
            <v>43061.962523148148</v>
          </cell>
          <cell r="J786">
            <v>2.4305555555555556E-3</v>
          </cell>
        </row>
        <row r="787">
          <cell r="A787" t="str">
            <v>BASICO</v>
          </cell>
          <cell r="B787" t="str">
            <v>OUX2321</v>
          </cell>
          <cell r="G787">
            <v>-3831343600</v>
          </cell>
          <cell r="H787">
            <v>43061.963067129633</v>
          </cell>
          <cell r="I787">
            <v>43061.97042824074</v>
          </cell>
          <cell r="J787">
            <v>7.3611111111111108E-3</v>
          </cell>
        </row>
        <row r="788">
          <cell r="A788" t="str">
            <v>TOUCH</v>
          </cell>
          <cell r="B788" t="str">
            <v>PKE2278</v>
          </cell>
          <cell r="G788">
            <v>-3835429000</v>
          </cell>
          <cell r="H788">
            <v>43061.972407407404</v>
          </cell>
          <cell r="I788">
            <v>43061.981932870367</v>
          </cell>
          <cell r="J788">
            <v>9.525462962962963E-3</v>
          </cell>
        </row>
        <row r="789">
          <cell r="A789" t="str">
            <v>BASICO</v>
          </cell>
          <cell r="B789" t="str">
            <v>OUX2321</v>
          </cell>
          <cell r="G789">
            <v>-3832346700</v>
          </cell>
          <cell r="H789">
            <v>43061.984467592592</v>
          </cell>
          <cell r="I789">
            <v>43062.021354166667</v>
          </cell>
          <cell r="J789">
            <v>3.6886574074074079E-2</v>
          </cell>
        </row>
        <row r="790">
          <cell r="A790" t="str">
            <v>TOUCH</v>
          </cell>
          <cell r="B790" t="str">
            <v>PKE2278</v>
          </cell>
          <cell r="G790">
            <v>-3833475800</v>
          </cell>
          <cell r="H790">
            <v>43061.986643518518</v>
          </cell>
          <cell r="I790">
            <v>43061.995162037034</v>
          </cell>
          <cell r="J790">
            <v>8.518518518518519E-3</v>
          </cell>
        </row>
        <row r="791">
          <cell r="A791" t="str">
            <v>TOUCH</v>
          </cell>
          <cell r="B791" t="str">
            <v>PKE2278</v>
          </cell>
          <cell r="G791">
            <v>-3832710300</v>
          </cell>
          <cell r="H791">
            <v>43062.015127314815</v>
          </cell>
          <cell r="I791">
            <v>43062.271620370368</v>
          </cell>
          <cell r="J791">
            <v>0.25649305555555557</v>
          </cell>
        </row>
        <row r="792">
          <cell r="A792" t="str">
            <v>BASICO</v>
          </cell>
          <cell r="B792" t="str">
            <v>OUX2321</v>
          </cell>
          <cell r="G792">
            <v>-3832719900</v>
          </cell>
          <cell r="H792">
            <v>43062.025879629633</v>
          </cell>
          <cell r="I792">
            <v>43062.281759259262</v>
          </cell>
          <cell r="J792">
            <v>0.25587962962962962</v>
          </cell>
        </row>
        <row r="793">
          <cell r="A793" t="str">
            <v>TOUCH</v>
          </cell>
          <cell r="B793" t="str">
            <v>PKE2278</v>
          </cell>
          <cell r="G793">
            <v>-3833915800</v>
          </cell>
          <cell r="H793">
            <v>43062.278993055559</v>
          </cell>
          <cell r="I793">
            <v>43062.28533564815</v>
          </cell>
          <cell r="J793">
            <v>6.3425925925925915E-3</v>
          </cell>
        </row>
        <row r="794">
          <cell r="A794" t="str">
            <v>BASICO</v>
          </cell>
          <cell r="B794" t="str">
            <v>OUX2321</v>
          </cell>
          <cell r="G794">
            <v>-3832534700</v>
          </cell>
          <cell r="H794">
            <v>43062.290162037039</v>
          </cell>
          <cell r="I794">
            <v>43062.389641203707</v>
          </cell>
          <cell r="J794">
            <v>9.9479166666666674E-2</v>
          </cell>
        </row>
        <row r="795">
          <cell r="A795" t="str">
            <v>TOUCH</v>
          </cell>
          <cell r="B795" t="str">
            <v>PKE2278</v>
          </cell>
          <cell r="G795">
            <v>-3834934500</v>
          </cell>
          <cell r="H795">
            <v>43062.293344907404</v>
          </cell>
          <cell r="I795">
            <v>43062.297280092593</v>
          </cell>
          <cell r="J795">
            <v>3.9351851851851857E-3</v>
          </cell>
        </row>
        <row r="796">
          <cell r="A796" t="str">
            <v>TOUCH</v>
          </cell>
          <cell r="B796" t="str">
            <v>PKE2278</v>
          </cell>
          <cell r="G796">
            <v>-3834233200</v>
          </cell>
          <cell r="H796">
            <v>43062.304097222222</v>
          </cell>
          <cell r="I796">
            <v>43062.475821759261</v>
          </cell>
          <cell r="J796">
            <v>0.17172453703703705</v>
          </cell>
        </row>
        <row r="797">
          <cell r="A797" t="str">
            <v>BASICO</v>
          </cell>
          <cell r="B797" t="str">
            <v>OUX2321</v>
          </cell>
          <cell r="G797">
            <v>-3832723100</v>
          </cell>
          <cell r="H797">
            <v>43062.394432870373</v>
          </cell>
          <cell r="I797">
            <v>43062.427627314813</v>
          </cell>
          <cell r="J797">
            <v>3.3194444444444443E-2</v>
          </cell>
        </row>
        <row r="798">
          <cell r="A798" t="str">
            <v>BASICO</v>
          </cell>
          <cell r="B798" t="str">
            <v>OUX2321</v>
          </cell>
          <cell r="G798">
            <v>-3832150900</v>
          </cell>
          <cell r="H798">
            <v>43062.45040509259</v>
          </cell>
          <cell r="I798">
            <v>43062.46234953704</v>
          </cell>
          <cell r="J798">
            <v>1.1944444444444445E-2</v>
          </cell>
        </row>
        <row r="799">
          <cell r="A799" t="str">
            <v>BASICO</v>
          </cell>
          <cell r="B799" t="str">
            <v>OUX2321</v>
          </cell>
          <cell r="G799">
            <v>-3832626500</v>
          </cell>
          <cell r="H799">
            <v>43062.465925925928</v>
          </cell>
          <cell r="I799">
            <v>43062.514363425929</v>
          </cell>
          <cell r="J799">
            <v>4.8437500000000001E-2</v>
          </cell>
        </row>
        <row r="800">
          <cell r="A800" t="str">
            <v>TOUCH</v>
          </cell>
          <cell r="B800" t="str">
            <v>PKE2278</v>
          </cell>
          <cell r="G800">
            <v>-3833514400</v>
          </cell>
          <cell r="H800">
            <v>43062.47865740741</v>
          </cell>
          <cell r="I800">
            <v>43062.479363425926</v>
          </cell>
          <cell r="J800">
            <v>7.0601851851851847E-4</v>
          </cell>
        </row>
        <row r="801">
          <cell r="A801" t="str">
            <v>TOUCH</v>
          </cell>
          <cell r="B801" t="str">
            <v>PKE2278</v>
          </cell>
          <cell r="G801">
            <v>-3833582400</v>
          </cell>
          <cell r="H801">
            <v>43062.487314814818</v>
          </cell>
          <cell r="I801">
            <v>43062.510451388887</v>
          </cell>
          <cell r="J801">
            <v>2.3136574074074077E-2</v>
          </cell>
        </row>
        <row r="802">
          <cell r="A802" t="str">
            <v>TOUCH</v>
          </cell>
          <cell r="B802" t="str">
            <v>PKE2278</v>
          </cell>
          <cell r="G802">
            <v>-3832931200</v>
          </cell>
          <cell r="H802">
            <v>43062.51458333333</v>
          </cell>
          <cell r="I802">
            <v>43062.566458333335</v>
          </cell>
          <cell r="J802">
            <v>5.1875000000000004E-2</v>
          </cell>
        </row>
        <row r="803">
          <cell r="A803" t="str">
            <v>BASICO</v>
          </cell>
          <cell r="B803" t="str">
            <v>OUX2321</v>
          </cell>
          <cell r="G803">
            <v>-3832511200</v>
          </cell>
          <cell r="H803">
            <v>43062.51939814815</v>
          </cell>
          <cell r="I803">
            <v>43062.605821759258</v>
          </cell>
          <cell r="J803">
            <v>8.6423611111111118E-2</v>
          </cell>
        </row>
        <row r="804">
          <cell r="A804" t="str">
            <v>TOUCH</v>
          </cell>
          <cell r="B804" t="str">
            <v>PKE2278</v>
          </cell>
          <cell r="G804">
            <v>-3833095200</v>
          </cell>
          <cell r="H804">
            <v>43062.567881944444</v>
          </cell>
          <cell r="I804">
            <v>43062.568611111114</v>
          </cell>
          <cell r="J804">
            <v>7.291666666666667E-4</v>
          </cell>
        </row>
        <row r="805">
          <cell r="A805" t="str">
            <v>TOUCH</v>
          </cell>
          <cell r="B805" t="str">
            <v>PKE2278</v>
          </cell>
          <cell r="G805">
            <v>-3834557000</v>
          </cell>
          <cell r="H805">
            <v>43062.573298611111</v>
          </cell>
          <cell r="I805">
            <v>43062.575127314813</v>
          </cell>
          <cell r="J805">
            <v>1.8287037037037037E-3</v>
          </cell>
        </row>
        <row r="806">
          <cell r="A806" t="str">
            <v>TOUCH</v>
          </cell>
          <cell r="B806" t="str">
            <v>PKE2278</v>
          </cell>
          <cell r="G806">
            <v>-3835508200</v>
          </cell>
          <cell r="H806">
            <v>43062.579722222225</v>
          </cell>
          <cell r="I806">
            <v>43062.638738425929</v>
          </cell>
          <cell r="J806">
            <v>5.9016203703703703E-2</v>
          </cell>
        </row>
        <row r="807">
          <cell r="A807" t="str">
            <v>BASICO</v>
          </cell>
          <cell r="B807" t="str">
            <v>OUX2321</v>
          </cell>
          <cell r="G807">
            <v>-3832719800</v>
          </cell>
          <cell r="H807">
            <v>43062.611273148148</v>
          </cell>
          <cell r="I807">
            <v>43062.664282407408</v>
          </cell>
          <cell r="J807">
            <v>5.3009259259259256E-2</v>
          </cell>
        </row>
        <row r="808">
          <cell r="A808" t="str">
            <v>TOUCH</v>
          </cell>
          <cell r="B808" t="str">
            <v>PKE2278</v>
          </cell>
          <cell r="G808">
            <v>-3832707500</v>
          </cell>
          <cell r="H808">
            <v>43062.649293981478</v>
          </cell>
          <cell r="I808">
            <v>43063.295243055552</v>
          </cell>
          <cell r="J808">
            <v>0.64594907407407409</v>
          </cell>
        </row>
        <row r="809">
          <cell r="A809" t="str">
            <v>BASICO</v>
          </cell>
          <cell r="B809" t="str">
            <v>OUX2321</v>
          </cell>
          <cell r="G809">
            <v>-3832551800</v>
          </cell>
          <cell r="H809">
            <v>43062.665949074071</v>
          </cell>
          <cell r="I809">
            <v>43062.667650462965</v>
          </cell>
          <cell r="J809">
            <v>1.7013888888888892E-3</v>
          </cell>
        </row>
        <row r="810">
          <cell r="A810" t="str">
            <v>BASICO</v>
          </cell>
          <cell r="B810" t="str">
            <v>OUX2321</v>
          </cell>
          <cell r="G810">
            <v>-3833905500</v>
          </cell>
          <cell r="H810">
            <v>43062.677858796298</v>
          </cell>
          <cell r="I810">
            <v>43062.715428240743</v>
          </cell>
          <cell r="J810">
            <v>3.7569444444444447E-2</v>
          </cell>
        </row>
        <row r="811">
          <cell r="A811" t="str">
            <v>BASICO</v>
          </cell>
          <cell r="B811" t="str">
            <v>OUX2321</v>
          </cell>
          <cell r="G811">
            <v>-3834085800</v>
          </cell>
          <cell r="H811">
            <v>43062.72483796296</v>
          </cell>
          <cell r="I811">
            <v>43062.741666666669</v>
          </cell>
          <cell r="J811">
            <v>1.6828703703703703E-2</v>
          </cell>
        </row>
        <row r="812">
          <cell r="A812" t="str">
            <v>BASICO</v>
          </cell>
          <cell r="B812" t="str">
            <v>OUX2321</v>
          </cell>
          <cell r="G812">
            <v>-3833810600</v>
          </cell>
          <cell r="H812">
            <v>43062.746319444443</v>
          </cell>
          <cell r="I812">
            <v>43062.79960648148</v>
          </cell>
          <cell r="J812">
            <v>5.3287037037037042E-2</v>
          </cell>
        </row>
        <row r="813">
          <cell r="A813" t="str">
            <v>BASICO</v>
          </cell>
          <cell r="B813" t="str">
            <v>OUX2321</v>
          </cell>
          <cell r="G813">
            <v>-3835921700</v>
          </cell>
          <cell r="H813">
            <v>43062.812696759262</v>
          </cell>
          <cell r="I813">
            <v>43062.819849537038</v>
          </cell>
          <cell r="J813">
            <v>7.1527777777777787E-3</v>
          </cell>
        </row>
        <row r="814">
          <cell r="A814" t="str">
            <v>BASICO</v>
          </cell>
          <cell r="B814" t="str">
            <v>OUX2321</v>
          </cell>
          <cell r="G814">
            <v>-3831244800</v>
          </cell>
          <cell r="H814">
            <v>43062.836516203701</v>
          </cell>
          <cell r="I814">
            <v>43062.860335648147</v>
          </cell>
          <cell r="J814">
            <v>2.3819444444444445E-2</v>
          </cell>
        </row>
        <row r="815">
          <cell r="A815" t="str">
            <v>BASICO</v>
          </cell>
          <cell r="B815" t="str">
            <v>OUX2321</v>
          </cell>
          <cell r="G815">
            <v>-3832735100</v>
          </cell>
          <cell r="H815">
            <v>43062.866620370369</v>
          </cell>
          <cell r="I815">
            <v>43062.880381944444</v>
          </cell>
          <cell r="J815">
            <v>1.3761574074074074E-2</v>
          </cell>
        </row>
        <row r="816">
          <cell r="A816" t="str">
            <v>BASICO</v>
          </cell>
          <cell r="B816" t="str">
            <v>OUX2321</v>
          </cell>
          <cell r="G816">
            <v>-3833934300</v>
          </cell>
          <cell r="H816">
            <v>43062.887881944444</v>
          </cell>
          <cell r="I816">
            <v>43062.912743055553</v>
          </cell>
          <cell r="J816">
            <v>2.4861111111111108E-2</v>
          </cell>
        </row>
        <row r="817">
          <cell r="A817" t="str">
            <v>BASICO</v>
          </cell>
          <cell r="B817" t="str">
            <v>OUX2321</v>
          </cell>
          <cell r="G817">
            <v>-3832344800</v>
          </cell>
          <cell r="H817">
            <v>43062.920937499999</v>
          </cell>
          <cell r="I817">
            <v>43062.980034722219</v>
          </cell>
          <cell r="J817">
            <v>5.9097222222222225E-2</v>
          </cell>
        </row>
        <row r="818">
          <cell r="A818" t="str">
            <v>BASICO</v>
          </cell>
          <cell r="B818" t="str">
            <v>OUX2321</v>
          </cell>
          <cell r="G818">
            <v>-3833735800</v>
          </cell>
          <cell r="H818">
            <v>43062.986979166664</v>
          </cell>
          <cell r="I818">
            <v>43062.998090277775</v>
          </cell>
          <cell r="J818">
            <v>1.1111111111111112E-2</v>
          </cell>
        </row>
        <row r="819">
          <cell r="A819" t="str">
            <v>BASICO</v>
          </cell>
          <cell r="B819" t="str">
            <v>OUX2321</v>
          </cell>
          <cell r="G819">
            <v>-3834269300</v>
          </cell>
          <cell r="H819">
            <v>43063.001111111109</v>
          </cell>
          <cell r="I819">
            <v>43063.011956018519</v>
          </cell>
          <cell r="J819">
            <v>1.0844907407407407E-2</v>
          </cell>
        </row>
        <row r="820">
          <cell r="A820" t="str">
            <v>BASICO</v>
          </cell>
          <cell r="B820" t="str">
            <v>OUX2321</v>
          </cell>
          <cell r="G820">
            <v>-3832709200</v>
          </cell>
          <cell r="H820">
            <v>43063.015949074077</v>
          </cell>
          <cell r="I820">
            <v>43063.289629629631</v>
          </cell>
          <cell r="J820">
            <v>0.27368055555555554</v>
          </cell>
        </row>
        <row r="821">
          <cell r="A821" t="str">
            <v>BASICO</v>
          </cell>
          <cell r="B821" t="str">
            <v>OUX2321</v>
          </cell>
          <cell r="G821">
            <v>-3832454500</v>
          </cell>
          <cell r="H821">
            <v>43063.295844907407</v>
          </cell>
          <cell r="I821">
            <v>43063.373032407406</v>
          </cell>
          <cell r="J821">
            <v>7.7187500000000006E-2</v>
          </cell>
        </row>
        <row r="822">
          <cell r="A822" t="str">
            <v>TOUCH</v>
          </cell>
          <cell r="B822" t="str">
            <v>PKE2278</v>
          </cell>
          <cell r="G822">
            <v>-3833739600</v>
          </cell>
          <cell r="H822">
            <v>43063.299305555556</v>
          </cell>
          <cell r="I822">
            <v>43063.386840277781</v>
          </cell>
          <cell r="J822">
            <v>8.7534722222222208E-2</v>
          </cell>
        </row>
        <row r="823">
          <cell r="A823" t="str">
            <v>BASICO</v>
          </cell>
          <cell r="B823" t="str">
            <v>OUX2321</v>
          </cell>
          <cell r="G823">
            <v>-3832720700</v>
          </cell>
          <cell r="H823">
            <v>43063.380115740743</v>
          </cell>
          <cell r="I823">
            <v>43063.392476851855</v>
          </cell>
          <cell r="J823">
            <v>1.2361111111111113E-2</v>
          </cell>
        </row>
        <row r="824">
          <cell r="A824" t="str">
            <v>TOUCH</v>
          </cell>
          <cell r="B824" t="str">
            <v>PKE2278</v>
          </cell>
          <cell r="G824">
            <v>-3832711100</v>
          </cell>
          <cell r="H824">
            <v>43063.389131944445</v>
          </cell>
          <cell r="I824">
            <v>43063.426678240743</v>
          </cell>
          <cell r="J824">
            <v>3.75462962962963E-2</v>
          </cell>
        </row>
        <row r="825">
          <cell r="A825" t="str">
            <v>BASICO</v>
          </cell>
          <cell r="B825" t="str">
            <v>OUX2321</v>
          </cell>
          <cell r="G825">
            <v>-3833780800</v>
          </cell>
          <cell r="H825">
            <v>43063.396678240744</v>
          </cell>
          <cell r="I825">
            <v>43063.409490740742</v>
          </cell>
          <cell r="J825">
            <v>1.2812499999999999E-2</v>
          </cell>
        </row>
        <row r="826">
          <cell r="A826" t="str">
            <v>BASICO</v>
          </cell>
          <cell r="B826" t="str">
            <v>OUX2321</v>
          </cell>
          <cell r="G826">
            <v>-3835284900</v>
          </cell>
          <cell r="H826">
            <v>43063.415532407409</v>
          </cell>
          <cell r="I826">
            <v>43063.444456018522</v>
          </cell>
          <cell r="J826">
            <v>2.8923611111111108E-2</v>
          </cell>
        </row>
        <row r="827">
          <cell r="A827" t="str">
            <v>TOUCH</v>
          </cell>
          <cell r="B827" t="str">
            <v>PKE2278</v>
          </cell>
          <cell r="G827">
            <v>-3834353300</v>
          </cell>
          <cell r="H827">
            <v>43063.431331018517</v>
          </cell>
          <cell r="I827">
            <v>43063.43986111111</v>
          </cell>
          <cell r="J827">
            <v>8.5300925925925926E-3</v>
          </cell>
        </row>
        <row r="828">
          <cell r="A828" t="str">
            <v>TOUCH</v>
          </cell>
          <cell r="B828" t="str">
            <v>PKE2278</v>
          </cell>
          <cell r="G828">
            <v>-3833336400</v>
          </cell>
          <cell r="H828">
            <v>43063.447187500002</v>
          </cell>
          <cell r="I828">
            <v>43063.450624999998</v>
          </cell>
          <cell r="J828">
            <v>3.4375E-3</v>
          </cell>
        </row>
        <row r="829">
          <cell r="A829" t="str">
            <v>BASICO</v>
          </cell>
          <cell r="B829" t="str">
            <v>OUX2321</v>
          </cell>
          <cell r="G829">
            <v>-3832726400</v>
          </cell>
          <cell r="H829">
            <v>43063.450949074075</v>
          </cell>
          <cell r="I829">
            <v>43063.461886574078</v>
          </cell>
          <cell r="J829">
            <v>1.0937500000000001E-2</v>
          </cell>
        </row>
        <row r="830">
          <cell r="A830" t="str">
            <v>TOUCH</v>
          </cell>
          <cell r="B830" t="str">
            <v>PKE2278</v>
          </cell>
          <cell r="G830">
            <v>-3833582700</v>
          </cell>
          <cell r="H830">
            <v>43063.45208333333</v>
          </cell>
          <cell r="I830">
            <v>43063.521064814813</v>
          </cell>
          <cell r="J830">
            <v>6.8981481481481477E-2</v>
          </cell>
        </row>
        <row r="831">
          <cell r="A831" t="str">
            <v>BASICO</v>
          </cell>
          <cell r="B831" t="str">
            <v>OUX2321</v>
          </cell>
          <cell r="G831">
            <v>-3833452200</v>
          </cell>
          <cell r="H831">
            <v>43063.465497685182</v>
          </cell>
          <cell r="I831">
            <v>43063.493946759256</v>
          </cell>
          <cell r="J831">
            <v>2.8449074074074075E-2</v>
          </cell>
        </row>
        <row r="832">
          <cell r="A832" t="str">
            <v>BASICO</v>
          </cell>
          <cell r="B832" t="str">
            <v>OUX2321</v>
          </cell>
          <cell r="G832">
            <v>-3832012500</v>
          </cell>
          <cell r="H832">
            <v>43063.499849537038</v>
          </cell>
          <cell r="I832">
            <v>43063.631111111114</v>
          </cell>
          <cell r="J832">
            <v>0.13126157407407407</v>
          </cell>
        </row>
        <row r="833">
          <cell r="A833" t="str">
            <v>TOUCH</v>
          </cell>
          <cell r="B833" t="str">
            <v>PKE2278</v>
          </cell>
          <cell r="G833">
            <v>-3835510500</v>
          </cell>
          <cell r="H833">
            <v>43063.525543981479</v>
          </cell>
          <cell r="I833">
            <v>43063.568842592591</v>
          </cell>
          <cell r="J833">
            <v>4.3298611111111107E-2</v>
          </cell>
        </row>
        <row r="834">
          <cell r="A834" t="str">
            <v>TOUCH</v>
          </cell>
          <cell r="B834" t="str">
            <v>PKE2278</v>
          </cell>
          <cell r="G834">
            <v>-3833759300</v>
          </cell>
          <cell r="H834">
            <v>43063.578182870369</v>
          </cell>
          <cell r="I834">
            <v>43063.589432870373</v>
          </cell>
          <cell r="J834">
            <v>1.1249999999999998E-2</v>
          </cell>
        </row>
        <row r="835">
          <cell r="A835" t="str">
            <v>TOUCH</v>
          </cell>
          <cell r="B835" t="str">
            <v>PKE2278</v>
          </cell>
          <cell r="G835">
            <v>-3832713800</v>
          </cell>
          <cell r="H835">
            <v>43063.593148148146</v>
          </cell>
          <cell r="I835">
            <v>43063.724675925929</v>
          </cell>
          <cell r="J835">
            <v>0.13152777777777777</v>
          </cell>
        </row>
        <row r="836">
          <cell r="A836" t="str">
            <v>BASICO</v>
          </cell>
          <cell r="B836" t="str">
            <v>OUX2321</v>
          </cell>
          <cell r="G836">
            <v>-3832723200</v>
          </cell>
          <cell r="H836">
            <v>43063.638541666667</v>
          </cell>
          <cell r="I836">
            <v>43063.662430555552</v>
          </cell>
          <cell r="J836">
            <v>2.388888888888889E-2</v>
          </cell>
        </row>
        <row r="837">
          <cell r="A837" t="str">
            <v>BASICO</v>
          </cell>
          <cell r="B837" t="str">
            <v>OUX2321</v>
          </cell>
          <cell r="G837">
            <v>-3828316500</v>
          </cell>
          <cell r="H837">
            <v>43063.682638888888</v>
          </cell>
          <cell r="I837">
            <v>43063.700543981482</v>
          </cell>
          <cell r="J837">
            <v>1.7905092592592594E-2</v>
          </cell>
        </row>
        <row r="838">
          <cell r="A838" t="str">
            <v>BASICO</v>
          </cell>
          <cell r="B838" t="str">
            <v>OUX2321</v>
          </cell>
          <cell r="G838">
            <v>-3832807200</v>
          </cell>
          <cell r="H838">
            <v>43063.726273148146</v>
          </cell>
          <cell r="I838">
            <v>43063.728877314818</v>
          </cell>
          <cell r="J838">
            <v>2.6041666666666665E-3</v>
          </cell>
        </row>
        <row r="839">
          <cell r="A839" t="str">
            <v>BASICO</v>
          </cell>
          <cell r="B839" t="str">
            <v>OUX2321</v>
          </cell>
          <cell r="G839">
            <v>-3835485600</v>
          </cell>
          <cell r="H839">
            <v>43063.735543981478</v>
          </cell>
          <cell r="I839">
            <v>43063.741655092592</v>
          </cell>
          <cell r="J839">
            <v>6.1111111111111114E-3</v>
          </cell>
        </row>
        <row r="840">
          <cell r="A840" t="str">
            <v>BASICO</v>
          </cell>
          <cell r="B840" t="str">
            <v>OUX2321</v>
          </cell>
          <cell r="G840">
            <v>-3835617800</v>
          </cell>
          <cell r="H840">
            <v>43063.743078703701</v>
          </cell>
          <cell r="I840">
            <v>43063.77449074074</v>
          </cell>
          <cell r="J840">
            <v>3.1412037037037037E-2</v>
          </cell>
        </row>
        <row r="841">
          <cell r="A841" t="str">
            <v>TOUCH</v>
          </cell>
          <cell r="B841" t="str">
            <v>PKE2278</v>
          </cell>
          <cell r="G841">
            <v>-3830370900</v>
          </cell>
          <cell r="H841">
            <v>43063.750740740739</v>
          </cell>
          <cell r="I841">
            <v>43063.790763888886</v>
          </cell>
          <cell r="J841">
            <v>4.0023148148148148E-2</v>
          </cell>
        </row>
        <row r="842">
          <cell r="A842" t="str">
            <v>BASICO</v>
          </cell>
          <cell r="B842" t="str">
            <v>OUX2321</v>
          </cell>
          <cell r="G842">
            <v>-3832431800</v>
          </cell>
          <cell r="H842">
            <v>43063.789907407408</v>
          </cell>
          <cell r="I842">
            <v>43063.80232638889</v>
          </cell>
          <cell r="J842">
            <v>1.2418981481481482E-2</v>
          </cell>
        </row>
        <row r="843">
          <cell r="A843" t="str">
            <v>TOUCH</v>
          </cell>
          <cell r="B843" t="str">
            <v>PKE2278</v>
          </cell>
          <cell r="G843">
            <v>-3829117800</v>
          </cell>
          <cell r="H843">
            <v>43063.796076388891</v>
          </cell>
          <cell r="I843">
            <v>43063.815833333334</v>
          </cell>
          <cell r="J843">
            <v>1.9756944444444445E-2</v>
          </cell>
        </row>
        <row r="844">
          <cell r="A844" t="str">
            <v>BASICO</v>
          </cell>
          <cell r="B844" t="str">
            <v>OUX2321</v>
          </cell>
          <cell r="G844">
            <v>-3833451600</v>
          </cell>
          <cell r="H844">
            <v>43063.809976851851</v>
          </cell>
          <cell r="I844">
            <v>43063.81821759259</v>
          </cell>
          <cell r="J844">
            <v>8.2407407407407412E-3</v>
          </cell>
        </row>
        <row r="845">
          <cell r="A845" t="str">
            <v>TOUCH</v>
          </cell>
          <cell r="B845" t="str">
            <v>PKE2278</v>
          </cell>
          <cell r="G845">
            <v>-3828687300</v>
          </cell>
          <cell r="H845">
            <v>43063.825868055559</v>
          </cell>
          <cell r="I845">
            <v>43063.840069444443</v>
          </cell>
          <cell r="J845">
            <v>1.4201388888888888E-2</v>
          </cell>
        </row>
        <row r="846">
          <cell r="A846" t="str">
            <v>BASICO</v>
          </cell>
          <cell r="B846" t="str">
            <v>OUX2321</v>
          </cell>
          <cell r="G846">
            <v>-3834381000</v>
          </cell>
          <cell r="H846">
            <v>43063.836828703701</v>
          </cell>
          <cell r="I846">
            <v>43063.88082175926</v>
          </cell>
          <cell r="J846">
            <v>4.3993055555555556E-2</v>
          </cell>
        </row>
        <row r="847">
          <cell r="A847" t="str">
            <v>TOUCH</v>
          </cell>
          <cell r="B847" t="str">
            <v>PKE2278</v>
          </cell>
          <cell r="G847">
            <v>-3833243100</v>
          </cell>
          <cell r="H847">
            <v>43063.853831018518</v>
          </cell>
          <cell r="I847">
            <v>43063.906192129631</v>
          </cell>
          <cell r="J847">
            <v>5.2361111111111108E-2</v>
          </cell>
        </row>
        <row r="848">
          <cell r="A848" t="str">
            <v>BASICO</v>
          </cell>
          <cell r="B848" t="str">
            <v>OUX2321</v>
          </cell>
          <cell r="G848">
            <v>-3835075300</v>
          </cell>
          <cell r="H848">
            <v>43063.892118055555</v>
          </cell>
          <cell r="I848">
            <v>43063.897986111115</v>
          </cell>
          <cell r="J848">
            <v>5.8680555555555543E-3</v>
          </cell>
        </row>
        <row r="849">
          <cell r="A849" t="str">
            <v>BASICO</v>
          </cell>
          <cell r="B849" t="str">
            <v>OUX2321</v>
          </cell>
          <cell r="G849">
            <v>-3834487300</v>
          </cell>
          <cell r="H849">
            <v>43063.90253472222</v>
          </cell>
          <cell r="I849">
            <v>43063.907638888886</v>
          </cell>
          <cell r="J849">
            <v>5.1041666666666666E-3</v>
          </cell>
        </row>
        <row r="850">
          <cell r="A850" t="str">
            <v>TOUCH</v>
          </cell>
          <cell r="B850" t="str">
            <v>PKE2278</v>
          </cell>
          <cell r="G850">
            <v>-3832732000</v>
          </cell>
          <cell r="H850">
            <v>43063.914386574077</v>
          </cell>
          <cell r="I850">
            <v>43063.954143518517</v>
          </cell>
          <cell r="J850">
            <v>3.9756944444444449E-2</v>
          </cell>
        </row>
        <row r="851">
          <cell r="A851" t="str">
            <v>BASICO</v>
          </cell>
          <cell r="B851" t="str">
            <v>OUX2321</v>
          </cell>
          <cell r="G851">
            <v>-3832988300</v>
          </cell>
          <cell r="H851">
            <v>43063.914490740739</v>
          </cell>
          <cell r="I851">
            <v>43063.921180555553</v>
          </cell>
          <cell r="J851">
            <v>6.6898148148148142E-3</v>
          </cell>
        </row>
        <row r="852">
          <cell r="A852" t="str">
            <v>BASICO</v>
          </cell>
          <cell r="B852" t="str">
            <v>OUX2321</v>
          </cell>
          <cell r="G852">
            <v>-3830589100</v>
          </cell>
          <cell r="H852">
            <v>43063.927951388891</v>
          </cell>
          <cell r="I852">
            <v>43063.930659722224</v>
          </cell>
          <cell r="J852">
            <v>2.7083333333333334E-3</v>
          </cell>
        </row>
        <row r="853">
          <cell r="A853" t="str">
            <v>BASICO</v>
          </cell>
          <cell r="B853" t="str">
            <v>OUX2321</v>
          </cell>
          <cell r="G853">
            <v>-3831991500</v>
          </cell>
          <cell r="H853">
            <v>43063.951145833336</v>
          </cell>
          <cell r="I853">
            <v>43063.952638888892</v>
          </cell>
          <cell r="J853">
            <v>1.4930555555555556E-3</v>
          </cell>
        </row>
        <row r="854">
          <cell r="A854" t="str">
            <v>BASICO</v>
          </cell>
          <cell r="B854" t="str">
            <v>OUX2321</v>
          </cell>
          <cell r="G854">
            <v>-3832300600</v>
          </cell>
          <cell r="H854">
            <v>43063.954062500001</v>
          </cell>
          <cell r="I854">
            <v>43063.959652777776</v>
          </cell>
          <cell r="J854">
            <v>5.5902777777777782E-3</v>
          </cell>
        </row>
        <row r="855">
          <cell r="A855" t="str">
            <v>BASICO</v>
          </cell>
          <cell r="B855" t="str">
            <v>OUX2321</v>
          </cell>
          <cell r="G855">
            <v>-3834775400</v>
          </cell>
          <cell r="H855">
            <v>43063.968124999999</v>
          </cell>
          <cell r="I855">
            <v>43063.99423611111</v>
          </cell>
          <cell r="J855">
            <v>2.6111111111111113E-2</v>
          </cell>
        </row>
        <row r="856">
          <cell r="A856" t="str">
            <v>TOUCH</v>
          </cell>
          <cell r="B856" t="str">
            <v>PKE2278</v>
          </cell>
          <cell r="G856">
            <v>-3834161400</v>
          </cell>
          <cell r="H856">
            <v>43063.971087962964</v>
          </cell>
          <cell r="I856">
            <v>43064.007997685185</v>
          </cell>
          <cell r="J856">
            <v>3.6909722222222226E-2</v>
          </cell>
        </row>
        <row r="857">
          <cell r="A857" t="str">
            <v>BASICO</v>
          </cell>
          <cell r="B857" t="str">
            <v>OUX2321</v>
          </cell>
          <cell r="G857">
            <v>-3835619800</v>
          </cell>
          <cell r="H857">
            <v>43063.999756944446</v>
          </cell>
          <cell r="I857">
            <v>43064.020277777781</v>
          </cell>
          <cell r="J857">
            <v>2.0520833333333332E-2</v>
          </cell>
        </row>
        <row r="858">
          <cell r="A858" t="str">
            <v>TOUCH</v>
          </cell>
          <cell r="B858" t="str">
            <v>PKE2278</v>
          </cell>
          <cell r="G858">
            <v>-3835427000</v>
          </cell>
          <cell r="H858">
            <v>43064.012789351851</v>
          </cell>
          <cell r="I858">
            <v>43064.020462962966</v>
          </cell>
          <cell r="J858">
            <v>7.6736111111111111E-3</v>
          </cell>
        </row>
        <row r="859">
          <cell r="A859" t="str">
            <v>BASICO</v>
          </cell>
          <cell r="B859" t="str">
            <v>OUX2321</v>
          </cell>
          <cell r="G859">
            <v>-3832708400</v>
          </cell>
          <cell r="H859">
            <v>43064.029861111114</v>
          </cell>
          <cell r="I859">
            <v>43066.587129629632</v>
          </cell>
          <cell r="J859" t="str">
            <v>2 D 13:22:28</v>
          </cell>
        </row>
        <row r="860">
          <cell r="A860" t="str">
            <v>TOUCH</v>
          </cell>
          <cell r="B860" t="str">
            <v>PKE2278</v>
          </cell>
          <cell r="G860">
            <v>-3832711700</v>
          </cell>
          <cell r="H860">
            <v>43064.033229166664</v>
          </cell>
          <cell r="I860">
            <v>43064.732060185182</v>
          </cell>
          <cell r="J860">
            <v>0.69883101851851848</v>
          </cell>
        </row>
        <row r="861">
          <cell r="A861" t="str">
            <v>TOUCH</v>
          </cell>
          <cell r="B861" t="str">
            <v>PKE2278</v>
          </cell>
          <cell r="G861">
            <v>-3830904300</v>
          </cell>
          <cell r="H861">
            <v>43064.742442129631</v>
          </cell>
          <cell r="I861">
            <v>43064.771053240744</v>
          </cell>
          <cell r="J861">
            <v>2.8611111111111115E-2</v>
          </cell>
        </row>
        <row r="862">
          <cell r="A862" t="str">
            <v>TOUCH</v>
          </cell>
          <cell r="B862" t="str">
            <v>PKE2278</v>
          </cell>
          <cell r="G862">
            <v>-3831380400</v>
          </cell>
          <cell r="H862">
            <v>43064.774942129632</v>
          </cell>
          <cell r="I862">
            <v>43064.777199074073</v>
          </cell>
          <cell r="J862">
            <v>2.2569444444444447E-3</v>
          </cell>
        </row>
        <row r="863">
          <cell r="A863" t="str">
            <v>TOUCH</v>
          </cell>
          <cell r="B863" t="str">
            <v>PKE2278</v>
          </cell>
          <cell r="G863">
            <v>-3830524900</v>
          </cell>
          <cell r="H863">
            <v>43064.787592592591</v>
          </cell>
          <cell r="I863">
            <v>43064.808807870373</v>
          </cell>
          <cell r="J863">
            <v>2.1215277777777777E-2</v>
          </cell>
        </row>
        <row r="864">
          <cell r="A864" t="str">
            <v>TOUCH</v>
          </cell>
          <cell r="B864" t="str">
            <v>PKE2278</v>
          </cell>
          <cell r="G864">
            <v>-3835775200</v>
          </cell>
          <cell r="H864">
            <v>43064.837546296294</v>
          </cell>
          <cell r="I864">
            <v>43064.875914351855</v>
          </cell>
          <cell r="J864">
            <v>3.8368055555555551E-2</v>
          </cell>
        </row>
        <row r="865">
          <cell r="A865" t="str">
            <v>TOUCH</v>
          </cell>
          <cell r="B865" t="str">
            <v>PKE2278</v>
          </cell>
          <cell r="G865">
            <v>-3835081500</v>
          </cell>
          <cell r="H865">
            <v>43064.878148148149</v>
          </cell>
          <cell r="I865">
            <v>43064.91847222222</v>
          </cell>
          <cell r="J865">
            <v>4.0324074074074075E-2</v>
          </cell>
        </row>
        <row r="866">
          <cell r="A866" t="str">
            <v>TOUCH</v>
          </cell>
          <cell r="B866" t="str">
            <v>PKE2278</v>
          </cell>
          <cell r="G866">
            <v>-3832520500</v>
          </cell>
          <cell r="H866">
            <v>43064.935555555552</v>
          </cell>
          <cell r="I866">
            <v>43064.936261574076</v>
          </cell>
          <cell r="J866">
            <v>7.0601851851851847E-4</v>
          </cell>
        </row>
        <row r="867">
          <cell r="A867" t="str">
            <v>TOUCH</v>
          </cell>
          <cell r="B867" t="str">
            <v>PKE2278</v>
          </cell>
          <cell r="G867">
            <v>-3833406500</v>
          </cell>
          <cell r="H867">
            <v>43064.942152777781</v>
          </cell>
          <cell r="I867">
            <v>43064.966180555559</v>
          </cell>
          <cell r="J867">
            <v>2.4027777777777776E-2</v>
          </cell>
        </row>
        <row r="868">
          <cell r="A868" t="str">
            <v>TOUCH</v>
          </cell>
          <cell r="B868" t="str">
            <v>PKE2278</v>
          </cell>
          <cell r="G868">
            <v>-3832721800</v>
          </cell>
          <cell r="H868">
            <v>43064.971643518518</v>
          </cell>
          <cell r="I868">
            <v>43064.984942129631</v>
          </cell>
          <cell r="J868">
            <v>1.329861111111111E-2</v>
          </cell>
        </row>
        <row r="869">
          <cell r="A869" t="str">
            <v>TOUCH</v>
          </cell>
          <cell r="B869" t="str">
            <v>PKE2278</v>
          </cell>
          <cell r="G869">
            <v>-3832523200</v>
          </cell>
          <cell r="H869">
            <v>43064.99046296296</v>
          </cell>
          <cell r="I869">
            <v>43065.018460648149</v>
          </cell>
          <cell r="J869">
            <v>2.7997685185185184E-2</v>
          </cell>
        </row>
        <row r="870">
          <cell r="A870" t="str">
            <v>TOUCH</v>
          </cell>
          <cell r="B870" t="str">
            <v>PKE2278</v>
          </cell>
          <cell r="G870">
            <v>-3832710100</v>
          </cell>
          <cell r="H870">
            <v>43065.022604166668</v>
          </cell>
          <cell r="I870">
            <v>43065.643182870372</v>
          </cell>
          <cell r="J870">
            <v>0.62057870370370372</v>
          </cell>
        </row>
        <row r="871">
          <cell r="A871" t="str">
            <v>TOUCH</v>
          </cell>
          <cell r="B871" t="str">
            <v>PKE2278</v>
          </cell>
          <cell r="G871">
            <v>-3833001000</v>
          </cell>
          <cell r="H871">
            <v>43065.647094907406</v>
          </cell>
          <cell r="I871">
            <v>43065.654560185183</v>
          </cell>
          <cell r="J871">
            <v>7.4652777777777781E-3</v>
          </cell>
        </row>
        <row r="872">
          <cell r="A872" t="str">
            <v>TOUCH</v>
          </cell>
          <cell r="B872" t="str">
            <v>PKE2278</v>
          </cell>
          <cell r="G872">
            <v>-3828492800</v>
          </cell>
          <cell r="H872">
            <v>43065.666400462964</v>
          </cell>
          <cell r="I872">
            <v>43065.751747685186</v>
          </cell>
          <cell r="J872">
            <v>8.5347222222222227E-2</v>
          </cell>
        </row>
        <row r="873">
          <cell r="A873" t="str">
            <v>TOUCH</v>
          </cell>
          <cell r="B873" t="str">
            <v>PKE2278</v>
          </cell>
          <cell r="G873">
            <v>-3832720100</v>
          </cell>
          <cell r="H873">
            <v>43065.761956018519</v>
          </cell>
          <cell r="I873">
            <v>43065.769143518519</v>
          </cell>
          <cell r="J873">
            <v>7.1874999999999994E-3</v>
          </cell>
        </row>
        <row r="874">
          <cell r="A874" t="str">
            <v>TOUCH</v>
          </cell>
          <cell r="B874" t="str">
            <v>PKE2278</v>
          </cell>
          <cell r="G874">
            <v>-3830202800</v>
          </cell>
          <cell r="H874">
            <v>43065.778587962966</v>
          </cell>
          <cell r="I874">
            <v>43065.797569444447</v>
          </cell>
          <cell r="J874">
            <v>1.8981481481481481E-2</v>
          </cell>
        </row>
        <row r="875">
          <cell r="A875" t="str">
            <v>TOUCH</v>
          </cell>
          <cell r="B875" t="str">
            <v>PKE2278</v>
          </cell>
          <cell r="G875">
            <v>-3829950100</v>
          </cell>
          <cell r="H875">
            <v>43065.807581018518</v>
          </cell>
          <cell r="I875">
            <v>43065.81554398148</v>
          </cell>
          <cell r="J875">
            <v>7.9629629629629634E-3</v>
          </cell>
        </row>
        <row r="876">
          <cell r="A876" t="str">
            <v>TOUCH</v>
          </cell>
          <cell r="B876" t="str">
            <v>PKE2278</v>
          </cell>
          <cell r="G876">
            <v>-3830867600</v>
          </cell>
          <cell r="H876">
            <v>43065.820601851854</v>
          </cell>
          <cell r="I876">
            <v>43065.833391203705</v>
          </cell>
          <cell r="J876">
            <v>1.2789351851851852E-2</v>
          </cell>
        </row>
        <row r="877">
          <cell r="A877" t="str">
            <v>TOUCH</v>
          </cell>
          <cell r="B877" t="str">
            <v>PKE2278</v>
          </cell>
          <cell r="G877">
            <v>-3832329600</v>
          </cell>
          <cell r="H877">
            <v>43065.839884259258</v>
          </cell>
          <cell r="I877">
            <v>43065.881307870368</v>
          </cell>
          <cell r="J877">
            <v>4.1423611111111112E-2</v>
          </cell>
        </row>
        <row r="878">
          <cell r="A878" t="str">
            <v>TOUCH</v>
          </cell>
          <cell r="B878" t="str">
            <v>PKE2278</v>
          </cell>
          <cell r="G878">
            <v>-3834332400</v>
          </cell>
          <cell r="H878">
            <v>43065.886932870373</v>
          </cell>
          <cell r="I878">
            <v>43065.902928240743</v>
          </cell>
          <cell r="J878">
            <v>1.5995370370370372E-2</v>
          </cell>
        </row>
        <row r="879">
          <cell r="A879" t="str">
            <v>TOUCH</v>
          </cell>
          <cell r="B879" t="str">
            <v>PKE2278</v>
          </cell>
          <cell r="G879">
            <v>-3834405800</v>
          </cell>
          <cell r="H879">
            <v>43065.904560185183</v>
          </cell>
          <cell r="I879">
            <v>43065.916412037041</v>
          </cell>
          <cell r="J879">
            <v>1.1851851851851851E-2</v>
          </cell>
        </row>
        <row r="880">
          <cell r="A880" t="str">
            <v>TOUCH</v>
          </cell>
          <cell r="B880" t="str">
            <v>PKE2278</v>
          </cell>
          <cell r="G880">
            <v>-3834276600</v>
          </cell>
          <cell r="H880">
            <v>43065.922662037039</v>
          </cell>
          <cell r="I880">
            <v>43065.92459490741</v>
          </cell>
          <cell r="J880">
            <v>1.9328703703703704E-3</v>
          </cell>
        </row>
        <row r="881">
          <cell r="A881" t="str">
            <v>TOUCH</v>
          </cell>
          <cell r="B881" t="str">
            <v>PKE2278</v>
          </cell>
          <cell r="G881">
            <v>-3833651100</v>
          </cell>
          <cell r="H881">
            <v>43065.928356481483</v>
          </cell>
          <cell r="I881">
            <v>43065.93608796296</v>
          </cell>
          <cell r="J881">
            <v>7.7314814814814815E-3</v>
          </cell>
        </row>
        <row r="882">
          <cell r="A882" t="str">
            <v>TOUCH</v>
          </cell>
          <cell r="B882" t="str">
            <v>PKE2278</v>
          </cell>
          <cell r="G882">
            <v>-3832989100</v>
          </cell>
          <cell r="H882">
            <v>43065.938842592594</v>
          </cell>
          <cell r="I882">
            <v>43065.946493055555</v>
          </cell>
          <cell r="J882">
            <v>7.6504629629629631E-3</v>
          </cell>
        </row>
        <row r="883">
          <cell r="A883" t="str">
            <v>TOUCH</v>
          </cell>
          <cell r="B883" t="str">
            <v>PKE2278</v>
          </cell>
          <cell r="G883">
            <v>-3832591100</v>
          </cell>
          <cell r="H883">
            <v>43065.950104166666</v>
          </cell>
          <cell r="I883">
            <v>43065.955000000002</v>
          </cell>
          <cell r="J883">
            <v>4.8958333333333328E-3</v>
          </cell>
        </row>
        <row r="884">
          <cell r="A884" t="str">
            <v>TOUCH</v>
          </cell>
          <cell r="B884" t="str">
            <v>PKE2278</v>
          </cell>
          <cell r="G884">
            <v>-3833146500</v>
          </cell>
          <cell r="H884">
            <v>43065.963159722225</v>
          </cell>
          <cell r="I884">
            <v>43065.968587962961</v>
          </cell>
          <cell r="J884">
            <v>5.4282407407407404E-3</v>
          </cell>
        </row>
        <row r="885">
          <cell r="A885" t="str">
            <v>TOUCH</v>
          </cell>
          <cell r="B885" t="str">
            <v>PKE2278</v>
          </cell>
          <cell r="G885">
            <v>-3833481500</v>
          </cell>
          <cell r="H885">
            <v>43065.970833333333</v>
          </cell>
          <cell r="I885">
            <v>43066.003888888888</v>
          </cell>
          <cell r="J885">
            <v>3.3055555555555553E-2</v>
          </cell>
        </row>
        <row r="886">
          <cell r="A886" t="str">
            <v>TOUCH</v>
          </cell>
          <cell r="B886" t="str">
            <v>PKE2278</v>
          </cell>
          <cell r="G886">
            <v>-3832719600</v>
          </cell>
          <cell r="H886">
            <v>43066.011354166665</v>
          </cell>
          <cell r="I886">
            <v>43066.657314814816</v>
          </cell>
          <cell r="J886">
            <v>0.64596064814814813</v>
          </cell>
        </row>
        <row r="887">
          <cell r="A887" t="str">
            <v>BASICO</v>
          </cell>
          <cell r="B887" t="str">
            <v>OUX2321</v>
          </cell>
          <cell r="G887">
            <v>-3835357200</v>
          </cell>
          <cell r="H887">
            <v>43066.596643518518</v>
          </cell>
          <cell r="I887">
            <v>43066.730624999997</v>
          </cell>
          <cell r="J887">
            <v>0.13398148148148148</v>
          </cell>
        </row>
        <row r="888">
          <cell r="A888" t="str">
            <v>TOUCH</v>
          </cell>
          <cell r="B888" t="str">
            <v>PKE2278</v>
          </cell>
          <cell r="G888">
            <v>-3833815700</v>
          </cell>
          <cell r="H888">
            <v>43066.662905092591</v>
          </cell>
          <cell r="I888">
            <v>43066.665196759262</v>
          </cell>
          <cell r="J888">
            <v>2.2916666666666667E-3</v>
          </cell>
        </row>
        <row r="889">
          <cell r="A889" t="str">
            <v>TOUCH</v>
          </cell>
          <cell r="B889" t="str">
            <v>PKE2278</v>
          </cell>
          <cell r="G889">
            <v>-3834156500</v>
          </cell>
          <cell r="H889">
            <v>43066.667488425926</v>
          </cell>
          <cell r="I889">
            <v>43066.670428240737</v>
          </cell>
          <cell r="J889">
            <v>2.9398148148148148E-3</v>
          </cell>
        </row>
        <row r="890">
          <cell r="A890" t="str">
            <v>TOUCH</v>
          </cell>
          <cell r="B890" t="str">
            <v>PKE2278</v>
          </cell>
          <cell r="G890">
            <v>-3833618800</v>
          </cell>
          <cell r="H890">
            <v>43066.676030092596</v>
          </cell>
          <cell r="I890">
            <v>43066.80976851852</v>
          </cell>
          <cell r="J890">
            <v>0.13373842592592591</v>
          </cell>
        </row>
        <row r="891">
          <cell r="A891" t="str">
            <v>BASICO</v>
          </cell>
          <cell r="B891" t="str">
            <v>OUX2321</v>
          </cell>
          <cell r="G891">
            <v>-3832713200</v>
          </cell>
          <cell r="H891">
            <v>43066.745138888888</v>
          </cell>
          <cell r="I891">
            <v>43067.298148148147</v>
          </cell>
          <cell r="J891">
            <v>0.55300925925925926</v>
          </cell>
        </row>
        <row r="892">
          <cell r="A892" t="str">
            <v>TOUCH</v>
          </cell>
          <cell r="B892" t="str">
            <v>PKE2278</v>
          </cell>
          <cell r="G892">
            <v>-3834667500</v>
          </cell>
          <cell r="H892">
            <v>43066.815983796296</v>
          </cell>
          <cell r="I892">
            <v>43066.874201388891</v>
          </cell>
          <cell r="J892">
            <v>5.8217592592592592E-2</v>
          </cell>
        </row>
        <row r="893">
          <cell r="A893" t="str">
            <v>TOUCH</v>
          </cell>
          <cell r="B893" t="str">
            <v>PKE2278</v>
          </cell>
          <cell r="G893">
            <v>-3834101700</v>
          </cell>
          <cell r="H893">
            <v>43066.877881944441</v>
          </cell>
          <cell r="I893">
            <v>43066.887465277781</v>
          </cell>
          <cell r="J893">
            <v>9.5833333333333343E-3</v>
          </cell>
        </row>
        <row r="894">
          <cell r="A894" t="str">
            <v>TOUCH</v>
          </cell>
          <cell r="B894" t="str">
            <v>PKE2278</v>
          </cell>
          <cell r="G894">
            <v>-3835778000</v>
          </cell>
          <cell r="H894">
            <v>43066.895578703705</v>
          </cell>
          <cell r="I894">
            <v>43066.903981481482</v>
          </cell>
          <cell r="J894">
            <v>8.4027777777777781E-3</v>
          </cell>
        </row>
        <row r="895">
          <cell r="A895" t="str">
            <v>TOUCH</v>
          </cell>
          <cell r="B895" t="str">
            <v>PKE2278</v>
          </cell>
          <cell r="G895">
            <v>-3835429100</v>
          </cell>
          <cell r="H895">
            <v>43066.916388888887</v>
          </cell>
          <cell r="I895">
            <v>43066.938298611109</v>
          </cell>
          <cell r="J895">
            <v>2.1909722222222223E-2</v>
          </cell>
        </row>
        <row r="896">
          <cell r="A896" t="str">
            <v>TOUCH</v>
          </cell>
          <cell r="B896" t="str">
            <v>PKE2278</v>
          </cell>
          <cell r="G896">
            <v>-3833406800</v>
          </cell>
          <cell r="H896">
            <v>43066.948437500003</v>
          </cell>
          <cell r="I896">
            <v>43066.954652777778</v>
          </cell>
          <cell r="J896">
            <v>6.215277777777777E-3</v>
          </cell>
        </row>
        <row r="897">
          <cell r="A897" t="str">
            <v>TOUCH</v>
          </cell>
          <cell r="B897" t="str">
            <v>PKE2278</v>
          </cell>
          <cell r="G897">
            <v>-3832617600</v>
          </cell>
          <cell r="H897">
            <v>43066.959120370368</v>
          </cell>
          <cell r="I897">
            <v>43066.970277777778</v>
          </cell>
          <cell r="J897">
            <v>1.1157407407407408E-2</v>
          </cell>
        </row>
        <row r="898">
          <cell r="A898" t="str">
            <v>TOUCH</v>
          </cell>
          <cell r="B898" t="str">
            <v>PKE2278</v>
          </cell>
          <cell r="G898">
            <v>-3830370000</v>
          </cell>
          <cell r="H898">
            <v>43066.981006944443</v>
          </cell>
          <cell r="I898">
            <v>43066.989652777775</v>
          </cell>
          <cell r="J898">
            <v>8.6458333333333335E-3</v>
          </cell>
        </row>
        <row r="899">
          <cell r="A899" t="str">
            <v>TOUCH</v>
          </cell>
          <cell r="B899" t="str">
            <v>PKE2278</v>
          </cell>
          <cell r="G899">
            <v>-3830518700</v>
          </cell>
          <cell r="H899">
            <v>43066.993090277778</v>
          </cell>
          <cell r="I899">
            <v>43066.997152777774</v>
          </cell>
          <cell r="J899">
            <v>4.0624999999999993E-3</v>
          </cell>
        </row>
        <row r="900">
          <cell r="A900" t="str">
            <v>TOUCH</v>
          </cell>
          <cell r="B900" t="str">
            <v>PKE2278</v>
          </cell>
          <cell r="G900">
            <v>-3830906100</v>
          </cell>
          <cell r="H900">
            <v>43067.003321759257</v>
          </cell>
          <cell r="I900">
            <v>43067.010069444441</v>
          </cell>
          <cell r="J900">
            <v>6.7476851851851856E-3</v>
          </cell>
        </row>
        <row r="901">
          <cell r="A901" t="str">
            <v>TOUCH</v>
          </cell>
          <cell r="B901" t="str">
            <v>PKE2278</v>
          </cell>
          <cell r="G901">
            <v>-3832718800</v>
          </cell>
          <cell r="H901">
            <v>43067.017743055556</v>
          </cell>
          <cell r="I901">
            <v>43067.6562037037</v>
          </cell>
          <cell r="J901">
            <v>0.63846064814814818</v>
          </cell>
        </row>
        <row r="902">
          <cell r="A902" t="str">
            <v>BASICO</v>
          </cell>
          <cell r="B902" t="str">
            <v>OUX2321</v>
          </cell>
          <cell r="G902">
            <v>-3832870200</v>
          </cell>
          <cell r="H902">
            <v>43067.303287037037</v>
          </cell>
          <cell r="I902">
            <v>43067.360821759263</v>
          </cell>
          <cell r="J902">
            <v>5.7534722222222223E-2</v>
          </cell>
        </row>
        <row r="903">
          <cell r="A903" t="str">
            <v>BASICO</v>
          </cell>
          <cell r="B903" t="str">
            <v>OUX2321</v>
          </cell>
          <cell r="G903">
            <v>-3832927300</v>
          </cell>
          <cell r="H903">
            <v>43067.367326388892</v>
          </cell>
          <cell r="I903">
            <v>43067.384398148148</v>
          </cell>
          <cell r="J903">
            <v>1.7071759259259259E-2</v>
          </cell>
        </row>
        <row r="904">
          <cell r="A904" t="str">
            <v>BASICO</v>
          </cell>
          <cell r="B904" t="str">
            <v>OUX2321</v>
          </cell>
          <cell r="G904">
            <v>-3830350300</v>
          </cell>
          <cell r="H904">
            <v>43067.395972222221</v>
          </cell>
          <cell r="I904">
            <v>43067.453460648147</v>
          </cell>
          <cell r="J904">
            <v>5.7488425925925929E-2</v>
          </cell>
        </row>
        <row r="905">
          <cell r="A905" t="str">
            <v>BASICO</v>
          </cell>
          <cell r="B905" t="str">
            <v>OUX2321</v>
          </cell>
          <cell r="G905">
            <v>-3832147500</v>
          </cell>
          <cell r="H905">
            <v>43067.460034722222</v>
          </cell>
          <cell r="I905">
            <v>43067.498738425929</v>
          </cell>
          <cell r="J905">
            <v>3.8703703703703705E-2</v>
          </cell>
        </row>
        <row r="906">
          <cell r="A906" t="str">
            <v>BASICO</v>
          </cell>
          <cell r="B906" t="str">
            <v>OUX2321</v>
          </cell>
          <cell r="G906">
            <v>-3830189500</v>
          </cell>
          <cell r="H906">
            <v>43067.504583333335</v>
          </cell>
          <cell r="I906">
            <v>43067.542916666665</v>
          </cell>
          <cell r="J906">
            <v>3.8333333333333337E-2</v>
          </cell>
        </row>
        <row r="907">
          <cell r="A907" t="str">
            <v>BASICO</v>
          </cell>
          <cell r="B907" t="str">
            <v>OUX2321</v>
          </cell>
          <cell r="G907">
            <v>-3830330900</v>
          </cell>
          <cell r="H907">
            <v>43067.545011574075</v>
          </cell>
          <cell r="I907">
            <v>43067.591168981482</v>
          </cell>
          <cell r="J907">
            <v>4.6157407407407404E-2</v>
          </cell>
        </row>
        <row r="908">
          <cell r="A908" t="str">
            <v>BASICO</v>
          </cell>
          <cell r="B908" t="str">
            <v>OUX2321</v>
          </cell>
          <cell r="G908">
            <v>-3832717400</v>
          </cell>
          <cell r="H908">
            <v>43067.606585648151</v>
          </cell>
          <cell r="I908">
            <v>43067.649421296293</v>
          </cell>
          <cell r="J908">
            <v>4.2835648148148144E-2</v>
          </cell>
        </row>
        <row r="909">
          <cell r="A909" t="str">
            <v>TOUCH</v>
          </cell>
          <cell r="B909" t="str">
            <v>PKE2278</v>
          </cell>
          <cell r="G909">
            <v>-3832026600</v>
          </cell>
          <cell r="H909">
            <v>43067.663865740738</v>
          </cell>
          <cell r="I909">
            <v>43067.700671296298</v>
          </cell>
          <cell r="J909">
            <v>3.6805555555555557E-2</v>
          </cell>
        </row>
        <row r="910">
          <cell r="A910" t="str">
            <v>BASICO</v>
          </cell>
          <cell r="B910" t="str">
            <v>OUX2321</v>
          </cell>
          <cell r="G910">
            <v>-3844062100</v>
          </cell>
          <cell r="H910">
            <v>43067.676296296297</v>
          </cell>
          <cell r="I910">
            <v>43067.698981481481</v>
          </cell>
          <cell r="J910">
            <v>2.2685185185185183E-2</v>
          </cell>
        </row>
        <row r="911">
          <cell r="A911" t="str">
            <v>BASICO</v>
          </cell>
          <cell r="B911" t="str">
            <v>OUX2321</v>
          </cell>
          <cell r="G911">
            <v>-3845498700</v>
          </cell>
          <cell r="H911">
            <v>43067.707997685182</v>
          </cell>
          <cell r="I911" t="str">
            <v>--</v>
          </cell>
          <cell r="J911" t="str">
            <v>1 D 06:59:29</v>
          </cell>
        </row>
        <row r="912">
          <cell r="A912" t="str">
            <v>TOUCH</v>
          </cell>
          <cell r="B912" t="str">
            <v>PKE2278</v>
          </cell>
          <cell r="G912">
            <v>-3830525700</v>
          </cell>
          <cell r="H912">
            <v>43067.721967592595</v>
          </cell>
          <cell r="I912">
            <v>43067.725300925929</v>
          </cell>
          <cell r="J912">
            <v>3.3333333333333335E-3</v>
          </cell>
        </row>
        <row r="913">
          <cell r="A913" t="str">
            <v>TOUCH</v>
          </cell>
          <cell r="B913" t="str">
            <v>PKE2278</v>
          </cell>
          <cell r="G913">
            <v>-3832768400</v>
          </cell>
          <cell r="H913">
            <v>43067.734016203707</v>
          </cell>
          <cell r="I913">
            <v>43067.754756944443</v>
          </cell>
          <cell r="J913">
            <v>2.074074074074074E-2</v>
          </cell>
        </row>
        <row r="914">
          <cell r="A914" t="str">
            <v>TOUCH</v>
          </cell>
          <cell r="B914" t="str">
            <v>PKE2278</v>
          </cell>
          <cell r="G914">
            <v>-3833808100</v>
          </cell>
          <cell r="H914">
            <v>43067.762604166666</v>
          </cell>
          <cell r="I914">
            <v>43067.815289351849</v>
          </cell>
          <cell r="J914">
            <v>5.2685185185185189E-2</v>
          </cell>
        </row>
        <row r="915">
          <cell r="A915" t="str">
            <v>TOUCH</v>
          </cell>
          <cell r="B915" t="str">
            <v>PKE2278</v>
          </cell>
          <cell r="G915">
            <v>-3833429000</v>
          </cell>
          <cell r="H915">
            <v>43067.82949074074</v>
          </cell>
          <cell r="I915">
            <v>43067.858981481484</v>
          </cell>
          <cell r="J915">
            <v>2.9490740740740744E-2</v>
          </cell>
        </row>
        <row r="916">
          <cell r="A916" t="str">
            <v>TOUCH</v>
          </cell>
          <cell r="B916" t="str">
            <v>PKE2278</v>
          </cell>
          <cell r="G916">
            <v>-3832564200</v>
          </cell>
          <cell r="H916">
            <v>43067.863391203704</v>
          </cell>
          <cell r="I916">
            <v>43067.895162037035</v>
          </cell>
          <cell r="J916">
            <v>3.1770833333333331E-2</v>
          </cell>
        </row>
        <row r="917">
          <cell r="A917" t="str">
            <v>TOUCH</v>
          </cell>
          <cell r="B917" t="str">
            <v>PKE2278</v>
          </cell>
          <cell r="G917">
            <v>-3835548100</v>
          </cell>
          <cell r="H917">
            <v>43067.904074074075</v>
          </cell>
          <cell r="I917">
            <v>43067.937511574077</v>
          </cell>
          <cell r="J917">
            <v>3.3437500000000002E-2</v>
          </cell>
        </row>
        <row r="918">
          <cell r="A918" t="str">
            <v>TOUCH</v>
          </cell>
          <cell r="B918" t="str">
            <v>PKE2278</v>
          </cell>
          <cell r="G918">
            <v>-3835277300</v>
          </cell>
          <cell r="H918">
            <v>43067.944490740738</v>
          </cell>
          <cell r="I918">
            <v>43067.968946759262</v>
          </cell>
          <cell r="J918">
            <v>2.4456018518518519E-2</v>
          </cell>
        </row>
        <row r="919">
          <cell r="A919" t="str">
            <v>TOUCH</v>
          </cell>
          <cell r="B919" t="str">
            <v>PKE2278</v>
          </cell>
          <cell r="G919">
            <v>-3832361600</v>
          </cell>
          <cell r="H919">
            <v>43067.98542824074</v>
          </cell>
          <cell r="I919">
            <v>43068.021041666667</v>
          </cell>
          <cell r="J919">
            <v>3.5613425925925923E-2</v>
          </cell>
        </row>
        <row r="920">
          <cell r="A920" t="str">
            <v>TOUCH</v>
          </cell>
          <cell r="B920" t="str">
            <v>PKE2278</v>
          </cell>
          <cell r="G920">
            <v>-3832663900</v>
          </cell>
          <cell r="H920">
            <v>43068.023298611108</v>
          </cell>
          <cell r="I920">
            <v>43068.025648148148</v>
          </cell>
          <cell r="J920">
            <v>2.3495370370370371E-3</v>
          </cell>
        </row>
        <row r="921">
          <cell r="A921" t="str">
            <v>TOUCH</v>
          </cell>
          <cell r="B921" t="str">
            <v>PKE2278</v>
          </cell>
          <cell r="G921">
            <v>-3832713500</v>
          </cell>
          <cell r="H921">
            <v>43068.029328703706</v>
          </cell>
          <cell r="I921">
            <v>43068.286759259259</v>
          </cell>
          <cell r="J921">
            <v>0.25743055555555555</v>
          </cell>
        </row>
        <row r="922">
          <cell r="A922" t="str">
            <v>TOUCH</v>
          </cell>
          <cell r="B922" t="str">
            <v>PKE2278</v>
          </cell>
          <cell r="G922">
            <v>-3832474800</v>
          </cell>
          <cell r="H922">
            <v>43068.29346064815</v>
          </cell>
          <cell r="I922">
            <v>43068.296238425923</v>
          </cell>
          <cell r="J922">
            <v>2.7777777777777779E-3</v>
          </cell>
        </row>
        <row r="923">
          <cell r="A923" t="str">
            <v>TOUCH</v>
          </cell>
          <cell r="B923" t="str">
            <v>PKE2278</v>
          </cell>
          <cell r="G923">
            <v>-3832706600</v>
          </cell>
          <cell r="H923">
            <v>43068.302071759259</v>
          </cell>
          <cell r="I923">
            <v>43068.305613425924</v>
          </cell>
          <cell r="J923">
            <v>3.5416666666666665E-3</v>
          </cell>
        </row>
        <row r="924">
          <cell r="A924" t="str">
            <v>TOUCH</v>
          </cell>
          <cell r="B924" t="str">
            <v>PKE2278</v>
          </cell>
          <cell r="G924">
            <v>-3832505200</v>
          </cell>
          <cell r="H924">
            <v>43068.313009259262</v>
          </cell>
          <cell r="I924">
            <v>43068.414340277777</v>
          </cell>
          <cell r="J924">
            <v>0.10133101851851851</v>
          </cell>
        </row>
        <row r="925">
          <cell r="A925" t="str">
            <v>TOUCH</v>
          </cell>
          <cell r="B925" t="str">
            <v>PKE2278</v>
          </cell>
          <cell r="G925">
            <v>-3832456400</v>
          </cell>
          <cell r="H925">
            <v>43068.415833333333</v>
          </cell>
          <cell r="I925">
            <v>43068.465266203704</v>
          </cell>
          <cell r="J925">
            <v>4.943287037037037E-2</v>
          </cell>
        </row>
        <row r="926">
          <cell r="A926" t="str">
            <v>TOUCH</v>
          </cell>
          <cell r="B926" t="str">
            <v>PKE2278</v>
          </cell>
          <cell r="G926">
            <v>-3833582000</v>
          </cell>
          <cell r="H926">
            <v>43068.475439814814</v>
          </cell>
          <cell r="I926">
            <v>43068.548298611109</v>
          </cell>
          <cell r="J926">
            <v>7.2858796296296297E-2</v>
          </cell>
        </row>
        <row r="927">
          <cell r="A927" t="str">
            <v>TOUCH</v>
          </cell>
          <cell r="B927" t="str">
            <v>PKE2278</v>
          </cell>
          <cell r="G927">
            <v>-3829762800</v>
          </cell>
          <cell r="H927">
            <v>43068.567245370374</v>
          </cell>
          <cell r="I927">
            <v>43068.611828703702</v>
          </cell>
          <cell r="J927">
            <v>4.4583333333333336E-2</v>
          </cell>
        </row>
        <row r="928">
          <cell r="A928" t="str">
            <v>TOUCH</v>
          </cell>
          <cell r="B928" t="str">
            <v>PKE2278</v>
          </cell>
          <cell r="G928">
            <v>-3832710800</v>
          </cell>
          <cell r="H928">
            <v>43068.624236111114</v>
          </cell>
          <cell r="I928">
            <v>43068.716134259259</v>
          </cell>
          <cell r="J928">
            <v>9.1898148148148159E-2</v>
          </cell>
        </row>
        <row r="929">
          <cell r="A929" t="str">
            <v>TOUCH</v>
          </cell>
          <cell r="B929" t="str">
            <v>PKE2278</v>
          </cell>
          <cell r="G929">
            <v>-3832180700</v>
          </cell>
          <cell r="H929">
            <v>43068.724259259259</v>
          </cell>
          <cell r="I929">
            <v>43068.727152777778</v>
          </cell>
          <cell r="J929">
            <v>2.8935185185185188E-3</v>
          </cell>
        </row>
        <row r="930">
          <cell r="A930" t="str">
            <v>TOUCH</v>
          </cell>
          <cell r="B930" t="str">
            <v>PKE2278</v>
          </cell>
          <cell r="G930">
            <v>-3831200300</v>
          </cell>
          <cell r="H930">
            <v>43068.732743055552</v>
          </cell>
          <cell r="I930">
            <v>43068.739155092589</v>
          </cell>
          <cell r="J930">
            <v>6.4120370370370364E-3</v>
          </cell>
        </row>
        <row r="931">
          <cell r="A931" t="str">
            <v>TOUCH</v>
          </cell>
          <cell r="B931" t="str">
            <v>PKE2278</v>
          </cell>
          <cell r="G931">
            <v>-3829649200</v>
          </cell>
          <cell r="H931">
            <v>43068.744884259257</v>
          </cell>
          <cell r="I931">
            <v>43068.747499999998</v>
          </cell>
          <cell r="J931">
            <v>2.615740740740741E-3</v>
          </cell>
        </row>
        <row r="932">
          <cell r="A932" t="str">
            <v>TOUCH</v>
          </cell>
          <cell r="B932" t="str">
            <v>PKE2278</v>
          </cell>
          <cell r="G932">
            <v>-3829610700</v>
          </cell>
          <cell r="H932">
            <v>43068.752314814818</v>
          </cell>
          <cell r="I932">
            <v>43068.797511574077</v>
          </cell>
          <cell r="J932">
            <v>4.5196759259259256E-2</v>
          </cell>
        </row>
        <row r="933">
          <cell r="A933" t="str">
            <v>TOUCH</v>
          </cell>
          <cell r="B933" t="str">
            <v>PKE2278</v>
          </cell>
          <cell r="G933">
            <v>-3832482900</v>
          </cell>
          <cell r="H933">
            <v>43068.809837962966</v>
          </cell>
          <cell r="I933">
            <v>43068.856874999998</v>
          </cell>
          <cell r="J933">
            <v>4.7037037037037037E-2</v>
          </cell>
        </row>
        <row r="934">
          <cell r="A934" t="str">
            <v>TOUCH</v>
          </cell>
          <cell r="B934" t="str">
            <v>PKE2278</v>
          </cell>
          <cell r="G934">
            <v>-3831226600</v>
          </cell>
          <cell r="H934">
            <v>43068.860671296294</v>
          </cell>
          <cell r="I934">
            <v>43068.883101851854</v>
          </cell>
          <cell r="J934">
            <v>2.2430555555555554E-2</v>
          </cell>
        </row>
        <row r="935">
          <cell r="A935" t="str">
            <v>TOUCH</v>
          </cell>
          <cell r="B935" t="str">
            <v>PKE2278</v>
          </cell>
          <cell r="G935">
            <v>-3833220000</v>
          </cell>
          <cell r="H935">
            <v>43068.890706018516</v>
          </cell>
          <cell r="I935">
            <v>43068.909722222219</v>
          </cell>
          <cell r="J935">
            <v>1.9016203703703705E-2</v>
          </cell>
        </row>
        <row r="936">
          <cell r="A936" t="str">
            <v>TOUCH</v>
          </cell>
          <cell r="B936" t="str">
            <v>PKE2278</v>
          </cell>
          <cell r="G936">
            <v>-3832718400</v>
          </cell>
          <cell r="H936">
            <v>43068.915983796294</v>
          </cell>
          <cell r="I936">
            <v>43068.941053240742</v>
          </cell>
          <cell r="J936">
            <v>2.5069444444444446E-2</v>
          </cell>
        </row>
        <row r="937">
          <cell r="A937" t="str">
            <v>TOUCH</v>
          </cell>
          <cell r="B937" t="str">
            <v>PKE2278</v>
          </cell>
          <cell r="G937">
            <v>-3829096100</v>
          </cell>
          <cell r="H937">
            <v>43068.9528125</v>
          </cell>
          <cell r="I937" t="str">
            <v>--</v>
          </cell>
          <cell r="J937">
            <v>4.6493055555555551E-2</v>
          </cell>
        </row>
        <row r="938">
          <cell r="A938" t="str">
            <v>TOUCH</v>
          </cell>
          <cell r="B938" t="str">
            <v>PKE2278</v>
          </cell>
          <cell r="G938">
            <v>-3829096100</v>
          </cell>
          <cell r="H938">
            <v>43068.9528125</v>
          </cell>
          <cell r="I938">
            <v>43069.231157407405</v>
          </cell>
          <cell r="J938">
            <v>0.27834490740740742</v>
          </cell>
        </row>
        <row r="939">
          <cell r="A939" t="str">
            <v>TOUCH</v>
          </cell>
          <cell r="B939" t="str">
            <v>PKE2278</v>
          </cell>
          <cell r="G939">
            <v>-3832712000</v>
          </cell>
          <cell r="H939">
            <v>43069.236585648148</v>
          </cell>
          <cell r="I939">
            <v>43069.271585648145</v>
          </cell>
          <cell r="J939">
            <v>3.4999999999999996E-2</v>
          </cell>
        </row>
        <row r="940">
          <cell r="A940" t="str">
            <v>TOUCH</v>
          </cell>
          <cell r="B940" t="str">
            <v>PKE2278</v>
          </cell>
          <cell r="G940">
            <v>-3832547200</v>
          </cell>
          <cell r="H940">
            <v>43069.273032407407</v>
          </cell>
          <cell r="I940">
            <v>43069.319884259261</v>
          </cell>
          <cell r="J940">
            <v>4.6851851851851846E-2</v>
          </cell>
        </row>
        <row r="941">
          <cell r="A941" t="str">
            <v>TOUCH</v>
          </cell>
          <cell r="B941" t="str">
            <v>PKE2278</v>
          </cell>
          <cell r="G941">
            <v>-3831408400</v>
          </cell>
          <cell r="H941">
            <v>43069.332048611112</v>
          </cell>
          <cell r="I941">
            <v>43069.378854166665</v>
          </cell>
          <cell r="J941">
            <v>4.6805555555555552E-2</v>
          </cell>
        </row>
        <row r="942">
          <cell r="A942" t="str">
            <v>TOUCH</v>
          </cell>
          <cell r="B942" t="str">
            <v>PKE2278</v>
          </cell>
          <cell r="G942">
            <v>-3834112300</v>
          </cell>
          <cell r="H942">
            <v>43069.388935185183</v>
          </cell>
          <cell r="I942">
            <v>43069.414687500001</v>
          </cell>
          <cell r="J942">
            <v>2.5752314814814815E-2</v>
          </cell>
        </row>
        <row r="943">
          <cell r="A943" t="str">
            <v>TOUCH</v>
          </cell>
          <cell r="B943" t="str">
            <v>PKE2278</v>
          </cell>
          <cell r="G943">
            <v>-3835593400</v>
          </cell>
          <cell r="H943">
            <v>43069.421932870369</v>
          </cell>
          <cell r="I943">
            <v>43069.424872685187</v>
          </cell>
          <cell r="J943">
            <v>2.9398148148148148E-3</v>
          </cell>
        </row>
        <row r="944">
          <cell r="A944" t="str">
            <v>TOUCH</v>
          </cell>
          <cell r="B944" t="str">
            <v>PKE2278</v>
          </cell>
          <cell r="G944">
            <v>-3833149000</v>
          </cell>
          <cell r="H944">
            <v>43069.436979166669</v>
          </cell>
          <cell r="I944">
            <v>43069.446817129632</v>
          </cell>
          <cell r="J944">
            <v>9.8379629629629633E-3</v>
          </cell>
        </row>
        <row r="945">
          <cell r="A945" t="str">
            <v>TOUCH</v>
          </cell>
          <cell r="B945" t="str">
            <v>PKE2278</v>
          </cell>
          <cell r="G945">
            <v>-3833834600</v>
          </cell>
          <cell r="H945">
            <v>43069.450358796297</v>
          </cell>
          <cell r="I945">
            <v>43069.451377314814</v>
          </cell>
          <cell r="J945">
            <v>1.0185185185185186E-3</v>
          </cell>
        </row>
        <row r="946">
          <cell r="A946" t="str">
            <v>TOUCH</v>
          </cell>
          <cell r="B946" t="str">
            <v>PKE2278</v>
          </cell>
          <cell r="G946">
            <v>-3832712600</v>
          </cell>
          <cell r="H946">
            <v>43069.456377314818</v>
          </cell>
          <cell r="I946">
            <v>43069.541284722225</v>
          </cell>
          <cell r="J946">
            <v>8.4907407407407418E-2</v>
          </cell>
        </row>
        <row r="947">
          <cell r="A947" t="str">
            <v>TOUCH</v>
          </cell>
          <cell r="B947" t="str">
            <v>PKE2278</v>
          </cell>
          <cell r="G947">
            <v>-3830569500</v>
          </cell>
          <cell r="H947">
            <v>43069.552291666667</v>
          </cell>
          <cell r="I947">
            <v>43069.581377314818</v>
          </cell>
          <cell r="J947">
            <v>2.9085648148148149E-2</v>
          </cell>
        </row>
        <row r="948">
          <cell r="A948" t="str">
            <v>TOUCH</v>
          </cell>
          <cell r="B948" t="str">
            <v>PKE2278</v>
          </cell>
          <cell r="G948">
            <v>-3829679000</v>
          </cell>
          <cell r="H948">
            <v>43069.584293981483</v>
          </cell>
          <cell r="I948">
            <v>43069.637476851851</v>
          </cell>
          <cell r="J948">
            <v>5.3182870370370366E-2</v>
          </cell>
        </row>
        <row r="949">
          <cell r="A949" t="str">
            <v>TOUCH</v>
          </cell>
          <cell r="B949" t="str">
            <v>PKE2278</v>
          </cell>
          <cell r="G949">
            <v>-3832711600</v>
          </cell>
          <cell r="H949">
            <v>43069.646678240744</v>
          </cell>
          <cell r="I949">
            <v>43069.726041666669</v>
          </cell>
          <cell r="J949">
            <v>7.9363425925925921E-2</v>
          </cell>
        </row>
        <row r="950">
          <cell r="A950" t="str">
            <v>TOUCH</v>
          </cell>
          <cell r="B950" t="str">
            <v>PKE2278</v>
          </cell>
          <cell r="G950">
            <v>-3832051900</v>
          </cell>
          <cell r="H950">
            <v>43069.730520833335</v>
          </cell>
          <cell r="I950">
            <v>43069.731388888889</v>
          </cell>
          <cell r="J950">
            <v>8.6805555555555551E-4</v>
          </cell>
        </row>
        <row r="951">
          <cell r="A951" t="str">
            <v>TOUCH</v>
          </cell>
          <cell r="B951" t="str">
            <v>PKE2278</v>
          </cell>
          <cell r="G951">
            <v>-3829796800</v>
          </cell>
          <cell r="H951">
            <v>43069.742361111108</v>
          </cell>
          <cell r="I951">
            <v>43069.762673611112</v>
          </cell>
          <cell r="J951">
            <v>2.0312500000000001E-2</v>
          </cell>
        </row>
        <row r="952">
          <cell r="A952" t="str">
            <v>BASICO</v>
          </cell>
          <cell r="B952" t="str">
            <v>OUX2321</v>
          </cell>
          <cell r="G952">
            <v>-3832705500</v>
          </cell>
          <cell r="H952">
            <v>43069.759085648147</v>
          </cell>
          <cell r="I952">
            <v>43069.921481481484</v>
          </cell>
          <cell r="J952">
            <v>0.16239583333333332</v>
          </cell>
        </row>
        <row r="953">
          <cell r="A953" t="str">
            <v>TOUCH</v>
          </cell>
          <cell r="B953" t="str">
            <v>PKE2278</v>
          </cell>
          <cell r="G953">
            <v>-3829143000</v>
          </cell>
          <cell r="H953">
            <v>43069.776736111111</v>
          </cell>
          <cell r="I953">
            <v>43069.789687500001</v>
          </cell>
          <cell r="J953">
            <v>1.2951388888888887E-2</v>
          </cell>
        </row>
        <row r="954">
          <cell r="A954" t="str">
            <v>TOUCH</v>
          </cell>
          <cell r="B954" t="str">
            <v>PKE2278</v>
          </cell>
          <cell r="G954">
            <v>-3830027500</v>
          </cell>
          <cell r="H954">
            <v>43069.793715277781</v>
          </cell>
          <cell r="I954">
            <v>43069.813298611109</v>
          </cell>
          <cell r="J954">
            <v>1.9583333333333331E-2</v>
          </cell>
        </row>
        <row r="955">
          <cell r="A955" t="str">
            <v>TOUCH</v>
          </cell>
          <cell r="B955" t="str">
            <v>PKE2278</v>
          </cell>
          <cell r="G955">
            <v>-3831858800</v>
          </cell>
          <cell r="H955">
            <v>43069.821944444448</v>
          </cell>
          <cell r="I955">
            <v>43069.829583333332</v>
          </cell>
          <cell r="J955">
            <v>7.6388888888888886E-3</v>
          </cell>
        </row>
        <row r="956">
          <cell r="A956" t="str">
            <v>TOUCH</v>
          </cell>
          <cell r="B956" t="str">
            <v>PKE2278</v>
          </cell>
          <cell r="G956">
            <v>-3833323000</v>
          </cell>
          <cell r="H956">
            <v>43069.843506944446</v>
          </cell>
          <cell r="I956">
            <v>43069.850763888891</v>
          </cell>
          <cell r="J956">
            <v>7.2569444444444443E-3</v>
          </cell>
        </row>
        <row r="957">
          <cell r="A957" t="str">
            <v>TOUCH</v>
          </cell>
          <cell r="B957" t="str">
            <v>PKE2278</v>
          </cell>
          <cell r="G957">
            <v>-3833148400</v>
          </cell>
          <cell r="H957">
            <v>43069.852256944447</v>
          </cell>
          <cell r="I957">
            <v>43069.909953703704</v>
          </cell>
          <cell r="J957">
            <v>5.769675925925926E-2</v>
          </cell>
        </row>
        <row r="958">
          <cell r="A958" t="str">
            <v>TOUCH</v>
          </cell>
          <cell r="B958" t="str">
            <v>PKE2278</v>
          </cell>
          <cell r="G958">
            <v>-3832720000</v>
          </cell>
          <cell r="H958">
            <v>43069.914571759262</v>
          </cell>
          <cell r="I958">
            <v>43069.923148148147</v>
          </cell>
          <cell r="J958">
            <v>8.5763888888888886E-3</v>
          </cell>
        </row>
        <row r="959">
          <cell r="A959" t="str">
            <v>TOUCH</v>
          </cell>
          <cell r="B959" t="str">
            <v>PKE2278</v>
          </cell>
          <cell r="G959">
            <v>-3832446600</v>
          </cell>
          <cell r="H959">
            <v>43069.928078703706</v>
          </cell>
          <cell r="I959">
            <v>43069.948692129627</v>
          </cell>
          <cell r="J959">
            <v>2.0613425925925927E-2</v>
          </cell>
        </row>
        <row r="960">
          <cell r="A960" t="str">
            <v>BASICO</v>
          </cell>
          <cell r="B960" t="str">
            <v>OUX2321</v>
          </cell>
          <cell r="G960">
            <v>-3829670900</v>
          </cell>
          <cell r="H960">
            <v>43069.93241898148</v>
          </cell>
          <cell r="I960">
            <v>43070.210381944446</v>
          </cell>
          <cell r="J960">
            <v>0.27796296296296297</v>
          </cell>
        </row>
        <row r="961">
          <cell r="A961" t="str">
            <v>TOUCH</v>
          </cell>
          <cell r="B961" t="str">
            <v>PKE2278</v>
          </cell>
          <cell r="G961">
            <v>-3832995300</v>
          </cell>
          <cell r="H961">
            <v>43069.97247685185</v>
          </cell>
          <cell r="I961">
            <v>43069.980416666665</v>
          </cell>
          <cell r="J961">
            <v>7.9398148148148145E-3</v>
          </cell>
        </row>
        <row r="962">
          <cell r="A962" t="str">
            <v>TOUCH</v>
          </cell>
          <cell r="B962" t="str">
            <v>PKE2278</v>
          </cell>
          <cell r="G962">
            <v>-3832676300</v>
          </cell>
          <cell r="H962">
            <v>43069.98746527778</v>
          </cell>
          <cell r="I962">
            <v>43070.271770833337</v>
          </cell>
          <cell r="J962">
            <v>0.28430555555555553</v>
          </cell>
        </row>
        <row r="963">
          <cell r="A963" t="str">
            <v>BASICO</v>
          </cell>
          <cell r="B963" t="str">
            <v>OUX2321</v>
          </cell>
          <cell r="G963">
            <v>-3832713200</v>
          </cell>
          <cell r="H963">
            <v>43070.215925925928</v>
          </cell>
          <cell r="I963">
            <v>43070.669594907406</v>
          </cell>
          <cell r="J963">
            <v>0.45366898148148144</v>
          </cell>
        </row>
        <row r="964">
          <cell r="A964" t="str">
            <v>TOUCH</v>
          </cell>
          <cell r="B964" t="str">
            <v>PKE2278</v>
          </cell>
          <cell r="G964">
            <v>-3830050100</v>
          </cell>
          <cell r="H964">
            <v>43070.281180555554</v>
          </cell>
          <cell r="I964">
            <v>43070.307314814818</v>
          </cell>
          <cell r="J964">
            <v>2.613425925925926E-2</v>
          </cell>
        </row>
        <row r="965">
          <cell r="A965" t="str">
            <v>TOUCH</v>
          </cell>
          <cell r="B965" t="str">
            <v>PKE2278</v>
          </cell>
          <cell r="G965">
            <v>-3832518500</v>
          </cell>
          <cell r="H965">
            <v>43070.3127662037</v>
          </cell>
          <cell r="I965">
            <v>43070.341631944444</v>
          </cell>
          <cell r="J965">
            <v>2.8865740740740744E-2</v>
          </cell>
        </row>
        <row r="966">
          <cell r="A966" t="str">
            <v>TOUCH</v>
          </cell>
          <cell r="B966" t="str">
            <v>PKE2278</v>
          </cell>
          <cell r="G966">
            <v>-3832305800</v>
          </cell>
          <cell r="H966">
            <v>43070.352060185185</v>
          </cell>
          <cell r="I966">
            <v>43070.455879629626</v>
          </cell>
          <cell r="J966">
            <v>0.10381944444444445</v>
          </cell>
        </row>
        <row r="967">
          <cell r="A967" t="str">
            <v>TOUCH</v>
          </cell>
          <cell r="B967" t="str">
            <v>PKE2278</v>
          </cell>
          <cell r="G967">
            <v>-3832719300</v>
          </cell>
          <cell r="H967">
            <v>43070.462372685186</v>
          </cell>
          <cell r="I967">
            <v>43070.487766203703</v>
          </cell>
          <cell r="J967">
            <v>2.539351851851852E-2</v>
          </cell>
        </row>
        <row r="968">
          <cell r="A968" t="str">
            <v>TOUCH</v>
          </cell>
          <cell r="B968" t="str">
            <v>PKE2278</v>
          </cell>
          <cell r="G968">
            <v>-3832619700</v>
          </cell>
          <cell r="H968">
            <v>43070.491377314815</v>
          </cell>
          <cell r="I968">
            <v>43070.494305555556</v>
          </cell>
          <cell r="J968">
            <v>2.9282407407407412E-3</v>
          </cell>
        </row>
        <row r="969">
          <cell r="A969" t="str">
            <v>TOUCH</v>
          </cell>
          <cell r="B969" t="str">
            <v>PKE2278</v>
          </cell>
          <cell r="G969">
            <v>-3833580700</v>
          </cell>
          <cell r="H969">
            <v>43070.49722222222</v>
          </cell>
          <cell r="I969">
            <v>43070.536620370367</v>
          </cell>
          <cell r="J969">
            <v>3.9398148148148147E-2</v>
          </cell>
        </row>
        <row r="970">
          <cell r="A970" t="str">
            <v>TOUCH</v>
          </cell>
          <cell r="B970" t="str">
            <v>PKE2278</v>
          </cell>
          <cell r="G970">
            <v>-3832986700</v>
          </cell>
          <cell r="H970">
            <v>43070.55159722222</v>
          </cell>
          <cell r="I970">
            <v>43070.556111111109</v>
          </cell>
          <cell r="J970">
            <v>4.5138888888888893E-3</v>
          </cell>
        </row>
        <row r="971">
          <cell r="A971" t="str">
            <v>TOUCH</v>
          </cell>
          <cell r="B971" t="str">
            <v>PKE2278</v>
          </cell>
          <cell r="G971">
            <v>-3835474000</v>
          </cell>
          <cell r="H971">
            <v>43070.567256944443</v>
          </cell>
          <cell r="I971">
            <v>43070.594351851854</v>
          </cell>
          <cell r="J971">
            <v>2.7094907407407404E-2</v>
          </cell>
        </row>
        <row r="972">
          <cell r="A972" t="str">
            <v>TOUCH</v>
          </cell>
          <cell r="B972" t="str">
            <v>PKE2278</v>
          </cell>
          <cell r="G972">
            <v>-3834922900</v>
          </cell>
          <cell r="H972">
            <v>43070.602488425924</v>
          </cell>
          <cell r="I972">
            <v>43070.605150462965</v>
          </cell>
          <cell r="J972">
            <v>2.6620370370370374E-3</v>
          </cell>
        </row>
        <row r="973">
          <cell r="A973" t="str">
            <v>TOUCH</v>
          </cell>
          <cell r="B973" t="str">
            <v>PKE2278</v>
          </cell>
          <cell r="G973">
            <v>-3835321700</v>
          </cell>
          <cell r="H973">
            <v>43070.607928240737</v>
          </cell>
          <cell r="I973">
            <v>43070.616238425922</v>
          </cell>
          <cell r="J973">
            <v>8.3101851851851861E-3</v>
          </cell>
        </row>
        <row r="974">
          <cell r="A974" t="str">
            <v>TOUCH</v>
          </cell>
          <cell r="B974" t="str">
            <v>PKE2278</v>
          </cell>
          <cell r="G974">
            <v>-3834390600</v>
          </cell>
          <cell r="H974">
            <v>43070.620949074073</v>
          </cell>
          <cell r="I974">
            <v>43070.646724537037</v>
          </cell>
          <cell r="J974">
            <v>2.5775462962962962E-2</v>
          </cell>
        </row>
        <row r="975">
          <cell r="A975" t="str">
            <v>TOUCH</v>
          </cell>
          <cell r="B975" t="str">
            <v>PKE2278</v>
          </cell>
          <cell r="G975">
            <v>-3833578400</v>
          </cell>
          <cell r="H975">
            <v>43070.649594907409</v>
          </cell>
          <cell r="I975">
            <v>43070.650497685187</v>
          </cell>
          <cell r="J975">
            <v>9.0277777777777784E-4</v>
          </cell>
        </row>
        <row r="976">
          <cell r="A976" t="str">
            <v>TOUCH</v>
          </cell>
          <cell r="B976" t="str">
            <v>PKE2278</v>
          </cell>
          <cell r="G976">
            <v>-3832719300</v>
          </cell>
          <cell r="H976">
            <v>43070.654641203706</v>
          </cell>
          <cell r="I976">
            <v>43070.971631944441</v>
          </cell>
          <cell r="J976">
            <v>0.31699074074074074</v>
          </cell>
        </row>
        <row r="977">
          <cell r="A977" t="str">
            <v>BASICO</v>
          </cell>
          <cell r="B977" t="str">
            <v>OUX2321</v>
          </cell>
          <cell r="G977">
            <v>-3832387000</v>
          </cell>
          <cell r="H977">
            <v>43070.676064814812</v>
          </cell>
          <cell r="I977">
            <v>43070.700219907405</v>
          </cell>
          <cell r="J977">
            <v>2.4155092592592589E-2</v>
          </cell>
        </row>
        <row r="978">
          <cell r="A978" t="str">
            <v>BASICO</v>
          </cell>
          <cell r="B978" t="str">
            <v>OUX2321</v>
          </cell>
          <cell r="G978">
            <v>-3833182500</v>
          </cell>
          <cell r="H978">
            <v>43070.706400462965</v>
          </cell>
          <cell r="I978">
            <v>43070.79047453704</v>
          </cell>
          <cell r="J978">
            <v>8.4074074074074079E-2</v>
          </cell>
        </row>
        <row r="979">
          <cell r="A979" t="str">
            <v>BASICO</v>
          </cell>
          <cell r="B979" t="str">
            <v>OUX2321</v>
          </cell>
          <cell r="G979">
            <v>-3833720100</v>
          </cell>
          <cell r="H979">
            <v>43070.819756944446</v>
          </cell>
          <cell r="I979">
            <v>43070.822418981479</v>
          </cell>
          <cell r="J979">
            <v>2.6620370370370374E-3</v>
          </cell>
        </row>
        <row r="980">
          <cell r="A980" t="str">
            <v>BASICO</v>
          </cell>
          <cell r="B980" t="str">
            <v>OUX2321</v>
          </cell>
          <cell r="G980">
            <v>-3834748900</v>
          </cell>
          <cell r="H980">
            <v>43070.831030092595</v>
          </cell>
          <cell r="I980">
            <v>43070.874062499999</v>
          </cell>
          <cell r="J980">
            <v>4.3032407407407408E-2</v>
          </cell>
        </row>
        <row r="981">
          <cell r="A981" t="str">
            <v>BASICO</v>
          </cell>
          <cell r="B981" t="str">
            <v>OUX2321</v>
          </cell>
          <cell r="G981">
            <v>-3835473300</v>
          </cell>
          <cell r="H981">
            <v>43070.882118055553</v>
          </cell>
          <cell r="I981">
            <v>43070.90215277778</v>
          </cell>
          <cell r="J981">
            <v>2.0034722222222221E-2</v>
          </cell>
        </row>
        <row r="982">
          <cell r="A982" t="str">
            <v>BASICO</v>
          </cell>
          <cell r="B982" t="str">
            <v>OUX2321</v>
          </cell>
          <cell r="G982">
            <v>-3833860200</v>
          </cell>
          <cell r="H982">
            <v>43070.914583333331</v>
          </cell>
          <cell r="I982">
            <v>43070.91684027778</v>
          </cell>
          <cell r="J982">
            <v>2.2569444444444447E-3</v>
          </cell>
        </row>
        <row r="983">
          <cell r="A983" t="str">
            <v>BASICO</v>
          </cell>
          <cell r="B983" t="str">
            <v>OUX2321</v>
          </cell>
          <cell r="G983">
            <v>-3834144500</v>
          </cell>
          <cell r="H983">
            <v>43070.919444444444</v>
          </cell>
          <cell r="I983">
            <v>43070.933576388888</v>
          </cell>
          <cell r="J983">
            <v>1.4131944444444445E-2</v>
          </cell>
        </row>
        <row r="984">
          <cell r="A984" t="str">
            <v>BASICO</v>
          </cell>
          <cell r="B984" t="str">
            <v>OUX2321</v>
          </cell>
          <cell r="G984">
            <v>-3832484000</v>
          </cell>
          <cell r="H984">
            <v>43070.950868055559</v>
          </cell>
          <cell r="I984">
            <v>43070.964178240742</v>
          </cell>
          <cell r="J984">
            <v>1.3310185185185187E-2</v>
          </cell>
        </row>
        <row r="985">
          <cell r="A985" t="str">
            <v>BASICO</v>
          </cell>
          <cell r="B985" t="str">
            <v>OUX2321</v>
          </cell>
          <cell r="G985">
            <v>-3833123900</v>
          </cell>
          <cell r="H985">
            <v>43070.968101851853</v>
          </cell>
          <cell r="I985">
            <v>43070.974768518521</v>
          </cell>
          <cell r="J985">
            <v>6.6666666666666671E-3</v>
          </cell>
        </row>
        <row r="986">
          <cell r="A986" t="str">
            <v>TOUCH</v>
          </cell>
          <cell r="B986" t="str">
            <v>PKE2278</v>
          </cell>
          <cell r="G986">
            <v>-3833336900</v>
          </cell>
          <cell r="H986">
            <v>43070.974548611113</v>
          </cell>
          <cell r="I986">
            <v>43070.980162037034</v>
          </cell>
          <cell r="J986">
            <v>5.6134259259259271E-3</v>
          </cell>
        </row>
        <row r="987">
          <cell r="A987" t="str">
            <v>BASICO</v>
          </cell>
          <cell r="B987" t="str">
            <v>OUX2321</v>
          </cell>
          <cell r="G987">
            <v>-3833066600</v>
          </cell>
          <cell r="H987">
            <v>43070.980231481481</v>
          </cell>
          <cell r="I987">
            <v>43070.99150462963</v>
          </cell>
          <cell r="J987">
            <v>1.1273148148148148E-2</v>
          </cell>
        </row>
        <row r="988">
          <cell r="A988" t="str">
            <v>TOUCH</v>
          </cell>
          <cell r="B988" t="str">
            <v>PKE2278</v>
          </cell>
          <cell r="G988">
            <v>-3832610200</v>
          </cell>
          <cell r="H988">
            <v>43070.982453703706</v>
          </cell>
          <cell r="I988">
            <v>43070.985960648148</v>
          </cell>
          <cell r="J988">
            <v>3.5069444444444445E-3</v>
          </cell>
        </row>
        <row r="989">
          <cell r="A989" t="str">
            <v>TOUCH</v>
          </cell>
          <cell r="B989" t="str">
            <v>PKE2278</v>
          </cell>
          <cell r="G989">
            <v>-3830037900</v>
          </cell>
          <cell r="H989">
            <v>43070.993402777778</v>
          </cell>
          <cell r="I989">
            <v>43071.077002314814</v>
          </cell>
          <cell r="J989">
            <v>8.3599537037037042E-2</v>
          </cell>
        </row>
        <row r="990">
          <cell r="A990" t="str">
            <v>BASICO</v>
          </cell>
          <cell r="B990" t="str">
            <v>OUX2321</v>
          </cell>
          <cell r="G990">
            <v>-3834650800</v>
          </cell>
          <cell r="H990">
            <v>43070.999282407407</v>
          </cell>
          <cell r="I990">
            <v>43071.014664351853</v>
          </cell>
          <cell r="J990">
            <v>1.5381944444444443E-2</v>
          </cell>
        </row>
        <row r="991">
          <cell r="A991" t="str">
            <v>BASICO</v>
          </cell>
          <cell r="B991" t="str">
            <v>OUX2321</v>
          </cell>
          <cell r="G991">
            <v>-3832710400</v>
          </cell>
          <cell r="H991">
            <v>43071.020914351851</v>
          </cell>
          <cell r="I991">
            <v>43071.667719907404</v>
          </cell>
          <cell r="J991">
            <v>0.64680555555555552</v>
          </cell>
        </row>
        <row r="992">
          <cell r="A992" t="str">
            <v>TOUCH</v>
          </cell>
          <cell r="B992" t="str">
            <v>PKE2278</v>
          </cell>
          <cell r="G992">
            <v>-3830842000</v>
          </cell>
          <cell r="H992">
            <v>43071.079780092594</v>
          </cell>
          <cell r="I992">
            <v>43071.204340277778</v>
          </cell>
          <cell r="J992">
            <v>0.12456018518518519</v>
          </cell>
        </row>
        <row r="993">
          <cell r="A993" t="str">
            <v>TOUCH</v>
          </cell>
          <cell r="B993" t="str">
            <v>PKE2278</v>
          </cell>
          <cell r="G993">
            <v>-3832721200</v>
          </cell>
          <cell r="H993">
            <v>43071.207777777781</v>
          </cell>
          <cell r="I993">
            <v>43073.693449074075</v>
          </cell>
          <cell r="J993" t="str">
            <v>2 D 11:39:22</v>
          </cell>
        </row>
        <row r="994">
          <cell r="A994" t="str">
            <v>BASICO</v>
          </cell>
          <cell r="B994" t="str">
            <v>OUX2321</v>
          </cell>
          <cell r="G994">
            <v>-3832817900</v>
          </cell>
          <cell r="H994">
            <v>43071.676296296297</v>
          </cell>
          <cell r="I994">
            <v>43071.678657407407</v>
          </cell>
          <cell r="J994">
            <v>2.3611111111111111E-3</v>
          </cell>
        </row>
        <row r="995">
          <cell r="A995" t="str">
            <v>BASICO</v>
          </cell>
          <cell r="B995" t="str">
            <v>OUX2321</v>
          </cell>
          <cell r="G995">
            <v>-3832277900</v>
          </cell>
          <cell r="H995">
            <v>43071.693032407406</v>
          </cell>
          <cell r="I995">
            <v>43071.698553240742</v>
          </cell>
          <cell r="J995">
            <v>5.5208333333333333E-3</v>
          </cell>
        </row>
        <row r="996">
          <cell r="A996" t="str">
            <v>BASICO</v>
          </cell>
          <cell r="B996" t="str">
            <v>OUX2321</v>
          </cell>
          <cell r="G996">
            <v>-3833160500</v>
          </cell>
          <cell r="H996">
            <v>43071.707476851851</v>
          </cell>
          <cell r="I996">
            <v>43071.74119212963</v>
          </cell>
          <cell r="J996">
            <v>3.3715277777777775E-2</v>
          </cell>
        </row>
        <row r="997">
          <cell r="A997" t="str">
            <v>BASICO</v>
          </cell>
          <cell r="B997" t="str">
            <v>OUX2321</v>
          </cell>
          <cell r="G997">
            <v>-3835645300</v>
          </cell>
          <cell r="H997">
            <v>43071.765393518515</v>
          </cell>
          <cell r="I997">
            <v>43071.767581018517</v>
          </cell>
          <cell r="J997">
            <v>2.1874999999999998E-3</v>
          </cell>
        </row>
        <row r="998">
          <cell r="A998" t="str">
            <v>BASICO</v>
          </cell>
          <cell r="B998" t="str">
            <v>OUX2321</v>
          </cell>
          <cell r="G998">
            <v>-3832492000</v>
          </cell>
          <cell r="H998">
            <v>43071.786782407406</v>
          </cell>
          <cell r="I998">
            <v>43071.903495370374</v>
          </cell>
          <cell r="J998">
            <v>0.11671296296296296</v>
          </cell>
        </row>
        <row r="999">
          <cell r="A999" t="str">
            <v>BASICO</v>
          </cell>
          <cell r="B999" t="str">
            <v>OUX2321</v>
          </cell>
          <cell r="G999">
            <v>-3833176800</v>
          </cell>
          <cell r="H999">
            <v>43071.911307870374</v>
          </cell>
          <cell r="I999">
            <v>43071.912210648145</v>
          </cell>
          <cell r="J999">
            <v>9.0277777777777784E-4</v>
          </cell>
        </row>
        <row r="1000">
          <cell r="A1000" t="str">
            <v>BASICO</v>
          </cell>
          <cell r="B1000" t="str">
            <v>OUX2321</v>
          </cell>
          <cell r="G1000">
            <v>-3834761100</v>
          </cell>
          <cell r="H1000">
            <v>43071.922835648147</v>
          </cell>
          <cell r="I1000">
            <v>43071.928252314814</v>
          </cell>
          <cell r="J1000">
            <v>5.4166666666666669E-3</v>
          </cell>
        </row>
        <row r="1001">
          <cell r="A1001" t="str">
            <v>BASICO</v>
          </cell>
          <cell r="B1001" t="str">
            <v>OUX2321</v>
          </cell>
          <cell r="G1001">
            <v>-3832353300</v>
          </cell>
          <cell r="H1001">
            <v>43071.945509259262</v>
          </cell>
          <cell r="I1001">
            <v>43072.003125000003</v>
          </cell>
          <cell r="J1001">
            <v>5.7615740740740738E-2</v>
          </cell>
        </row>
        <row r="1002">
          <cell r="A1002" t="str">
            <v>BASICO</v>
          </cell>
          <cell r="B1002" t="str">
            <v>OUX2321</v>
          </cell>
          <cell r="G1002">
            <v>-3832433700</v>
          </cell>
          <cell r="H1002">
            <v>43072.004583333335</v>
          </cell>
          <cell r="I1002">
            <v>43072.042662037034</v>
          </cell>
          <cell r="J1002">
            <v>3.8078703703703705E-2</v>
          </cell>
        </row>
        <row r="1003">
          <cell r="A1003" t="str">
            <v>BASICO</v>
          </cell>
          <cell r="B1003" t="str">
            <v>OUX2321</v>
          </cell>
          <cell r="G1003">
            <v>-3832688700</v>
          </cell>
          <cell r="H1003">
            <v>43072.044259259259</v>
          </cell>
          <cell r="I1003">
            <v>43072.045266203706</v>
          </cell>
          <cell r="J1003">
            <v>1.0069444444444444E-3</v>
          </cell>
        </row>
        <row r="1004">
          <cell r="A1004" t="str">
            <v>BASICO</v>
          </cell>
          <cell r="B1004" t="str">
            <v>OUX2321</v>
          </cell>
          <cell r="G1004">
            <v>-3832715300</v>
          </cell>
          <cell r="H1004">
            <v>43072.048796296294</v>
          </cell>
          <cell r="I1004">
            <v>43072.650347222225</v>
          </cell>
          <cell r="J1004">
            <v>0.60155092592592596</v>
          </cell>
        </row>
        <row r="1005">
          <cell r="A1005" t="str">
            <v>BASICO</v>
          </cell>
          <cell r="B1005" t="str">
            <v>OUX2321</v>
          </cell>
          <cell r="G1005">
            <v>-3832414300</v>
          </cell>
          <cell r="H1005">
            <v>43072.656585648147</v>
          </cell>
          <cell r="I1005">
            <v>43072.738240740742</v>
          </cell>
          <cell r="J1005">
            <v>8.1655092592592585E-2</v>
          </cell>
        </row>
        <row r="1006">
          <cell r="A1006" t="str">
            <v>BASICO</v>
          </cell>
          <cell r="B1006" t="str">
            <v>OUX2321</v>
          </cell>
          <cell r="G1006">
            <v>-3834486300</v>
          </cell>
          <cell r="H1006">
            <v>43072.744108796294</v>
          </cell>
          <cell r="I1006">
            <v>43072.767731481479</v>
          </cell>
          <cell r="J1006">
            <v>2.3622685185185188E-2</v>
          </cell>
        </row>
        <row r="1007">
          <cell r="A1007" t="str">
            <v>BASICO</v>
          </cell>
          <cell r="B1007" t="str">
            <v>OUX2321</v>
          </cell>
          <cell r="G1007">
            <v>-3835522200</v>
          </cell>
          <cell r="H1007">
            <v>43072.778449074074</v>
          </cell>
          <cell r="I1007">
            <v>43072.7812962963</v>
          </cell>
          <cell r="J1007">
            <v>2.8472222222222219E-3</v>
          </cell>
        </row>
        <row r="1008">
          <cell r="A1008" t="str">
            <v>BASICO</v>
          </cell>
          <cell r="B1008" t="str">
            <v>OUX2321</v>
          </cell>
          <cell r="G1008">
            <v>-3832882800</v>
          </cell>
          <cell r="H1008">
            <v>43072.790254629632</v>
          </cell>
          <cell r="I1008">
            <v>43072.805150462962</v>
          </cell>
          <cell r="J1008">
            <v>1.4895833333333332E-2</v>
          </cell>
        </row>
        <row r="1009">
          <cell r="A1009" t="str">
            <v>BASICO</v>
          </cell>
          <cell r="B1009" t="str">
            <v>OUX2321</v>
          </cell>
          <cell r="G1009">
            <v>-3834074100</v>
          </cell>
          <cell r="H1009">
            <v>43072.814386574071</v>
          </cell>
          <cell r="I1009">
            <v>43072.815127314818</v>
          </cell>
          <cell r="J1009">
            <v>7.407407407407407E-4</v>
          </cell>
        </row>
        <row r="1010">
          <cell r="A1010" t="str">
            <v>BASICO</v>
          </cell>
          <cell r="B1010" t="str">
            <v>OUX2321</v>
          </cell>
          <cell r="G1010">
            <v>-3832499900</v>
          </cell>
          <cell r="H1010">
            <v>43072.821192129632</v>
          </cell>
          <cell r="I1010">
            <v>43072.831307870372</v>
          </cell>
          <cell r="J1010">
            <v>1.0115740740740741E-2</v>
          </cell>
        </row>
        <row r="1011">
          <cell r="A1011" t="str">
            <v>BASICO</v>
          </cell>
          <cell r="B1011" t="str">
            <v>OUX2321</v>
          </cell>
          <cell r="G1011">
            <v>-3831855100</v>
          </cell>
          <cell r="H1011">
            <v>43072.846087962964</v>
          </cell>
          <cell r="I1011">
            <v>43072.875127314815</v>
          </cell>
          <cell r="J1011">
            <v>2.9039351851851854E-2</v>
          </cell>
        </row>
        <row r="1012">
          <cell r="A1012" t="str">
            <v>BASICO</v>
          </cell>
          <cell r="B1012" t="str">
            <v>OUX2321</v>
          </cell>
          <cell r="G1012">
            <v>-3829393000</v>
          </cell>
          <cell r="H1012">
            <v>43072.888460648152</v>
          </cell>
          <cell r="I1012">
            <v>43072.896932870368</v>
          </cell>
          <cell r="J1012">
            <v>8.4722222222222213E-3</v>
          </cell>
        </row>
        <row r="1013">
          <cell r="A1013" t="str">
            <v>BASICO</v>
          </cell>
          <cell r="B1013" t="str">
            <v>OUX2321</v>
          </cell>
          <cell r="G1013">
            <v>-3831086300</v>
          </cell>
          <cell r="H1013">
            <v>43072.903912037036</v>
          </cell>
          <cell r="I1013">
            <v>43072.906458333331</v>
          </cell>
          <cell r="J1013">
            <v>2.5462962962962961E-3</v>
          </cell>
        </row>
        <row r="1014">
          <cell r="A1014" t="str">
            <v>BASICO</v>
          </cell>
          <cell r="B1014" t="str">
            <v>OUX2321</v>
          </cell>
          <cell r="G1014">
            <v>-3830413300</v>
          </cell>
          <cell r="H1014">
            <v>43072.913946759261</v>
          </cell>
          <cell r="I1014">
            <v>43072.922708333332</v>
          </cell>
          <cell r="J1014">
            <v>8.7615740740740744E-3</v>
          </cell>
        </row>
        <row r="1015">
          <cell r="A1015" t="str">
            <v>BASICO</v>
          </cell>
          <cell r="B1015" t="str">
            <v>OUX2321</v>
          </cell>
          <cell r="G1015">
            <v>-3830330800</v>
          </cell>
          <cell r="H1015">
            <v>43072.926423611112</v>
          </cell>
          <cell r="I1015">
            <v>43072.964108796295</v>
          </cell>
          <cell r="J1015">
            <v>3.7685185185185183E-2</v>
          </cell>
        </row>
        <row r="1016">
          <cell r="A1016" t="str">
            <v>BASICO</v>
          </cell>
          <cell r="B1016" t="str">
            <v>OUX2321</v>
          </cell>
          <cell r="G1016">
            <v>-3832485500</v>
          </cell>
          <cell r="H1016">
            <v>43072.998761574076</v>
          </cell>
          <cell r="I1016">
            <v>43073.012071759258</v>
          </cell>
          <cell r="J1016">
            <v>1.3310185185185187E-2</v>
          </cell>
        </row>
        <row r="1017">
          <cell r="A1017" t="str">
            <v>BASICO</v>
          </cell>
          <cell r="B1017" t="str">
            <v>OUX2321</v>
          </cell>
          <cell r="G1017">
            <v>-3832708600</v>
          </cell>
          <cell r="H1017">
            <v>43073.016226851854</v>
          </cell>
          <cell r="I1017">
            <v>43073.685474537036</v>
          </cell>
          <cell r="J1017">
            <v>0.66924768518518529</v>
          </cell>
        </row>
        <row r="1018">
          <cell r="A1018" t="str">
            <v>BASICO</v>
          </cell>
          <cell r="B1018" t="str">
            <v>OUX2321</v>
          </cell>
          <cell r="G1018">
            <v>-3833594500</v>
          </cell>
          <cell r="H1018">
            <v>43073.691412037035</v>
          </cell>
          <cell r="I1018">
            <v>43073.728414351855</v>
          </cell>
          <cell r="J1018">
            <v>3.7002314814814814E-2</v>
          </cell>
        </row>
        <row r="1019">
          <cell r="A1019" t="str">
            <v>TOUCH</v>
          </cell>
          <cell r="B1019" t="str">
            <v>PKE2278</v>
          </cell>
          <cell r="G1019">
            <v>-3832508200</v>
          </cell>
          <cell r="H1019">
            <v>43073.697581018518</v>
          </cell>
          <cell r="I1019">
            <v>43073.701539351852</v>
          </cell>
          <cell r="J1019">
            <v>3.9583333333333337E-3</v>
          </cell>
        </row>
        <row r="1020">
          <cell r="A1020" t="str">
            <v>TOUCH</v>
          </cell>
          <cell r="B1020" t="str">
            <v>PKE2278</v>
          </cell>
          <cell r="G1020">
            <v>-3830501700</v>
          </cell>
          <cell r="H1020">
            <v>43073.719143518516</v>
          </cell>
          <cell r="I1020">
            <v>43073.731319444443</v>
          </cell>
          <cell r="J1020">
            <v>1.2175925925925929E-2</v>
          </cell>
        </row>
        <row r="1021">
          <cell r="A1021" t="str">
            <v>BASICO</v>
          </cell>
          <cell r="B1021" t="str">
            <v>OUX2321</v>
          </cell>
          <cell r="G1021">
            <v>-3833562500</v>
          </cell>
          <cell r="H1021">
            <v>43073.730046296296</v>
          </cell>
          <cell r="I1021">
            <v>43073.746516203704</v>
          </cell>
          <cell r="J1021">
            <v>1.6469907407407405E-2</v>
          </cell>
        </row>
        <row r="1022">
          <cell r="A1022" t="str">
            <v>TOUCH</v>
          </cell>
          <cell r="B1022" t="str">
            <v>PKE2278</v>
          </cell>
          <cell r="G1022">
            <v>-3830328900</v>
          </cell>
          <cell r="H1022">
            <v>43073.733449074076</v>
          </cell>
          <cell r="I1022">
            <v>43073.750474537039</v>
          </cell>
          <cell r="J1022">
            <v>1.7025462962962961E-2</v>
          </cell>
        </row>
        <row r="1023">
          <cell r="A1023" t="str">
            <v>TOUCH</v>
          </cell>
          <cell r="B1023" t="str">
            <v>PKE2278</v>
          </cell>
          <cell r="G1023">
            <v>-3829938600</v>
          </cell>
          <cell r="H1023">
            <v>43073.752662037034</v>
          </cell>
          <cell r="I1023">
            <v>43073.794953703706</v>
          </cell>
          <cell r="J1023">
            <v>4.2291666666666665E-2</v>
          </cell>
        </row>
        <row r="1024">
          <cell r="A1024" t="str">
            <v>BASICO</v>
          </cell>
          <cell r="B1024" t="str">
            <v>OUX2321</v>
          </cell>
          <cell r="G1024">
            <v>-3833229800</v>
          </cell>
          <cell r="H1024">
            <v>43073.75712962963</v>
          </cell>
          <cell r="I1024">
            <v>43073.790578703702</v>
          </cell>
          <cell r="J1024">
            <v>3.3449074074074069E-2</v>
          </cell>
        </row>
        <row r="1025">
          <cell r="A1025" t="str">
            <v>BASICO</v>
          </cell>
          <cell r="B1025" t="str">
            <v>OUX2321</v>
          </cell>
          <cell r="G1025">
            <v>-3832278100</v>
          </cell>
          <cell r="H1025">
            <v>43073.803553240738</v>
          </cell>
          <cell r="I1025">
            <v>43073.809606481482</v>
          </cell>
          <cell r="J1025">
            <v>6.053240740740741E-3</v>
          </cell>
        </row>
        <row r="1026">
          <cell r="A1026" t="str">
            <v>TOUCH</v>
          </cell>
          <cell r="B1026" t="str">
            <v>PKE2278</v>
          </cell>
          <cell r="G1026">
            <v>-3832472300</v>
          </cell>
          <cell r="H1026">
            <v>43073.808761574073</v>
          </cell>
          <cell r="I1026">
            <v>43073.827222222222</v>
          </cell>
          <cell r="J1026">
            <v>1.8460648148148146E-2</v>
          </cell>
        </row>
        <row r="1027">
          <cell r="A1027" t="str">
            <v>BASICO</v>
          </cell>
          <cell r="B1027" t="str">
            <v>OUX2321</v>
          </cell>
          <cell r="G1027">
            <v>-3832708800</v>
          </cell>
          <cell r="H1027">
            <v>43073.813287037039</v>
          </cell>
          <cell r="I1027">
            <v>43073.817430555559</v>
          </cell>
          <cell r="J1027">
            <v>4.1435185185185186E-3</v>
          </cell>
        </row>
        <row r="1028">
          <cell r="A1028" t="str">
            <v>BASICO</v>
          </cell>
          <cell r="B1028" t="str">
            <v>OUX2321</v>
          </cell>
          <cell r="G1028">
            <v>-3833238900</v>
          </cell>
          <cell r="H1028">
            <v>43073.823784722219</v>
          </cell>
          <cell r="I1028">
            <v>43073.833252314813</v>
          </cell>
          <cell r="J1028">
            <v>9.4675925925925917E-3</v>
          </cell>
        </row>
        <row r="1029">
          <cell r="A1029" t="str">
            <v>BASICO</v>
          </cell>
          <cell r="B1029" t="str">
            <v>OUX2321</v>
          </cell>
          <cell r="G1029">
            <v>-3833191700</v>
          </cell>
          <cell r="H1029">
            <v>43073.839120370372</v>
          </cell>
          <cell r="I1029">
            <v>43073.886354166665</v>
          </cell>
          <cell r="J1029">
            <v>4.7233796296296295E-2</v>
          </cell>
        </row>
        <row r="1030">
          <cell r="A1030" t="str">
            <v>TOUCH</v>
          </cell>
          <cell r="B1030" t="str">
            <v>PKE2278</v>
          </cell>
          <cell r="G1030">
            <v>-3833198800</v>
          </cell>
          <cell r="H1030">
            <v>43073.842222222222</v>
          </cell>
          <cell r="I1030">
            <v>43073.890324074076</v>
          </cell>
          <cell r="J1030">
            <v>4.8101851851851847E-2</v>
          </cell>
        </row>
        <row r="1031">
          <cell r="A1031" t="str">
            <v>BASICO</v>
          </cell>
          <cell r="B1031" t="str">
            <v>OUX2321</v>
          </cell>
          <cell r="G1031">
            <v>-3834261100</v>
          </cell>
          <cell r="H1031">
            <v>43073.892916666664</v>
          </cell>
          <cell r="I1031">
            <v>43073.910381944443</v>
          </cell>
          <cell r="J1031">
            <v>1.7465277777777777E-2</v>
          </cell>
        </row>
        <row r="1032">
          <cell r="A1032" t="str">
            <v>TOUCH</v>
          </cell>
          <cell r="B1032" t="str">
            <v>PKE2278</v>
          </cell>
          <cell r="G1032">
            <v>-3829792900</v>
          </cell>
          <cell r="H1032">
            <v>43073.902430555558</v>
          </cell>
          <cell r="I1032">
            <v>43073.906956018516</v>
          </cell>
          <cell r="J1032">
            <v>4.5254629629629629E-3</v>
          </cell>
        </row>
        <row r="1033">
          <cell r="A1033" t="str">
            <v>TOUCH</v>
          </cell>
          <cell r="B1033" t="str">
            <v>PKE2278</v>
          </cell>
          <cell r="G1033">
            <v>-3829397300</v>
          </cell>
          <cell r="H1033">
            <v>43073.909004629626</v>
          </cell>
          <cell r="I1033">
            <v>43073.910393518519</v>
          </cell>
          <cell r="J1033">
            <v>1.3888888888888889E-3</v>
          </cell>
        </row>
        <row r="1034">
          <cell r="A1034" t="str">
            <v>TOUCH</v>
          </cell>
          <cell r="B1034" t="str">
            <v>PKE2278</v>
          </cell>
          <cell r="G1034">
            <v>-3829709400</v>
          </cell>
          <cell r="H1034">
            <v>43073.918263888889</v>
          </cell>
          <cell r="I1034">
            <v>43073.94462962963</v>
          </cell>
          <cell r="J1034">
            <v>2.6365740740740742E-2</v>
          </cell>
        </row>
        <row r="1035">
          <cell r="A1035" t="str">
            <v>BASICO</v>
          </cell>
          <cell r="B1035" t="str">
            <v>OUX2321</v>
          </cell>
          <cell r="G1035">
            <v>-3834163400</v>
          </cell>
          <cell r="H1035">
            <v>43073.920312499999</v>
          </cell>
          <cell r="I1035">
            <v>43073.947858796295</v>
          </cell>
          <cell r="J1035">
            <v>2.7546296296296294E-2</v>
          </cell>
        </row>
        <row r="1036">
          <cell r="A1036" t="str">
            <v>TOUCH</v>
          </cell>
          <cell r="B1036" t="str">
            <v>PKE2278</v>
          </cell>
          <cell r="G1036">
            <v>-3829992800</v>
          </cell>
          <cell r="H1036">
            <v>43073.948993055557</v>
          </cell>
          <cell r="I1036">
            <v>43073.958935185183</v>
          </cell>
          <cell r="J1036">
            <v>9.9421296296296289E-3</v>
          </cell>
        </row>
        <row r="1037">
          <cell r="A1037" t="str">
            <v>BASICO</v>
          </cell>
          <cell r="B1037" t="str">
            <v>OUX2321</v>
          </cell>
          <cell r="G1037">
            <v>-3832717700</v>
          </cell>
          <cell r="H1037">
            <v>43073.951909722222</v>
          </cell>
          <cell r="I1037">
            <v>43074.33394675926</v>
          </cell>
          <cell r="J1037">
            <v>0.38203703703703701</v>
          </cell>
        </row>
        <row r="1038">
          <cell r="A1038" t="str">
            <v>TOUCH</v>
          </cell>
          <cell r="B1038" t="str">
            <v>PKE2278</v>
          </cell>
          <cell r="G1038">
            <v>-3829757900</v>
          </cell>
          <cell r="H1038">
            <v>43073.963761574072</v>
          </cell>
          <cell r="I1038">
            <v>43073.971226851849</v>
          </cell>
          <cell r="J1038">
            <v>7.4652777777777781E-3</v>
          </cell>
        </row>
        <row r="1039">
          <cell r="A1039" t="str">
            <v>TOUCH</v>
          </cell>
          <cell r="B1039" t="str">
            <v>PKE2278</v>
          </cell>
          <cell r="G1039">
            <v>-3830329400</v>
          </cell>
          <cell r="H1039">
            <v>43073.974236111113</v>
          </cell>
          <cell r="I1039">
            <v>43073.976157407407</v>
          </cell>
          <cell r="J1039">
            <v>1.9212962962962962E-3</v>
          </cell>
        </row>
        <row r="1040">
          <cell r="A1040" t="str">
            <v>TOUCH</v>
          </cell>
          <cell r="B1040" t="str">
            <v>PKE2278</v>
          </cell>
          <cell r="G1040">
            <v>-3832481800</v>
          </cell>
          <cell r="H1040">
            <v>43073.981921296298</v>
          </cell>
          <cell r="I1040">
            <v>43074.012511574074</v>
          </cell>
          <cell r="J1040">
            <v>3.0590277777777775E-2</v>
          </cell>
        </row>
        <row r="1041">
          <cell r="A1041" t="str">
            <v>TOUCH</v>
          </cell>
          <cell r="B1041" t="str">
            <v>PKE2278</v>
          </cell>
          <cell r="G1041">
            <v>-3833003300</v>
          </cell>
          <cell r="H1041">
            <v>43074.01489583333</v>
          </cell>
          <cell r="I1041">
            <v>43074.019386574073</v>
          </cell>
          <cell r="J1041">
            <v>4.4907407407407405E-3</v>
          </cell>
        </row>
        <row r="1042">
          <cell r="A1042" t="str">
            <v>TOUCH</v>
          </cell>
          <cell r="B1042" t="str">
            <v>PKE2278</v>
          </cell>
          <cell r="G1042">
            <v>-3832721000</v>
          </cell>
          <cell r="H1042">
            <v>43074.02270833333</v>
          </cell>
          <cell r="I1042">
            <v>43074.29</v>
          </cell>
          <cell r="J1042">
            <v>0.26729166666666665</v>
          </cell>
        </row>
        <row r="1043">
          <cell r="A1043" t="str">
            <v>TOUCH</v>
          </cell>
          <cell r="B1043" t="str">
            <v>PKE2278</v>
          </cell>
          <cell r="G1043">
            <v>-3835591600</v>
          </cell>
          <cell r="H1043">
            <v>43074.336574074077</v>
          </cell>
          <cell r="I1043">
            <v>43074.349745370368</v>
          </cell>
          <cell r="J1043">
            <v>1.3171296296296294E-2</v>
          </cell>
        </row>
        <row r="1044">
          <cell r="A1044" t="str">
            <v>BASICO</v>
          </cell>
          <cell r="B1044" t="str">
            <v>OUX2321</v>
          </cell>
          <cell r="G1044">
            <v>-3832410300</v>
          </cell>
          <cell r="H1044">
            <v>43074.347488425927</v>
          </cell>
          <cell r="I1044">
            <v>43074.383229166669</v>
          </cell>
          <cell r="J1044">
            <v>3.5740740740740747E-2</v>
          </cell>
        </row>
        <row r="1045">
          <cell r="A1045" t="str">
            <v>TOUCH</v>
          </cell>
          <cell r="B1045" t="str">
            <v>PKE2278</v>
          </cell>
          <cell r="G1045">
            <v>-3835780700</v>
          </cell>
          <cell r="H1045">
            <v>43074.351354166669</v>
          </cell>
          <cell r="I1045">
            <v>43074.379930555559</v>
          </cell>
          <cell r="J1045">
            <v>2.8576388888888887E-2</v>
          </cell>
        </row>
        <row r="1046">
          <cell r="A1046" t="str">
            <v>BASICO</v>
          </cell>
          <cell r="B1046" t="str">
            <v>OUX2321</v>
          </cell>
          <cell r="G1046">
            <v>-3833473900</v>
          </cell>
          <cell r="H1046">
            <v>43074.38721064815</v>
          </cell>
          <cell r="I1046">
            <v>43074.387916666667</v>
          </cell>
          <cell r="J1046">
            <v>7.0601851851851847E-4</v>
          </cell>
        </row>
        <row r="1047">
          <cell r="A1047" t="str">
            <v>BASICO</v>
          </cell>
          <cell r="B1047" t="str">
            <v>OUX2321</v>
          </cell>
          <cell r="G1047">
            <v>-3833958300</v>
          </cell>
          <cell r="H1047">
            <v>43074.389780092592</v>
          </cell>
          <cell r="I1047">
            <v>43074.403564814813</v>
          </cell>
          <cell r="J1047">
            <v>1.3784722222222224E-2</v>
          </cell>
        </row>
        <row r="1048">
          <cell r="A1048" t="str">
            <v>TOUCH</v>
          </cell>
          <cell r="B1048" t="str">
            <v>PKE2278</v>
          </cell>
          <cell r="G1048">
            <v>-3833536400</v>
          </cell>
          <cell r="H1048">
            <v>43074.401620370372</v>
          </cell>
          <cell r="I1048">
            <v>43074.402638888889</v>
          </cell>
          <cell r="J1048">
            <v>1.0185185185185186E-3</v>
          </cell>
        </row>
        <row r="1049">
          <cell r="A1049" t="str">
            <v>TOUCH</v>
          </cell>
          <cell r="B1049" t="str">
            <v>PKE2278</v>
          </cell>
          <cell r="G1049">
            <v>-3832713200</v>
          </cell>
          <cell r="H1049">
            <v>43074.405717592592</v>
          </cell>
          <cell r="I1049">
            <v>43074.410208333335</v>
          </cell>
          <cell r="J1049">
            <v>4.4907407407407405E-3</v>
          </cell>
        </row>
        <row r="1050">
          <cell r="A1050" t="str">
            <v>BASICO</v>
          </cell>
          <cell r="B1050" t="str">
            <v>OUX2321</v>
          </cell>
          <cell r="G1050">
            <v>-3834397700</v>
          </cell>
          <cell r="H1050">
            <v>43074.40724537037</v>
          </cell>
          <cell r="I1050">
            <v>43074.431180555555</v>
          </cell>
          <cell r="J1050">
            <v>2.3935185185185184E-2</v>
          </cell>
        </row>
        <row r="1051">
          <cell r="A1051" t="str">
            <v>TOUCH</v>
          </cell>
          <cell r="B1051" t="str">
            <v>PKE2278</v>
          </cell>
          <cell r="G1051">
            <v>-3832645900</v>
          </cell>
          <cell r="H1051">
            <v>43074.414340277777</v>
          </cell>
          <cell r="I1051">
            <v>43074.418749999997</v>
          </cell>
          <cell r="J1051">
            <v>4.409722222222222E-3</v>
          </cell>
        </row>
        <row r="1052">
          <cell r="A1052" t="str">
            <v>TOUCH</v>
          </cell>
          <cell r="B1052" t="str">
            <v>PKE2278</v>
          </cell>
          <cell r="G1052">
            <v>-3831361400</v>
          </cell>
          <cell r="H1052">
            <v>43074.428020833337</v>
          </cell>
          <cell r="I1052">
            <v>43074.452361111114</v>
          </cell>
          <cell r="J1052">
            <v>2.4340277777777777E-2</v>
          </cell>
        </row>
        <row r="1053">
          <cell r="A1053" t="str">
            <v>TOUCH</v>
          </cell>
          <cell r="B1053" t="str">
            <v>PKE2278</v>
          </cell>
          <cell r="G1053">
            <v>-3829763300</v>
          </cell>
          <cell r="H1053">
            <v>43074.461400462962</v>
          </cell>
          <cell r="I1053">
            <v>43074.486921296295</v>
          </cell>
          <cell r="J1053">
            <v>2.5520833333333336E-2</v>
          </cell>
        </row>
        <row r="1054">
          <cell r="A1054" t="str">
            <v>BASICO</v>
          </cell>
          <cell r="B1054" t="str">
            <v>OUX2321</v>
          </cell>
          <cell r="G1054">
            <v>-3832791500</v>
          </cell>
          <cell r="H1054">
            <v>43074.473854166667</v>
          </cell>
          <cell r="I1054">
            <v>43074.521736111114</v>
          </cell>
          <cell r="J1054">
            <v>4.7881944444444442E-2</v>
          </cell>
        </row>
        <row r="1055">
          <cell r="A1055" t="str">
            <v>TOUCH</v>
          </cell>
          <cell r="B1055" t="str">
            <v>PKE2278</v>
          </cell>
          <cell r="G1055">
            <v>-3832625900</v>
          </cell>
          <cell r="H1055">
            <v>43074.493344907409</v>
          </cell>
          <cell r="I1055">
            <v>43074.497754629629</v>
          </cell>
          <cell r="J1055">
            <v>4.409722222222222E-3</v>
          </cell>
        </row>
        <row r="1056">
          <cell r="A1056" t="str">
            <v>TOUCH</v>
          </cell>
          <cell r="B1056" t="str">
            <v>PKE2278</v>
          </cell>
          <cell r="G1056">
            <v>-3833582700</v>
          </cell>
          <cell r="H1056">
            <v>43074.500706018516</v>
          </cell>
          <cell r="I1056">
            <v>43074.549699074072</v>
          </cell>
          <cell r="J1056">
            <v>4.8993055555555554E-2</v>
          </cell>
        </row>
        <row r="1057">
          <cell r="A1057" t="str">
            <v>BASICO</v>
          </cell>
          <cell r="B1057" t="str">
            <v>OUX2321</v>
          </cell>
          <cell r="G1057">
            <v>-3833191200</v>
          </cell>
          <cell r="H1057">
            <v>43074.537592592591</v>
          </cell>
          <cell r="I1057">
            <v>43074.56790509259</v>
          </cell>
          <cell r="J1057">
            <v>3.0312499999999996E-2</v>
          </cell>
        </row>
        <row r="1058">
          <cell r="A1058" t="str">
            <v>TOUCH</v>
          </cell>
          <cell r="B1058" t="str">
            <v>PKE2278</v>
          </cell>
          <cell r="G1058">
            <v>-3831408700</v>
          </cell>
          <cell r="H1058">
            <v>43074.560706018521</v>
          </cell>
          <cell r="I1058">
            <v>43074.572175925925</v>
          </cell>
          <cell r="J1058">
            <v>1.1469907407407408E-2</v>
          </cell>
        </row>
        <row r="1059">
          <cell r="A1059" t="str">
            <v>BASICO</v>
          </cell>
          <cell r="B1059" t="str">
            <v>OUX2321</v>
          </cell>
          <cell r="G1059">
            <v>-3833596700</v>
          </cell>
          <cell r="H1059">
            <v>43074.569398148145</v>
          </cell>
          <cell r="I1059">
            <v>43074.572418981479</v>
          </cell>
          <cell r="J1059">
            <v>3.0208333333333333E-3</v>
          </cell>
        </row>
        <row r="1060">
          <cell r="A1060" t="str">
            <v>TOUCH</v>
          </cell>
          <cell r="B1060" t="str">
            <v>PKE2278</v>
          </cell>
          <cell r="G1060">
            <v>-3832711000</v>
          </cell>
          <cell r="H1060">
            <v>43074.585462962961</v>
          </cell>
          <cell r="I1060">
            <v>43074.830266203702</v>
          </cell>
          <cell r="J1060">
            <v>0.24480324074074075</v>
          </cell>
        </row>
        <row r="1061">
          <cell r="A1061" t="str">
            <v>BASICO</v>
          </cell>
          <cell r="B1061" t="str">
            <v>OUX2321</v>
          </cell>
          <cell r="G1061">
            <v>-3829345800</v>
          </cell>
          <cell r="H1061">
            <v>43074.591481481482</v>
          </cell>
          <cell r="I1061">
            <v>43074.624340277776</v>
          </cell>
          <cell r="J1061">
            <v>3.2858796296296296E-2</v>
          </cell>
        </row>
        <row r="1062">
          <cell r="A1062" t="str">
            <v>BASICO</v>
          </cell>
          <cell r="B1062" t="str">
            <v>OUX2321</v>
          </cell>
          <cell r="G1062">
            <v>-3831848300</v>
          </cell>
          <cell r="H1062">
            <v>43074.632881944446</v>
          </cell>
          <cell r="I1062">
            <v>43074.634409722225</v>
          </cell>
          <cell r="J1062">
            <v>1.5277777777777779E-3</v>
          </cell>
        </row>
        <row r="1063">
          <cell r="A1063" t="str">
            <v>BASICO</v>
          </cell>
          <cell r="B1063" t="str">
            <v>OUX2321</v>
          </cell>
          <cell r="G1063">
            <v>-3832721600</v>
          </cell>
          <cell r="H1063">
            <v>43074.638611111113</v>
          </cell>
          <cell r="I1063">
            <v>43074.655682870369</v>
          </cell>
          <cell r="J1063">
            <v>1.7071759259259259E-2</v>
          </cell>
        </row>
        <row r="1064">
          <cell r="A1064" t="str">
            <v>BASICO</v>
          </cell>
          <cell r="B1064" t="str">
            <v>OUX2321</v>
          </cell>
          <cell r="G1064">
            <v>-3836006200</v>
          </cell>
          <cell r="H1064">
            <v>43074.670231481483</v>
          </cell>
          <cell r="I1064">
            <v>43074.686481481483</v>
          </cell>
          <cell r="J1064">
            <v>1.6249999999999997E-2</v>
          </cell>
        </row>
        <row r="1065">
          <cell r="A1065" t="str">
            <v>BASICO</v>
          </cell>
          <cell r="B1065" t="str">
            <v>OUX2321</v>
          </cell>
          <cell r="G1065">
            <v>-3833231700</v>
          </cell>
          <cell r="H1065">
            <v>43074.708148148151</v>
          </cell>
          <cell r="I1065">
            <v>43074.720196759263</v>
          </cell>
          <cell r="J1065">
            <v>1.2048611111111112E-2</v>
          </cell>
        </row>
        <row r="1066">
          <cell r="A1066" t="str">
            <v>BASICO</v>
          </cell>
          <cell r="B1066" t="str">
            <v>OUX2321</v>
          </cell>
          <cell r="G1066">
            <v>-3832906600</v>
          </cell>
          <cell r="H1066">
            <v>43074.72246527778</v>
          </cell>
          <cell r="I1066">
            <v>43074.725405092591</v>
          </cell>
          <cell r="J1066">
            <v>2.9398148148148148E-3</v>
          </cell>
        </row>
        <row r="1067">
          <cell r="A1067" t="str">
            <v>BASICO</v>
          </cell>
          <cell r="B1067" t="str">
            <v>OUX2321</v>
          </cell>
          <cell r="G1067">
            <v>-3835530300</v>
          </cell>
          <cell r="H1067">
            <v>43074.734988425924</v>
          </cell>
          <cell r="I1067">
            <v>43074.763368055559</v>
          </cell>
          <cell r="J1067">
            <v>2.837962962962963E-2</v>
          </cell>
        </row>
        <row r="1068">
          <cell r="A1068" t="str">
            <v>BASICO</v>
          </cell>
          <cell r="B1068" t="str">
            <v>OUX2321</v>
          </cell>
          <cell r="G1068">
            <v>-3835681500</v>
          </cell>
          <cell r="H1068">
            <v>43074.769687499997</v>
          </cell>
          <cell r="I1068">
            <v>43074.776666666665</v>
          </cell>
          <cell r="J1068">
            <v>6.9791666666666674E-3</v>
          </cell>
        </row>
        <row r="1069">
          <cell r="A1069" t="str">
            <v>BASICO</v>
          </cell>
          <cell r="B1069" t="str">
            <v>OUX2321</v>
          </cell>
          <cell r="G1069">
            <v>-3835234200</v>
          </cell>
          <cell r="H1069">
            <v>43074.786770833336</v>
          </cell>
          <cell r="I1069">
            <v>43074.799270833333</v>
          </cell>
          <cell r="J1069">
            <v>1.2499999999999999E-2</v>
          </cell>
        </row>
        <row r="1070">
          <cell r="A1070" t="str">
            <v>BASICO</v>
          </cell>
          <cell r="B1070" t="str">
            <v>OUX2321</v>
          </cell>
          <cell r="G1070">
            <v>-3835085600</v>
          </cell>
          <cell r="H1070">
            <v>43074.802581018521</v>
          </cell>
          <cell r="I1070">
            <v>43074.818124999998</v>
          </cell>
          <cell r="J1070">
            <v>1.554398148148148E-2</v>
          </cell>
        </row>
        <row r="1071">
          <cell r="A1071" t="str">
            <v>TOUCH</v>
          </cell>
          <cell r="B1071" t="str">
            <v>PKE2278</v>
          </cell>
          <cell r="G1071">
            <v>-3833127500</v>
          </cell>
          <cell r="H1071">
            <v>43074.835451388892</v>
          </cell>
          <cell r="I1071">
            <v>43074.839479166665</v>
          </cell>
          <cell r="J1071">
            <v>4.0277777777777777E-3</v>
          </cell>
        </row>
        <row r="1072">
          <cell r="A1072" t="str">
            <v>TOUCH</v>
          </cell>
          <cell r="B1072" t="str">
            <v>PKE2278</v>
          </cell>
          <cell r="G1072">
            <v>-3832760600</v>
          </cell>
          <cell r="H1072">
            <v>43074.843229166669</v>
          </cell>
          <cell r="I1072">
            <v>43074.860960648148</v>
          </cell>
          <cell r="J1072">
            <v>1.7731481481481483E-2</v>
          </cell>
        </row>
        <row r="1073">
          <cell r="A1073" t="str">
            <v>BASICO</v>
          </cell>
          <cell r="B1073" t="str">
            <v>OUX2321</v>
          </cell>
          <cell r="G1073">
            <v>-3833215900</v>
          </cell>
          <cell r="H1073">
            <v>43074.843263888892</v>
          </cell>
          <cell r="I1073">
            <v>43074.879421296297</v>
          </cell>
          <cell r="J1073">
            <v>3.6157407407407409E-2</v>
          </cell>
        </row>
        <row r="1074">
          <cell r="A1074" t="str">
            <v>TOUCH</v>
          </cell>
          <cell r="B1074" t="str">
            <v>PKE2278</v>
          </cell>
          <cell r="G1074">
            <v>-3830699500</v>
          </cell>
          <cell r="H1074">
            <v>43074.872418981482</v>
          </cell>
          <cell r="I1074">
            <v>43074.881886574076</v>
          </cell>
          <cell r="J1074">
            <v>9.4675925925925917E-3</v>
          </cell>
        </row>
        <row r="1075">
          <cell r="A1075" t="str">
            <v>TOUCH</v>
          </cell>
          <cell r="B1075" t="str">
            <v>PKE2278</v>
          </cell>
          <cell r="G1075">
            <v>-3830054400</v>
          </cell>
          <cell r="H1075">
            <v>43074.884675925925</v>
          </cell>
          <cell r="I1075">
            <v>43074.888182870367</v>
          </cell>
          <cell r="J1075">
            <v>3.5069444444444445E-3</v>
          </cell>
        </row>
        <row r="1076">
          <cell r="A1076" t="str">
            <v>TOUCH</v>
          </cell>
          <cell r="B1076" t="str">
            <v>PKE2278</v>
          </cell>
          <cell r="G1076">
            <v>-3830002000</v>
          </cell>
          <cell r="H1076">
            <v>43074.892905092594</v>
          </cell>
          <cell r="I1076">
            <v>43074.903148148151</v>
          </cell>
          <cell r="J1076">
            <v>1.0243055555555556E-2</v>
          </cell>
        </row>
        <row r="1077">
          <cell r="A1077" t="str">
            <v>BASICO</v>
          </cell>
          <cell r="B1077" t="str">
            <v>OUX2321</v>
          </cell>
          <cell r="G1077">
            <v>-3834094100</v>
          </cell>
          <cell r="H1077">
            <v>43074.899907407409</v>
          </cell>
          <cell r="I1077">
            <v>43074.911157407405</v>
          </cell>
          <cell r="J1077">
            <v>1.1249999999999998E-2</v>
          </cell>
        </row>
        <row r="1078">
          <cell r="A1078" t="str">
            <v>TOUCH</v>
          </cell>
          <cell r="B1078" t="str">
            <v>PKE2278</v>
          </cell>
          <cell r="G1078">
            <v>-3830010100</v>
          </cell>
          <cell r="H1078">
            <v>43074.90488425926</v>
          </cell>
          <cell r="I1078">
            <v>43074.905601851853</v>
          </cell>
          <cell r="J1078">
            <v>7.175925925925927E-4</v>
          </cell>
        </row>
        <row r="1079">
          <cell r="A1079" t="str">
            <v>TOUCH</v>
          </cell>
          <cell r="B1079" t="str">
            <v>PKE2278</v>
          </cell>
          <cell r="G1079">
            <v>-3830605100</v>
          </cell>
          <cell r="H1079">
            <v>43074.907800925925</v>
          </cell>
          <cell r="I1079">
            <v>43074.908692129633</v>
          </cell>
          <cell r="J1079">
            <v>8.9120370370370362E-4</v>
          </cell>
        </row>
        <row r="1080">
          <cell r="A1080" t="str">
            <v>TOUCH</v>
          </cell>
          <cell r="B1080" t="str">
            <v>PKE2278</v>
          </cell>
          <cell r="G1080">
            <v>-3830716900</v>
          </cell>
          <cell r="H1080">
            <v>43074.912662037037</v>
          </cell>
          <cell r="I1080">
            <v>43074.930462962962</v>
          </cell>
          <cell r="J1080">
            <v>1.7800925925925925E-2</v>
          </cell>
        </row>
        <row r="1081">
          <cell r="A1081" t="str">
            <v>BASICO</v>
          </cell>
          <cell r="B1081" t="str">
            <v>OUX2321</v>
          </cell>
          <cell r="G1081">
            <v>-3835603000</v>
          </cell>
          <cell r="H1081">
            <v>43074.928032407406</v>
          </cell>
          <cell r="I1081">
            <v>43074.929490740738</v>
          </cell>
          <cell r="J1081">
            <v>1.4583333333333334E-3</v>
          </cell>
        </row>
        <row r="1082">
          <cell r="A1082" t="str">
            <v>TOUCH</v>
          </cell>
          <cell r="B1082" t="str">
            <v>PKE2278</v>
          </cell>
          <cell r="G1082">
            <v>-3831191000</v>
          </cell>
          <cell r="H1082">
            <v>43074.932627314818</v>
          </cell>
          <cell r="I1082">
            <v>43074.948831018519</v>
          </cell>
          <cell r="J1082">
            <v>1.6203703703703703E-2</v>
          </cell>
        </row>
        <row r="1083">
          <cell r="A1083" t="str">
            <v>BASICO</v>
          </cell>
          <cell r="B1083" t="str">
            <v>OUX2321</v>
          </cell>
          <cell r="G1083">
            <v>-3835383300</v>
          </cell>
          <cell r="H1083">
            <v>43074.93341435185</v>
          </cell>
          <cell r="I1083">
            <v>43074.950578703705</v>
          </cell>
          <cell r="J1083">
            <v>1.7164351851851851E-2</v>
          </cell>
        </row>
        <row r="1084">
          <cell r="A1084" t="str">
            <v>BASICO</v>
          </cell>
          <cell r="B1084" t="str">
            <v>OUX2321</v>
          </cell>
          <cell r="G1084">
            <v>-3834630300</v>
          </cell>
          <cell r="H1084">
            <v>43074.953287037039</v>
          </cell>
          <cell r="I1084">
            <v>43074.95648148148</v>
          </cell>
          <cell r="J1084">
            <v>3.1944444444444442E-3</v>
          </cell>
        </row>
        <row r="1085">
          <cell r="A1085" t="str">
            <v>TOUCH</v>
          </cell>
          <cell r="B1085" t="str">
            <v>PKE2278</v>
          </cell>
          <cell r="G1085">
            <v>-3830699800</v>
          </cell>
          <cell r="H1085">
            <v>43074.956516203703</v>
          </cell>
          <cell r="I1085">
            <v>43074.964675925927</v>
          </cell>
          <cell r="J1085">
            <v>8.1597222222222227E-3</v>
          </cell>
        </row>
        <row r="1086">
          <cell r="A1086" t="str">
            <v>TOUCH</v>
          </cell>
          <cell r="B1086" t="str">
            <v>PKE2278</v>
          </cell>
          <cell r="G1086">
            <v>-3832319800</v>
          </cell>
          <cell r="H1086">
            <v>43074.96943287037</v>
          </cell>
          <cell r="I1086">
            <v>43074.977372685185</v>
          </cell>
          <cell r="J1086">
            <v>7.9398148148148145E-3</v>
          </cell>
        </row>
        <row r="1087">
          <cell r="A1087" t="str">
            <v>BASICO</v>
          </cell>
          <cell r="B1087" t="str">
            <v>OUX2321</v>
          </cell>
          <cell r="G1087">
            <v>-3833476800</v>
          </cell>
          <cell r="H1087">
            <v>43074.97016203704</v>
          </cell>
          <cell r="I1087">
            <v>43074.981446759259</v>
          </cell>
          <cell r="J1087">
            <v>1.1284722222222222E-2</v>
          </cell>
        </row>
        <row r="1088">
          <cell r="A1088" t="str">
            <v>TOUCH</v>
          </cell>
          <cell r="B1088" t="str">
            <v>PKE2278</v>
          </cell>
          <cell r="G1088">
            <v>-3832293400</v>
          </cell>
          <cell r="H1088">
            <v>43074.981064814812</v>
          </cell>
          <cell r="I1088">
            <v>43075.01630787037</v>
          </cell>
          <cell r="J1088">
            <v>3.5243055555555555E-2</v>
          </cell>
        </row>
        <row r="1089">
          <cell r="A1089" t="str">
            <v>BASICO</v>
          </cell>
          <cell r="B1089" t="str">
            <v>OUX2321</v>
          </cell>
          <cell r="G1089">
            <v>-3832601600</v>
          </cell>
          <cell r="H1089">
            <v>43074.989988425928</v>
          </cell>
          <cell r="I1089">
            <v>43074.992951388886</v>
          </cell>
          <cell r="J1089">
            <v>2.9629629629629628E-3</v>
          </cell>
        </row>
        <row r="1090">
          <cell r="A1090" t="str">
            <v>BASICO</v>
          </cell>
          <cell r="B1090" t="str">
            <v>OUX2321</v>
          </cell>
          <cell r="G1090">
            <v>-3832481000</v>
          </cell>
          <cell r="H1090">
            <v>43074.994571759256</v>
          </cell>
          <cell r="I1090">
            <v>43074.998252314814</v>
          </cell>
          <cell r="J1090">
            <v>3.6805555555555554E-3</v>
          </cell>
        </row>
        <row r="1091">
          <cell r="A1091" t="str">
            <v>BASICO</v>
          </cell>
          <cell r="B1091" t="str">
            <v>OUX2321</v>
          </cell>
          <cell r="G1091">
            <v>-3832347200</v>
          </cell>
          <cell r="H1091">
            <v>43075.000023148146</v>
          </cell>
          <cell r="I1091">
            <v>43075.006273148145</v>
          </cell>
          <cell r="J1091">
            <v>6.2499999999999995E-3</v>
          </cell>
        </row>
        <row r="1092">
          <cell r="A1092" t="str">
            <v>BASICO</v>
          </cell>
          <cell r="B1092" t="str">
            <v>OUX2321</v>
          </cell>
          <cell r="G1092">
            <v>-3832681400</v>
          </cell>
          <cell r="H1092">
            <v>43075.008564814816</v>
          </cell>
          <cell r="I1092">
            <v>43075.010439814818</v>
          </cell>
          <cell r="J1092">
            <v>1.8750000000000001E-3</v>
          </cell>
        </row>
        <row r="1093">
          <cell r="A1093" t="str">
            <v>BASICO</v>
          </cell>
          <cell r="B1093" t="str">
            <v>OUX2321</v>
          </cell>
          <cell r="G1093">
            <v>-3832710900</v>
          </cell>
          <cell r="H1093">
            <v>43075.014050925929</v>
          </cell>
          <cell r="I1093">
            <v>43075.030613425923</v>
          </cell>
          <cell r="J1093">
            <v>1.6562500000000001E-2</v>
          </cell>
        </row>
        <row r="1094">
          <cell r="A1094" t="str">
            <v>TOUCH</v>
          </cell>
          <cell r="B1094" t="str">
            <v>PKE2278</v>
          </cell>
          <cell r="G1094">
            <v>-3832712400</v>
          </cell>
          <cell r="H1094">
            <v>43075.020312499997</v>
          </cell>
          <cell r="I1094">
            <v>43075.276331018518</v>
          </cell>
          <cell r="J1094">
            <v>0.25601851851851853</v>
          </cell>
        </row>
        <row r="1095">
          <cell r="A1095" t="str">
            <v>BASICO</v>
          </cell>
          <cell r="B1095" t="str">
            <v>OUX2321</v>
          </cell>
          <cell r="G1095">
            <v>-3829171100</v>
          </cell>
          <cell r="H1095">
            <v>43075.043275462966</v>
          </cell>
          <cell r="I1095">
            <v>43075.108958333331</v>
          </cell>
          <cell r="J1095">
            <v>6.5682870370370364E-2</v>
          </cell>
        </row>
        <row r="1096">
          <cell r="A1096" t="str">
            <v>BASICO</v>
          </cell>
          <cell r="B1096" t="str">
            <v>OUX2321</v>
          </cell>
          <cell r="G1096">
            <v>-3830150300</v>
          </cell>
          <cell r="H1096">
            <v>43075.112523148149</v>
          </cell>
          <cell r="I1096">
            <v>43075.140335648146</v>
          </cell>
          <cell r="J1096">
            <v>2.78125E-2</v>
          </cell>
        </row>
        <row r="1097">
          <cell r="A1097" t="str">
            <v>BASICO</v>
          </cell>
          <cell r="B1097" t="str">
            <v>OUX2321</v>
          </cell>
          <cell r="G1097">
            <v>-3830348900</v>
          </cell>
          <cell r="H1097">
            <v>43075.141909722224</v>
          </cell>
          <cell r="I1097">
            <v>43075.187627314815</v>
          </cell>
          <cell r="J1097">
            <v>4.5717592592592594E-2</v>
          </cell>
        </row>
        <row r="1098">
          <cell r="A1098" t="str">
            <v>BASICO</v>
          </cell>
          <cell r="B1098" t="str">
            <v>OUX2321</v>
          </cell>
          <cell r="G1098">
            <v>-3832718100</v>
          </cell>
          <cell r="H1098">
            <v>43075.194641203707</v>
          </cell>
          <cell r="I1098">
            <v>43075.677199074074</v>
          </cell>
          <cell r="J1098">
            <v>0.48255787037037035</v>
          </cell>
        </row>
        <row r="1099">
          <cell r="A1099" t="str">
            <v>TOUCH</v>
          </cell>
          <cell r="B1099" t="str">
            <v>PKE2278</v>
          </cell>
          <cell r="G1099">
            <v>-3830470200</v>
          </cell>
          <cell r="H1099">
            <v>43075.286469907405</v>
          </cell>
          <cell r="I1099">
            <v>43075.30810185185</v>
          </cell>
          <cell r="J1099">
            <v>2.1631944444444443E-2</v>
          </cell>
        </row>
        <row r="1100">
          <cell r="A1100" t="str">
            <v>TOUCH</v>
          </cell>
          <cell r="B1100" t="str">
            <v>PKE2278</v>
          </cell>
          <cell r="G1100">
            <v>-3833306100</v>
          </cell>
          <cell r="H1100">
            <v>43075.319143518522</v>
          </cell>
          <cell r="I1100">
            <v>43075.348900462966</v>
          </cell>
          <cell r="J1100">
            <v>2.9756944444444447E-2</v>
          </cell>
        </row>
        <row r="1101">
          <cell r="A1101" t="str">
            <v>TOUCH</v>
          </cell>
          <cell r="B1101" t="str">
            <v>PKE2278</v>
          </cell>
          <cell r="G1101">
            <v>-3834946000</v>
          </cell>
          <cell r="H1101">
            <v>43075.357789351852</v>
          </cell>
          <cell r="I1101">
            <v>43075.370844907404</v>
          </cell>
          <cell r="J1101">
            <v>1.3055555555555556E-2</v>
          </cell>
        </row>
        <row r="1102">
          <cell r="A1102" t="str">
            <v>TOUCH</v>
          </cell>
          <cell r="B1102" t="str">
            <v>PKE2278</v>
          </cell>
          <cell r="G1102">
            <v>-3834586900</v>
          </cell>
          <cell r="H1102">
            <v>43075.376296296294</v>
          </cell>
          <cell r="I1102">
            <v>43075.383240740739</v>
          </cell>
          <cell r="J1102">
            <v>6.9444444444444441E-3</v>
          </cell>
        </row>
        <row r="1103">
          <cell r="A1103" t="str">
            <v>TOUCH</v>
          </cell>
          <cell r="B1103" t="str">
            <v>PKE2278</v>
          </cell>
          <cell r="G1103">
            <v>-3834809500</v>
          </cell>
          <cell r="H1103">
            <v>43075.386018518519</v>
          </cell>
          <cell r="I1103">
            <v>43075.421631944446</v>
          </cell>
          <cell r="J1103">
            <v>3.5613425925925923E-2</v>
          </cell>
        </row>
        <row r="1104">
          <cell r="A1104" t="str">
            <v>TOUCH</v>
          </cell>
          <cell r="B1104" t="str">
            <v>PKE2278</v>
          </cell>
          <cell r="G1104">
            <v>-3834736800</v>
          </cell>
          <cell r="H1104">
            <v>43075.427152777775</v>
          </cell>
          <cell r="I1104">
            <v>43075.448981481481</v>
          </cell>
          <cell r="J1104">
            <v>2.1828703703703701E-2</v>
          </cell>
        </row>
        <row r="1105">
          <cell r="A1105" t="str">
            <v>TOUCH</v>
          </cell>
          <cell r="B1105" t="str">
            <v>PKE2278</v>
          </cell>
          <cell r="G1105">
            <v>-3834705500</v>
          </cell>
          <cell r="H1105">
            <v>43075.451481481483</v>
          </cell>
          <cell r="I1105">
            <v>43075.46402777778</v>
          </cell>
          <cell r="J1105">
            <v>1.2546296296296297E-2</v>
          </cell>
        </row>
        <row r="1106">
          <cell r="A1106" t="str">
            <v>TOUCH</v>
          </cell>
          <cell r="B1106" t="str">
            <v>PKE2278</v>
          </cell>
          <cell r="G1106">
            <v>-3834608300</v>
          </cell>
          <cell r="H1106">
            <v>43075.466111111113</v>
          </cell>
          <cell r="I1106">
            <v>43075.513680555552</v>
          </cell>
          <cell r="J1106">
            <v>4.7569444444444442E-2</v>
          </cell>
        </row>
        <row r="1107">
          <cell r="A1107" t="str">
            <v>TOUCH</v>
          </cell>
          <cell r="B1107" t="str">
            <v>PKE2278</v>
          </cell>
          <cell r="G1107">
            <v>-3834929400</v>
          </cell>
          <cell r="H1107">
            <v>43075.517847222225</v>
          </cell>
          <cell r="I1107">
            <v>43075.523645833331</v>
          </cell>
          <cell r="J1107">
            <v>5.7986111111111112E-3</v>
          </cell>
        </row>
        <row r="1108">
          <cell r="A1108" t="str">
            <v>TOUCH</v>
          </cell>
          <cell r="B1108" t="str">
            <v>PKE2278</v>
          </cell>
          <cell r="G1108">
            <v>-3833578600</v>
          </cell>
          <cell r="H1108">
            <v>43075.532673611109</v>
          </cell>
          <cell r="I1108">
            <v>43075.574259259258</v>
          </cell>
          <cell r="J1108">
            <v>4.1585648148148149E-2</v>
          </cell>
        </row>
        <row r="1109">
          <cell r="A1109" t="str">
            <v>TOUCH</v>
          </cell>
          <cell r="B1109" t="str">
            <v>PKE2278</v>
          </cell>
          <cell r="G1109">
            <v>-3833209200</v>
          </cell>
          <cell r="H1109">
            <v>43075.576238425929</v>
          </cell>
          <cell r="I1109">
            <v>43075.580335648148</v>
          </cell>
          <cell r="J1109">
            <v>4.0972222222222226E-3</v>
          </cell>
        </row>
        <row r="1110">
          <cell r="A1110" t="str">
            <v>TOUCH</v>
          </cell>
          <cell r="B1110" t="str">
            <v>PKE2278</v>
          </cell>
          <cell r="G1110">
            <v>-3832543800</v>
          </cell>
          <cell r="H1110">
            <v>43075.582696759258</v>
          </cell>
          <cell r="I1110">
            <v>43075.585787037038</v>
          </cell>
          <cell r="J1110">
            <v>3.0902777777777782E-3</v>
          </cell>
        </row>
        <row r="1111">
          <cell r="A1111" t="str">
            <v>TOUCH</v>
          </cell>
          <cell r="B1111" t="str">
            <v>PKE2278</v>
          </cell>
          <cell r="G1111">
            <v>-3832712600</v>
          </cell>
          <cell r="H1111">
            <v>43075.589918981481</v>
          </cell>
          <cell r="I1111">
            <v>43075.662476851852</v>
          </cell>
          <cell r="J1111">
            <v>7.255787037037037E-2</v>
          </cell>
        </row>
        <row r="1112">
          <cell r="A1112" t="str">
            <v>TOUCH</v>
          </cell>
          <cell r="B1112" t="str">
            <v>PKE2278</v>
          </cell>
          <cell r="G1112">
            <v>-3835648400</v>
          </cell>
          <cell r="H1112">
            <v>43075.678379629629</v>
          </cell>
          <cell r="I1112">
            <v>43075.73228009259</v>
          </cell>
          <cell r="J1112">
            <v>5.3900462962962963E-2</v>
          </cell>
        </row>
        <row r="1113">
          <cell r="A1113" t="str">
            <v>BASICO</v>
          </cell>
          <cell r="B1113" t="str">
            <v>OUX2321</v>
          </cell>
          <cell r="G1113">
            <v>-3834277100</v>
          </cell>
          <cell r="H1113">
            <v>43075.686747685184</v>
          </cell>
          <cell r="I1113">
            <v>43075.694490740738</v>
          </cell>
          <cell r="J1113">
            <v>7.743055555555556E-3</v>
          </cell>
        </row>
        <row r="1114">
          <cell r="A1114" t="str">
            <v>BASICO</v>
          </cell>
          <cell r="B1114" t="str">
            <v>OUX2321</v>
          </cell>
          <cell r="G1114">
            <v>-3830788900</v>
          </cell>
          <cell r="H1114">
            <v>43075.711365740739</v>
          </cell>
          <cell r="I1114">
            <v>43075.713379629633</v>
          </cell>
          <cell r="J1114">
            <v>2.0138888888888888E-3</v>
          </cell>
        </row>
        <row r="1115">
          <cell r="A1115" t="str">
            <v>BASICO</v>
          </cell>
          <cell r="B1115" t="str">
            <v>OUX2321</v>
          </cell>
          <cell r="G1115">
            <v>-3830658000</v>
          </cell>
          <cell r="H1115">
            <v>43075.716643518521</v>
          </cell>
          <cell r="I1115">
            <v>43075.740787037037</v>
          </cell>
          <cell r="J1115">
            <v>2.4143518518518519E-2</v>
          </cell>
        </row>
        <row r="1116">
          <cell r="A1116" t="str">
            <v>TOUCH</v>
          </cell>
          <cell r="B1116" t="str">
            <v>PKE2278</v>
          </cell>
          <cell r="G1116">
            <v>-3835072800</v>
          </cell>
          <cell r="H1116">
            <v>43075.750092592592</v>
          </cell>
          <cell r="I1116">
            <v>43075.758391203701</v>
          </cell>
          <cell r="J1116">
            <v>8.2986111111111108E-3</v>
          </cell>
        </row>
        <row r="1117">
          <cell r="A1117" t="str">
            <v>BASICO</v>
          </cell>
          <cell r="B1117" t="str">
            <v>OUX2321</v>
          </cell>
          <cell r="G1117">
            <v>-3829641700</v>
          </cell>
          <cell r="H1117">
            <v>43075.761261574073</v>
          </cell>
          <cell r="I1117">
            <v>43075.76258101852</v>
          </cell>
          <cell r="J1117">
            <v>1.3194444444444443E-3</v>
          </cell>
        </row>
        <row r="1118">
          <cell r="A1118" t="str">
            <v>BASICO</v>
          </cell>
          <cell r="B1118" t="str">
            <v>OUX2321</v>
          </cell>
          <cell r="G1118">
            <v>-3829679200</v>
          </cell>
          <cell r="H1118">
            <v>43075.765462962961</v>
          </cell>
          <cell r="I1118">
            <v>43075.789375</v>
          </cell>
          <cell r="J1118">
            <v>2.3912037037037034E-2</v>
          </cell>
        </row>
        <row r="1119">
          <cell r="A1119" t="str">
            <v>TOUCH</v>
          </cell>
          <cell r="B1119" t="str">
            <v>PKE2278</v>
          </cell>
          <cell r="G1119">
            <v>-3835494800</v>
          </cell>
          <cell r="H1119">
            <v>43075.780578703707</v>
          </cell>
          <cell r="I1119">
            <v>43075.786793981482</v>
          </cell>
          <cell r="J1119">
            <v>6.215277777777777E-3</v>
          </cell>
        </row>
        <row r="1120">
          <cell r="A1120" t="str">
            <v>TOUCH</v>
          </cell>
          <cell r="B1120" t="str">
            <v>PKE2278</v>
          </cell>
          <cell r="G1120">
            <v>-3834338900</v>
          </cell>
          <cell r="H1120">
            <v>43075.796342592592</v>
          </cell>
          <cell r="I1120">
            <v>43075.813530092593</v>
          </cell>
          <cell r="J1120">
            <v>1.7187499999999998E-2</v>
          </cell>
        </row>
        <row r="1121">
          <cell r="A1121" t="str">
            <v>BASICO</v>
          </cell>
          <cell r="B1121" t="str">
            <v>OUX2321</v>
          </cell>
          <cell r="G1121">
            <v>-3832519500</v>
          </cell>
          <cell r="H1121">
            <v>43075.798611111109</v>
          </cell>
          <cell r="I1121">
            <v>43075.818784722222</v>
          </cell>
          <cell r="J1121">
            <v>2.0173611111111111E-2</v>
          </cell>
        </row>
        <row r="1122">
          <cell r="A1122" t="str">
            <v>BASICO</v>
          </cell>
          <cell r="B1122" t="str">
            <v>OUX2321</v>
          </cell>
          <cell r="G1122">
            <v>-3832488100</v>
          </cell>
          <cell r="H1122">
            <v>43075.820798611108</v>
          </cell>
          <cell r="I1122">
            <v>43075.893414351849</v>
          </cell>
          <cell r="J1122">
            <v>7.2615740740740745E-2</v>
          </cell>
        </row>
        <row r="1123">
          <cell r="A1123" t="str">
            <v>TOUCH</v>
          </cell>
          <cell r="B1123" t="str">
            <v>PKE2278</v>
          </cell>
          <cell r="G1123">
            <v>-3833213500</v>
          </cell>
          <cell r="H1123">
            <v>43075.824988425928</v>
          </cell>
          <cell r="I1123">
            <v>43075.847800925927</v>
          </cell>
          <cell r="J1123">
            <v>2.2812499999999999E-2</v>
          </cell>
        </row>
        <row r="1124">
          <cell r="A1124" t="str">
            <v>TOUCH</v>
          </cell>
          <cell r="B1124" t="str">
            <v>PKE2278</v>
          </cell>
          <cell r="G1124">
            <v>-3833433400</v>
          </cell>
          <cell r="H1124">
            <v>43075.850891203707</v>
          </cell>
          <cell r="I1124">
            <v>43075.865787037037</v>
          </cell>
          <cell r="J1124">
            <v>1.4895833333333332E-2</v>
          </cell>
        </row>
        <row r="1125">
          <cell r="A1125" t="str">
            <v>TOUCH</v>
          </cell>
          <cell r="B1125" t="str">
            <v>PKE2278</v>
          </cell>
          <cell r="G1125">
            <v>-3832799500</v>
          </cell>
          <cell r="H1125">
            <v>43075.868530092594</v>
          </cell>
          <cell r="I1125">
            <v>43075.87096064815</v>
          </cell>
          <cell r="J1125">
            <v>2.4305555555555556E-3</v>
          </cell>
        </row>
        <row r="1126">
          <cell r="A1126" t="str">
            <v>TOUCH</v>
          </cell>
          <cell r="B1126" t="str">
            <v>PKE2278</v>
          </cell>
          <cell r="G1126">
            <v>-3833404200</v>
          </cell>
          <cell r="H1126">
            <v>43075.875405092593</v>
          </cell>
          <cell r="I1126">
            <v>43075.887974537036</v>
          </cell>
          <cell r="J1126">
            <v>1.2569444444444446E-2</v>
          </cell>
        </row>
        <row r="1127">
          <cell r="A1127" t="str">
            <v>TOUCH</v>
          </cell>
          <cell r="B1127" t="str">
            <v>PKE2278</v>
          </cell>
          <cell r="G1127">
            <v>-3833485900</v>
          </cell>
          <cell r="H1127">
            <v>43075.889467592591</v>
          </cell>
          <cell r="I1127">
            <v>43075.934791666667</v>
          </cell>
          <cell r="J1127">
            <v>4.5324074074074072E-2</v>
          </cell>
        </row>
        <row r="1128">
          <cell r="A1128" t="str">
            <v>BASICO</v>
          </cell>
          <cell r="B1128" t="str">
            <v>OUX2321</v>
          </cell>
          <cell r="G1128">
            <v>-3829678300</v>
          </cell>
          <cell r="H1128">
            <v>43075.902743055558</v>
          </cell>
          <cell r="I1128">
            <v>43075.911180555559</v>
          </cell>
          <cell r="J1128">
            <v>8.4375000000000006E-3</v>
          </cell>
        </row>
        <row r="1129">
          <cell r="A1129" t="str">
            <v>BASICO</v>
          </cell>
          <cell r="B1129" t="str">
            <v>OUX2321</v>
          </cell>
          <cell r="G1129">
            <v>-3830179800</v>
          </cell>
          <cell r="H1129">
            <v>43075.915347222224</v>
          </cell>
          <cell r="I1129">
            <v>43075.916666666664</v>
          </cell>
          <cell r="J1129">
            <v>1.3194444444444443E-3</v>
          </cell>
        </row>
        <row r="1130">
          <cell r="A1130" t="str">
            <v>BASICO</v>
          </cell>
          <cell r="B1130" t="str">
            <v>OUX2321</v>
          </cell>
          <cell r="G1130">
            <v>-3831844100</v>
          </cell>
          <cell r="H1130">
            <v>43075.921736111108</v>
          </cell>
          <cell r="I1130">
            <v>43075.941180555557</v>
          </cell>
          <cell r="J1130">
            <v>1.9444444444444445E-2</v>
          </cell>
        </row>
        <row r="1131">
          <cell r="A1131" t="str">
            <v>TOUCH</v>
          </cell>
          <cell r="B1131" t="str">
            <v>PKE2278</v>
          </cell>
          <cell r="G1131">
            <v>-3832489100</v>
          </cell>
          <cell r="H1131">
            <v>43075.941562499997</v>
          </cell>
          <cell r="I1131">
            <v>43075.968136574076</v>
          </cell>
          <cell r="J1131">
            <v>2.6574074074074073E-2</v>
          </cell>
        </row>
        <row r="1132">
          <cell r="A1132" t="str">
            <v>BASICO</v>
          </cell>
          <cell r="B1132" t="str">
            <v>OUX2321</v>
          </cell>
          <cell r="G1132">
            <v>-3832404300</v>
          </cell>
          <cell r="H1132">
            <v>43075.945729166669</v>
          </cell>
          <cell r="I1132">
            <v>43075.97246527778</v>
          </cell>
          <cell r="J1132">
            <v>2.6736111111111113E-2</v>
          </cell>
        </row>
        <row r="1133">
          <cell r="A1133" t="str">
            <v>TOUCH</v>
          </cell>
          <cell r="B1133" t="str">
            <v>PKE2278</v>
          </cell>
          <cell r="G1133">
            <v>-3829084000</v>
          </cell>
          <cell r="H1133">
            <v>43075.980081018519</v>
          </cell>
          <cell r="I1133">
            <v>43075.997071759259</v>
          </cell>
          <cell r="J1133">
            <v>1.699074074074074E-2</v>
          </cell>
        </row>
        <row r="1134">
          <cell r="A1134" t="str">
            <v>BASICO</v>
          </cell>
          <cell r="B1134" t="str">
            <v>OUX2321</v>
          </cell>
          <cell r="G1134">
            <v>-3835311700</v>
          </cell>
          <cell r="H1134">
            <v>43075.982129629629</v>
          </cell>
          <cell r="I1134">
            <v>43076.008263888885</v>
          </cell>
          <cell r="J1134">
            <v>2.613425925925926E-2</v>
          </cell>
        </row>
        <row r="1135">
          <cell r="A1135" t="str">
            <v>TOUCH</v>
          </cell>
          <cell r="B1135" t="str">
            <v>PKE2278</v>
          </cell>
          <cell r="G1135">
            <v>-3832709500</v>
          </cell>
          <cell r="H1135">
            <v>43076.008460648147</v>
          </cell>
          <cell r="I1135">
            <v>43076.277268518519</v>
          </cell>
          <cell r="J1135">
            <v>0.26880787037037041</v>
          </cell>
        </row>
        <row r="1136">
          <cell r="A1136" t="str">
            <v>BASICO</v>
          </cell>
          <cell r="B1136" t="str">
            <v>OUX2321</v>
          </cell>
          <cell r="G1136">
            <v>-3832720800</v>
          </cell>
          <cell r="H1136">
            <v>43076.015636574077</v>
          </cell>
          <cell r="I1136">
            <v>43076.033472222225</v>
          </cell>
          <cell r="J1136">
            <v>1.7835648148148149E-2</v>
          </cell>
        </row>
        <row r="1137">
          <cell r="A1137" t="str">
            <v>BASICO</v>
          </cell>
          <cell r="B1137" t="str">
            <v>OUX2321</v>
          </cell>
          <cell r="G1137">
            <v>-3834789000</v>
          </cell>
          <cell r="H1137">
            <v>43076.039467592593</v>
          </cell>
          <cell r="I1137">
            <v>43076.053854166668</v>
          </cell>
          <cell r="J1137">
            <v>1.4386574074074072E-2</v>
          </cell>
        </row>
        <row r="1138">
          <cell r="A1138" t="str">
            <v>BASICO</v>
          </cell>
          <cell r="B1138" t="str">
            <v>OUX2321</v>
          </cell>
          <cell r="G1138">
            <v>-3830897000</v>
          </cell>
          <cell r="H1138">
            <v>43076.061631944445</v>
          </cell>
          <cell r="I1138">
            <v>43076.135520833333</v>
          </cell>
          <cell r="J1138">
            <v>7.3888888888888893E-2</v>
          </cell>
        </row>
        <row r="1139">
          <cell r="A1139" t="str">
            <v>BASICO</v>
          </cell>
          <cell r="B1139" t="str">
            <v>OUX2321</v>
          </cell>
          <cell r="G1139">
            <v>-3831801400</v>
          </cell>
          <cell r="H1139">
            <v>43076.13826388889</v>
          </cell>
          <cell r="I1139">
            <v>43076.157222222224</v>
          </cell>
          <cell r="J1139">
            <v>1.8958333333333334E-2</v>
          </cell>
        </row>
        <row r="1140">
          <cell r="A1140" t="str">
            <v>BASICO</v>
          </cell>
          <cell r="B1140" t="str">
            <v>OUX2321</v>
          </cell>
          <cell r="G1140">
            <v>-3831987000</v>
          </cell>
          <cell r="H1140">
            <v>43076.158750000002</v>
          </cell>
          <cell r="I1140">
            <v>43076.184965277775</v>
          </cell>
          <cell r="J1140">
            <v>2.6215277777777778E-2</v>
          </cell>
        </row>
        <row r="1141">
          <cell r="A1141" t="str">
            <v>BASICO</v>
          </cell>
          <cell r="B1141" t="str">
            <v>OUX2321</v>
          </cell>
          <cell r="G1141">
            <v>-3832709900</v>
          </cell>
          <cell r="H1141">
            <v>43076.188958333332</v>
          </cell>
          <cell r="I1141">
            <v>43076.275925925926</v>
          </cell>
          <cell r="J1141">
            <v>8.6967592592592582E-2</v>
          </cell>
        </row>
        <row r="1142">
          <cell r="A1142" t="str">
            <v>BASICO</v>
          </cell>
          <cell r="B1142" t="str">
            <v>OUX2321</v>
          </cell>
          <cell r="G1142">
            <v>-3832515800</v>
          </cell>
          <cell r="H1142">
            <v>43076.281238425923</v>
          </cell>
          <cell r="I1142">
            <v>43076.294039351851</v>
          </cell>
          <cell r="J1142">
            <v>1.2800925925925926E-2</v>
          </cell>
        </row>
        <row r="1143">
          <cell r="A1143" t="str">
            <v>TOUCH</v>
          </cell>
          <cell r="B1143" t="str">
            <v>PKE2278</v>
          </cell>
          <cell r="G1143">
            <v>-3832152100</v>
          </cell>
          <cell r="H1143">
            <v>43076.285046296296</v>
          </cell>
          <cell r="I1143">
            <v>43076.302951388891</v>
          </cell>
          <cell r="J1143">
            <v>1.7905092592592594E-2</v>
          </cell>
        </row>
        <row r="1144">
          <cell r="A1144" t="str">
            <v>BASICO</v>
          </cell>
          <cell r="B1144" t="str">
            <v>OUX2321</v>
          </cell>
          <cell r="G1144">
            <v>-3832477800</v>
          </cell>
          <cell r="H1144">
            <v>43076.297858796293</v>
          </cell>
          <cell r="I1144">
            <v>43076.29928240741</v>
          </cell>
          <cell r="J1144">
            <v>1.423611111111111E-3</v>
          </cell>
        </row>
        <row r="1145">
          <cell r="A1145" t="str">
            <v>TOUCH</v>
          </cell>
          <cell r="B1145" t="str">
            <v>PKE2278</v>
          </cell>
          <cell r="G1145">
            <v>-3831340100</v>
          </cell>
          <cell r="H1145">
            <v>43076.307256944441</v>
          </cell>
          <cell r="I1145">
            <v>43076.316701388889</v>
          </cell>
          <cell r="J1145">
            <v>9.4444444444444445E-3</v>
          </cell>
        </row>
        <row r="1146">
          <cell r="A1146" t="str">
            <v>BASICO</v>
          </cell>
          <cell r="B1146" t="str">
            <v>OUX2321</v>
          </cell>
          <cell r="G1146">
            <v>-3828693300</v>
          </cell>
          <cell r="H1146">
            <v>43076.31459490741</v>
          </cell>
          <cell r="I1146">
            <v>43076.316736111112</v>
          </cell>
          <cell r="J1146">
            <v>2.1412037037037038E-3</v>
          </cell>
        </row>
        <row r="1147">
          <cell r="A1147" t="str">
            <v>BASICO</v>
          </cell>
          <cell r="B1147" t="str">
            <v>OUX2321</v>
          </cell>
          <cell r="G1147">
            <v>-3829575600</v>
          </cell>
          <cell r="H1147">
            <v>43076.322743055556</v>
          </cell>
          <cell r="I1147">
            <v>43076.353645833333</v>
          </cell>
          <cell r="J1147">
            <v>3.0902777777777779E-2</v>
          </cell>
        </row>
        <row r="1148">
          <cell r="A1148" t="str">
            <v>TOUCH</v>
          </cell>
          <cell r="B1148" t="str">
            <v>PKE2278</v>
          </cell>
          <cell r="G1148">
            <v>-3830971800</v>
          </cell>
          <cell r="H1148">
            <v>43076.324513888889</v>
          </cell>
          <cell r="I1148">
            <v>43076.349212962959</v>
          </cell>
          <cell r="J1148">
            <v>2.4699074074074078E-2</v>
          </cell>
        </row>
        <row r="1149">
          <cell r="A1149" t="str">
            <v>TOUCH</v>
          </cell>
          <cell r="B1149" t="str">
            <v>PKE2278</v>
          </cell>
          <cell r="G1149">
            <v>-3831147000</v>
          </cell>
          <cell r="H1149">
            <v>43076.352962962963</v>
          </cell>
          <cell r="I1149">
            <v>43076.362233796295</v>
          </cell>
          <cell r="J1149">
            <v>9.2708333333333341E-3</v>
          </cell>
        </row>
        <row r="1150">
          <cell r="A1150" t="str">
            <v>TOUCH</v>
          </cell>
          <cell r="B1150" t="str">
            <v>PKE2278</v>
          </cell>
          <cell r="G1150">
            <v>-3831251400</v>
          </cell>
          <cell r="H1150">
            <v>43076.367719907408</v>
          </cell>
          <cell r="I1150">
            <v>43076.386157407411</v>
          </cell>
          <cell r="J1150">
            <v>1.8437499999999999E-2</v>
          </cell>
        </row>
        <row r="1151">
          <cell r="A1151" t="str">
            <v>BASICO</v>
          </cell>
          <cell r="B1151" t="str">
            <v>OUX2321</v>
          </cell>
          <cell r="G1151">
            <v>-3832891900</v>
          </cell>
          <cell r="H1151">
            <v>43076.373055555552</v>
          </cell>
          <cell r="I1151">
            <v>43076.377152777779</v>
          </cell>
          <cell r="J1151">
            <v>4.0972222222222226E-3</v>
          </cell>
        </row>
        <row r="1152">
          <cell r="A1152" t="str">
            <v>BASICO</v>
          </cell>
          <cell r="B1152" t="str">
            <v>OUX2321</v>
          </cell>
          <cell r="G1152">
            <v>-3833200100</v>
          </cell>
          <cell r="H1152">
            <v>43076.380347222221</v>
          </cell>
          <cell r="I1152">
            <v>43076.397199074076</v>
          </cell>
          <cell r="J1152">
            <v>1.6851851851851851E-2</v>
          </cell>
        </row>
        <row r="1153">
          <cell r="A1153" t="str">
            <v>TOUCH</v>
          </cell>
          <cell r="B1153" t="str">
            <v>PKE2278</v>
          </cell>
          <cell r="G1153">
            <v>-3831417000</v>
          </cell>
          <cell r="H1153">
            <v>43076.387719907405</v>
          </cell>
          <cell r="I1153">
            <v>43076.407685185186</v>
          </cell>
          <cell r="J1153">
            <v>1.996527777777778E-2</v>
          </cell>
        </row>
        <row r="1154">
          <cell r="A1154" t="str">
            <v>BASICO</v>
          </cell>
          <cell r="B1154" t="str">
            <v>OUX2321</v>
          </cell>
          <cell r="G1154">
            <v>-3833750000</v>
          </cell>
          <cell r="H1154">
            <v>43076.403240740743</v>
          </cell>
          <cell r="I1154">
            <v>43076.424942129626</v>
          </cell>
          <cell r="J1154">
            <v>2.1701388888888892E-2</v>
          </cell>
        </row>
        <row r="1155">
          <cell r="A1155" t="str">
            <v>TOUCH</v>
          </cell>
          <cell r="B1155" t="str">
            <v>PKE2278</v>
          </cell>
          <cell r="G1155">
            <v>-3830915500</v>
          </cell>
          <cell r="H1155">
            <v>43076.415185185186</v>
          </cell>
          <cell r="I1155">
            <v>43076.433379629627</v>
          </cell>
          <cell r="J1155">
            <v>1.8194444444444444E-2</v>
          </cell>
        </row>
        <row r="1156">
          <cell r="A1156" t="str">
            <v>BASICO</v>
          </cell>
          <cell r="B1156" t="str">
            <v>OUX2321</v>
          </cell>
          <cell r="G1156">
            <v>-3833936200</v>
          </cell>
          <cell r="H1156">
            <v>43076.438622685186</v>
          </cell>
          <cell r="I1156">
            <v>43076.443101851852</v>
          </cell>
          <cell r="J1156">
            <v>4.4791666666666669E-3</v>
          </cell>
        </row>
        <row r="1157">
          <cell r="A1157" t="str">
            <v>TOUCH</v>
          </cell>
          <cell r="B1157" t="str">
            <v>PKE2278</v>
          </cell>
          <cell r="G1157">
            <v>-3831864300</v>
          </cell>
          <cell r="H1157">
            <v>43076.441400462965</v>
          </cell>
          <cell r="I1157">
            <v>43076.462708333333</v>
          </cell>
          <cell r="J1157">
            <v>2.1307870370370369E-2</v>
          </cell>
        </row>
        <row r="1158">
          <cell r="A1158" t="str">
            <v>BASICO</v>
          </cell>
          <cell r="B1158" t="str">
            <v>OUX2321</v>
          </cell>
          <cell r="G1158">
            <v>-3832387900</v>
          </cell>
          <cell r="H1158">
            <v>43076.449282407404</v>
          </cell>
          <cell r="I1158">
            <v>43076.468842592592</v>
          </cell>
          <cell r="J1158">
            <v>1.9560185185185184E-2</v>
          </cell>
        </row>
        <row r="1159">
          <cell r="A1159" t="str">
            <v>TOUCH</v>
          </cell>
          <cell r="B1159" t="str">
            <v>PKE2278</v>
          </cell>
          <cell r="G1159">
            <v>-3831845900</v>
          </cell>
          <cell r="H1159">
            <v>43076.464513888888</v>
          </cell>
          <cell r="I1159">
            <v>43076.543634259258</v>
          </cell>
          <cell r="J1159">
            <v>7.9120370370370369E-2</v>
          </cell>
        </row>
        <row r="1160">
          <cell r="A1160" t="str">
            <v>BASICO</v>
          </cell>
          <cell r="B1160" t="str">
            <v>OUX2321</v>
          </cell>
          <cell r="G1160">
            <v>-3832783600</v>
          </cell>
          <cell r="H1160">
            <v>43076.490787037037</v>
          </cell>
          <cell r="I1160">
            <v>43076.545023148145</v>
          </cell>
          <cell r="J1160">
            <v>5.4236111111111117E-2</v>
          </cell>
        </row>
        <row r="1161">
          <cell r="A1161" t="str">
            <v>BASICO</v>
          </cell>
          <cell r="B1161" t="str">
            <v>OUX2321</v>
          </cell>
          <cell r="G1161">
            <v>-3832999000</v>
          </cell>
          <cell r="H1161">
            <v>43076.546412037038</v>
          </cell>
          <cell r="I1161">
            <v>43076.552731481483</v>
          </cell>
          <cell r="J1161">
            <v>6.3194444444444444E-3</v>
          </cell>
        </row>
        <row r="1162">
          <cell r="A1162" t="str">
            <v>TOUCH</v>
          </cell>
          <cell r="B1162" t="str">
            <v>PKE2278</v>
          </cell>
          <cell r="G1162">
            <v>-3831572300</v>
          </cell>
          <cell r="H1162">
            <v>43076.548703703702</v>
          </cell>
          <cell r="I1162">
            <v>43076.564606481479</v>
          </cell>
          <cell r="J1162">
            <v>1.5902777777777776E-2</v>
          </cell>
        </row>
        <row r="1163">
          <cell r="A1163" t="str">
            <v>BASICO</v>
          </cell>
          <cell r="B1163" t="str">
            <v>OUX2321</v>
          </cell>
          <cell r="G1163">
            <v>-3834084200</v>
          </cell>
          <cell r="H1163">
            <v>43076.556111111109</v>
          </cell>
          <cell r="I1163">
            <v>43076.565659722219</v>
          </cell>
          <cell r="J1163">
            <v>9.5486111111111101E-3</v>
          </cell>
        </row>
        <row r="1164">
          <cell r="A1164" t="str">
            <v>TOUCH</v>
          </cell>
          <cell r="B1164" t="str">
            <v>PKE2278</v>
          </cell>
          <cell r="G1164">
            <v>-3831292800</v>
          </cell>
          <cell r="H1164">
            <v>43076.568703703706</v>
          </cell>
          <cell r="I1164">
            <v>43076.581689814811</v>
          </cell>
          <cell r="J1164">
            <v>1.298611111111111E-2</v>
          </cell>
        </row>
        <row r="1165">
          <cell r="A1165" t="str">
            <v>BASICO</v>
          </cell>
          <cell r="B1165" t="str">
            <v>OUX2321</v>
          </cell>
          <cell r="G1165">
            <v>-3833096300</v>
          </cell>
          <cell r="H1165">
            <v>43076.577743055554</v>
          </cell>
          <cell r="I1165">
            <v>43076.621111111112</v>
          </cell>
          <cell r="J1165">
            <v>4.3368055555555556E-2</v>
          </cell>
        </row>
        <row r="1166">
          <cell r="A1166" t="str">
            <v>TOUCH</v>
          </cell>
          <cell r="B1166" t="str">
            <v>PKE2278</v>
          </cell>
          <cell r="G1166">
            <v>-3831470300</v>
          </cell>
          <cell r="H1166">
            <v>43076.584085648145</v>
          </cell>
          <cell r="I1166">
            <v>43076.589884259258</v>
          </cell>
          <cell r="J1166">
            <v>5.7986111111111112E-3</v>
          </cell>
        </row>
        <row r="1167">
          <cell r="A1167" t="str">
            <v>TOUCH</v>
          </cell>
          <cell r="B1167" t="str">
            <v>PKE2278</v>
          </cell>
          <cell r="G1167">
            <v>-3831569000</v>
          </cell>
          <cell r="H1167">
            <v>43076.593321759261</v>
          </cell>
          <cell r="I1167">
            <v>43076.607002314813</v>
          </cell>
          <cell r="J1167">
            <v>1.3680555555555555E-2</v>
          </cell>
        </row>
        <row r="1168">
          <cell r="A1168" t="str">
            <v>TOUCH</v>
          </cell>
          <cell r="B1168" t="str">
            <v>PKE2278</v>
          </cell>
          <cell r="G1168">
            <v>-3833101800</v>
          </cell>
          <cell r="H1168">
            <v>43076.618425925924</v>
          </cell>
          <cell r="I1168">
            <v>43076.619780092595</v>
          </cell>
          <cell r="J1168">
            <v>1.3541666666666667E-3</v>
          </cell>
        </row>
        <row r="1169">
          <cell r="A1169" t="str">
            <v>TOUCH</v>
          </cell>
          <cell r="B1169" t="str">
            <v>PKE2278</v>
          </cell>
          <cell r="G1169">
            <v>-3832883100</v>
          </cell>
          <cell r="H1169">
            <v>43076.624710648146</v>
          </cell>
          <cell r="I1169">
            <v>43076.933761574073</v>
          </cell>
          <cell r="J1169">
            <v>0.30905092592592592</v>
          </cell>
        </row>
        <row r="1170">
          <cell r="A1170" t="str">
            <v>BASICO</v>
          </cell>
          <cell r="B1170" t="str">
            <v>OUX2321</v>
          </cell>
          <cell r="G1170">
            <v>-3832711000</v>
          </cell>
          <cell r="H1170">
            <v>43076.631319444445</v>
          </cell>
          <cell r="I1170">
            <v>43076.686620370368</v>
          </cell>
          <cell r="J1170">
            <v>5.5300925925925927E-2</v>
          </cell>
        </row>
        <row r="1171">
          <cell r="A1171" t="str">
            <v>BASICO</v>
          </cell>
          <cell r="B1171" t="str">
            <v>OUX2321</v>
          </cell>
          <cell r="G1171">
            <v>-3832719600</v>
          </cell>
          <cell r="H1171">
            <v>43076.692106481481</v>
          </cell>
          <cell r="I1171">
            <v>43076.698078703703</v>
          </cell>
          <cell r="J1171">
            <v>5.9722222222222225E-3</v>
          </cell>
        </row>
        <row r="1172">
          <cell r="A1172" t="str">
            <v>BASICO</v>
          </cell>
          <cell r="B1172" t="str">
            <v>OUX2321</v>
          </cell>
          <cell r="G1172">
            <v>-3828996500</v>
          </cell>
          <cell r="H1172">
            <v>43076.713842592595</v>
          </cell>
          <cell r="I1172">
            <v>43076.731932870367</v>
          </cell>
          <cell r="J1172">
            <v>1.8090277777777778E-2</v>
          </cell>
        </row>
        <row r="1173">
          <cell r="A1173" t="str">
            <v>BASICO</v>
          </cell>
          <cell r="B1173" t="str">
            <v>OUX2321</v>
          </cell>
          <cell r="G1173">
            <v>-3829376200</v>
          </cell>
          <cell r="H1173">
            <v>43076.738217592596</v>
          </cell>
          <cell r="I1173">
            <v>43076.743321759262</v>
          </cell>
          <cell r="J1173">
            <v>5.1041666666666666E-3</v>
          </cell>
        </row>
        <row r="1174">
          <cell r="A1174" t="str">
            <v>BASICO</v>
          </cell>
          <cell r="B1174" t="str">
            <v>OUX2321</v>
          </cell>
          <cell r="G1174">
            <v>-3828312900</v>
          </cell>
          <cell r="H1174">
            <v>43076.751273148147</v>
          </cell>
          <cell r="I1174">
            <v>43076.753530092596</v>
          </cell>
          <cell r="J1174">
            <v>2.2569444444444447E-3</v>
          </cell>
        </row>
        <row r="1175">
          <cell r="A1175" t="str">
            <v>BASICO</v>
          </cell>
          <cell r="B1175" t="str">
            <v>OUX2321</v>
          </cell>
          <cell r="G1175">
            <v>-3828761500</v>
          </cell>
          <cell r="H1175">
            <v>43076.755057870374</v>
          </cell>
          <cell r="I1175">
            <v>43076.757418981484</v>
          </cell>
          <cell r="J1175">
            <v>2.3611111111111111E-3</v>
          </cell>
        </row>
        <row r="1176">
          <cell r="A1176" t="str">
            <v>BASICO</v>
          </cell>
          <cell r="B1176" t="str">
            <v>OUX2321</v>
          </cell>
          <cell r="G1176">
            <v>-3828739100</v>
          </cell>
          <cell r="H1176">
            <v>43076.75984953704</v>
          </cell>
          <cell r="I1176">
            <v>43076.790671296294</v>
          </cell>
          <cell r="J1176">
            <v>3.0821759259259257E-2</v>
          </cell>
        </row>
        <row r="1177">
          <cell r="A1177" t="str">
            <v>BASICO</v>
          </cell>
          <cell r="B1177" t="str">
            <v>OUX2321</v>
          </cell>
          <cell r="G1177">
            <v>-3833407100</v>
          </cell>
          <cell r="H1177">
            <v>43076.804745370369</v>
          </cell>
          <cell r="I1177">
            <v>43076.854722222219</v>
          </cell>
          <cell r="J1177">
            <v>4.9976851851851856E-2</v>
          </cell>
        </row>
        <row r="1178">
          <cell r="A1178" t="str">
            <v>BASICO</v>
          </cell>
          <cell r="B1178" t="str">
            <v>OUX2321</v>
          </cell>
          <cell r="G1178">
            <v>-3832346900</v>
          </cell>
          <cell r="H1178">
            <v>43076.862604166665</v>
          </cell>
          <cell r="I1178">
            <v>43076.911168981482</v>
          </cell>
          <cell r="J1178">
            <v>4.8564814814814818E-2</v>
          </cell>
        </row>
        <row r="1179">
          <cell r="A1179" t="str">
            <v>BASICO</v>
          </cell>
          <cell r="B1179" t="str">
            <v>OUX2321</v>
          </cell>
          <cell r="G1179">
            <v>-3832712500</v>
          </cell>
          <cell r="H1179">
            <v>43076.913252314815</v>
          </cell>
          <cell r="I1179">
            <v>43076.965763888889</v>
          </cell>
          <cell r="J1179">
            <v>5.2511574074074079E-2</v>
          </cell>
        </row>
        <row r="1180">
          <cell r="A1180" t="str">
            <v>TOUCH</v>
          </cell>
          <cell r="B1180" t="str">
            <v>PKE2278</v>
          </cell>
          <cell r="G1180">
            <v>-3832172900</v>
          </cell>
          <cell r="H1180">
            <v>43076.940011574072</v>
          </cell>
          <cell r="I1180">
            <v>43077.033854166664</v>
          </cell>
          <cell r="J1180">
            <v>9.3842592592592589E-2</v>
          </cell>
        </row>
        <row r="1181">
          <cell r="A1181" t="str">
            <v>BASICO</v>
          </cell>
          <cell r="B1181" t="str">
            <v>OUX2321</v>
          </cell>
          <cell r="G1181">
            <v>-3832099500</v>
          </cell>
          <cell r="H1181">
            <v>43076.969409722224</v>
          </cell>
          <cell r="I1181">
            <v>43076.971770833334</v>
          </cell>
          <cell r="J1181">
            <v>2.3611111111111111E-3</v>
          </cell>
        </row>
        <row r="1182">
          <cell r="A1182" t="str">
            <v>BASICO</v>
          </cell>
          <cell r="B1182" t="str">
            <v>OUX2321</v>
          </cell>
          <cell r="G1182">
            <v>-3833072700</v>
          </cell>
          <cell r="H1182">
            <v>43076.976840277777</v>
          </cell>
          <cell r="I1182">
            <v>43076.986840277779</v>
          </cell>
          <cell r="J1182">
            <v>0.01</v>
          </cell>
        </row>
        <row r="1183">
          <cell r="A1183" t="str">
            <v>BASICO</v>
          </cell>
          <cell r="B1183" t="str">
            <v>OUX2321</v>
          </cell>
          <cell r="G1183">
            <v>-3832712400</v>
          </cell>
          <cell r="H1183">
            <v>43077.003055555557</v>
          </cell>
          <cell r="I1183">
            <v>43077.286504629628</v>
          </cell>
          <cell r="J1183">
            <v>0.2834490740740741</v>
          </cell>
        </row>
        <row r="1184">
          <cell r="A1184" t="str">
            <v>TOUCH</v>
          </cell>
          <cell r="B1184" t="str">
            <v>PKE2278</v>
          </cell>
          <cell r="G1184">
            <v>-3831376000</v>
          </cell>
          <cell r="H1184">
            <v>43077.036354166667</v>
          </cell>
          <cell r="I1184">
            <v>43077.038090277776</v>
          </cell>
          <cell r="J1184">
            <v>1.736111111111111E-3</v>
          </cell>
        </row>
        <row r="1185">
          <cell r="A1185" t="str">
            <v>TOUCH</v>
          </cell>
          <cell r="B1185" t="str">
            <v>PKE2278</v>
          </cell>
          <cell r="G1185">
            <v>-3831284300</v>
          </cell>
          <cell r="H1185">
            <v>43077.040034722224</v>
          </cell>
          <cell r="I1185">
            <v>43077.07712962963</v>
          </cell>
          <cell r="J1185">
            <v>3.7094907407407403E-2</v>
          </cell>
        </row>
        <row r="1186">
          <cell r="A1186" t="str">
            <v>TOUCH</v>
          </cell>
          <cell r="B1186" t="str">
            <v>PKE2278</v>
          </cell>
          <cell r="G1186">
            <v>-3831745900</v>
          </cell>
          <cell r="H1186">
            <v>43077.081365740742</v>
          </cell>
          <cell r="I1186">
            <v>43077.153506944444</v>
          </cell>
          <cell r="J1186">
            <v>7.2141203703703707E-2</v>
          </cell>
        </row>
        <row r="1187">
          <cell r="A1187" t="str">
            <v>TOUCH</v>
          </cell>
          <cell r="B1187" t="str">
            <v>PKE2278</v>
          </cell>
          <cell r="G1187">
            <v>-3832686600</v>
          </cell>
          <cell r="H1187">
            <v>43077.156631944446</v>
          </cell>
          <cell r="I1187">
            <v>43077.164803240739</v>
          </cell>
          <cell r="J1187">
            <v>8.1712962962962963E-3</v>
          </cell>
        </row>
        <row r="1188">
          <cell r="A1188" t="str">
            <v>TOUCH</v>
          </cell>
          <cell r="B1188" t="str">
            <v>PKE2278</v>
          </cell>
          <cell r="G1188">
            <v>-3832644300</v>
          </cell>
          <cell r="H1188">
            <v>43077.166574074072</v>
          </cell>
          <cell r="I1188">
            <v>43077.289259259262</v>
          </cell>
          <cell r="J1188">
            <v>0.12268518518518519</v>
          </cell>
        </row>
        <row r="1189">
          <cell r="A1189" t="str">
            <v>BASICO</v>
          </cell>
          <cell r="B1189" t="str">
            <v>OUX2321</v>
          </cell>
          <cell r="G1189">
            <v>-3832516300</v>
          </cell>
          <cell r="H1189">
            <v>43077.291643518518</v>
          </cell>
          <cell r="I1189">
            <v>43077.308958333335</v>
          </cell>
          <cell r="J1189">
            <v>1.7314814814814814E-2</v>
          </cell>
        </row>
        <row r="1190">
          <cell r="A1190" t="str">
            <v>TOUCH</v>
          </cell>
          <cell r="B1190" t="str">
            <v>PKE2278</v>
          </cell>
          <cell r="G1190">
            <v>-3832496500</v>
          </cell>
          <cell r="H1190">
            <v>43077.294502314813</v>
          </cell>
          <cell r="I1190">
            <v>43077.30909722222</v>
          </cell>
          <cell r="J1190">
            <v>1.4594907407407405E-2</v>
          </cell>
        </row>
        <row r="1191">
          <cell r="A1191" t="str">
            <v>BASICO</v>
          </cell>
          <cell r="B1191" t="str">
            <v>OUX2321</v>
          </cell>
          <cell r="G1191">
            <v>-3834083100</v>
          </cell>
          <cell r="H1191">
            <v>43077.313032407408</v>
          </cell>
          <cell r="I1191">
            <v>43077.317569444444</v>
          </cell>
          <cell r="J1191">
            <v>4.5370370370370365E-3</v>
          </cell>
        </row>
        <row r="1192">
          <cell r="A1192" t="str">
            <v>TOUCH</v>
          </cell>
          <cell r="B1192" t="str">
            <v>PKE2278</v>
          </cell>
          <cell r="G1192">
            <v>-3830375700</v>
          </cell>
          <cell r="H1192">
            <v>43077.31858796296</v>
          </cell>
          <cell r="I1192">
            <v>43077.350937499999</v>
          </cell>
          <cell r="J1192">
            <v>3.2349537037037038E-2</v>
          </cell>
        </row>
        <row r="1193">
          <cell r="A1193" t="str">
            <v>BASICO</v>
          </cell>
          <cell r="B1193" t="str">
            <v>OUX2321</v>
          </cell>
          <cell r="G1193">
            <v>-3835404400</v>
          </cell>
          <cell r="H1193">
            <v>43077.340879629628</v>
          </cell>
          <cell r="I1193">
            <v>43077.343576388892</v>
          </cell>
          <cell r="J1193">
            <v>2.6967592592592594E-3</v>
          </cell>
        </row>
        <row r="1194">
          <cell r="A1194" t="str">
            <v>BASICO</v>
          </cell>
          <cell r="B1194" t="str">
            <v>OUX2321</v>
          </cell>
          <cell r="G1194">
            <v>-3834147700</v>
          </cell>
          <cell r="H1194">
            <v>43077.348611111112</v>
          </cell>
          <cell r="I1194">
            <v>43077.390081018515</v>
          </cell>
          <cell r="J1194">
            <v>4.1469907407407407E-2</v>
          </cell>
        </row>
        <row r="1195">
          <cell r="A1195" t="str">
            <v>TOUCH</v>
          </cell>
          <cell r="B1195" t="str">
            <v>PKE2278</v>
          </cell>
          <cell r="G1195">
            <v>-3829757200</v>
          </cell>
          <cell r="H1195">
            <v>43077.358784722222</v>
          </cell>
          <cell r="I1195">
            <v>43077.380949074075</v>
          </cell>
          <cell r="J1195">
            <v>2.2164351851851852E-2</v>
          </cell>
        </row>
        <row r="1196">
          <cell r="A1196" t="str">
            <v>BASICO</v>
          </cell>
          <cell r="B1196" t="str">
            <v>OUX2321</v>
          </cell>
          <cell r="G1196">
            <v>-3833956700</v>
          </cell>
          <cell r="H1196">
            <v>43077.391643518517</v>
          </cell>
          <cell r="I1196">
            <v>43077.400694444441</v>
          </cell>
          <cell r="J1196">
            <v>9.0509259259259258E-3</v>
          </cell>
        </row>
        <row r="1197">
          <cell r="A1197" t="str">
            <v>TOUCH</v>
          </cell>
          <cell r="B1197" t="str">
            <v>PKE2278</v>
          </cell>
          <cell r="G1197">
            <v>-3832712700</v>
          </cell>
          <cell r="H1197">
            <v>43077.396574074075</v>
          </cell>
          <cell r="I1197">
            <v>43077.416608796295</v>
          </cell>
          <cell r="J1197">
            <v>2.0034722222222221E-2</v>
          </cell>
        </row>
        <row r="1198">
          <cell r="A1198" t="str">
            <v>BASICO</v>
          </cell>
          <cell r="B1198" t="str">
            <v>OUX2321</v>
          </cell>
          <cell r="G1198">
            <v>-3833803400</v>
          </cell>
          <cell r="H1198">
            <v>43077.402233796296</v>
          </cell>
          <cell r="I1198">
            <v>43077.405081018522</v>
          </cell>
          <cell r="J1198">
            <v>2.8472222222222219E-3</v>
          </cell>
        </row>
        <row r="1199">
          <cell r="A1199" t="str">
            <v>BASICO</v>
          </cell>
          <cell r="B1199" t="str">
            <v>OUX2321</v>
          </cell>
          <cell r="G1199">
            <v>-3833756100</v>
          </cell>
          <cell r="H1199">
            <v>43077.406770833331</v>
          </cell>
          <cell r="I1199">
            <v>43077.407719907409</v>
          </cell>
          <cell r="J1199">
            <v>9.4907407407407408E-4</v>
          </cell>
        </row>
        <row r="1200">
          <cell r="A1200" t="str">
            <v>BASICO</v>
          </cell>
          <cell r="B1200" t="str">
            <v>OUX2321</v>
          </cell>
          <cell r="G1200">
            <v>-3833090800</v>
          </cell>
          <cell r="H1200">
            <v>43077.412511574075</v>
          </cell>
          <cell r="I1200">
            <v>43077.431261574071</v>
          </cell>
          <cell r="J1200">
            <v>1.8749999999999999E-2</v>
          </cell>
        </row>
        <row r="1201">
          <cell r="A1201" t="str">
            <v>TOUCH</v>
          </cell>
          <cell r="B1201" t="str">
            <v>PKE2278</v>
          </cell>
          <cell r="G1201">
            <v>-3834380500</v>
          </cell>
          <cell r="H1201">
            <v>43077.42224537037</v>
          </cell>
          <cell r="I1201">
            <v>43077.449918981481</v>
          </cell>
          <cell r="J1201">
            <v>2.7673611111111111E-2</v>
          </cell>
        </row>
        <row r="1202">
          <cell r="A1202" t="str">
            <v>BASICO</v>
          </cell>
          <cell r="B1202" t="str">
            <v>OUX2321</v>
          </cell>
          <cell r="G1202">
            <v>-3832357500</v>
          </cell>
          <cell r="H1202">
            <v>43077.439409722225</v>
          </cell>
          <cell r="I1202">
            <v>43077.450798611113</v>
          </cell>
          <cell r="J1202">
            <v>1.1388888888888888E-2</v>
          </cell>
        </row>
        <row r="1203">
          <cell r="A1203" t="str">
            <v>BASICO</v>
          </cell>
          <cell r="B1203" t="str">
            <v>OUX2321</v>
          </cell>
          <cell r="G1203">
            <v>-3832988300</v>
          </cell>
          <cell r="H1203">
            <v>43077.461643518516</v>
          </cell>
          <cell r="I1203">
            <v>43077.463414351849</v>
          </cell>
          <cell r="J1203">
            <v>1.7708333333333332E-3</v>
          </cell>
        </row>
        <row r="1204">
          <cell r="A1204" t="str">
            <v>TOUCH</v>
          </cell>
          <cell r="B1204" t="str">
            <v>PKE2278</v>
          </cell>
          <cell r="G1204">
            <v>-3835588000</v>
          </cell>
          <cell r="H1204">
            <v>43077.463321759256</v>
          </cell>
          <cell r="I1204">
            <v>43077.506388888891</v>
          </cell>
          <cell r="J1204">
            <v>4.3067129629629629E-2</v>
          </cell>
        </row>
        <row r="1205">
          <cell r="A1205" t="str">
            <v>BASICO</v>
          </cell>
          <cell r="B1205" t="str">
            <v>OUX2321</v>
          </cell>
          <cell r="G1205">
            <v>-3833553100</v>
          </cell>
          <cell r="H1205">
            <v>43077.465983796297</v>
          </cell>
          <cell r="I1205">
            <v>43077.490219907406</v>
          </cell>
          <cell r="J1205">
            <v>2.4236111111111111E-2</v>
          </cell>
        </row>
        <row r="1206">
          <cell r="A1206" t="str">
            <v>TOUCH</v>
          </cell>
          <cell r="B1206" t="str">
            <v>PKE2278</v>
          </cell>
          <cell r="G1206">
            <v>-3833340400</v>
          </cell>
          <cell r="H1206">
            <v>43077.51253472222</v>
          </cell>
          <cell r="I1206">
            <v>43077.546435185184</v>
          </cell>
          <cell r="J1206">
            <v>3.3900462962962966E-2</v>
          </cell>
        </row>
        <row r="1207">
          <cell r="A1207" t="str">
            <v>BASICO</v>
          </cell>
          <cell r="B1207" t="str">
            <v>OUX2321</v>
          </cell>
          <cell r="G1207">
            <v>-3832784900</v>
          </cell>
          <cell r="H1207">
            <v>43077.513194444444</v>
          </cell>
          <cell r="I1207">
            <v>43077.556643518517</v>
          </cell>
          <cell r="J1207">
            <v>4.3449074074074077E-2</v>
          </cell>
        </row>
        <row r="1208">
          <cell r="A1208" t="str">
            <v>TOUCH</v>
          </cell>
          <cell r="B1208" t="str">
            <v>PKE2278</v>
          </cell>
          <cell r="G1208">
            <v>-3831327900</v>
          </cell>
          <cell r="H1208">
            <v>43077.560567129629</v>
          </cell>
          <cell r="I1208">
            <v>43077.620810185188</v>
          </cell>
          <cell r="J1208">
            <v>6.0243055555555557E-2</v>
          </cell>
        </row>
        <row r="1209">
          <cell r="A1209" t="str">
            <v>BASICO</v>
          </cell>
          <cell r="B1209" t="str">
            <v>OUX2321</v>
          </cell>
          <cell r="G1209">
            <v>-3830859100</v>
          </cell>
          <cell r="H1209">
            <v>43077.568645833337</v>
          </cell>
          <cell r="I1209">
            <v>43077.586111111108</v>
          </cell>
          <cell r="J1209">
            <v>1.7465277777777777E-2</v>
          </cell>
        </row>
        <row r="1210">
          <cell r="A1210" t="str">
            <v>BASICO</v>
          </cell>
          <cell r="B1210" t="str">
            <v>OUX2321</v>
          </cell>
          <cell r="G1210">
            <v>-3830655800</v>
          </cell>
          <cell r="H1210">
            <v>43077.59170138889</v>
          </cell>
          <cell r="I1210">
            <v>43077.599560185183</v>
          </cell>
          <cell r="J1210">
            <v>7.858796296296296E-3</v>
          </cell>
        </row>
        <row r="1211">
          <cell r="A1211" t="str">
            <v>BASICO</v>
          </cell>
          <cell r="B1211" t="str">
            <v>OUX2321</v>
          </cell>
          <cell r="G1211">
            <v>-3834235200</v>
          </cell>
          <cell r="H1211">
            <v>43077.616678240738</v>
          </cell>
          <cell r="I1211">
            <v>43077.617395833331</v>
          </cell>
          <cell r="J1211">
            <v>7.175925925925927E-4</v>
          </cell>
        </row>
        <row r="1212">
          <cell r="A1212" t="str">
            <v>BASICO</v>
          </cell>
          <cell r="B1212" t="str">
            <v>OUX2321</v>
          </cell>
          <cell r="G1212">
            <v>-3832722400</v>
          </cell>
          <cell r="H1212">
            <v>43077.622754629629</v>
          </cell>
          <cell r="I1212">
            <v>43077.677094907405</v>
          </cell>
          <cell r="J1212">
            <v>5.4340277777777779E-2</v>
          </cell>
        </row>
        <row r="1213">
          <cell r="A1213" t="str">
            <v>TOUCH</v>
          </cell>
          <cell r="B1213" t="str">
            <v>PKE2278</v>
          </cell>
          <cell r="G1213">
            <v>-3832710600</v>
          </cell>
          <cell r="H1213">
            <v>43077.632800925923</v>
          </cell>
          <cell r="I1213">
            <v>43077.674837962964</v>
          </cell>
          <cell r="J1213">
            <v>4.2037037037037039E-2</v>
          </cell>
        </row>
        <row r="1214">
          <cell r="A1214" t="str">
            <v>TOUCH</v>
          </cell>
          <cell r="B1214" t="str">
            <v>PKE2278</v>
          </cell>
          <cell r="G1214">
            <v>-3833053300</v>
          </cell>
          <cell r="H1214">
            <v>43077.676886574074</v>
          </cell>
          <cell r="I1214">
            <v>43077.687013888892</v>
          </cell>
          <cell r="J1214">
            <v>1.0127314814814815E-2</v>
          </cell>
        </row>
        <row r="1215">
          <cell r="A1215" t="str">
            <v>BASICO</v>
          </cell>
          <cell r="B1215" t="str">
            <v>OUX2321</v>
          </cell>
          <cell r="G1215">
            <v>-3833128000</v>
          </cell>
          <cell r="H1215">
            <v>43077.683275462965</v>
          </cell>
          <cell r="I1215">
            <v>43077.716469907406</v>
          </cell>
          <cell r="J1215">
            <v>3.3194444444444443E-2</v>
          </cell>
        </row>
        <row r="1216">
          <cell r="A1216" t="str">
            <v>TOUCH</v>
          </cell>
          <cell r="B1216" t="str">
            <v>PKE2278</v>
          </cell>
          <cell r="G1216">
            <v>-3832833400</v>
          </cell>
          <cell r="H1216">
            <v>43077.693923611114</v>
          </cell>
          <cell r="I1216">
            <v>43077.732581018521</v>
          </cell>
          <cell r="J1216">
            <v>3.8657407407407404E-2</v>
          </cell>
        </row>
        <row r="1217">
          <cell r="A1217" t="str">
            <v>BASICO</v>
          </cell>
          <cell r="B1217" t="str">
            <v>OUX2321</v>
          </cell>
          <cell r="G1217">
            <v>-3834263000</v>
          </cell>
          <cell r="H1217">
            <v>43077.721365740741</v>
          </cell>
          <cell r="I1217">
            <v>43077.724074074074</v>
          </cell>
          <cell r="J1217">
            <v>2.7083333333333334E-3</v>
          </cell>
        </row>
        <row r="1218">
          <cell r="A1218" t="str">
            <v>BASICO</v>
          </cell>
          <cell r="B1218" t="str">
            <v>OUX2321</v>
          </cell>
          <cell r="G1218">
            <v>-3835682200</v>
          </cell>
          <cell r="H1218">
            <v>43077.729942129627</v>
          </cell>
          <cell r="I1218">
            <v>43077.740983796299</v>
          </cell>
          <cell r="J1218">
            <v>1.1041666666666667E-2</v>
          </cell>
        </row>
        <row r="1219">
          <cell r="A1219" t="str">
            <v>TOUCH</v>
          </cell>
          <cell r="B1219" t="str">
            <v>PKE2278</v>
          </cell>
          <cell r="G1219">
            <v>-3832499000</v>
          </cell>
          <cell r="H1219">
            <v>43077.734837962962</v>
          </cell>
          <cell r="I1219">
            <v>43077.735636574071</v>
          </cell>
          <cell r="J1219">
            <v>7.9861111111111105E-4</v>
          </cell>
        </row>
        <row r="1220">
          <cell r="A1220" t="str">
            <v>BASICO</v>
          </cell>
          <cell r="B1220" t="str">
            <v>OUX2321</v>
          </cell>
          <cell r="G1220">
            <v>-3835786000</v>
          </cell>
          <cell r="H1220">
            <v>43077.742824074077</v>
          </cell>
          <cell r="I1220">
            <v>43077.75372685185</v>
          </cell>
          <cell r="J1220">
            <v>1.0902777777777777E-2</v>
          </cell>
        </row>
        <row r="1221">
          <cell r="A1221" t="str">
            <v>TOUCH</v>
          </cell>
          <cell r="B1221" t="str">
            <v>PKE2278</v>
          </cell>
          <cell r="G1221">
            <v>-3828273300</v>
          </cell>
          <cell r="H1221">
            <v>43077.754143518519</v>
          </cell>
          <cell r="I1221">
            <v>43077.786261574074</v>
          </cell>
          <cell r="J1221">
            <v>3.2118055555555559E-2</v>
          </cell>
        </row>
        <row r="1222">
          <cell r="A1222" t="str">
            <v>BASICO</v>
          </cell>
          <cell r="B1222" t="str">
            <v>OUX2321</v>
          </cell>
          <cell r="G1222">
            <v>-3834984200</v>
          </cell>
          <cell r="H1222">
            <v>43077.757303240738</v>
          </cell>
          <cell r="I1222">
            <v>43077.768831018519</v>
          </cell>
          <cell r="J1222">
            <v>1.1527777777777777E-2</v>
          </cell>
        </row>
        <row r="1223">
          <cell r="A1223" t="str">
            <v>BASICO</v>
          </cell>
          <cell r="B1223" t="str">
            <v>OUX2321</v>
          </cell>
          <cell r="G1223">
            <v>-3835154400</v>
          </cell>
          <cell r="H1223">
            <v>43077.771018518521</v>
          </cell>
          <cell r="I1223">
            <v>43077.798310185186</v>
          </cell>
          <cell r="J1223">
            <v>2.7291666666666662E-2</v>
          </cell>
        </row>
        <row r="1224">
          <cell r="A1224" t="str">
            <v>BASICO</v>
          </cell>
          <cell r="B1224" t="str">
            <v>OUX2321</v>
          </cell>
          <cell r="G1224">
            <v>-3832397700</v>
          </cell>
          <cell r="H1224">
            <v>43077.807164351849</v>
          </cell>
          <cell r="I1224">
            <v>43077.819803240738</v>
          </cell>
          <cell r="J1224">
            <v>1.2638888888888889E-2</v>
          </cell>
        </row>
        <row r="1225">
          <cell r="A1225" t="str">
            <v>TOUCH</v>
          </cell>
          <cell r="B1225" t="str">
            <v>PKE2278</v>
          </cell>
          <cell r="G1225">
            <v>-3831441200</v>
          </cell>
          <cell r="H1225">
            <v>43077.818865740737</v>
          </cell>
          <cell r="I1225">
            <v>43077.822916666664</v>
          </cell>
          <cell r="J1225">
            <v>4.0509259259259257E-3</v>
          </cell>
        </row>
        <row r="1226">
          <cell r="A1226" t="str">
            <v>TOUCH</v>
          </cell>
          <cell r="B1226" t="str">
            <v>PKE2278</v>
          </cell>
          <cell r="G1226">
            <v>-3831607000</v>
          </cell>
          <cell r="H1226">
            <v>43077.825428240743</v>
          </cell>
          <cell r="I1226">
            <v>43077.82775462963</v>
          </cell>
          <cell r="J1226">
            <v>2.3263888888888887E-3</v>
          </cell>
        </row>
        <row r="1227">
          <cell r="A1227" t="str">
            <v>TOUCH</v>
          </cell>
          <cell r="B1227" t="str">
            <v>PKE2278</v>
          </cell>
          <cell r="G1227">
            <v>-3830679000</v>
          </cell>
          <cell r="H1227">
            <v>43077.832499999997</v>
          </cell>
          <cell r="I1227">
            <v>43077.834791666668</v>
          </cell>
          <cell r="J1227">
            <v>2.2916666666666667E-3</v>
          </cell>
        </row>
        <row r="1228">
          <cell r="A1228" t="str">
            <v>TOUCH</v>
          </cell>
          <cell r="B1228" t="str">
            <v>PKE2278</v>
          </cell>
          <cell r="G1228">
            <v>-3830542800</v>
          </cell>
          <cell r="H1228">
            <v>43077.836944444447</v>
          </cell>
          <cell r="I1228">
            <v>43077.84642361111</v>
          </cell>
          <cell r="J1228">
            <v>9.479166666666667E-3</v>
          </cell>
        </row>
        <row r="1229">
          <cell r="A1229" t="str">
            <v>BASICO</v>
          </cell>
          <cell r="B1229" t="str">
            <v>OUX2321</v>
          </cell>
          <cell r="G1229">
            <v>-3831883000</v>
          </cell>
          <cell r="H1229">
            <v>43077.838483796295</v>
          </cell>
          <cell r="I1229">
            <v>43077.842858796299</v>
          </cell>
          <cell r="J1229">
            <v>4.3749999999999995E-3</v>
          </cell>
        </row>
        <row r="1230">
          <cell r="A1230" t="str">
            <v>BASICO</v>
          </cell>
          <cell r="B1230" t="str">
            <v>OUX2321</v>
          </cell>
          <cell r="G1230">
            <v>-3830803400</v>
          </cell>
          <cell r="H1230">
            <v>43077.848414351851</v>
          </cell>
          <cell r="I1230">
            <v>43077.87872685185</v>
          </cell>
          <cell r="J1230">
            <v>3.0312499999999996E-2</v>
          </cell>
        </row>
        <row r="1231">
          <cell r="A1231" t="str">
            <v>TOUCH</v>
          </cell>
          <cell r="B1231" t="str">
            <v>PKE2278</v>
          </cell>
          <cell r="G1231">
            <v>-3830792500</v>
          </cell>
          <cell r="H1231">
            <v>43077.84851851852</v>
          </cell>
          <cell r="I1231">
            <v>43077.863657407404</v>
          </cell>
          <cell r="J1231">
            <v>1.5138888888888889E-2</v>
          </cell>
        </row>
        <row r="1232">
          <cell r="A1232" t="str">
            <v>TOUCH</v>
          </cell>
          <cell r="B1232" t="str">
            <v>PKE2278</v>
          </cell>
          <cell r="G1232">
            <v>-3830324400</v>
          </cell>
          <cell r="H1232">
            <v>43077.8747337963</v>
          </cell>
          <cell r="I1232">
            <v>43077.879756944443</v>
          </cell>
          <cell r="J1232">
            <v>5.0231481481481481E-3</v>
          </cell>
        </row>
        <row r="1233">
          <cell r="A1233" t="str">
            <v>TOUCH</v>
          </cell>
          <cell r="B1233" t="str">
            <v>PKE2278</v>
          </cell>
          <cell r="G1233">
            <v>-3830299600</v>
          </cell>
          <cell r="H1233">
            <v>43077.88181712963</v>
          </cell>
          <cell r="I1233">
            <v>43077.917534722219</v>
          </cell>
          <cell r="J1233">
            <v>3.5717592592592592E-2</v>
          </cell>
        </row>
        <row r="1234">
          <cell r="A1234" t="str">
            <v>BASICO</v>
          </cell>
          <cell r="B1234" t="str">
            <v>OUX2321</v>
          </cell>
          <cell r="G1234">
            <v>-3832721000</v>
          </cell>
          <cell r="H1234">
            <v>43077.886122685188</v>
          </cell>
          <cell r="I1234">
            <v>43077.953449074077</v>
          </cell>
          <cell r="J1234">
            <v>6.732638888888888E-2</v>
          </cell>
        </row>
        <row r="1235">
          <cell r="A1235" t="str">
            <v>TOUCH</v>
          </cell>
          <cell r="B1235" t="str">
            <v>PKE2278</v>
          </cell>
          <cell r="G1235">
            <v>-3832716200</v>
          </cell>
          <cell r="H1235">
            <v>43077.923692129632</v>
          </cell>
          <cell r="I1235">
            <v>43077.930844907409</v>
          </cell>
          <cell r="J1235">
            <v>7.1527777777777787E-3</v>
          </cell>
        </row>
        <row r="1236">
          <cell r="A1236" t="str">
            <v>TOUCH</v>
          </cell>
          <cell r="B1236" t="str">
            <v>PKE2278</v>
          </cell>
          <cell r="G1236">
            <v>-3833183500</v>
          </cell>
          <cell r="H1236">
            <v>43077.936122685183</v>
          </cell>
          <cell r="I1236">
            <v>43077.939456018517</v>
          </cell>
          <cell r="J1236">
            <v>3.3333333333333335E-3</v>
          </cell>
        </row>
        <row r="1237">
          <cell r="A1237" t="str">
            <v>TOUCH</v>
          </cell>
          <cell r="B1237" t="str">
            <v>PKE2278</v>
          </cell>
          <cell r="G1237">
            <v>-3833056400</v>
          </cell>
          <cell r="H1237">
            <v>43077.949108796296</v>
          </cell>
          <cell r="I1237">
            <v>43077.968356481484</v>
          </cell>
          <cell r="J1237">
            <v>1.9247685185185184E-2</v>
          </cell>
        </row>
        <row r="1238">
          <cell r="A1238" t="str">
            <v>BASICO</v>
          </cell>
          <cell r="B1238" t="str">
            <v>OUX2321</v>
          </cell>
          <cell r="G1238">
            <v>-3834942500</v>
          </cell>
          <cell r="H1238">
            <v>43077.961215277777</v>
          </cell>
          <cell r="I1238">
            <v>43078.085196759261</v>
          </cell>
          <cell r="J1238">
            <v>0.12398148148148147</v>
          </cell>
        </row>
        <row r="1239">
          <cell r="A1239" t="str">
            <v>TOUCH</v>
          </cell>
          <cell r="B1239" t="str">
            <v>PKE2278</v>
          </cell>
          <cell r="G1239">
            <v>-3832395700</v>
          </cell>
          <cell r="H1239">
            <v>43077.972488425927</v>
          </cell>
          <cell r="I1239">
            <v>43077.989004629628</v>
          </cell>
          <cell r="J1239">
            <v>1.6516203703703703E-2</v>
          </cell>
        </row>
        <row r="1240">
          <cell r="A1240" t="str">
            <v>TOUCH</v>
          </cell>
          <cell r="B1240" t="str">
            <v>PKE2278</v>
          </cell>
          <cell r="G1240">
            <v>-3832485100</v>
          </cell>
          <cell r="H1240">
            <v>43077.990879629629</v>
          </cell>
          <cell r="I1240">
            <v>43078.004699074074</v>
          </cell>
          <cell r="J1240">
            <v>1.3819444444444445E-2</v>
          </cell>
        </row>
        <row r="1241">
          <cell r="A1241" t="str">
            <v>TOUCH</v>
          </cell>
          <cell r="B1241" t="str">
            <v>PKE2278</v>
          </cell>
          <cell r="G1241">
            <v>-3833187000</v>
          </cell>
          <cell r="H1241">
            <v>43078.010497685187</v>
          </cell>
          <cell r="I1241">
            <v>43078.011886574073</v>
          </cell>
          <cell r="J1241">
            <v>1.3888888888888889E-3</v>
          </cell>
        </row>
        <row r="1242">
          <cell r="A1242" t="str">
            <v>TOUCH</v>
          </cell>
          <cell r="B1242" t="str">
            <v>PKE2278</v>
          </cell>
          <cell r="G1242">
            <v>-3834606900</v>
          </cell>
          <cell r="H1242">
            <v>43078.01966435185</v>
          </cell>
          <cell r="I1242">
            <v>43078.020462962966</v>
          </cell>
          <cell r="J1242">
            <v>7.9861111111111105E-4</v>
          </cell>
        </row>
        <row r="1243">
          <cell r="A1243" t="str">
            <v>TOUCH</v>
          </cell>
          <cell r="B1243" t="str">
            <v>PKE2278</v>
          </cell>
          <cell r="G1243">
            <v>-3832713100</v>
          </cell>
          <cell r="H1243">
            <v>43078.027025462965</v>
          </cell>
          <cell r="I1243">
            <v>43078.66070601852</v>
          </cell>
          <cell r="J1243">
            <v>0.63368055555555558</v>
          </cell>
        </row>
        <row r="1244">
          <cell r="A1244" t="str">
            <v>BASICO</v>
          </cell>
          <cell r="B1244" t="str">
            <v>OUX2321</v>
          </cell>
          <cell r="G1244">
            <v>-3834765600</v>
          </cell>
          <cell r="H1244">
            <v>43078.087592592594</v>
          </cell>
          <cell r="I1244">
            <v>43078.116805555554</v>
          </cell>
          <cell r="J1244">
            <v>2.9212962962962965E-2</v>
          </cell>
        </row>
        <row r="1245">
          <cell r="A1245" t="str">
            <v>BASICO</v>
          </cell>
          <cell r="B1245" t="str">
            <v>OUX2321</v>
          </cell>
          <cell r="G1245">
            <v>-3832638300</v>
          </cell>
          <cell r="H1245">
            <v>43078.123564814814</v>
          </cell>
          <cell r="I1245">
            <v>43080.333229166667</v>
          </cell>
          <cell r="J1245" t="str">
            <v>2 D 05:01:55</v>
          </cell>
        </row>
        <row r="1246">
          <cell r="A1246" t="str">
            <v>TOUCH</v>
          </cell>
          <cell r="B1246" t="str">
            <v>PKE2278</v>
          </cell>
          <cell r="G1246">
            <v>-3834937400</v>
          </cell>
          <cell r="H1246">
            <v>43078.671597222223</v>
          </cell>
          <cell r="I1246">
            <v>43078.677499999998</v>
          </cell>
          <cell r="J1246">
            <v>5.9027777777777776E-3</v>
          </cell>
        </row>
        <row r="1247">
          <cell r="A1247" t="str">
            <v>TOUCH</v>
          </cell>
          <cell r="B1247" t="str">
            <v>PKE2278</v>
          </cell>
          <cell r="G1247">
            <v>-3833326600</v>
          </cell>
          <cell r="H1247">
            <v>43078.688761574071</v>
          </cell>
          <cell r="I1247">
            <v>43078.732499999998</v>
          </cell>
          <cell r="J1247">
            <v>4.3738425925925924E-2</v>
          </cell>
        </row>
        <row r="1248">
          <cell r="A1248" t="str">
            <v>TOUCH</v>
          </cell>
          <cell r="B1248" t="str">
            <v>PKE2278</v>
          </cell>
          <cell r="G1248">
            <v>-3832715700</v>
          </cell>
          <cell r="H1248">
            <v>43078.739201388889</v>
          </cell>
          <cell r="I1248">
            <v>43078.74790509259</v>
          </cell>
          <cell r="J1248">
            <v>8.7037037037037031E-3</v>
          </cell>
        </row>
        <row r="1249">
          <cell r="A1249" t="str">
            <v>TOUCH</v>
          </cell>
          <cell r="B1249" t="str">
            <v>PKE2278</v>
          </cell>
          <cell r="G1249">
            <v>-3829709700</v>
          </cell>
          <cell r="H1249">
            <v>43078.762465277781</v>
          </cell>
          <cell r="I1249">
            <v>43078.849270833336</v>
          </cell>
          <cell r="J1249">
            <v>8.6805555555555566E-2</v>
          </cell>
        </row>
        <row r="1250">
          <cell r="A1250" t="str">
            <v>TOUCH</v>
          </cell>
          <cell r="B1250" t="str">
            <v>PKE2278</v>
          </cell>
          <cell r="G1250">
            <v>-3831886500</v>
          </cell>
          <cell r="H1250">
            <v>43078.855567129627</v>
          </cell>
          <cell r="I1250">
            <v>43078.883090277777</v>
          </cell>
          <cell r="J1250">
            <v>2.7523148148148147E-2</v>
          </cell>
        </row>
        <row r="1251">
          <cell r="A1251" t="str">
            <v>TOUCH</v>
          </cell>
          <cell r="B1251" t="str">
            <v>PKE2278</v>
          </cell>
          <cell r="G1251">
            <v>-3832500900</v>
          </cell>
          <cell r="H1251">
            <v>43078.88753472222</v>
          </cell>
          <cell r="I1251">
            <v>43079.00576388889</v>
          </cell>
          <cell r="J1251">
            <v>0.11822916666666666</v>
          </cell>
        </row>
        <row r="1252">
          <cell r="A1252" t="str">
            <v>TOUCH</v>
          </cell>
          <cell r="B1252" t="str">
            <v>PKE2278</v>
          </cell>
          <cell r="G1252">
            <v>-3832709200</v>
          </cell>
          <cell r="H1252">
            <v>43079.011469907404</v>
          </cell>
          <cell r="I1252">
            <v>43079.682106481479</v>
          </cell>
          <cell r="J1252">
            <v>0.67063657407407407</v>
          </cell>
        </row>
        <row r="1253">
          <cell r="A1253" t="str">
            <v>TOUCH</v>
          </cell>
          <cell r="B1253" t="str">
            <v>PKE2278</v>
          </cell>
          <cell r="G1253">
            <v>-3834715000</v>
          </cell>
          <cell r="H1253">
            <v>43079.689120370371</v>
          </cell>
          <cell r="I1253">
            <v>43079.786759259259</v>
          </cell>
          <cell r="J1253">
            <v>9.7638888888888886E-2</v>
          </cell>
        </row>
        <row r="1254">
          <cell r="A1254" t="str">
            <v>TOUCH</v>
          </cell>
          <cell r="B1254" t="str">
            <v>PKE2278</v>
          </cell>
          <cell r="G1254">
            <v>-3834203100</v>
          </cell>
          <cell r="H1254">
            <v>43079.792129629626</v>
          </cell>
          <cell r="I1254">
            <v>43079.804884259262</v>
          </cell>
          <cell r="J1254">
            <v>1.275462962962963E-2</v>
          </cell>
        </row>
        <row r="1255">
          <cell r="A1255" t="str">
            <v>TOUCH</v>
          </cell>
          <cell r="B1255" t="str">
            <v>PKE2278</v>
          </cell>
          <cell r="G1255">
            <v>-3833070700</v>
          </cell>
          <cell r="H1255">
            <v>43079.81181712963</v>
          </cell>
          <cell r="I1255">
            <v>43079.817141203705</v>
          </cell>
          <cell r="J1255">
            <v>5.3240740740740748E-3</v>
          </cell>
        </row>
        <row r="1256">
          <cell r="A1256" t="str">
            <v>TOUCH</v>
          </cell>
          <cell r="B1256" t="str">
            <v>PKE2278</v>
          </cell>
          <cell r="G1256">
            <v>-3829919600</v>
          </cell>
          <cell r="H1256">
            <v>43079.828796296293</v>
          </cell>
          <cell r="I1256">
            <v>43079.884837962964</v>
          </cell>
          <cell r="J1256">
            <v>5.6041666666666663E-2</v>
          </cell>
        </row>
        <row r="1257">
          <cell r="A1257" t="str">
            <v>TOUCH</v>
          </cell>
          <cell r="B1257" t="str">
            <v>PKE2278</v>
          </cell>
          <cell r="G1257">
            <v>-3830592100</v>
          </cell>
          <cell r="H1257">
            <v>43079.888414351852</v>
          </cell>
          <cell r="I1257">
            <v>43079.909004629626</v>
          </cell>
          <cell r="J1257">
            <v>2.0590277777777777E-2</v>
          </cell>
        </row>
        <row r="1258">
          <cell r="A1258" t="str">
            <v>TOUCH</v>
          </cell>
          <cell r="B1258" t="str">
            <v>PKE2278</v>
          </cell>
          <cell r="G1258">
            <v>-3830049000</v>
          </cell>
          <cell r="H1258">
            <v>43079.91914351852</v>
          </cell>
          <cell r="I1258">
            <v>43079.930532407408</v>
          </cell>
          <cell r="J1258">
            <v>1.1388888888888888E-2</v>
          </cell>
        </row>
        <row r="1259">
          <cell r="A1259" t="str">
            <v>TOUCH</v>
          </cell>
          <cell r="B1259" t="str">
            <v>PKE2278</v>
          </cell>
          <cell r="G1259">
            <v>-3832525600</v>
          </cell>
          <cell r="H1259">
            <v>43079.939675925925</v>
          </cell>
          <cell r="I1259">
            <v>43079.997557870367</v>
          </cell>
          <cell r="J1259">
            <v>5.7881944444444444E-2</v>
          </cell>
        </row>
        <row r="1260">
          <cell r="A1260" t="str">
            <v>TOUCH</v>
          </cell>
          <cell r="B1260" t="str">
            <v>PKE2278</v>
          </cell>
          <cell r="G1260">
            <v>-3832711700</v>
          </cell>
          <cell r="H1260">
            <v>43080.002962962964</v>
          </cell>
          <cell r="I1260">
            <v>43080.286539351851</v>
          </cell>
          <cell r="J1260">
            <v>0.28357638888888886</v>
          </cell>
        </row>
        <row r="1261">
          <cell r="A1261" t="str">
            <v>TOUCH</v>
          </cell>
          <cell r="B1261" t="str">
            <v>PKE2278</v>
          </cell>
          <cell r="G1261">
            <v>-3831766500</v>
          </cell>
          <cell r="H1261">
            <v>43080.293171296296</v>
          </cell>
          <cell r="I1261">
            <v>43080.294212962966</v>
          </cell>
          <cell r="J1261">
            <v>1.0416666666666667E-3</v>
          </cell>
        </row>
        <row r="1262">
          <cell r="A1262" t="str">
            <v>TOUCH</v>
          </cell>
          <cell r="B1262" t="str">
            <v>PKE2278</v>
          </cell>
          <cell r="G1262">
            <v>-3828317300</v>
          </cell>
          <cell r="H1262">
            <v>43080.305428240739</v>
          </cell>
          <cell r="I1262">
            <v>43080.453194444446</v>
          </cell>
          <cell r="J1262">
            <v>0.14776620370370372</v>
          </cell>
        </row>
        <row r="1263">
          <cell r="A1263" t="str">
            <v>BASICO</v>
          </cell>
          <cell r="B1263" t="str">
            <v>OUX2321</v>
          </cell>
          <cell r="G1263">
            <v>-3832443900</v>
          </cell>
          <cell r="H1263">
            <v>43080.345625000002</v>
          </cell>
          <cell r="I1263">
            <v>43080.362013888887</v>
          </cell>
          <cell r="J1263">
            <v>1.638888888888889E-2</v>
          </cell>
        </row>
        <row r="1264">
          <cell r="A1264" t="str">
            <v>BASICO</v>
          </cell>
          <cell r="B1264" t="str">
            <v>OUX2321</v>
          </cell>
          <cell r="G1264">
            <v>-3833081600</v>
          </cell>
          <cell r="H1264">
            <v>43080.364074074074</v>
          </cell>
          <cell r="I1264">
            <v>43080.380416666667</v>
          </cell>
          <cell r="J1264">
            <v>1.6342592592592593E-2</v>
          </cell>
        </row>
        <row r="1265">
          <cell r="A1265" t="str">
            <v>BASICO</v>
          </cell>
          <cell r="B1265" t="str">
            <v>OUX2321</v>
          </cell>
          <cell r="G1265">
            <v>-3833826200</v>
          </cell>
          <cell r="H1265">
            <v>43080.38652777778</v>
          </cell>
          <cell r="I1265">
            <v>43080.397997685184</v>
          </cell>
          <cell r="J1265">
            <v>1.1469907407407408E-2</v>
          </cell>
        </row>
        <row r="1266">
          <cell r="A1266" t="str">
            <v>BASICO</v>
          </cell>
          <cell r="B1266" t="str">
            <v>OUX2321</v>
          </cell>
          <cell r="G1266">
            <v>-3835314300</v>
          </cell>
          <cell r="H1266">
            <v>43080.4137962963</v>
          </cell>
          <cell r="I1266">
            <v>43080.418495370373</v>
          </cell>
          <cell r="J1266">
            <v>4.6990740740740743E-3</v>
          </cell>
        </row>
        <row r="1267">
          <cell r="A1267" t="str">
            <v>BASICO</v>
          </cell>
          <cell r="B1267" t="str">
            <v>OUX2321</v>
          </cell>
          <cell r="G1267">
            <v>-3835321800</v>
          </cell>
          <cell r="H1267">
            <v>43080.421527777777</v>
          </cell>
          <cell r="I1267">
            <v>43080.432870370372</v>
          </cell>
          <cell r="J1267">
            <v>1.1342592592592592E-2</v>
          </cell>
        </row>
        <row r="1268">
          <cell r="A1268" t="str">
            <v>BASICO</v>
          </cell>
          <cell r="B1268" t="str">
            <v>OUX2321</v>
          </cell>
          <cell r="G1268">
            <v>-3832784000</v>
          </cell>
          <cell r="H1268">
            <v>43080.447870370372</v>
          </cell>
          <cell r="I1268">
            <v>43080.461377314816</v>
          </cell>
          <cell r="J1268">
            <v>1.3506944444444445E-2</v>
          </cell>
        </row>
        <row r="1269">
          <cell r="A1269" t="str">
            <v>TOUCH</v>
          </cell>
          <cell r="B1269" t="str">
            <v>PKE2278</v>
          </cell>
          <cell r="G1269">
            <v>-3828465600</v>
          </cell>
          <cell r="H1269">
            <v>43080.454791666663</v>
          </cell>
          <cell r="I1269">
            <v>43080.569490740738</v>
          </cell>
          <cell r="J1269">
            <v>0.11469907407407408</v>
          </cell>
        </row>
        <row r="1270">
          <cell r="A1270" t="str">
            <v>BASICO</v>
          </cell>
          <cell r="B1270" t="str">
            <v>OUX2321</v>
          </cell>
          <cell r="G1270">
            <v>-3832790400</v>
          </cell>
          <cell r="H1270">
            <v>43080.471909722219</v>
          </cell>
          <cell r="I1270">
            <v>43080.529872685183</v>
          </cell>
          <cell r="J1270">
            <v>5.7962962962962959E-2</v>
          </cell>
        </row>
        <row r="1271">
          <cell r="A1271" t="str">
            <v>BASICO</v>
          </cell>
          <cell r="B1271" t="str">
            <v>OUX2321</v>
          </cell>
          <cell r="G1271">
            <v>-3834845900</v>
          </cell>
          <cell r="H1271">
            <v>43080.537962962961</v>
          </cell>
          <cell r="I1271">
            <v>43080.543240740742</v>
          </cell>
          <cell r="J1271">
            <v>5.2777777777777771E-3</v>
          </cell>
        </row>
        <row r="1272">
          <cell r="A1272" t="str">
            <v>BASICO</v>
          </cell>
          <cell r="B1272" t="str">
            <v>OUX2321</v>
          </cell>
          <cell r="G1272">
            <v>-3835911200</v>
          </cell>
          <cell r="H1272">
            <v>43080.550393518519</v>
          </cell>
          <cell r="I1272">
            <v>43080.557280092595</v>
          </cell>
          <cell r="J1272">
            <v>6.8865740740740736E-3</v>
          </cell>
        </row>
        <row r="1273">
          <cell r="A1273" t="str">
            <v>BASICO</v>
          </cell>
          <cell r="B1273" t="str">
            <v>OUX2321</v>
          </cell>
          <cell r="G1273">
            <v>-3833528200</v>
          </cell>
          <cell r="H1273">
            <v>43080.569108796299</v>
          </cell>
          <cell r="I1273">
            <v>43080.572511574072</v>
          </cell>
          <cell r="J1273">
            <v>3.4027777777777784E-3</v>
          </cell>
        </row>
        <row r="1274">
          <cell r="A1274" t="str">
            <v>TOUCH</v>
          </cell>
          <cell r="B1274" t="str">
            <v>PKE2278</v>
          </cell>
          <cell r="G1274">
            <v>-3829668200</v>
          </cell>
          <cell r="H1274">
            <v>43080.576157407406</v>
          </cell>
          <cell r="I1274">
            <v>43080.582337962966</v>
          </cell>
          <cell r="J1274">
            <v>6.1805555555555563E-3</v>
          </cell>
        </row>
        <row r="1275">
          <cell r="A1275" t="str">
            <v>BASICO</v>
          </cell>
          <cell r="B1275" t="str">
            <v>OUX2321</v>
          </cell>
          <cell r="G1275">
            <v>-3830901700</v>
          </cell>
          <cell r="H1275">
            <v>43080.580995370372</v>
          </cell>
          <cell r="I1275">
            <v>43080.588900462964</v>
          </cell>
          <cell r="J1275">
            <v>7.905092592592592E-3</v>
          </cell>
        </row>
        <row r="1276">
          <cell r="A1276" t="str">
            <v>TOUCH</v>
          </cell>
          <cell r="B1276" t="str">
            <v>PKE2278</v>
          </cell>
          <cell r="G1276">
            <v>-3829556500</v>
          </cell>
          <cell r="H1276">
            <v>43080.584004629629</v>
          </cell>
          <cell r="I1276">
            <v>43080.584733796299</v>
          </cell>
          <cell r="J1276">
            <v>7.291666666666667E-4</v>
          </cell>
        </row>
        <row r="1277">
          <cell r="A1277" t="str">
            <v>TOUCH</v>
          </cell>
          <cell r="B1277" t="str">
            <v>PKE2278</v>
          </cell>
          <cell r="G1277">
            <v>-3830810400</v>
          </cell>
          <cell r="H1277">
            <v>43080.58966435185</v>
          </cell>
          <cell r="I1277">
            <v>43080.592824074076</v>
          </cell>
          <cell r="J1277">
            <v>3.1597222222222222E-3</v>
          </cell>
        </row>
        <row r="1278">
          <cell r="A1278" t="str">
            <v>BASICO</v>
          </cell>
          <cell r="B1278" t="str">
            <v>OUX2321</v>
          </cell>
          <cell r="G1278">
            <v>-3832483300</v>
          </cell>
          <cell r="H1278">
            <v>43080.597615740742</v>
          </cell>
          <cell r="I1278">
            <v>43080.60359953704</v>
          </cell>
          <cell r="J1278">
            <v>5.9837962962962961E-3</v>
          </cell>
        </row>
        <row r="1279">
          <cell r="A1279" t="str">
            <v>TOUCH</v>
          </cell>
          <cell r="B1279" t="str">
            <v>PKE2278</v>
          </cell>
          <cell r="G1279">
            <v>-3832875500</v>
          </cell>
          <cell r="H1279">
            <v>43080.609768518516</v>
          </cell>
          <cell r="I1279">
            <v>43080.673645833333</v>
          </cell>
          <cell r="J1279">
            <v>6.3877314814814817E-2</v>
          </cell>
        </row>
        <row r="1280">
          <cell r="A1280" t="str">
            <v>BASICO</v>
          </cell>
          <cell r="B1280" t="str">
            <v>OUX2321</v>
          </cell>
          <cell r="G1280">
            <v>-3832710900</v>
          </cell>
          <cell r="H1280">
            <v>43080.610405092593</v>
          </cell>
          <cell r="I1280">
            <v>43080.672812500001</v>
          </cell>
          <cell r="J1280">
            <v>6.2407407407407411E-2</v>
          </cell>
        </row>
        <row r="1281">
          <cell r="A1281" t="str">
            <v>TOUCH</v>
          </cell>
          <cell r="B1281" t="str">
            <v>PKE2278</v>
          </cell>
          <cell r="G1281">
            <v>-3829758500</v>
          </cell>
          <cell r="H1281">
            <v>43080.690393518518</v>
          </cell>
          <cell r="I1281">
            <v>43080.697187500002</v>
          </cell>
          <cell r="J1281">
            <v>6.7939814814814816E-3</v>
          </cell>
        </row>
        <row r="1282">
          <cell r="A1282" t="str">
            <v>BASICO</v>
          </cell>
          <cell r="B1282" t="str">
            <v>OUX2321</v>
          </cell>
          <cell r="G1282">
            <v>-3833432200</v>
          </cell>
          <cell r="H1282">
            <v>43080.692847222221</v>
          </cell>
          <cell r="I1282">
            <v>43080.70721064815</v>
          </cell>
          <cell r="J1282">
            <v>1.4363425925925925E-2</v>
          </cell>
        </row>
        <row r="1283">
          <cell r="A1283" t="str">
            <v>TOUCH</v>
          </cell>
          <cell r="B1283" t="str">
            <v>PKE2278</v>
          </cell>
          <cell r="G1283">
            <v>-3830802900</v>
          </cell>
          <cell r="H1283">
            <v>43080.703159722223</v>
          </cell>
          <cell r="I1283">
            <v>43080.727881944447</v>
          </cell>
          <cell r="J1283">
            <v>2.4722222222222225E-2</v>
          </cell>
        </row>
        <row r="1284">
          <cell r="A1284" t="str">
            <v>BASICO</v>
          </cell>
          <cell r="B1284" t="str">
            <v>OUX2321</v>
          </cell>
          <cell r="G1284">
            <v>-3834138100</v>
          </cell>
          <cell r="H1284">
            <v>43080.711134259262</v>
          </cell>
          <cell r="I1284">
            <v>43080.741307870368</v>
          </cell>
          <cell r="J1284">
            <v>3.0173611111111113E-2</v>
          </cell>
        </row>
        <row r="1285">
          <cell r="A1285" t="str">
            <v>TOUCH</v>
          </cell>
          <cell r="B1285" t="str">
            <v>PKE2278</v>
          </cell>
          <cell r="G1285">
            <v>-3830125300</v>
          </cell>
          <cell r="H1285">
            <v>43080.733368055553</v>
          </cell>
          <cell r="I1285">
            <v>43080.781944444447</v>
          </cell>
          <cell r="J1285">
            <v>4.8576388888888884E-2</v>
          </cell>
        </row>
        <row r="1286">
          <cell r="A1286" t="str">
            <v>BASICO</v>
          </cell>
          <cell r="B1286" t="str">
            <v>OUX2321</v>
          </cell>
          <cell r="G1286">
            <v>-3835694500</v>
          </cell>
          <cell r="H1286">
            <v>43080.749293981484</v>
          </cell>
          <cell r="I1286">
            <v>43080.768576388888</v>
          </cell>
          <cell r="J1286">
            <v>1.9282407407407408E-2</v>
          </cell>
        </row>
        <row r="1287">
          <cell r="A1287" t="str">
            <v>BASICO</v>
          </cell>
          <cell r="B1287" t="str">
            <v>OUX2321</v>
          </cell>
          <cell r="G1287">
            <v>-3833018400</v>
          </cell>
          <cell r="H1287">
            <v>43080.780833333331</v>
          </cell>
          <cell r="I1287">
            <v>43080.810266203705</v>
          </cell>
          <cell r="J1287">
            <v>2.943287037037037E-2</v>
          </cell>
        </row>
        <row r="1288">
          <cell r="A1288" t="str">
            <v>TOUCH</v>
          </cell>
          <cell r="B1288" t="str">
            <v>PKE2278</v>
          </cell>
          <cell r="G1288">
            <v>-3832723400</v>
          </cell>
          <cell r="H1288">
            <v>43080.796909722223</v>
          </cell>
          <cell r="I1288">
            <v>43080.808796296296</v>
          </cell>
          <cell r="J1288">
            <v>1.1886574074074075E-2</v>
          </cell>
        </row>
        <row r="1289">
          <cell r="A1289" t="str">
            <v>TOUCH</v>
          </cell>
          <cell r="B1289" t="str">
            <v>PKE2278</v>
          </cell>
          <cell r="G1289">
            <v>-3832714600</v>
          </cell>
          <cell r="H1289">
            <v>43080.812858796293</v>
          </cell>
          <cell r="I1289">
            <v>43080.836921296293</v>
          </cell>
          <cell r="J1289">
            <v>2.4062500000000001E-2</v>
          </cell>
        </row>
        <row r="1290">
          <cell r="A1290" t="str">
            <v>BASICO</v>
          </cell>
          <cell r="B1290" t="str">
            <v>OUX2321</v>
          </cell>
          <cell r="G1290">
            <v>-3831382500</v>
          </cell>
          <cell r="H1290">
            <v>43080.830300925925</v>
          </cell>
          <cell r="I1290">
            <v>43080.834432870368</v>
          </cell>
          <cell r="J1290">
            <v>4.1319444444444442E-3</v>
          </cell>
        </row>
        <row r="1291">
          <cell r="A1291" t="str">
            <v>BASICO</v>
          </cell>
          <cell r="B1291" t="str">
            <v>OUX2321</v>
          </cell>
          <cell r="G1291">
            <v>-3832361700</v>
          </cell>
          <cell r="H1291">
            <v>43080.83866898148</v>
          </cell>
          <cell r="I1291">
            <v>43081.015960648147</v>
          </cell>
          <cell r="J1291">
            <v>0.17729166666666665</v>
          </cell>
        </row>
        <row r="1292">
          <cell r="A1292" t="str">
            <v>TOUCH</v>
          </cell>
          <cell r="B1292" t="str">
            <v>PKE2278</v>
          </cell>
          <cell r="G1292">
            <v>-3832452500</v>
          </cell>
          <cell r="H1292">
            <v>43080.838831018518</v>
          </cell>
          <cell r="I1292">
            <v>43080.843101851853</v>
          </cell>
          <cell r="J1292">
            <v>4.2708333333333339E-3</v>
          </cell>
        </row>
        <row r="1293">
          <cell r="A1293" t="str">
            <v>TOUCH</v>
          </cell>
          <cell r="B1293" t="str">
            <v>PKE2278</v>
          </cell>
          <cell r="G1293">
            <v>-3832373500</v>
          </cell>
          <cell r="H1293">
            <v>43080.846087962964</v>
          </cell>
          <cell r="I1293">
            <v>43081.014652777776</v>
          </cell>
          <cell r="J1293">
            <v>0.16856481481481481</v>
          </cell>
        </row>
        <row r="1294">
          <cell r="A1294" t="str">
            <v>TOUCH</v>
          </cell>
          <cell r="B1294" t="str">
            <v>PKE2278</v>
          </cell>
          <cell r="G1294">
            <v>-3832707300</v>
          </cell>
          <cell r="H1294">
            <v>43081.019791666666</v>
          </cell>
          <cell r="I1294">
            <v>43081.27412037037</v>
          </cell>
          <cell r="J1294">
            <v>0.2543287037037037</v>
          </cell>
        </row>
        <row r="1295">
          <cell r="A1295" t="str">
            <v>BASICO</v>
          </cell>
          <cell r="B1295" t="str">
            <v>OUX2321</v>
          </cell>
          <cell r="G1295">
            <v>-3832714800</v>
          </cell>
          <cell r="H1295">
            <v>43081.019814814812</v>
          </cell>
          <cell r="I1295">
            <v>43081.280104166668</v>
          </cell>
          <cell r="J1295">
            <v>0.26028935185185187</v>
          </cell>
        </row>
        <row r="1296">
          <cell r="A1296" t="str">
            <v>BASICO</v>
          </cell>
          <cell r="B1296" t="str">
            <v>OUX2321</v>
          </cell>
          <cell r="G1296">
            <v>-3834572700</v>
          </cell>
          <cell r="H1296">
            <v>43081.284849537034</v>
          </cell>
          <cell r="I1296">
            <v>43081.337384259263</v>
          </cell>
          <cell r="J1296">
            <v>5.2534722222222219E-2</v>
          </cell>
        </row>
        <row r="1297">
          <cell r="A1297" t="str">
            <v>TOUCH</v>
          </cell>
          <cell r="B1297" t="str">
            <v>PKE2278</v>
          </cell>
          <cell r="G1297">
            <v>-3828349100</v>
          </cell>
          <cell r="H1297">
            <v>43081.290960648148</v>
          </cell>
          <cell r="I1297">
            <v>43081.29886574074</v>
          </cell>
          <cell r="J1297">
            <v>7.905092592592592E-3</v>
          </cell>
        </row>
        <row r="1298">
          <cell r="A1298" t="str">
            <v>TOUCH</v>
          </cell>
          <cell r="B1298" t="str">
            <v>PKE2278</v>
          </cell>
          <cell r="G1298">
            <v>-3832743200</v>
          </cell>
          <cell r="H1298">
            <v>43081.316921296297</v>
          </cell>
          <cell r="I1298">
            <v>43081.330960648149</v>
          </cell>
          <cell r="J1298">
            <v>1.4039351851851851E-2</v>
          </cell>
        </row>
        <row r="1299">
          <cell r="A1299" t="str">
            <v>BASICO</v>
          </cell>
          <cell r="B1299" t="str">
            <v>OUX2321</v>
          </cell>
          <cell r="G1299">
            <v>-3834656700</v>
          </cell>
          <cell r="H1299">
            <v>43081.339467592596</v>
          </cell>
          <cell r="I1299">
            <v>43081.373090277775</v>
          </cell>
          <cell r="J1299">
            <v>3.3622685185185179E-2</v>
          </cell>
        </row>
        <row r="1300">
          <cell r="A1300" t="str">
            <v>TOUCH</v>
          </cell>
          <cell r="B1300" t="str">
            <v>PKE2278</v>
          </cell>
          <cell r="G1300">
            <v>-3828350500</v>
          </cell>
          <cell r="H1300">
            <v>43081.349398148152</v>
          </cell>
          <cell r="I1300">
            <v>43081.461875000001</v>
          </cell>
          <cell r="J1300">
            <v>0.11247685185185186</v>
          </cell>
        </row>
        <row r="1301">
          <cell r="A1301" t="str">
            <v>BASICO</v>
          </cell>
          <cell r="B1301" t="str">
            <v>OUX2321</v>
          </cell>
          <cell r="G1301">
            <v>-3834562600</v>
          </cell>
          <cell r="H1301">
            <v>43081.377662037034</v>
          </cell>
          <cell r="I1301">
            <v>43081.440810185188</v>
          </cell>
          <cell r="J1301">
            <v>6.3148148148148148E-2</v>
          </cell>
        </row>
        <row r="1302">
          <cell r="A1302" t="str">
            <v>BASICO</v>
          </cell>
          <cell r="B1302" t="str">
            <v>OUX2321</v>
          </cell>
          <cell r="G1302">
            <v>-3832710300</v>
          </cell>
          <cell r="H1302">
            <v>43081.44730324074</v>
          </cell>
          <cell r="I1302">
            <v>43081.506840277776</v>
          </cell>
          <cell r="J1302">
            <v>5.9537037037037034E-2</v>
          </cell>
        </row>
        <row r="1303">
          <cell r="A1303" t="str">
            <v>TOUCH</v>
          </cell>
          <cell r="B1303" t="str">
            <v>PKE2278</v>
          </cell>
          <cell r="G1303">
            <v>-3832206600</v>
          </cell>
          <cell r="H1303">
            <v>43081.472372685188</v>
          </cell>
          <cell r="I1303">
            <v>43081.477442129632</v>
          </cell>
          <cell r="J1303">
            <v>5.0694444444444441E-3</v>
          </cell>
        </row>
        <row r="1304">
          <cell r="A1304" t="str">
            <v>TOUCH</v>
          </cell>
          <cell r="B1304" t="str">
            <v>PKE2278</v>
          </cell>
          <cell r="G1304">
            <v>-3830217900</v>
          </cell>
          <cell r="H1304">
            <v>43081.482094907406</v>
          </cell>
          <cell r="I1304">
            <v>43081.542002314818</v>
          </cell>
          <cell r="J1304">
            <v>5.9907407407407409E-2</v>
          </cell>
        </row>
        <row r="1305">
          <cell r="A1305" t="str">
            <v>BASICO</v>
          </cell>
          <cell r="B1305" t="str">
            <v>OUX2321</v>
          </cell>
          <cell r="G1305">
            <v>-3835008500</v>
          </cell>
          <cell r="H1305">
            <v>43081.512881944444</v>
          </cell>
          <cell r="I1305">
            <v>43081.573298611111</v>
          </cell>
          <cell r="J1305">
            <v>6.0416666666666667E-2</v>
          </cell>
        </row>
        <row r="1306">
          <cell r="A1306" t="str">
            <v>TOUCH</v>
          </cell>
          <cell r="B1306" t="str">
            <v>PKE2278</v>
          </cell>
          <cell r="G1306">
            <v>-3828344400</v>
          </cell>
          <cell r="H1306">
            <v>43081.550092592595</v>
          </cell>
          <cell r="I1306">
            <v>43081.583391203705</v>
          </cell>
          <cell r="J1306">
            <v>3.3298611111111112E-2</v>
          </cell>
        </row>
        <row r="1307">
          <cell r="A1307" t="str">
            <v>BASICO</v>
          </cell>
          <cell r="B1307" t="str">
            <v>OUX2321</v>
          </cell>
          <cell r="G1307">
            <v>-3832711500</v>
          </cell>
          <cell r="H1307">
            <v>43081.580405092594</v>
          </cell>
          <cell r="I1307">
            <v>43081.675729166665</v>
          </cell>
          <cell r="J1307">
            <v>9.5324074074074075E-2</v>
          </cell>
        </row>
        <row r="1308">
          <cell r="A1308" t="str">
            <v>TOUCH</v>
          </cell>
          <cell r="B1308" t="str">
            <v>PKE2278</v>
          </cell>
          <cell r="G1308">
            <v>-3828525700</v>
          </cell>
          <cell r="H1308">
            <v>43081.585613425923</v>
          </cell>
          <cell r="I1308">
            <v>43081.618576388886</v>
          </cell>
          <cell r="J1308">
            <v>3.2962962962962965E-2</v>
          </cell>
        </row>
        <row r="1309">
          <cell r="A1309" t="str">
            <v>TOUCH</v>
          </cell>
          <cell r="B1309" t="str">
            <v>PKE2278</v>
          </cell>
          <cell r="G1309">
            <v>-3829630400</v>
          </cell>
          <cell r="H1309">
            <v>43081.623298611114</v>
          </cell>
          <cell r="I1309">
            <v>43081.624444444446</v>
          </cell>
          <cell r="J1309">
            <v>1.1458333333333333E-3</v>
          </cell>
        </row>
        <row r="1310">
          <cell r="A1310" t="str">
            <v>TOUCH</v>
          </cell>
          <cell r="B1310" t="str">
            <v>PKE2278</v>
          </cell>
          <cell r="G1310">
            <v>-3832711800</v>
          </cell>
          <cell r="H1310">
            <v>43081.641840277778</v>
          </cell>
          <cell r="I1310">
            <v>43082.269594907404</v>
          </cell>
          <cell r="J1310">
            <v>0.62775462962962958</v>
          </cell>
        </row>
        <row r="1311">
          <cell r="A1311" t="str">
            <v>BASICO</v>
          </cell>
          <cell r="B1311" t="str">
            <v>OUX2321</v>
          </cell>
          <cell r="G1311">
            <v>-3834349400</v>
          </cell>
          <cell r="H1311">
            <v>43081.681388888886</v>
          </cell>
          <cell r="I1311">
            <v>43081.683993055558</v>
          </cell>
          <cell r="J1311">
            <v>2.6041666666666665E-3</v>
          </cell>
        </row>
        <row r="1312">
          <cell r="A1312" t="str">
            <v>BASICO</v>
          </cell>
          <cell r="B1312" t="str">
            <v>OUX2321</v>
          </cell>
          <cell r="G1312">
            <v>-3832543000</v>
          </cell>
          <cell r="H1312">
            <v>43081.689375000002</v>
          </cell>
          <cell r="I1312">
            <v>43081.691967592589</v>
          </cell>
          <cell r="J1312">
            <v>2.5925925925925925E-3</v>
          </cell>
        </row>
        <row r="1313">
          <cell r="A1313" t="str">
            <v>BASICO</v>
          </cell>
          <cell r="B1313" t="str">
            <v>OUX2321</v>
          </cell>
          <cell r="G1313">
            <v>-3834388200</v>
          </cell>
          <cell r="H1313">
            <v>43081.699212962965</v>
          </cell>
          <cell r="I1313">
            <v>43081.702372685184</v>
          </cell>
          <cell r="J1313">
            <v>3.1597222222222222E-3</v>
          </cell>
        </row>
        <row r="1314">
          <cell r="A1314" t="str">
            <v>BASICO</v>
          </cell>
          <cell r="B1314" t="str">
            <v>OUX2321</v>
          </cell>
          <cell r="G1314">
            <v>-3834871600</v>
          </cell>
          <cell r="H1314">
            <v>43081.71230324074</v>
          </cell>
          <cell r="I1314">
            <v>43081.765405092592</v>
          </cell>
          <cell r="J1314">
            <v>5.3101851851851851E-2</v>
          </cell>
        </row>
        <row r="1315">
          <cell r="A1315" t="str">
            <v>BASICO</v>
          </cell>
          <cell r="B1315" t="str">
            <v>OUX2321</v>
          </cell>
          <cell r="G1315">
            <v>-3834373900</v>
          </cell>
          <cell r="H1315">
            <v>43081.775613425925</v>
          </cell>
          <cell r="I1315">
            <v>43081.780729166669</v>
          </cell>
          <cell r="J1315">
            <v>5.115740740740741E-3</v>
          </cell>
        </row>
        <row r="1316">
          <cell r="A1316" t="str">
            <v>BASICO</v>
          </cell>
          <cell r="B1316" t="str">
            <v>OUX2321</v>
          </cell>
          <cell r="G1316">
            <v>-3833837700</v>
          </cell>
          <cell r="H1316">
            <v>43081.785578703704</v>
          </cell>
          <cell r="I1316">
            <v>43081.818148148152</v>
          </cell>
          <cell r="J1316">
            <v>3.2569444444444443E-2</v>
          </cell>
        </row>
        <row r="1317">
          <cell r="A1317" t="str">
            <v>BASICO</v>
          </cell>
          <cell r="B1317" t="str">
            <v>OUX2321</v>
          </cell>
          <cell r="G1317">
            <v>-3832951400</v>
          </cell>
          <cell r="H1317">
            <v>43081.822812500002</v>
          </cell>
          <cell r="I1317">
            <v>43081.832662037035</v>
          </cell>
          <cell r="J1317">
            <v>9.8495370370370369E-3</v>
          </cell>
        </row>
        <row r="1318">
          <cell r="A1318" t="str">
            <v>BASICO</v>
          </cell>
          <cell r="B1318" t="str">
            <v>OUX2321</v>
          </cell>
          <cell r="G1318">
            <v>-3833187600</v>
          </cell>
          <cell r="H1318">
            <v>43081.843113425923</v>
          </cell>
          <cell r="I1318">
            <v>43081.877615740741</v>
          </cell>
          <cell r="J1318">
            <v>3.4502314814814812E-2</v>
          </cell>
        </row>
        <row r="1319">
          <cell r="A1319" t="str">
            <v>BASICO</v>
          </cell>
          <cell r="B1319" t="str">
            <v>OUX2321</v>
          </cell>
          <cell r="G1319">
            <v>-3835795600</v>
          </cell>
          <cell r="H1319">
            <v>43081.898668981485</v>
          </cell>
          <cell r="I1319">
            <v>43081.902997685182</v>
          </cell>
          <cell r="J1319">
            <v>4.3287037037037035E-3</v>
          </cell>
        </row>
        <row r="1320">
          <cell r="A1320" t="str">
            <v>BASICO</v>
          </cell>
          <cell r="B1320" t="str">
            <v>OUX2321</v>
          </cell>
          <cell r="G1320">
            <v>-3832978200</v>
          </cell>
          <cell r="H1320">
            <v>43081.910914351851</v>
          </cell>
          <cell r="I1320">
            <v>43081.920185185183</v>
          </cell>
          <cell r="J1320">
            <v>9.2708333333333341E-3</v>
          </cell>
        </row>
        <row r="1321">
          <cell r="A1321" t="str">
            <v>BASICO</v>
          </cell>
          <cell r="B1321" t="str">
            <v>OUX2321</v>
          </cell>
          <cell r="G1321">
            <v>-3833149200</v>
          </cell>
          <cell r="H1321">
            <v>43081.922442129631</v>
          </cell>
          <cell r="I1321">
            <v>43081.931747685187</v>
          </cell>
          <cell r="J1321">
            <v>9.3055555555555548E-3</v>
          </cell>
        </row>
        <row r="1322">
          <cell r="A1322" t="str">
            <v>BASICO</v>
          </cell>
          <cell r="B1322" t="str">
            <v>OUX2321</v>
          </cell>
          <cell r="G1322">
            <v>-3834259000</v>
          </cell>
          <cell r="H1322">
            <v>43081.934317129628</v>
          </cell>
          <cell r="I1322">
            <v>43081.936469907407</v>
          </cell>
          <cell r="J1322">
            <v>2.1527777777777778E-3</v>
          </cell>
        </row>
        <row r="1323">
          <cell r="A1323" t="str">
            <v>BASICO</v>
          </cell>
          <cell r="B1323" t="str">
            <v>OUX2321</v>
          </cell>
          <cell r="G1323">
            <v>-3834799900</v>
          </cell>
          <cell r="H1323">
            <v>43081.938310185185</v>
          </cell>
          <cell r="I1323">
            <v>43081.942662037036</v>
          </cell>
          <cell r="J1323">
            <v>4.3518518518518515E-3</v>
          </cell>
        </row>
        <row r="1324">
          <cell r="A1324" t="str">
            <v>BASICO</v>
          </cell>
          <cell r="B1324" t="str">
            <v>OUX2321</v>
          </cell>
          <cell r="G1324">
            <v>-3835851200</v>
          </cell>
          <cell r="H1324">
            <v>43081.946793981479</v>
          </cell>
          <cell r="I1324">
            <v>43081.948171296295</v>
          </cell>
          <cell r="J1324">
            <v>1.3773148148148147E-3</v>
          </cell>
        </row>
        <row r="1325">
          <cell r="A1325" t="str">
            <v>BASICO</v>
          </cell>
          <cell r="B1325" t="str">
            <v>OUX2321</v>
          </cell>
          <cell r="G1325">
            <v>-3832467000</v>
          </cell>
          <cell r="H1325">
            <v>43081.967615740738</v>
          </cell>
          <cell r="I1325">
            <v>43082.015717592592</v>
          </cell>
          <cell r="J1325">
            <v>4.8101851851851847E-2</v>
          </cell>
        </row>
        <row r="1326">
          <cell r="A1326" t="str">
            <v>BASICO</v>
          </cell>
          <cell r="B1326" t="str">
            <v>OUX2321</v>
          </cell>
          <cell r="G1326">
            <v>-3832711200</v>
          </cell>
          <cell r="H1326">
            <v>43082.020543981482</v>
          </cell>
          <cell r="I1326">
            <v>43082.410601851851</v>
          </cell>
          <cell r="J1326">
            <v>0.39005787037037037</v>
          </cell>
        </row>
        <row r="1327">
          <cell r="A1327" t="str">
            <v>TOUCH</v>
          </cell>
          <cell r="B1327" t="str">
            <v>PKE2278</v>
          </cell>
          <cell r="G1327">
            <v>-3828576100</v>
          </cell>
          <cell r="H1327">
            <v>43082.285324074073</v>
          </cell>
          <cell r="I1327">
            <v>43082.622013888889</v>
          </cell>
          <cell r="J1327">
            <v>0.3366898148148148</v>
          </cell>
        </row>
        <row r="1328">
          <cell r="A1328" t="str">
            <v>BASICO</v>
          </cell>
          <cell r="B1328" t="str">
            <v>OUX2321</v>
          </cell>
          <cell r="G1328">
            <v>-3829974700</v>
          </cell>
          <cell r="H1328">
            <v>43082.42087962963</v>
          </cell>
          <cell r="I1328">
            <v>43082.459837962961</v>
          </cell>
          <cell r="J1328">
            <v>3.8958333333333338E-2</v>
          </cell>
        </row>
        <row r="1329">
          <cell r="A1329" t="str">
            <v>BASICO</v>
          </cell>
          <cell r="B1329" t="str">
            <v>OUX2321</v>
          </cell>
          <cell r="G1329">
            <v>-3829091100</v>
          </cell>
          <cell r="H1329">
            <v>43082.462442129632</v>
          </cell>
          <cell r="I1329">
            <v>43082.518680555557</v>
          </cell>
          <cell r="J1329">
            <v>5.6238425925925928E-2</v>
          </cell>
        </row>
        <row r="1330">
          <cell r="A1330" t="str">
            <v>BASICO</v>
          </cell>
          <cell r="B1330" t="str">
            <v>OUX2321</v>
          </cell>
          <cell r="G1330">
            <v>-3829948900</v>
          </cell>
          <cell r="H1330">
            <v>43082.521111111113</v>
          </cell>
          <cell r="I1330">
            <v>43082.579189814816</v>
          </cell>
          <cell r="J1330">
            <v>5.8078703703703709E-2</v>
          </cell>
        </row>
        <row r="1331">
          <cell r="A1331" t="str">
            <v>BASICO</v>
          </cell>
          <cell r="B1331" t="str">
            <v>OUX2321</v>
          </cell>
          <cell r="G1331">
            <v>-3830032000</v>
          </cell>
          <cell r="H1331">
            <v>43082.581377314818</v>
          </cell>
          <cell r="I1331">
            <v>43082.608055555553</v>
          </cell>
          <cell r="J1331">
            <v>2.6678240740740738E-2</v>
          </cell>
        </row>
        <row r="1332">
          <cell r="A1332" t="str">
            <v>BASICO</v>
          </cell>
          <cell r="B1332" t="str">
            <v>OUX2321</v>
          </cell>
          <cell r="G1332">
            <v>-3832725200</v>
          </cell>
          <cell r="H1332">
            <v>43082.614606481482</v>
          </cell>
          <cell r="I1332">
            <v>43083.287291666667</v>
          </cell>
          <cell r="J1332">
            <v>0.67268518518518527</v>
          </cell>
        </row>
        <row r="1333">
          <cell r="A1333" t="str">
            <v>TOUCH</v>
          </cell>
          <cell r="B1333" t="str">
            <v>PKE2278</v>
          </cell>
          <cell r="G1333">
            <v>-3832722500</v>
          </cell>
          <cell r="H1333">
            <v>43082.640069444446</v>
          </cell>
          <cell r="I1333">
            <v>43082.673263888886</v>
          </cell>
          <cell r="J1333">
            <v>3.3194444444444443E-2</v>
          </cell>
        </row>
        <row r="1334">
          <cell r="A1334" t="str">
            <v>TOUCH</v>
          </cell>
          <cell r="B1334" t="str">
            <v>PKE2278</v>
          </cell>
          <cell r="G1334">
            <v>-3829201800</v>
          </cell>
          <cell r="H1334">
            <v>43082.6878125</v>
          </cell>
          <cell r="I1334">
            <v>43083.014872685184</v>
          </cell>
          <cell r="J1334">
            <v>0.32706018518518515</v>
          </cell>
        </row>
        <row r="1335">
          <cell r="A1335" t="str">
            <v>TOUCH</v>
          </cell>
          <cell r="B1335" t="str">
            <v>PKE2278</v>
          </cell>
          <cell r="G1335">
            <v>-3832709100</v>
          </cell>
          <cell r="H1335">
            <v>43083.020150462966</v>
          </cell>
          <cell r="I1335">
            <v>43083.271701388891</v>
          </cell>
          <cell r="J1335">
            <v>0.25155092592592593</v>
          </cell>
        </row>
        <row r="1336">
          <cell r="A1336" t="str">
            <v>TOUCH</v>
          </cell>
          <cell r="B1336" t="str">
            <v>PKE2278</v>
          </cell>
          <cell r="G1336">
            <v>-3828727100</v>
          </cell>
          <cell r="H1336">
            <v>43083.286851851852</v>
          </cell>
          <cell r="I1336">
            <v>43083.337245370371</v>
          </cell>
          <cell r="J1336">
            <v>5.0393518518518511E-2</v>
          </cell>
        </row>
        <row r="1337">
          <cell r="A1337" t="str">
            <v>BASICO</v>
          </cell>
          <cell r="B1337" t="str">
            <v>OUX2321</v>
          </cell>
          <cell r="G1337">
            <v>-3833844700</v>
          </cell>
          <cell r="H1337">
            <v>43083.296226851853</v>
          </cell>
          <cell r="I1337">
            <v>43083.333136574074</v>
          </cell>
          <cell r="J1337">
            <v>3.6909722222222226E-2</v>
          </cell>
        </row>
        <row r="1338">
          <cell r="A1338" t="str">
            <v>TOUCH</v>
          </cell>
          <cell r="B1338" t="str">
            <v>PKE2278</v>
          </cell>
          <cell r="G1338">
            <v>-3828997800</v>
          </cell>
          <cell r="H1338">
            <v>43083.339768518519</v>
          </cell>
          <cell r="I1338">
            <v>43083.43644675926</v>
          </cell>
          <cell r="J1338">
            <v>9.6678240740740731E-2</v>
          </cell>
        </row>
        <row r="1339">
          <cell r="A1339" t="str">
            <v>BASICO</v>
          </cell>
          <cell r="B1339" t="str">
            <v>OUX2321</v>
          </cell>
          <cell r="G1339">
            <v>-3832723800</v>
          </cell>
          <cell r="H1339">
            <v>43083.34202546296</v>
          </cell>
          <cell r="I1339">
            <v>43083.663263888891</v>
          </cell>
          <cell r="J1339">
            <v>0.32123842592592594</v>
          </cell>
        </row>
        <row r="1340">
          <cell r="A1340" t="str">
            <v>TOUCH</v>
          </cell>
          <cell r="B1340" t="str">
            <v>PKE2278</v>
          </cell>
          <cell r="G1340">
            <v>-3829343200</v>
          </cell>
          <cell r="H1340">
            <v>43083.440497685187</v>
          </cell>
          <cell r="I1340">
            <v>43083.445821759262</v>
          </cell>
          <cell r="J1340">
            <v>5.3240740740740748E-3</v>
          </cell>
        </row>
        <row r="1341">
          <cell r="A1341" t="str">
            <v>TOUCH</v>
          </cell>
          <cell r="B1341" t="str">
            <v>PKE2278</v>
          </cell>
          <cell r="G1341">
            <v>-3829971400</v>
          </cell>
          <cell r="H1341">
            <v>43083.449791666666</v>
          </cell>
          <cell r="I1341">
            <v>43083.462789351855</v>
          </cell>
          <cell r="J1341">
            <v>1.2997685185185183E-2</v>
          </cell>
        </row>
        <row r="1342">
          <cell r="A1342" t="str">
            <v>TOUCH</v>
          </cell>
          <cell r="B1342" t="str">
            <v>PKE2278</v>
          </cell>
          <cell r="G1342">
            <v>-3829344400</v>
          </cell>
          <cell r="H1342">
            <v>43083.46601851852</v>
          </cell>
          <cell r="I1342">
            <v>43083.59138888889</v>
          </cell>
          <cell r="J1342">
            <v>0.12537037037037038</v>
          </cell>
        </row>
        <row r="1343">
          <cell r="A1343" t="str">
            <v>TOUCH</v>
          </cell>
          <cell r="B1343" t="str">
            <v>PKE2278</v>
          </cell>
          <cell r="G1343">
            <v>-3831843000</v>
          </cell>
          <cell r="H1343">
            <v>43083.599479166667</v>
          </cell>
          <cell r="I1343">
            <v>43083.615960648145</v>
          </cell>
          <cell r="J1343">
            <v>1.6481481481481482E-2</v>
          </cell>
        </row>
        <row r="1344">
          <cell r="A1344" t="str">
            <v>TOUCH</v>
          </cell>
          <cell r="B1344" t="str">
            <v>PKE2278</v>
          </cell>
          <cell r="G1344">
            <v>-3832715100</v>
          </cell>
          <cell r="H1344">
            <v>43083.624224537038</v>
          </cell>
          <cell r="I1344">
            <v>43083.667974537035</v>
          </cell>
          <cell r="J1344">
            <v>4.3750000000000004E-2</v>
          </cell>
        </row>
        <row r="1345">
          <cell r="A1345" t="str">
            <v>TOUCH</v>
          </cell>
          <cell r="B1345" t="str">
            <v>PKE2278</v>
          </cell>
          <cell r="G1345">
            <v>-3833450300</v>
          </cell>
          <cell r="H1345">
            <v>43083.672106481485</v>
          </cell>
          <cell r="I1345">
            <v>43083.704097222224</v>
          </cell>
          <cell r="J1345">
            <v>3.1990740740740743E-2</v>
          </cell>
        </row>
        <row r="1346">
          <cell r="A1346" t="str">
            <v>BASICO</v>
          </cell>
          <cell r="B1346" t="str">
            <v>OUX2321</v>
          </cell>
          <cell r="G1346">
            <v>-3829633200</v>
          </cell>
          <cell r="H1346">
            <v>43083.694398148145</v>
          </cell>
          <cell r="I1346">
            <v>43083.720057870371</v>
          </cell>
          <cell r="J1346">
            <v>2.5659722222222223E-2</v>
          </cell>
        </row>
        <row r="1347">
          <cell r="A1347" t="str">
            <v>TOUCH</v>
          </cell>
          <cell r="B1347" t="str">
            <v>PKE2278</v>
          </cell>
          <cell r="G1347">
            <v>-3834965100</v>
          </cell>
          <cell r="H1347">
            <v>43083.712893518517</v>
          </cell>
          <cell r="I1347">
            <v>43083.740034722221</v>
          </cell>
          <cell r="J1347">
            <v>2.7141203703703706E-2</v>
          </cell>
        </row>
        <row r="1348">
          <cell r="A1348" t="str">
            <v>BASICO</v>
          </cell>
          <cell r="B1348" t="str">
            <v>OUX2321</v>
          </cell>
          <cell r="G1348">
            <v>-3830405600</v>
          </cell>
          <cell r="H1348">
            <v>43083.726585648146</v>
          </cell>
          <cell r="I1348">
            <v>43083.744328703702</v>
          </cell>
          <cell r="J1348">
            <v>1.7743055555555557E-2</v>
          </cell>
        </row>
        <row r="1349">
          <cell r="A1349" t="str">
            <v>TOUCH</v>
          </cell>
          <cell r="B1349" t="str">
            <v>PKE2278</v>
          </cell>
          <cell r="G1349">
            <v>-3834948000</v>
          </cell>
          <cell r="H1349">
            <v>43083.744618055556</v>
          </cell>
          <cell r="I1349">
            <v>43083.817372685182</v>
          </cell>
          <cell r="J1349">
            <v>7.2754629629629627E-2</v>
          </cell>
        </row>
        <row r="1350">
          <cell r="A1350" t="str">
            <v>BASICO</v>
          </cell>
          <cell r="B1350" t="str">
            <v>OUX2321</v>
          </cell>
          <cell r="G1350">
            <v>-3835774500</v>
          </cell>
          <cell r="H1350">
            <v>43083.763356481482</v>
          </cell>
          <cell r="I1350">
            <v>43083.789467592593</v>
          </cell>
          <cell r="J1350">
            <v>2.6111111111111113E-2</v>
          </cell>
        </row>
        <row r="1351">
          <cell r="A1351" t="str">
            <v>BASICO</v>
          </cell>
          <cell r="B1351" t="str">
            <v>OUX2321</v>
          </cell>
          <cell r="G1351">
            <v>-3833422400</v>
          </cell>
          <cell r="H1351">
            <v>43083.802754629629</v>
          </cell>
          <cell r="I1351">
            <v>43083.828912037039</v>
          </cell>
          <cell r="J1351">
            <v>2.6157407407407407E-2</v>
          </cell>
        </row>
        <row r="1352">
          <cell r="A1352" t="str">
            <v>TOUCH</v>
          </cell>
          <cell r="B1352" t="str">
            <v>PKE2278</v>
          </cell>
          <cell r="G1352">
            <v>-3835541600</v>
          </cell>
          <cell r="H1352">
            <v>43083.820706018516</v>
          </cell>
          <cell r="I1352">
            <v>43083.848136574074</v>
          </cell>
          <cell r="J1352">
            <v>2.7430555555555555E-2</v>
          </cell>
        </row>
        <row r="1353">
          <cell r="A1353" t="str">
            <v>BASICO</v>
          </cell>
          <cell r="B1353" t="str">
            <v>OUX2321</v>
          </cell>
          <cell r="G1353">
            <v>-3835793300</v>
          </cell>
          <cell r="H1353">
            <v>43083.843287037038</v>
          </cell>
          <cell r="I1353">
            <v>43083.849675925929</v>
          </cell>
          <cell r="J1353">
            <v>6.3888888888888884E-3</v>
          </cell>
        </row>
        <row r="1354">
          <cell r="A1354" t="str">
            <v>BASICO</v>
          </cell>
          <cell r="B1354" t="str">
            <v>OUX2321</v>
          </cell>
          <cell r="G1354">
            <v>-3834753400</v>
          </cell>
          <cell r="H1354">
            <v>43083.854884259257</v>
          </cell>
          <cell r="I1354">
            <v>43083.85696759259</v>
          </cell>
          <cell r="J1354">
            <v>2.0833333333333333E-3</v>
          </cell>
        </row>
        <row r="1355">
          <cell r="A1355" t="str">
            <v>TOUCH</v>
          </cell>
          <cell r="B1355" t="str">
            <v>PKE2278</v>
          </cell>
          <cell r="G1355">
            <v>-3832995100</v>
          </cell>
          <cell r="H1355">
            <v>43083.856932870367</v>
          </cell>
          <cell r="I1355">
            <v>43083.864259259259</v>
          </cell>
          <cell r="J1355">
            <v>7.3263888888888892E-3</v>
          </cell>
        </row>
        <row r="1356">
          <cell r="A1356" t="str">
            <v>BASICO</v>
          </cell>
          <cell r="B1356" t="str">
            <v>OUX2321</v>
          </cell>
          <cell r="G1356">
            <v>-3835127800</v>
          </cell>
          <cell r="H1356">
            <v>43083.860092592593</v>
          </cell>
          <cell r="I1356">
            <v>43083.898530092592</v>
          </cell>
          <cell r="J1356">
            <v>3.8437499999999999E-2</v>
          </cell>
        </row>
        <row r="1357">
          <cell r="A1357" t="str">
            <v>TOUCH</v>
          </cell>
          <cell r="B1357" t="str">
            <v>PKE2278</v>
          </cell>
          <cell r="G1357">
            <v>-3829991100</v>
          </cell>
          <cell r="H1357">
            <v>43083.87054398148</v>
          </cell>
          <cell r="I1357">
            <v>43083.948599537034</v>
          </cell>
          <cell r="J1357">
            <v>7.8055555555555559E-2</v>
          </cell>
        </row>
        <row r="1358">
          <cell r="A1358" t="str">
            <v>BASICO</v>
          </cell>
          <cell r="B1358" t="str">
            <v>OUX2321</v>
          </cell>
          <cell r="G1358">
            <v>-3835425300</v>
          </cell>
          <cell r="H1358">
            <v>43083.90415509259</v>
          </cell>
          <cell r="I1358">
            <v>43083.916516203702</v>
          </cell>
          <cell r="J1358">
            <v>1.2361111111111113E-2</v>
          </cell>
        </row>
        <row r="1359">
          <cell r="A1359" t="str">
            <v>BASICO</v>
          </cell>
          <cell r="B1359" t="str">
            <v>OUX2321</v>
          </cell>
          <cell r="G1359">
            <v>-3833700400</v>
          </cell>
          <cell r="H1359">
            <v>43083.925023148149</v>
          </cell>
          <cell r="I1359">
            <v>43083.931203703702</v>
          </cell>
          <cell r="J1359">
            <v>6.1805555555555563E-3</v>
          </cell>
        </row>
        <row r="1360">
          <cell r="A1360" t="str">
            <v>BASICO</v>
          </cell>
          <cell r="B1360" t="str">
            <v>OUX2321</v>
          </cell>
          <cell r="G1360">
            <v>-3832809900</v>
          </cell>
          <cell r="H1360">
            <v>43083.936053240737</v>
          </cell>
          <cell r="I1360">
            <v>43083.950092592589</v>
          </cell>
          <cell r="J1360">
            <v>1.4039351851851851E-2</v>
          </cell>
        </row>
        <row r="1361">
          <cell r="A1361" t="str">
            <v>BASICO</v>
          </cell>
          <cell r="B1361" t="str">
            <v>OUX2321</v>
          </cell>
          <cell r="G1361">
            <v>-3834729700</v>
          </cell>
          <cell r="H1361">
            <v>43083.957071759258</v>
          </cell>
          <cell r="I1361">
            <v>43083.974363425928</v>
          </cell>
          <cell r="J1361">
            <v>1.7291666666666667E-2</v>
          </cell>
        </row>
        <row r="1362">
          <cell r="A1362" t="str">
            <v>TOUCH</v>
          </cell>
          <cell r="B1362" t="str">
            <v>PKE2278</v>
          </cell>
          <cell r="G1362">
            <v>-3832526800</v>
          </cell>
          <cell r="H1362">
            <v>43083.957245370373</v>
          </cell>
          <cell r="I1362">
            <v>43083.958449074074</v>
          </cell>
          <cell r="J1362">
            <v>1.2037037037037038E-3</v>
          </cell>
        </row>
        <row r="1363">
          <cell r="A1363" t="str">
            <v>TOUCH</v>
          </cell>
          <cell r="B1363" t="str">
            <v>PKE2278</v>
          </cell>
          <cell r="G1363">
            <v>-3832455900</v>
          </cell>
          <cell r="H1363">
            <v>43083.959918981483</v>
          </cell>
          <cell r="I1363">
            <v>43083.972094907411</v>
          </cell>
          <cell r="J1363">
            <v>1.2175925925925929E-2</v>
          </cell>
        </row>
        <row r="1364">
          <cell r="A1364" t="str">
            <v>TOUCH</v>
          </cell>
          <cell r="B1364" t="str">
            <v>PKE2278</v>
          </cell>
          <cell r="G1364">
            <v>-3832091800</v>
          </cell>
          <cell r="H1364">
            <v>43083.978113425925</v>
          </cell>
          <cell r="I1364">
            <v>43083.999282407407</v>
          </cell>
          <cell r="J1364">
            <v>2.1168981481481483E-2</v>
          </cell>
        </row>
        <row r="1365">
          <cell r="A1365" t="str">
            <v>BASICO</v>
          </cell>
          <cell r="B1365" t="str">
            <v>OUX2321</v>
          </cell>
          <cell r="G1365">
            <v>-3829744000</v>
          </cell>
          <cell r="H1365">
            <v>43083.986284722225</v>
          </cell>
          <cell r="I1365">
            <v>43083.993402777778</v>
          </cell>
          <cell r="J1365">
            <v>7.1180555555555554E-3</v>
          </cell>
        </row>
        <row r="1366">
          <cell r="A1366" t="str">
            <v>BASICO</v>
          </cell>
          <cell r="B1366" t="str">
            <v>OUX2321</v>
          </cell>
          <cell r="G1366">
            <v>-3832476200</v>
          </cell>
          <cell r="H1366">
            <v>43084.001388888886</v>
          </cell>
          <cell r="I1366">
            <v>43084.017291666663</v>
          </cell>
          <cell r="J1366">
            <v>1.5902777777777776E-2</v>
          </cell>
        </row>
        <row r="1367">
          <cell r="A1367" t="str">
            <v>TOUCH</v>
          </cell>
          <cell r="B1367" t="str">
            <v>PKE2278</v>
          </cell>
          <cell r="G1367">
            <v>-3832719800</v>
          </cell>
          <cell r="H1367">
            <v>43084.004016203704</v>
          </cell>
          <cell r="I1367">
            <v>43084.305567129632</v>
          </cell>
          <cell r="J1367">
            <v>0.30155092592592592</v>
          </cell>
        </row>
        <row r="1368">
          <cell r="A1368" t="str">
            <v>BASICO</v>
          </cell>
          <cell r="B1368" t="str">
            <v>OUX2321</v>
          </cell>
          <cell r="G1368">
            <v>-3832712100</v>
          </cell>
          <cell r="H1368">
            <v>43084.022291666668</v>
          </cell>
          <cell r="I1368">
            <v>43084.385243055556</v>
          </cell>
          <cell r="J1368">
            <v>0.36295138888888889</v>
          </cell>
        </row>
        <row r="1369">
          <cell r="A1369" t="str">
            <v>TOUCH</v>
          </cell>
          <cell r="B1369" t="str">
            <v>PKE2278</v>
          </cell>
          <cell r="G1369">
            <v>-3832506800</v>
          </cell>
          <cell r="H1369">
            <v>43084.310358796298</v>
          </cell>
          <cell r="I1369">
            <v>43084.321435185186</v>
          </cell>
          <cell r="J1369">
            <v>1.1076388888888887E-2</v>
          </cell>
        </row>
        <row r="1370">
          <cell r="A1370" t="str">
            <v>TOUCH</v>
          </cell>
          <cell r="B1370" t="str">
            <v>PKE2278</v>
          </cell>
          <cell r="G1370">
            <v>-3829579000</v>
          </cell>
          <cell r="H1370">
            <v>43084.335358796299</v>
          </cell>
          <cell r="I1370">
            <v>43084.437893518516</v>
          </cell>
          <cell r="J1370">
            <v>0.10253472222222222</v>
          </cell>
        </row>
        <row r="1371">
          <cell r="A1371" t="str">
            <v>BASICO</v>
          </cell>
          <cell r="B1371" t="str">
            <v>OUX2321</v>
          </cell>
          <cell r="G1371">
            <v>-3830348800</v>
          </cell>
          <cell r="H1371">
            <v>43084.416041666664</v>
          </cell>
          <cell r="I1371">
            <v>43084.424479166664</v>
          </cell>
          <cell r="J1371">
            <v>8.4375000000000006E-3</v>
          </cell>
        </row>
        <row r="1372">
          <cell r="A1372" t="str">
            <v>BASICO</v>
          </cell>
          <cell r="B1372" t="str">
            <v>OUX2321</v>
          </cell>
          <cell r="G1372">
            <v>-3830337200</v>
          </cell>
          <cell r="H1372">
            <v>43084.426747685182</v>
          </cell>
          <cell r="I1372">
            <v>43084.429027777776</v>
          </cell>
          <cell r="J1372">
            <v>2.2800925925925927E-3</v>
          </cell>
        </row>
        <row r="1373">
          <cell r="A1373" t="str">
            <v>BASICO</v>
          </cell>
          <cell r="B1373" t="str">
            <v>OUX2321</v>
          </cell>
          <cell r="G1373">
            <v>-3830030700</v>
          </cell>
          <cell r="H1373">
            <v>43084.431851851848</v>
          </cell>
          <cell r="I1373">
            <v>43084.458379629628</v>
          </cell>
          <cell r="J1373">
            <v>2.6527777777777779E-2</v>
          </cell>
        </row>
        <row r="1374">
          <cell r="A1374" t="str">
            <v>TOUCH</v>
          </cell>
          <cell r="B1374" t="str">
            <v>PKE2278</v>
          </cell>
          <cell r="G1374">
            <v>-3828316900</v>
          </cell>
          <cell r="H1374">
            <v>43084.443831018521</v>
          </cell>
          <cell r="I1374">
            <v>43084.451458333337</v>
          </cell>
          <cell r="J1374">
            <v>7.6273148148148151E-3</v>
          </cell>
        </row>
        <row r="1375">
          <cell r="A1375" t="str">
            <v>TOUCH</v>
          </cell>
          <cell r="B1375" t="str">
            <v>PKE2278</v>
          </cell>
          <cell r="G1375">
            <v>-3829121500</v>
          </cell>
          <cell r="H1375">
            <v>43084.455972222226</v>
          </cell>
          <cell r="I1375">
            <v>43084.457083333335</v>
          </cell>
          <cell r="J1375">
            <v>1.1111111111111111E-3</v>
          </cell>
        </row>
        <row r="1376">
          <cell r="A1376" t="str">
            <v>TOUCH</v>
          </cell>
          <cell r="B1376" t="str">
            <v>PKE2278</v>
          </cell>
          <cell r="G1376">
            <v>-3829972200</v>
          </cell>
          <cell r="H1376">
            <v>43084.461527777778</v>
          </cell>
          <cell r="I1376">
            <v>43084.480844907404</v>
          </cell>
          <cell r="J1376">
            <v>1.9317129629629629E-2</v>
          </cell>
        </row>
        <row r="1377">
          <cell r="A1377" t="str">
            <v>BASICO</v>
          </cell>
          <cell r="B1377" t="str">
            <v>OUX2321</v>
          </cell>
          <cell r="G1377">
            <v>-3829958500</v>
          </cell>
          <cell r="H1377">
            <v>43084.46197916667</v>
          </cell>
          <cell r="I1377">
            <v>43084.464965277781</v>
          </cell>
          <cell r="J1377">
            <v>2.9861111111111113E-3</v>
          </cell>
        </row>
        <row r="1378">
          <cell r="A1378" t="str">
            <v>BASICO</v>
          </cell>
          <cell r="B1378" t="str">
            <v>OUX2321</v>
          </cell>
          <cell r="G1378">
            <v>-3829917000</v>
          </cell>
          <cell r="H1378">
            <v>43084.468333333331</v>
          </cell>
          <cell r="I1378">
            <v>43084.472928240742</v>
          </cell>
          <cell r="J1378">
            <v>4.5949074074074078E-3</v>
          </cell>
        </row>
        <row r="1379">
          <cell r="A1379" t="str">
            <v>BASICO</v>
          </cell>
          <cell r="B1379" t="str">
            <v>OUX2321</v>
          </cell>
          <cell r="G1379">
            <v>-3829255800</v>
          </cell>
          <cell r="H1379">
            <v>43084.475289351853</v>
          </cell>
          <cell r="I1379">
            <v>43084.476574074077</v>
          </cell>
          <cell r="J1379">
            <v>1.2847222222222223E-3</v>
          </cell>
        </row>
        <row r="1380">
          <cell r="A1380" t="str">
            <v>TOUCH</v>
          </cell>
          <cell r="B1380" t="str">
            <v>PKE2278</v>
          </cell>
          <cell r="G1380">
            <v>-3828998900</v>
          </cell>
          <cell r="H1380">
            <v>43084.484664351854</v>
          </cell>
          <cell r="I1380">
            <v>43084.552303240744</v>
          </cell>
          <cell r="J1380">
            <v>6.7638888888888887E-2</v>
          </cell>
        </row>
        <row r="1381">
          <cell r="A1381" t="str">
            <v>BASICO</v>
          </cell>
          <cell r="B1381" t="str">
            <v>OUX2321</v>
          </cell>
          <cell r="G1381">
            <v>-3833189300</v>
          </cell>
          <cell r="H1381">
            <v>43084.487812500003</v>
          </cell>
          <cell r="I1381">
            <v>43084.533506944441</v>
          </cell>
          <cell r="J1381">
            <v>4.5694444444444447E-2</v>
          </cell>
        </row>
        <row r="1382">
          <cell r="A1382" t="str">
            <v>BASICO</v>
          </cell>
          <cell r="B1382" t="str">
            <v>OUX2321</v>
          </cell>
          <cell r="G1382">
            <v>-3832726500</v>
          </cell>
          <cell r="H1382">
            <v>43084.535821759258</v>
          </cell>
          <cell r="I1382">
            <v>43084.551562499997</v>
          </cell>
          <cell r="J1382">
            <v>1.5740740740740743E-2</v>
          </cell>
        </row>
        <row r="1383">
          <cell r="A1383" t="str">
            <v>BASICO</v>
          </cell>
          <cell r="B1383" t="str">
            <v>OUX2321</v>
          </cell>
          <cell r="G1383">
            <v>-3829929300</v>
          </cell>
          <cell r="H1383">
            <v>43084.561527777776</v>
          </cell>
          <cell r="I1383">
            <v>43084.590624999997</v>
          </cell>
          <cell r="J1383">
            <v>2.9097222222222222E-2</v>
          </cell>
        </row>
        <row r="1384">
          <cell r="A1384" t="str">
            <v>TOUCH</v>
          </cell>
          <cell r="B1384" t="str">
            <v>PKE2278</v>
          </cell>
          <cell r="G1384">
            <v>-3834933300</v>
          </cell>
          <cell r="H1384">
            <v>43084.57608796296</v>
          </cell>
          <cell r="I1384">
            <v>43084.577928240738</v>
          </cell>
          <cell r="J1384">
            <v>1.8402777777777777E-3</v>
          </cell>
        </row>
        <row r="1385">
          <cell r="A1385" t="str">
            <v>TOUCH</v>
          </cell>
          <cell r="B1385" t="str">
            <v>PKE2278</v>
          </cell>
          <cell r="G1385">
            <v>-3832880400</v>
          </cell>
          <cell r="H1385">
            <v>43084.586053240739</v>
          </cell>
          <cell r="I1385">
            <v>43084.73337962963</v>
          </cell>
          <cell r="J1385">
            <v>0.14732638888888888</v>
          </cell>
        </row>
        <row r="1386">
          <cell r="A1386" t="str">
            <v>BASICO</v>
          </cell>
          <cell r="B1386" t="str">
            <v>OUX2321</v>
          </cell>
          <cell r="G1386">
            <v>-3829262600</v>
          </cell>
          <cell r="H1386">
            <v>43084.593819444446</v>
          </cell>
          <cell r="I1386">
            <v>43084.596435185187</v>
          </cell>
          <cell r="J1386">
            <v>2.615740740740741E-3</v>
          </cell>
        </row>
        <row r="1387">
          <cell r="A1387" t="str">
            <v>BASICO</v>
          </cell>
          <cell r="B1387" t="str">
            <v>OUX2321</v>
          </cell>
          <cell r="G1387">
            <v>-3829267200</v>
          </cell>
          <cell r="H1387">
            <v>43084.600243055553</v>
          </cell>
          <cell r="I1387">
            <v>43084.609791666669</v>
          </cell>
          <cell r="J1387">
            <v>9.5486111111111101E-3</v>
          </cell>
        </row>
        <row r="1388">
          <cell r="A1388" t="str">
            <v>BASICO</v>
          </cell>
          <cell r="B1388" t="str">
            <v>OUX2321</v>
          </cell>
          <cell r="G1388">
            <v>-3832092500</v>
          </cell>
          <cell r="H1388">
            <v>43084.617685185185</v>
          </cell>
          <cell r="I1388">
            <v>43084.62090277778</v>
          </cell>
          <cell r="J1388">
            <v>3.2175925925925926E-3</v>
          </cell>
        </row>
        <row r="1389">
          <cell r="A1389" t="str">
            <v>BASICO</v>
          </cell>
          <cell r="B1389" t="str">
            <v>OUX2321</v>
          </cell>
          <cell r="G1389">
            <v>-3832718100</v>
          </cell>
          <cell r="H1389">
            <v>43084.627476851849</v>
          </cell>
          <cell r="I1389">
            <v>43084.709247685183</v>
          </cell>
          <cell r="J1389">
            <v>8.1770833333333334E-2</v>
          </cell>
        </row>
        <row r="1390">
          <cell r="A1390" t="str">
            <v>BASICO</v>
          </cell>
          <cell r="B1390" t="str">
            <v>OUX2321</v>
          </cell>
          <cell r="G1390">
            <v>-3831383400</v>
          </cell>
          <cell r="H1390">
            <v>43084.72146990741</v>
          </cell>
          <cell r="I1390">
            <v>43084.768530092595</v>
          </cell>
          <cell r="J1390">
            <v>4.7060185185185184E-2</v>
          </cell>
        </row>
        <row r="1391">
          <cell r="A1391" t="str">
            <v>TOUCH</v>
          </cell>
          <cell r="B1391" t="str">
            <v>PKE2278</v>
          </cell>
          <cell r="G1391">
            <v>-3830129600</v>
          </cell>
          <cell r="H1391">
            <v>43084.752303240741</v>
          </cell>
          <cell r="I1391">
            <v>43084.767581018517</v>
          </cell>
          <cell r="J1391">
            <v>1.5277777777777777E-2</v>
          </cell>
        </row>
        <row r="1392">
          <cell r="A1392" t="str">
            <v>TOUCH</v>
          </cell>
          <cell r="B1392" t="str">
            <v>PKE2278</v>
          </cell>
          <cell r="G1392">
            <v>-3830042000</v>
          </cell>
          <cell r="H1392">
            <v>43084.769143518519</v>
          </cell>
          <cell r="I1392">
            <v>43084.791574074072</v>
          </cell>
          <cell r="J1392">
            <v>2.2430555555555554E-2</v>
          </cell>
        </row>
        <row r="1393">
          <cell r="A1393" t="str">
            <v>BASICO</v>
          </cell>
          <cell r="B1393" t="str">
            <v>OUX2321</v>
          </cell>
          <cell r="G1393">
            <v>-3829938300</v>
          </cell>
          <cell r="H1393">
            <v>43084.777025462965</v>
          </cell>
          <cell r="I1393">
            <v>43084.811990740738</v>
          </cell>
          <cell r="J1393">
            <v>3.4965277777777783E-2</v>
          </cell>
        </row>
        <row r="1394">
          <cell r="A1394" t="str">
            <v>BASICO</v>
          </cell>
          <cell r="B1394" t="str">
            <v>OUX2321</v>
          </cell>
          <cell r="G1394">
            <v>-3829881900</v>
          </cell>
          <cell r="H1394">
            <v>43084.814525462964</v>
          </cell>
          <cell r="I1394">
            <v>43084.869884259257</v>
          </cell>
          <cell r="J1394">
            <v>5.5358796296296288E-2</v>
          </cell>
        </row>
        <row r="1395">
          <cell r="A1395" t="str">
            <v>TOUCH</v>
          </cell>
          <cell r="B1395" t="str">
            <v>PKE2278</v>
          </cell>
          <cell r="G1395">
            <v>-3832491900</v>
          </cell>
          <cell r="H1395">
            <v>43084.817685185182</v>
          </cell>
          <cell r="I1395">
            <v>43084.844039351854</v>
          </cell>
          <cell r="J1395">
            <v>2.6354166666666668E-2</v>
          </cell>
        </row>
        <row r="1396">
          <cell r="A1396" t="str">
            <v>TOUCH</v>
          </cell>
          <cell r="B1396" t="str">
            <v>PKE2278</v>
          </cell>
          <cell r="G1396">
            <v>-3832118100</v>
          </cell>
          <cell r="H1396">
            <v>43084.848067129627</v>
          </cell>
          <cell r="I1396">
            <v>43084.857233796298</v>
          </cell>
          <cell r="J1396">
            <v>9.1666666666666667E-3</v>
          </cell>
        </row>
        <row r="1397">
          <cell r="A1397" t="str">
            <v>TOUCH</v>
          </cell>
          <cell r="B1397" t="str">
            <v>PKE2278</v>
          </cell>
          <cell r="G1397">
            <v>-3831036000</v>
          </cell>
          <cell r="H1397">
            <v>43084.860115740739</v>
          </cell>
          <cell r="I1397">
            <v>43084.881608796299</v>
          </cell>
          <cell r="J1397">
            <v>2.1493055555555557E-2</v>
          </cell>
        </row>
        <row r="1398">
          <cell r="A1398" t="str">
            <v>BASICO</v>
          </cell>
          <cell r="B1398" t="str">
            <v>OUX2321</v>
          </cell>
          <cell r="G1398">
            <v>-3829154200</v>
          </cell>
          <cell r="H1398">
            <v>43084.880891203706</v>
          </cell>
          <cell r="I1398">
            <v>43084.912476851852</v>
          </cell>
          <cell r="J1398">
            <v>3.1585648148148147E-2</v>
          </cell>
        </row>
        <row r="1399">
          <cell r="A1399" t="str">
            <v>TOUCH</v>
          </cell>
          <cell r="B1399" t="str">
            <v>PKE2278</v>
          </cell>
          <cell r="G1399">
            <v>-3830805100</v>
          </cell>
          <cell r="H1399">
            <v>43084.884976851848</v>
          </cell>
          <cell r="I1399">
            <v>43084.886296296296</v>
          </cell>
          <cell r="J1399">
            <v>1.3194444444444443E-3</v>
          </cell>
        </row>
        <row r="1400">
          <cell r="A1400" t="str">
            <v>TOUCH</v>
          </cell>
          <cell r="B1400" t="str">
            <v>PKE2278</v>
          </cell>
          <cell r="G1400">
            <v>-3830643600</v>
          </cell>
          <cell r="H1400">
            <v>43084.887789351851</v>
          </cell>
          <cell r="I1400">
            <v>43084.907754629632</v>
          </cell>
          <cell r="J1400">
            <v>1.996527777777778E-2</v>
          </cell>
        </row>
        <row r="1401">
          <cell r="A1401" t="str">
            <v>TOUCH</v>
          </cell>
          <cell r="B1401" t="str">
            <v>PKE2278</v>
          </cell>
          <cell r="G1401">
            <v>-3829498400</v>
          </cell>
          <cell r="H1401">
            <v>43084.914837962962</v>
          </cell>
          <cell r="I1401">
            <v>43084.952511574076</v>
          </cell>
          <cell r="J1401">
            <v>3.7673611111111109E-2</v>
          </cell>
        </row>
        <row r="1402">
          <cell r="A1402" t="str">
            <v>BASICO</v>
          </cell>
          <cell r="B1402" t="str">
            <v>OUX2321</v>
          </cell>
          <cell r="G1402">
            <v>-3829537600</v>
          </cell>
          <cell r="H1402">
            <v>43084.926076388889</v>
          </cell>
          <cell r="I1402">
            <v>43084.934108796297</v>
          </cell>
          <cell r="J1402">
            <v>8.0324074074074065E-3</v>
          </cell>
        </row>
        <row r="1403">
          <cell r="A1403" t="str">
            <v>BASICO</v>
          </cell>
          <cell r="B1403" t="str">
            <v>OUX2321</v>
          </cell>
          <cell r="G1403">
            <v>-3832980400</v>
          </cell>
          <cell r="H1403">
            <v>43084.947569444441</v>
          </cell>
          <cell r="I1403">
            <v>43084.952488425923</v>
          </cell>
          <cell r="J1403">
            <v>4.9189814814814816E-3</v>
          </cell>
        </row>
        <row r="1404">
          <cell r="A1404" t="str">
            <v>BASICO</v>
          </cell>
          <cell r="B1404" t="str">
            <v>OUX2321</v>
          </cell>
          <cell r="G1404">
            <v>-3833479600</v>
          </cell>
          <cell r="H1404">
            <v>43084.963622685187</v>
          </cell>
          <cell r="I1404">
            <v>43084.968217592592</v>
          </cell>
          <cell r="J1404">
            <v>4.5949074074074078E-3</v>
          </cell>
        </row>
        <row r="1405">
          <cell r="A1405" t="str">
            <v>TOUCH</v>
          </cell>
          <cell r="B1405" t="str">
            <v>PKE2278</v>
          </cell>
          <cell r="G1405">
            <v>-3829634000</v>
          </cell>
          <cell r="H1405">
            <v>43084.966643518521</v>
          </cell>
          <cell r="I1405">
            <v>43084.982685185183</v>
          </cell>
          <cell r="J1405">
            <v>1.6041666666666666E-2</v>
          </cell>
        </row>
        <row r="1406">
          <cell r="A1406" t="str">
            <v>BASICO</v>
          </cell>
          <cell r="B1406" t="str">
            <v>OUX2321</v>
          </cell>
          <cell r="G1406">
            <v>-3833534200</v>
          </cell>
          <cell r="H1406">
            <v>43084.970497685186</v>
          </cell>
          <cell r="I1406">
            <v>43084.989699074074</v>
          </cell>
          <cell r="J1406">
            <v>1.9201388888888889E-2</v>
          </cell>
        </row>
        <row r="1407">
          <cell r="A1407" t="str">
            <v>BASICO</v>
          </cell>
          <cell r="B1407" t="str">
            <v>OUX2321</v>
          </cell>
          <cell r="G1407">
            <v>-3830227300</v>
          </cell>
          <cell r="H1407">
            <v>43085.000185185185</v>
          </cell>
          <cell r="I1407">
            <v>43085.021226851852</v>
          </cell>
          <cell r="J1407">
            <v>2.1041666666666667E-2</v>
          </cell>
        </row>
        <row r="1408">
          <cell r="A1408" t="str">
            <v>TOUCH</v>
          </cell>
          <cell r="B1408" t="str">
            <v>PKE2278</v>
          </cell>
          <cell r="G1408">
            <v>-3832171800</v>
          </cell>
          <cell r="H1408">
            <v>43085.004282407404</v>
          </cell>
          <cell r="I1408">
            <v>43085.019733796296</v>
          </cell>
          <cell r="J1408">
            <v>1.545138888888889E-2</v>
          </cell>
        </row>
        <row r="1409">
          <cell r="A1409" t="str">
            <v>TOUCH</v>
          </cell>
          <cell r="B1409" t="str">
            <v>PKE2278</v>
          </cell>
          <cell r="G1409">
            <v>-3832712800</v>
          </cell>
          <cell r="H1409">
            <v>43085.024039351854</v>
          </cell>
          <cell r="I1409">
            <v>43085.313657407409</v>
          </cell>
          <cell r="J1409">
            <v>0.28961805555555559</v>
          </cell>
        </row>
        <row r="1410">
          <cell r="A1410" t="str">
            <v>BASICO</v>
          </cell>
          <cell r="B1410" t="str">
            <v>OUX2321</v>
          </cell>
          <cell r="G1410">
            <v>-3832709900</v>
          </cell>
          <cell r="H1410">
            <v>43085.026956018519</v>
          </cell>
          <cell r="I1410">
            <v>43085.282233796293</v>
          </cell>
          <cell r="J1410">
            <v>0.25527777777777777</v>
          </cell>
        </row>
        <row r="1411">
          <cell r="A1411" t="str">
            <v>BASICO</v>
          </cell>
          <cell r="B1411" t="str">
            <v>OUX2321</v>
          </cell>
          <cell r="G1411">
            <v>-3832514100</v>
          </cell>
          <cell r="H1411">
            <v>43085.287719907406</v>
          </cell>
          <cell r="I1411">
            <v>43085.298298611109</v>
          </cell>
          <cell r="J1411">
            <v>1.0578703703703703E-2</v>
          </cell>
        </row>
        <row r="1412">
          <cell r="A1412" t="str">
            <v>BASICO</v>
          </cell>
          <cell r="B1412" t="str">
            <v>OUX2321</v>
          </cell>
          <cell r="G1412">
            <v>-3833608100</v>
          </cell>
          <cell r="H1412">
            <v>43085.312222222223</v>
          </cell>
          <cell r="I1412">
            <v>43085.32371527778</v>
          </cell>
          <cell r="J1412">
            <v>1.1493055555555555E-2</v>
          </cell>
        </row>
        <row r="1413">
          <cell r="A1413" t="str">
            <v>BASICO</v>
          </cell>
          <cell r="B1413" t="str">
            <v>OUX2321</v>
          </cell>
          <cell r="G1413">
            <v>-3832014600</v>
          </cell>
          <cell r="H1413">
            <v>43085.330347222225</v>
          </cell>
          <cell r="I1413">
            <v>43085.372569444444</v>
          </cell>
          <cell r="J1413">
            <v>4.2222222222222223E-2</v>
          </cell>
        </row>
        <row r="1414">
          <cell r="A1414" t="str">
            <v>TOUCH</v>
          </cell>
          <cell r="B1414" t="str">
            <v>PKE2278</v>
          </cell>
          <cell r="G1414">
            <v>-3843649600</v>
          </cell>
          <cell r="H1414">
            <v>43085.338935185187</v>
          </cell>
          <cell r="I1414">
            <v>43085.457442129627</v>
          </cell>
          <cell r="J1414">
            <v>0.11850694444444444</v>
          </cell>
        </row>
        <row r="1415">
          <cell r="A1415" t="str">
            <v>BASICO</v>
          </cell>
          <cell r="B1415" t="str">
            <v>OUX2321</v>
          </cell>
          <cell r="G1415">
            <v>-3832902900</v>
          </cell>
          <cell r="H1415">
            <v>43085.380381944444</v>
          </cell>
          <cell r="I1415">
            <v>43085.449641203704</v>
          </cell>
          <cell r="J1415">
            <v>6.9259259259259257E-2</v>
          </cell>
        </row>
        <row r="1416">
          <cell r="A1416" t="str">
            <v>BASICO</v>
          </cell>
          <cell r="B1416" t="str">
            <v>OUX2321</v>
          </cell>
          <cell r="G1416">
            <v>-3834045200</v>
          </cell>
          <cell r="H1416">
            <v>43085.465057870373</v>
          </cell>
          <cell r="I1416">
            <v>43085.467974537038</v>
          </cell>
          <cell r="J1416">
            <v>2.9166666666666668E-3</v>
          </cell>
        </row>
        <row r="1417">
          <cell r="A1417" t="str">
            <v>BASICO</v>
          </cell>
          <cell r="B1417" t="str">
            <v>OUX2321</v>
          </cell>
          <cell r="G1417">
            <v>-3833831700</v>
          </cell>
          <cell r="H1417">
            <v>43085.469537037039</v>
          </cell>
          <cell r="I1417">
            <v>43085.556944444441</v>
          </cell>
          <cell r="J1417">
            <v>8.740740740740742E-2</v>
          </cell>
        </row>
        <row r="1418">
          <cell r="A1418" t="str">
            <v>TOUCH</v>
          </cell>
          <cell r="B1418" t="str">
            <v>PKE2278</v>
          </cell>
          <cell r="G1418">
            <v>-3852297100</v>
          </cell>
          <cell r="H1418">
            <v>43085.481828703705</v>
          </cell>
          <cell r="I1418">
            <v>43085.941643518519</v>
          </cell>
          <cell r="J1418">
            <v>0.45981481481481484</v>
          </cell>
        </row>
        <row r="1419">
          <cell r="A1419" t="str">
            <v>BASICO</v>
          </cell>
          <cell r="B1419" t="str">
            <v>OUX2321</v>
          </cell>
          <cell r="G1419">
            <v>-3833135300</v>
          </cell>
          <cell r="H1419">
            <v>43085.560381944444</v>
          </cell>
          <cell r="I1419">
            <v>43085.56322916667</v>
          </cell>
          <cell r="J1419">
            <v>2.8472222222222219E-3</v>
          </cell>
        </row>
        <row r="1420">
          <cell r="A1420" t="str">
            <v>BASICO</v>
          </cell>
          <cell r="B1420" t="str">
            <v>OUX2321</v>
          </cell>
          <cell r="G1420">
            <v>-3833580400</v>
          </cell>
          <cell r="H1420">
            <v>43085.570625</v>
          </cell>
          <cell r="I1420">
            <v>43085.57371527778</v>
          </cell>
          <cell r="J1420">
            <v>3.0902777777777782E-3</v>
          </cell>
        </row>
        <row r="1421">
          <cell r="A1421" t="str">
            <v>BASICO</v>
          </cell>
          <cell r="B1421" t="str">
            <v>OUX2321</v>
          </cell>
          <cell r="G1421">
            <v>-3833155100</v>
          </cell>
          <cell r="H1421">
            <v>43085.575520833336</v>
          </cell>
          <cell r="I1421">
            <v>43085.587361111109</v>
          </cell>
          <cell r="J1421">
            <v>1.1840277777777778E-2</v>
          </cell>
        </row>
        <row r="1422">
          <cell r="A1422" t="str">
            <v>BASICO</v>
          </cell>
          <cell r="B1422" t="str">
            <v>OUX2321</v>
          </cell>
          <cell r="G1422">
            <v>-3835583600</v>
          </cell>
          <cell r="H1422">
            <v>43085.595694444448</v>
          </cell>
          <cell r="I1422">
            <v>43085.618159722224</v>
          </cell>
          <cell r="J1422">
            <v>2.2465277777777778E-2</v>
          </cell>
        </row>
        <row r="1423">
          <cell r="A1423" t="str">
            <v>BASICO</v>
          </cell>
          <cell r="B1423" t="str">
            <v>OUX2321</v>
          </cell>
          <cell r="G1423">
            <v>-3835439500</v>
          </cell>
          <cell r="H1423">
            <v>43085.624895833331</v>
          </cell>
          <cell r="I1423">
            <v>43085.647986111115</v>
          </cell>
          <cell r="J1423">
            <v>2.3090277777777779E-2</v>
          </cell>
        </row>
        <row r="1424">
          <cell r="A1424" t="str">
            <v>BASICO</v>
          </cell>
          <cell r="B1424" t="str">
            <v>OUX2321</v>
          </cell>
          <cell r="G1424">
            <v>-3834756900</v>
          </cell>
          <cell r="H1424">
            <v>43085.655173611114</v>
          </cell>
          <cell r="I1424">
            <v>43085.66</v>
          </cell>
          <cell r="J1424">
            <v>4.8263888888888887E-3</v>
          </cell>
        </row>
        <row r="1425">
          <cell r="A1425" t="str">
            <v>BASICO</v>
          </cell>
          <cell r="B1425" t="str">
            <v>OUX2321</v>
          </cell>
          <cell r="G1425">
            <v>-3832711900</v>
          </cell>
          <cell r="H1425">
            <v>43085.669942129629</v>
          </cell>
          <cell r="I1425">
            <v>43085.717928240738</v>
          </cell>
          <cell r="J1425">
            <v>4.7986111111111111E-2</v>
          </cell>
        </row>
        <row r="1426">
          <cell r="A1426" t="str">
            <v>BASICO</v>
          </cell>
          <cell r="B1426" t="str">
            <v>OUX2321</v>
          </cell>
          <cell r="G1426">
            <v>-3829068100</v>
          </cell>
          <cell r="H1426">
            <v>43085.734178240738</v>
          </cell>
          <cell r="I1426">
            <v>43085.824849537035</v>
          </cell>
          <cell r="J1426">
            <v>9.0671296296296292E-2</v>
          </cell>
        </row>
        <row r="1427">
          <cell r="A1427" t="str">
            <v>BASICO</v>
          </cell>
          <cell r="B1427" t="str">
            <v>OUX2321</v>
          </cell>
          <cell r="G1427">
            <v>-3833155400</v>
          </cell>
          <cell r="H1427">
            <v>43085.839953703704</v>
          </cell>
          <cell r="I1427">
            <v>43085.863136574073</v>
          </cell>
          <cell r="J1427">
            <v>2.3182870370370371E-2</v>
          </cell>
        </row>
        <row r="1428">
          <cell r="A1428" t="str">
            <v>BASICO</v>
          </cell>
          <cell r="B1428" t="str">
            <v>OUX2321</v>
          </cell>
          <cell r="G1428">
            <v>-3829248100</v>
          </cell>
          <cell r="H1428">
            <v>43085.880879629629</v>
          </cell>
          <cell r="I1428">
            <v>43085.885196759256</v>
          </cell>
          <cell r="J1428">
            <v>4.31712962962963E-3</v>
          </cell>
        </row>
        <row r="1429">
          <cell r="A1429" t="str">
            <v>BASICO</v>
          </cell>
          <cell r="B1429" t="str">
            <v>OUX2321</v>
          </cell>
          <cell r="G1429">
            <v>-3830133800</v>
          </cell>
          <cell r="H1429">
            <v>43085.89099537037</v>
          </cell>
          <cell r="I1429">
            <v>43085.987407407411</v>
          </cell>
          <cell r="J1429">
            <v>9.6412037037037046E-2</v>
          </cell>
        </row>
        <row r="1430">
          <cell r="A1430" t="str">
            <v>TOUCH</v>
          </cell>
          <cell r="B1430" t="str">
            <v>PKE2278</v>
          </cell>
          <cell r="G1430">
            <v>-3843655100</v>
          </cell>
          <cell r="H1430">
            <v>43085.962060185186</v>
          </cell>
          <cell r="I1430">
            <v>43086.345983796295</v>
          </cell>
          <cell r="J1430">
            <v>0.38392361111111112</v>
          </cell>
        </row>
        <row r="1431">
          <cell r="A1431" t="str">
            <v>BASICO</v>
          </cell>
          <cell r="B1431" t="str">
            <v>OUX2321</v>
          </cell>
          <cell r="G1431">
            <v>-3835622800</v>
          </cell>
          <cell r="H1431">
            <v>43086.001469907409</v>
          </cell>
          <cell r="I1431">
            <v>43086.014560185184</v>
          </cell>
          <cell r="J1431">
            <v>1.3090277777777779E-2</v>
          </cell>
        </row>
        <row r="1432">
          <cell r="A1432" t="str">
            <v>BASICO</v>
          </cell>
          <cell r="B1432" t="str">
            <v>OUX2321</v>
          </cell>
          <cell r="G1432">
            <v>-3832711800</v>
          </cell>
          <cell r="H1432">
            <v>43086.022546296299</v>
          </cell>
          <cell r="I1432">
            <v>43087.487199074072</v>
          </cell>
          <cell r="J1432" t="str">
            <v>1 D 11:09:06</v>
          </cell>
        </row>
        <row r="1433">
          <cell r="A1433" t="str">
            <v>TOUCH</v>
          </cell>
          <cell r="B1433" t="str">
            <v>PKE2278</v>
          </cell>
          <cell r="G1433">
            <v>-3852261900</v>
          </cell>
          <cell r="H1433">
            <v>43086.371192129627</v>
          </cell>
          <cell r="I1433">
            <v>43086.372488425928</v>
          </cell>
          <cell r="J1433">
            <v>1.2962962962962963E-3</v>
          </cell>
        </row>
        <row r="1434">
          <cell r="A1434" t="str">
            <v>TOUCH</v>
          </cell>
          <cell r="B1434" t="str">
            <v>PKE2278</v>
          </cell>
          <cell r="G1434">
            <v>-3852309400</v>
          </cell>
          <cell r="H1434">
            <v>43086.374363425923</v>
          </cell>
          <cell r="I1434">
            <v>43086.455717592595</v>
          </cell>
          <cell r="J1434">
            <v>8.1354166666666672E-2</v>
          </cell>
        </row>
        <row r="1435">
          <cell r="A1435" t="str">
            <v>TOUCH</v>
          </cell>
          <cell r="B1435" t="str">
            <v>PKE2278</v>
          </cell>
          <cell r="G1435">
            <v>-3852346200</v>
          </cell>
          <cell r="H1435">
            <v>43086.458391203705</v>
          </cell>
          <cell r="I1435">
            <v>43086.618344907409</v>
          </cell>
          <cell r="J1435">
            <v>0.15995370370370371</v>
          </cell>
        </row>
        <row r="1436">
          <cell r="A1436" t="str">
            <v>TOUCH</v>
          </cell>
          <cell r="B1436" t="str">
            <v>PKE2278</v>
          </cell>
          <cell r="G1436">
            <v>-3852353300</v>
          </cell>
          <cell r="H1436">
            <v>43086.621018518519</v>
          </cell>
          <cell r="I1436">
            <v>43086.657233796293</v>
          </cell>
          <cell r="J1436">
            <v>3.6215277777777777E-2</v>
          </cell>
        </row>
        <row r="1437">
          <cell r="A1437" t="str">
            <v>TOUCH</v>
          </cell>
          <cell r="B1437" t="str">
            <v>PKE2278</v>
          </cell>
          <cell r="G1437">
            <v>-3852149500</v>
          </cell>
          <cell r="H1437">
            <v>43086.661782407406</v>
          </cell>
          <cell r="I1437">
            <v>43086.940659722219</v>
          </cell>
          <cell r="J1437">
            <v>0.27887731481481481</v>
          </cell>
        </row>
        <row r="1438">
          <cell r="A1438" t="str">
            <v>TOUCH</v>
          </cell>
          <cell r="B1438" t="str">
            <v>PKE2278</v>
          </cell>
          <cell r="G1438">
            <v>-3843649700</v>
          </cell>
          <cell r="H1438">
            <v>43086.958148148151</v>
          </cell>
          <cell r="I1438">
            <v>43087.368298611109</v>
          </cell>
          <cell r="J1438">
            <v>0.41015046296296293</v>
          </cell>
        </row>
        <row r="1439">
          <cell r="A1439" t="str">
            <v>TOUCH</v>
          </cell>
          <cell r="B1439" t="str">
            <v>PKE2278</v>
          </cell>
          <cell r="G1439">
            <v>-3842574800</v>
          </cell>
          <cell r="H1439">
            <v>43087.378796296296</v>
          </cell>
          <cell r="I1439">
            <v>43087.385729166665</v>
          </cell>
          <cell r="J1439">
            <v>6.9328703703703696E-3</v>
          </cell>
        </row>
        <row r="1440">
          <cell r="A1440" t="str">
            <v>TOUCH</v>
          </cell>
          <cell r="B1440" t="str">
            <v>PKE2278</v>
          </cell>
          <cell r="G1440">
            <v>-3852258600</v>
          </cell>
          <cell r="H1440">
            <v>43087.407187500001</v>
          </cell>
          <cell r="I1440">
            <v>43087.710740740738</v>
          </cell>
          <cell r="J1440">
            <v>0.30355324074074075</v>
          </cell>
        </row>
        <row r="1441">
          <cell r="A1441" t="str">
            <v>BASICO</v>
          </cell>
          <cell r="B1441" t="str">
            <v>OUX2321</v>
          </cell>
          <cell r="G1441">
            <v>-3835467100</v>
          </cell>
          <cell r="H1441">
            <v>43087.500011574077</v>
          </cell>
          <cell r="I1441">
            <v>43087.505937499998</v>
          </cell>
          <cell r="J1441">
            <v>5.9259259259259256E-3</v>
          </cell>
        </row>
        <row r="1442">
          <cell r="A1442" t="str">
            <v>BASICO</v>
          </cell>
          <cell r="B1442" t="str">
            <v>OUX2321</v>
          </cell>
          <cell r="G1442">
            <v>-3833586300</v>
          </cell>
          <cell r="H1442">
            <v>43087.511874999997</v>
          </cell>
          <cell r="I1442">
            <v>43087.570775462962</v>
          </cell>
          <cell r="J1442">
            <v>5.8900462962962967E-2</v>
          </cell>
        </row>
        <row r="1443">
          <cell r="A1443" t="str">
            <v>BASICO</v>
          </cell>
          <cell r="B1443" t="str">
            <v>OUX2321</v>
          </cell>
          <cell r="G1443">
            <v>-3829981000</v>
          </cell>
          <cell r="H1443">
            <v>43087.583877314813</v>
          </cell>
          <cell r="I1443">
            <v>43087.602731481478</v>
          </cell>
          <cell r="J1443">
            <v>1.8854166666666665E-2</v>
          </cell>
        </row>
        <row r="1444">
          <cell r="A1444" t="str">
            <v>BASICO</v>
          </cell>
          <cell r="B1444" t="str">
            <v>OUX2321</v>
          </cell>
          <cell r="G1444">
            <v>-3832874500</v>
          </cell>
          <cell r="H1444">
            <v>43087.611793981479</v>
          </cell>
          <cell r="I1444">
            <v>43087.654293981483</v>
          </cell>
          <cell r="J1444">
            <v>4.2500000000000003E-2</v>
          </cell>
        </row>
        <row r="1445">
          <cell r="A1445" t="str">
            <v>BASICO</v>
          </cell>
          <cell r="B1445" t="str">
            <v>OUX2321</v>
          </cell>
          <cell r="G1445">
            <v>-3831134500</v>
          </cell>
          <cell r="H1445">
            <v>43087.665266203701</v>
          </cell>
          <cell r="I1445">
            <v>43087.692094907405</v>
          </cell>
          <cell r="J1445">
            <v>2.6828703703703702E-2</v>
          </cell>
        </row>
        <row r="1446">
          <cell r="A1446" t="str">
            <v>BASICO</v>
          </cell>
          <cell r="B1446" t="str">
            <v>OUX2321</v>
          </cell>
          <cell r="G1446">
            <v>-3828992700</v>
          </cell>
          <cell r="H1446">
            <v>43087.704699074071</v>
          </cell>
          <cell r="I1446">
            <v>43087.712523148148</v>
          </cell>
          <cell r="J1446">
            <v>7.8240740740740753E-3</v>
          </cell>
        </row>
        <row r="1447">
          <cell r="A1447" t="str">
            <v>TOUCH</v>
          </cell>
          <cell r="B1447" t="str">
            <v>PKE2278</v>
          </cell>
          <cell r="G1447">
            <v>-3852149000</v>
          </cell>
          <cell r="H1447">
            <v>43087.712870370371</v>
          </cell>
          <cell r="I1447">
            <v>43087.801238425927</v>
          </cell>
          <cell r="J1447">
            <v>8.8368055555555547E-2</v>
          </cell>
        </row>
        <row r="1448">
          <cell r="A1448" t="str">
            <v>BASICO</v>
          </cell>
          <cell r="B1448" t="str">
            <v>OUX2321</v>
          </cell>
          <cell r="G1448">
            <v>-3828843500</v>
          </cell>
          <cell r="H1448">
            <v>43087.714305555557</v>
          </cell>
          <cell r="I1448">
            <v>43087.719305555554</v>
          </cell>
          <cell r="J1448">
            <v>5.0000000000000001E-3</v>
          </cell>
        </row>
        <row r="1449">
          <cell r="A1449" t="str">
            <v>BASICO</v>
          </cell>
          <cell r="B1449" t="str">
            <v>OUX2321</v>
          </cell>
          <cell r="G1449">
            <v>-3828688300</v>
          </cell>
          <cell r="H1449">
            <v>43087.721331018518</v>
          </cell>
          <cell r="I1449">
            <v>43087.762916666667</v>
          </cell>
          <cell r="J1449">
            <v>4.1585648148148149E-2</v>
          </cell>
        </row>
        <row r="1450">
          <cell r="A1450" t="str">
            <v>BASICO</v>
          </cell>
          <cell r="B1450" t="str">
            <v>OUX2321</v>
          </cell>
          <cell r="G1450">
            <v>-3829894400</v>
          </cell>
          <cell r="H1450">
            <v>43087.768472222226</v>
          </cell>
          <cell r="I1450">
            <v>43087.786041666666</v>
          </cell>
          <cell r="J1450">
            <v>1.7569444444444447E-2</v>
          </cell>
        </row>
        <row r="1451">
          <cell r="A1451" t="str">
            <v>BASICO</v>
          </cell>
          <cell r="B1451" t="str">
            <v>OUX2321</v>
          </cell>
          <cell r="G1451">
            <v>-3835339800</v>
          </cell>
          <cell r="H1451">
            <v>43087.803923611114</v>
          </cell>
          <cell r="I1451">
            <v>43087.809513888889</v>
          </cell>
          <cell r="J1451">
            <v>5.5902777777777782E-3</v>
          </cell>
        </row>
        <row r="1452">
          <cell r="A1452" t="str">
            <v>TOUCH</v>
          </cell>
          <cell r="B1452" t="str">
            <v>PKE2278</v>
          </cell>
          <cell r="G1452">
            <v>-3852322800</v>
          </cell>
          <cell r="H1452">
            <v>43087.80872685185</v>
          </cell>
          <cell r="I1452">
            <v>43087.875520833331</v>
          </cell>
          <cell r="J1452">
            <v>6.6793981481481482E-2</v>
          </cell>
        </row>
        <row r="1453">
          <cell r="A1453" t="str">
            <v>BASICO</v>
          </cell>
          <cell r="B1453" t="str">
            <v>OUX2321</v>
          </cell>
          <cell r="G1453">
            <v>-3835450700</v>
          </cell>
          <cell r="H1453">
            <v>43087.812118055554</v>
          </cell>
          <cell r="I1453">
            <v>43087.813645833332</v>
          </cell>
          <cell r="J1453">
            <v>1.5277777777777779E-3</v>
          </cell>
        </row>
        <row r="1454">
          <cell r="A1454" t="str">
            <v>BASICO</v>
          </cell>
          <cell r="B1454" t="str">
            <v>OUX2321</v>
          </cell>
          <cell r="G1454">
            <v>-3835957200</v>
          </cell>
          <cell r="H1454">
            <v>43087.826493055552</v>
          </cell>
          <cell r="I1454">
            <v>43087.865590277775</v>
          </cell>
          <cell r="J1454">
            <v>3.9097222222222221E-2</v>
          </cell>
        </row>
        <row r="1455">
          <cell r="A1455" t="str">
            <v>BASICO</v>
          </cell>
          <cell r="B1455" t="str">
            <v>OUX2321</v>
          </cell>
          <cell r="G1455">
            <v>-3834750900</v>
          </cell>
          <cell r="H1455">
            <v>43087.879618055558</v>
          </cell>
          <cell r="I1455">
            <v>43087.912951388891</v>
          </cell>
          <cell r="J1455">
            <v>3.3333333333333333E-2</v>
          </cell>
        </row>
        <row r="1456">
          <cell r="A1456" t="str">
            <v>TOUCH</v>
          </cell>
          <cell r="B1456" t="str">
            <v>PKE2278</v>
          </cell>
          <cell r="G1456">
            <v>-3852217600</v>
          </cell>
          <cell r="H1456">
            <v>43087.884074074071</v>
          </cell>
          <cell r="I1456">
            <v>43087.921979166669</v>
          </cell>
          <cell r="J1456">
            <v>3.7905092592592594E-2</v>
          </cell>
        </row>
        <row r="1457">
          <cell r="A1457" t="str">
            <v>BASICO</v>
          </cell>
          <cell r="B1457" t="str">
            <v>OUX2321</v>
          </cell>
          <cell r="G1457">
            <v>-3835624800</v>
          </cell>
          <cell r="H1457">
            <v>43087.917893518519</v>
          </cell>
          <cell r="I1457">
            <v>43087.921550925923</v>
          </cell>
          <cell r="J1457">
            <v>3.6574074074074074E-3</v>
          </cell>
        </row>
        <row r="1458">
          <cell r="A1458" t="str">
            <v>BASICO</v>
          </cell>
          <cell r="B1458" t="str">
            <v>OUX2321</v>
          </cell>
          <cell r="G1458">
            <v>-3832709100</v>
          </cell>
          <cell r="H1458">
            <v>43087.93041666667</v>
          </cell>
          <cell r="I1458">
            <v>43087.932627314818</v>
          </cell>
          <cell r="J1458">
            <v>2.2106481481481478E-3</v>
          </cell>
        </row>
        <row r="1459">
          <cell r="A1459" t="str">
            <v>TOUCH</v>
          </cell>
          <cell r="B1459" t="str">
            <v>PKE2278</v>
          </cell>
          <cell r="G1459">
            <v>-3843638500</v>
          </cell>
          <cell r="H1459">
            <v>43087.942430555559</v>
          </cell>
          <cell r="I1459">
            <v>43088.337476851855</v>
          </cell>
          <cell r="J1459">
            <v>0.39504629629629634</v>
          </cell>
        </row>
        <row r="1460">
          <cell r="A1460" t="str">
            <v>BASICO</v>
          </cell>
          <cell r="B1460" t="str">
            <v>OUX2321</v>
          </cell>
          <cell r="G1460">
            <v>-3833179200</v>
          </cell>
          <cell r="H1460">
            <v>43087.951377314814</v>
          </cell>
          <cell r="I1460">
            <v>43087.952187499999</v>
          </cell>
          <cell r="J1460">
            <v>8.1018518518518516E-4</v>
          </cell>
        </row>
        <row r="1461">
          <cell r="A1461" t="str">
            <v>BASICO</v>
          </cell>
          <cell r="B1461" t="str">
            <v>OUX2321</v>
          </cell>
          <cell r="G1461">
            <v>-3831225900</v>
          </cell>
          <cell r="H1461">
            <v>43087.968148148146</v>
          </cell>
          <cell r="I1461">
            <v>43087.974027777775</v>
          </cell>
          <cell r="J1461">
            <v>5.8796296296296296E-3</v>
          </cell>
        </row>
        <row r="1462">
          <cell r="A1462" t="str">
            <v>BASICO</v>
          </cell>
          <cell r="B1462" t="str">
            <v>OUX2321</v>
          </cell>
          <cell r="G1462">
            <v>-3832218300</v>
          </cell>
          <cell r="H1462">
            <v>43087.97923611111</v>
          </cell>
          <cell r="I1462">
            <v>43087.985451388886</v>
          </cell>
          <cell r="J1462">
            <v>6.215277777777777E-3</v>
          </cell>
        </row>
        <row r="1463">
          <cell r="A1463" t="str">
            <v>BASICO</v>
          </cell>
          <cell r="B1463" t="str">
            <v>OUX2321</v>
          </cell>
          <cell r="G1463">
            <v>-3832478900</v>
          </cell>
          <cell r="H1463">
            <v>43087.987118055556</v>
          </cell>
          <cell r="I1463">
            <v>43088.015266203707</v>
          </cell>
          <cell r="J1463">
            <v>2.8148148148148148E-2</v>
          </cell>
        </row>
        <row r="1464">
          <cell r="A1464" t="str">
            <v>BASICO</v>
          </cell>
          <cell r="B1464" t="str">
            <v>OUX2321</v>
          </cell>
          <cell r="G1464">
            <v>-3832714200</v>
          </cell>
          <cell r="H1464">
            <v>43088.019375000003</v>
          </cell>
          <cell r="I1464">
            <v>43088.278425925928</v>
          </cell>
          <cell r="J1464">
            <v>0.25905092592592593</v>
          </cell>
        </row>
        <row r="1465">
          <cell r="A1465" t="str">
            <v>BASICO</v>
          </cell>
          <cell r="B1465" t="str">
            <v>OUX2321</v>
          </cell>
          <cell r="G1465">
            <v>-3832512800</v>
          </cell>
          <cell r="H1465">
            <v>43088.284097222226</v>
          </cell>
          <cell r="I1465">
            <v>43088.297268518516</v>
          </cell>
          <cell r="J1465">
            <v>1.3171296296296294E-2</v>
          </cell>
        </row>
        <row r="1466">
          <cell r="A1466" t="str">
            <v>BASICO</v>
          </cell>
          <cell r="B1466" t="str">
            <v>OUX2321</v>
          </cell>
          <cell r="G1466">
            <v>-3833940000</v>
          </cell>
          <cell r="H1466">
            <v>43088.305671296293</v>
          </cell>
          <cell r="I1466">
            <v>43088.322233796294</v>
          </cell>
          <cell r="J1466">
            <v>1.6562500000000001E-2</v>
          </cell>
        </row>
        <row r="1467">
          <cell r="A1467" t="str">
            <v>BASICO</v>
          </cell>
          <cell r="B1467" t="str">
            <v>OUX2321</v>
          </cell>
          <cell r="G1467">
            <v>-3834142700</v>
          </cell>
          <cell r="H1467">
            <v>43088.324386574073</v>
          </cell>
          <cell r="I1467">
            <v>43088.332326388889</v>
          </cell>
          <cell r="J1467">
            <v>7.9398148148148145E-3</v>
          </cell>
        </row>
        <row r="1468">
          <cell r="A1468" t="str">
            <v>BASICO</v>
          </cell>
          <cell r="B1468" t="str">
            <v>OUX2321</v>
          </cell>
          <cell r="G1468">
            <v>-3834557100</v>
          </cell>
          <cell r="H1468">
            <v>43088.340624999997</v>
          </cell>
          <cell r="I1468">
            <v>43088.351053240738</v>
          </cell>
          <cell r="J1468">
            <v>1.042824074074074E-2</v>
          </cell>
        </row>
        <row r="1469">
          <cell r="A1469" t="str">
            <v>TOUCH</v>
          </cell>
          <cell r="B1469" t="str">
            <v>PKE2278</v>
          </cell>
          <cell r="G1469">
            <v>-3849084900</v>
          </cell>
          <cell r="H1469">
            <v>43088.353194444448</v>
          </cell>
          <cell r="I1469">
            <v>43088.454756944448</v>
          </cell>
          <cell r="J1469">
            <v>0.1015625</v>
          </cell>
        </row>
        <row r="1470">
          <cell r="A1470" t="str">
            <v>BASICO</v>
          </cell>
          <cell r="B1470" t="str">
            <v>OUX2321</v>
          </cell>
          <cell r="G1470">
            <v>-3834393800</v>
          </cell>
          <cell r="H1470">
            <v>43088.36445601852</v>
          </cell>
          <cell r="I1470">
            <v>43088.379247685189</v>
          </cell>
          <cell r="J1470">
            <v>1.4791666666666668E-2</v>
          </cell>
        </row>
        <row r="1471">
          <cell r="A1471" t="str">
            <v>BASICO</v>
          </cell>
          <cell r="B1471" t="str">
            <v>OUX2321</v>
          </cell>
          <cell r="G1471">
            <v>-3835327600</v>
          </cell>
          <cell r="H1471">
            <v>43088.387511574074</v>
          </cell>
          <cell r="I1471">
            <v>43088.406770833331</v>
          </cell>
          <cell r="J1471">
            <v>1.9259259259259261E-2</v>
          </cell>
        </row>
        <row r="1472">
          <cell r="A1472" t="str">
            <v>BASICO</v>
          </cell>
          <cell r="B1472" t="str">
            <v>OUX2321</v>
          </cell>
          <cell r="G1472">
            <v>-3834578600</v>
          </cell>
          <cell r="H1472">
            <v>43088.415949074071</v>
          </cell>
          <cell r="I1472">
            <v>43088.419074074074</v>
          </cell>
          <cell r="J1472">
            <v>3.1249999999999997E-3</v>
          </cell>
        </row>
        <row r="1473">
          <cell r="A1473" t="str">
            <v>BASICO</v>
          </cell>
          <cell r="B1473" t="str">
            <v>OUX2321</v>
          </cell>
          <cell r="G1473">
            <v>-3834417700</v>
          </cell>
          <cell r="H1473">
            <v>43088.422372685185</v>
          </cell>
          <cell r="I1473">
            <v>43088.453553240739</v>
          </cell>
          <cell r="J1473">
            <v>3.1180555555555555E-2</v>
          </cell>
        </row>
        <row r="1474">
          <cell r="A1474" t="str">
            <v>BASICO</v>
          </cell>
          <cell r="B1474" t="str">
            <v>OUX2321</v>
          </cell>
          <cell r="G1474">
            <v>-3832259800</v>
          </cell>
          <cell r="H1474">
            <v>43088.467094907406</v>
          </cell>
          <cell r="I1474">
            <v>43088.47378472222</v>
          </cell>
          <cell r="J1474">
            <v>6.6898148148148142E-3</v>
          </cell>
        </row>
        <row r="1475">
          <cell r="A1475" t="str">
            <v>TOUCH</v>
          </cell>
          <cell r="B1475" t="str">
            <v>PKE2278</v>
          </cell>
          <cell r="G1475">
            <v>-3846180700</v>
          </cell>
          <cell r="H1475">
            <v>43088.47452546296</v>
          </cell>
          <cell r="I1475">
            <v>43088.607754629629</v>
          </cell>
          <cell r="J1475">
            <v>0.13322916666666665</v>
          </cell>
        </row>
        <row r="1476">
          <cell r="A1476" t="str">
            <v>BASICO</v>
          </cell>
          <cell r="B1476" t="str">
            <v>OUX2321</v>
          </cell>
          <cell r="G1476">
            <v>-3832781300</v>
          </cell>
          <cell r="H1476">
            <v>43088.479826388888</v>
          </cell>
          <cell r="I1476">
            <v>43088.527488425927</v>
          </cell>
          <cell r="J1476">
            <v>4.7662037037037037E-2</v>
          </cell>
        </row>
        <row r="1477">
          <cell r="A1477" t="str">
            <v>BASICO</v>
          </cell>
          <cell r="B1477" t="str">
            <v>OUX2321</v>
          </cell>
          <cell r="G1477">
            <v>-3833851000</v>
          </cell>
          <cell r="H1477">
            <v>43088.533738425926</v>
          </cell>
          <cell r="I1477">
            <v>43088.540335648147</v>
          </cell>
          <cell r="J1477">
            <v>6.5972222222222222E-3</v>
          </cell>
        </row>
        <row r="1478">
          <cell r="A1478" t="str">
            <v>BASICO</v>
          </cell>
          <cell r="B1478" t="str">
            <v>OUX2321</v>
          </cell>
          <cell r="G1478">
            <v>-3832402800</v>
          </cell>
          <cell r="H1478">
            <v>43088.552731481483</v>
          </cell>
          <cell r="I1478">
            <v>43088.571192129632</v>
          </cell>
          <cell r="J1478">
            <v>1.8460648148148146E-2</v>
          </cell>
        </row>
        <row r="1479">
          <cell r="A1479" t="str">
            <v>BASICO</v>
          </cell>
          <cell r="B1479" t="str">
            <v>OUX2321</v>
          </cell>
          <cell r="G1479">
            <v>-3836147300</v>
          </cell>
          <cell r="H1479">
            <v>43088.582974537036</v>
          </cell>
          <cell r="I1479">
            <v>43088.59238425926</v>
          </cell>
          <cell r="J1479">
            <v>9.4097222222222238E-3</v>
          </cell>
        </row>
        <row r="1480">
          <cell r="A1480" t="str">
            <v>BASICO</v>
          </cell>
          <cell r="B1480" t="str">
            <v>OUX2321</v>
          </cell>
          <cell r="G1480">
            <v>-3833068300</v>
          </cell>
          <cell r="H1480">
            <v>43088.602372685185</v>
          </cell>
          <cell r="I1480">
            <v>43088.605127314811</v>
          </cell>
          <cell r="J1480">
            <v>2.7546296296296294E-3</v>
          </cell>
        </row>
        <row r="1481">
          <cell r="A1481" t="str">
            <v>TOUCH</v>
          </cell>
          <cell r="B1481" t="str">
            <v>PKE2278</v>
          </cell>
          <cell r="G1481">
            <v>-3846712600</v>
          </cell>
          <cell r="H1481">
            <v>43088.609178240738</v>
          </cell>
          <cell r="I1481">
            <v>43088.61074074074</v>
          </cell>
          <cell r="J1481">
            <v>1.5624999999999999E-3</v>
          </cell>
        </row>
        <row r="1482">
          <cell r="A1482" t="str">
            <v>BASICO</v>
          </cell>
          <cell r="B1482" t="str">
            <v>OUX2321</v>
          </cell>
          <cell r="G1482">
            <v>-3833515800</v>
          </cell>
          <cell r="H1482">
            <v>43088.609224537038</v>
          </cell>
          <cell r="I1482">
            <v>43088.612442129626</v>
          </cell>
          <cell r="J1482">
            <v>3.2175925925925926E-3</v>
          </cell>
        </row>
        <row r="1483">
          <cell r="A1483" t="str">
            <v>TOUCH</v>
          </cell>
          <cell r="B1483" t="str">
            <v>PKE2278</v>
          </cell>
          <cell r="G1483">
            <v>-3850016600</v>
          </cell>
          <cell r="H1483">
            <v>43088.617662037039</v>
          </cell>
          <cell r="I1483">
            <v>43088.620428240742</v>
          </cell>
          <cell r="J1483">
            <v>2.7662037037037034E-3</v>
          </cell>
        </row>
        <row r="1484">
          <cell r="A1484" t="str">
            <v>TOUCH</v>
          </cell>
          <cell r="B1484" t="str">
            <v>PKE2278</v>
          </cell>
          <cell r="G1484">
            <v>-3850042000</v>
          </cell>
          <cell r="H1484">
            <v>43088.625706018516</v>
          </cell>
          <cell r="I1484">
            <v>43088.790081018517</v>
          </cell>
          <cell r="J1484">
            <v>0.16437500000000002</v>
          </cell>
        </row>
        <row r="1485">
          <cell r="A1485" t="str">
            <v>BASICO</v>
          </cell>
          <cell r="B1485" t="str">
            <v>OUX2321</v>
          </cell>
          <cell r="G1485">
            <v>-3832708400</v>
          </cell>
          <cell r="H1485">
            <v>43088.631435185183</v>
          </cell>
          <cell r="I1485">
            <v>43088.679513888892</v>
          </cell>
          <cell r="J1485">
            <v>4.8078703703703707E-2</v>
          </cell>
        </row>
        <row r="1486">
          <cell r="A1486" t="str">
            <v>BASICO</v>
          </cell>
          <cell r="B1486" t="str">
            <v>OUX2321</v>
          </cell>
          <cell r="G1486">
            <v>-3832346700</v>
          </cell>
          <cell r="H1486">
            <v>43088.692673611113</v>
          </cell>
          <cell r="I1486">
            <v>43088.711076388892</v>
          </cell>
          <cell r="J1486">
            <v>1.8402777777777778E-2</v>
          </cell>
        </row>
        <row r="1487">
          <cell r="A1487" t="str">
            <v>BASICO</v>
          </cell>
          <cell r="B1487" t="str">
            <v>OUX2321</v>
          </cell>
          <cell r="G1487">
            <v>-3834373400</v>
          </cell>
          <cell r="H1487">
            <v>43088.728819444441</v>
          </cell>
          <cell r="I1487">
            <v>43088.744756944441</v>
          </cell>
          <cell r="J1487">
            <v>1.59375E-2</v>
          </cell>
        </row>
        <row r="1488">
          <cell r="A1488" t="str">
            <v>BASICO</v>
          </cell>
          <cell r="B1488" t="str">
            <v>OUX2321</v>
          </cell>
          <cell r="G1488">
            <v>-3832187700</v>
          </cell>
          <cell r="H1488">
            <v>43088.753298611111</v>
          </cell>
          <cell r="I1488">
            <v>43088.765798611108</v>
          </cell>
          <cell r="J1488">
            <v>1.2499999999999999E-2</v>
          </cell>
        </row>
        <row r="1489">
          <cell r="A1489" t="str">
            <v>BASICO</v>
          </cell>
          <cell r="B1489" t="str">
            <v>OUX2321</v>
          </cell>
          <cell r="G1489">
            <v>-3830802200</v>
          </cell>
          <cell r="H1489">
            <v>43088.770648148151</v>
          </cell>
          <cell r="I1489">
            <v>43088.791296296295</v>
          </cell>
          <cell r="J1489">
            <v>2.0648148148148148E-2</v>
          </cell>
        </row>
        <row r="1490">
          <cell r="A1490" t="str">
            <v>BASICO</v>
          </cell>
          <cell r="B1490" t="str">
            <v>OUX2321</v>
          </cell>
          <cell r="G1490">
            <v>-3829256000</v>
          </cell>
          <cell r="H1490">
            <v>43088.808900462966</v>
          </cell>
          <cell r="I1490">
            <v>43088.85837962963</v>
          </cell>
          <cell r="J1490">
            <v>4.9479166666666664E-2</v>
          </cell>
        </row>
        <row r="1491">
          <cell r="A1491" t="str">
            <v>TOUCH</v>
          </cell>
          <cell r="B1491" t="str">
            <v>PKE2278</v>
          </cell>
          <cell r="G1491">
            <v>-3835271200</v>
          </cell>
          <cell r="H1491">
            <v>43088.824131944442</v>
          </cell>
          <cell r="I1491">
            <v>43088.836631944447</v>
          </cell>
          <cell r="J1491">
            <v>1.2499999999999999E-2</v>
          </cell>
        </row>
        <row r="1492">
          <cell r="A1492" t="str">
            <v>TOUCH</v>
          </cell>
          <cell r="B1492" t="str">
            <v>PKE2278</v>
          </cell>
          <cell r="G1492">
            <v>-3835237700</v>
          </cell>
          <cell r="H1492">
            <v>43088.83803240741</v>
          </cell>
          <cell r="I1492">
            <v>43088.892951388887</v>
          </cell>
          <cell r="J1492">
            <v>5.4918981481481478E-2</v>
          </cell>
        </row>
        <row r="1493">
          <cell r="A1493" t="str">
            <v>BASICO</v>
          </cell>
          <cell r="B1493" t="str">
            <v>OUX2321</v>
          </cell>
          <cell r="G1493">
            <v>-3829882500</v>
          </cell>
          <cell r="H1493">
            <v>43088.859976851854</v>
          </cell>
          <cell r="I1493">
            <v>43088.90483796296</v>
          </cell>
          <cell r="J1493">
            <v>4.4861111111111109E-2</v>
          </cell>
        </row>
        <row r="1494">
          <cell r="A1494" t="str">
            <v>TOUCH</v>
          </cell>
          <cell r="B1494" t="str">
            <v>PKE2278</v>
          </cell>
          <cell r="G1494">
            <v>-3835032100</v>
          </cell>
          <cell r="H1494">
            <v>43088.894861111112</v>
          </cell>
          <cell r="I1494">
            <v>43088.908726851849</v>
          </cell>
          <cell r="J1494">
            <v>1.3865740740740739E-2</v>
          </cell>
        </row>
        <row r="1495">
          <cell r="A1495" t="str">
            <v>BASICO</v>
          </cell>
          <cell r="B1495" t="str">
            <v>OUX2321</v>
          </cell>
          <cell r="G1495">
            <v>-3829770000</v>
          </cell>
          <cell r="H1495">
            <v>43088.906678240739</v>
          </cell>
          <cell r="I1495">
            <v>43088.920810185184</v>
          </cell>
          <cell r="J1495">
            <v>1.4131944444444445E-2</v>
          </cell>
        </row>
        <row r="1496">
          <cell r="A1496" t="str">
            <v>TOUCH</v>
          </cell>
          <cell r="B1496" t="str">
            <v>PKE2278</v>
          </cell>
          <cell r="G1496">
            <v>-3835191900</v>
          </cell>
          <cell r="H1496">
            <v>43088.913900462961</v>
          </cell>
          <cell r="I1496">
            <v>43088.939780092594</v>
          </cell>
          <cell r="J1496">
            <v>2.5879629629629627E-2</v>
          </cell>
        </row>
        <row r="1497">
          <cell r="A1497" t="str">
            <v>BASICO</v>
          </cell>
          <cell r="B1497" t="str">
            <v>OUX2321</v>
          </cell>
          <cell r="G1497">
            <v>-3832717100</v>
          </cell>
          <cell r="H1497">
            <v>43088.927858796298</v>
          </cell>
          <cell r="I1497">
            <v>43088.934988425928</v>
          </cell>
          <cell r="J1497">
            <v>7.1296296296296307E-3</v>
          </cell>
        </row>
        <row r="1498">
          <cell r="A1498" t="str">
            <v>BASICO</v>
          </cell>
          <cell r="B1498" t="str">
            <v>OUX2321</v>
          </cell>
          <cell r="G1498">
            <v>-3832523300</v>
          </cell>
          <cell r="H1498">
            <v>43088.941967592589</v>
          </cell>
          <cell r="I1498">
            <v>43088.976319444446</v>
          </cell>
          <cell r="J1498">
            <v>3.4351851851851849E-2</v>
          </cell>
        </row>
        <row r="1499">
          <cell r="A1499" t="str">
            <v>TOUCH</v>
          </cell>
          <cell r="B1499" t="str">
            <v>PKE2278</v>
          </cell>
          <cell r="G1499">
            <v>-3843639400</v>
          </cell>
          <cell r="H1499">
            <v>43088.957268518519</v>
          </cell>
          <cell r="I1499">
            <v>43089.667546296296</v>
          </cell>
          <cell r="J1499">
            <v>0.71027777777777779</v>
          </cell>
        </row>
        <row r="1500">
          <cell r="A1500" t="str">
            <v>BASICO</v>
          </cell>
          <cell r="B1500" t="str">
            <v>OUX2321</v>
          </cell>
          <cell r="G1500">
            <v>-3835596900</v>
          </cell>
          <cell r="H1500">
            <v>43088.986562500002</v>
          </cell>
          <cell r="I1500">
            <v>43089.010833333334</v>
          </cell>
          <cell r="J1500">
            <v>2.4270833333333335E-2</v>
          </cell>
        </row>
        <row r="1501">
          <cell r="A1501" t="str">
            <v>BASICO</v>
          </cell>
          <cell r="B1501" t="str">
            <v>OUX2321</v>
          </cell>
          <cell r="G1501">
            <v>-3832714600</v>
          </cell>
          <cell r="H1501">
            <v>43089.017870370371</v>
          </cell>
          <cell r="I1501">
            <v>43089.291516203702</v>
          </cell>
          <cell r="J1501">
            <v>0.27364583333333331</v>
          </cell>
        </row>
        <row r="1502">
          <cell r="A1502" t="str">
            <v>BASICO</v>
          </cell>
          <cell r="B1502" t="str">
            <v>OUX2321</v>
          </cell>
          <cell r="G1502">
            <v>-3833466300</v>
          </cell>
          <cell r="H1502">
            <v>43089.29415509259</v>
          </cell>
          <cell r="I1502">
            <v>43089.295092592591</v>
          </cell>
          <cell r="J1502">
            <v>9.3750000000000007E-4</v>
          </cell>
        </row>
        <row r="1503">
          <cell r="A1503" t="str">
            <v>BASICO</v>
          </cell>
          <cell r="B1503" t="str">
            <v>OUX2321</v>
          </cell>
          <cell r="G1503">
            <v>-3834547400</v>
          </cell>
          <cell r="H1503">
            <v>43089.30196759259</v>
          </cell>
          <cell r="I1503">
            <v>43089.313460648147</v>
          </cell>
          <cell r="J1503">
            <v>1.1493055555555555E-2</v>
          </cell>
        </row>
        <row r="1504">
          <cell r="A1504" t="str">
            <v>BASICO</v>
          </cell>
          <cell r="B1504" t="str">
            <v>OUX2321</v>
          </cell>
          <cell r="G1504">
            <v>-3833849900</v>
          </cell>
          <cell r="H1504">
            <v>43089.31758101852</v>
          </cell>
          <cell r="I1504">
            <v>43089.32675925926</v>
          </cell>
          <cell r="J1504">
            <v>9.1782407407407403E-3</v>
          </cell>
        </row>
        <row r="1505">
          <cell r="A1505" t="str">
            <v>BASICO</v>
          </cell>
          <cell r="B1505" t="str">
            <v>OUX2321</v>
          </cell>
          <cell r="G1505">
            <v>-3834121100</v>
          </cell>
          <cell r="H1505">
            <v>43089.330891203703</v>
          </cell>
          <cell r="I1505">
            <v>43089.344340277778</v>
          </cell>
          <cell r="J1505">
            <v>1.3449074074074073E-2</v>
          </cell>
        </row>
        <row r="1506">
          <cell r="A1506" t="str">
            <v>BASICO</v>
          </cell>
          <cell r="B1506" t="str">
            <v>OUX2321</v>
          </cell>
          <cell r="G1506">
            <v>-3835618500</v>
          </cell>
          <cell r="H1506">
            <v>43089.352696759262</v>
          </cell>
          <cell r="I1506">
            <v>43089.373414351852</v>
          </cell>
          <cell r="J1506">
            <v>2.071759259259259E-2</v>
          </cell>
        </row>
        <row r="1507">
          <cell r="A1507" t="str">
            <v>BASICO</v>
          </cell>
          <cell r="B1507" t="str">
            <v>OUX2321</v>
          </cell>
          <cell r="G1507">
            <v>-3835275700</v>
          </cell>
          <cell r="H1507">
            <v>43089.378252314818</v>
          </cell>
          <cell r="I1507">
            <v>43089.381226851852</v>
          </cell>
          <cell r="J1507">
            <v>2.9745370370370373E-3</v>
          </cell>
        </row>
        <row r="1508">
          <cell r="A1508" t="str">
            <v>BASICO</v>
          </cell>
          <cell r="B1508" t="str">
            <v>OUX2321</v>
          </cell>
          <cell r="G1508">
            <v>-3835542000</v>
          </cell>
          <cell r="H1508">
            <v>43089.391388888886</v>
          </cell>
          <cell r="I1508">
            <v>43089.415358796294</v>
          </cell>
          <cell r="J1508">
            <v>2.3969907407407409E-2</v>
          </cell>
        </row>
        <row r="1509">
          <cell r="A1509" t="str">
            <v>BASICO</v>
          </cell>
          <cell r="B1509" t="str">
            <v>OUX2321</v>
          </cell>
          <cell r="G1509">
            <v>-3835785200</v>
          </cell>
          <cell r="H1509">
            <v>43089.420694444445</v>
          </cell>
          <cell r="I1509">
            <v>43089.43178240741</v>
          </cell>
          <cell r="J1509">
            <v>1.1087962962962964E-2</v>
          </cell>
        </row>
        <row r="1510">
          <cell r="A1510" t="str">
            <v>BASICO</v>
          </cell>
          <cell r="B1510" t="str">
            <v>OUX2321</v>
          </cell>
          <cell r="G1510">
            <v>-3834922100</v>
          </cell>
          <cell r="H1510">
            <v>43089.437708333331</v>
          </cell>
          <cell r="I1510">
            <v>43089.439004629632</v>
          </cell>
          <cell r="J1510">
            <v>1.2962962962962963E-3</v>
          </cell>
        </row>
        <row r="1511">
          <cell r="A1511" t="str">
            <v>BASICO</v>
          </cell>
          <cell r="B1511" t="str">
            <v>OUX2321</v>
          </cell>
          <cell r="G1511">
            <v>-3832726800</v>
          </cell>
          <cell r="H1511">
            <v>43089.452326388891</v>
          </cell>
          <cell r="I1511">
            <v>43089.456736111111</v>
          </cell>
          <cell r="J1511">
            <v>4.409722222222222E-3</v>
          </cell>
        </row>
        <row r="1512">
          <cell r="A1512" t="str">
            <v>BASICO</v>
          </cell>
          <cell r="B1512" t="str">
            <v>OUX2321</v>
          </cell>
          <cell r="G1512">
            <v>-3833582500</v>
          </cell>
          <cell r="H1512">
            <v>43089.459421296298</v>
          </cell>
          <cell r="I1512">
            <v>43089.516898148147</v>
          </cell>
          <cell r="J1512">
            <v>5.7476851851851855E-2</v>
          </cell>
        </row>
        <row r="1513">
          <cell r="A1513" t="str">
            <v>BASICO</v>
          </cell>
          <cell r="B1513" t="str">
            <v>OUX2321</v>
          </cell>
          <cell r="G1513">
            <v>-3833189900</v>
          </cell>
          <cell r="H1513">
            <v>43089.519884259258</v>
          </cell>
          <cell r="I1513">
            <v>43089.538842592592</v>
          </cell>
          <cell r="J1513">
            <v>1.8958333333333334E-2</v>
          </cell>
        </row>
        <row r="1514">
          <cell r="A1514" t="str">
            <v>BASICO</v>
          </cell>
          <cell r="B1514" t="str">
            <v>OUX2321</v>
          </cell>
          <cell r="G1514">
            <v>-3833599800</v>
          </cell>
          <cell r="H1514">
            <v>43089.542025462964</v>
          </cell>
          <cell r="I1514">
            <v>43089.566377314812</v>
          </cell>
          <cell r="J1514">
            <v>2.4351851851851857E-2</v>
          </cell>
        </row>
        <row r="1515">
          <cell r="A1515" t="str">
            <v>BASICO</v>
          </cell>
          <cell r="B1515" t="str">
            <v>OUX2321</v>
          </cell>
          <cell r="G1515">
            <v>-3835653000</v>
          </cell>
          <cell r="H1515">
            <v>43089.573495370372</v>
          </cell>
          <cell r="I1515">
            <v>43089.590358796297</v>
          </cell>
          <cell r="J1515">
            <v>1.6863425925925928E-2</v>
          </cell>
        </row>
        <row r="1516">
          <cell r="A1516" t="str">
            <v>BASICO</v>
          </cell>
          <cell r="B1516" t="str">
            <v>OUX2321</v>
          </cell>
          <cell r="G1516">
            <v>-3829865200</v>
          </cell>
          <cell r="H1516">
            <v>43089.614247685182</v>
          </cell>
          <cell r="I1516">
            <v>43089.626296296294</v>
          </cell>
          <cell r="J1516">
            <v>1.2048611111111112E-2</v>
          </cell>
        </row>
        <row r="1517">
          <cell r="A1517" t="str">
            <v>BASICO</v>
          </cell>
          <cell r="B1517" t="str">
            <v>OUX2321</v>
          </cell>
          <cell r="G1517">
            <v>-3832720800</v>
          </cell>
          <cell r="H1517">
            <v>43089.637407407405</v>
          </cell>
          <cell r="I1517">
            <v>43089.66511574074</v>
          </cell>
          <cell r="J1517">
            <v>2.7708333333333331E-2</v>
          </cell>
        </row>
        <row r="1518">
          <cell r="A1518" t="str">
            <v>TOUCH</v>
          </cell>
          <cell r="B1518" t="str">
            <v>PKE2278</v>
          </cell>
          <cell r="G1518">
            <v>-3843698500</v>
          </cell>
          <cell r="H1518">
            <v>43089.671203703707</v>
          </cell>
          <cell r="I1518">
            <v>43089.676458333335</v>
          </cell>
          <cell r="J1518">
            <v>5.2546296296296299E-3</v>
          </cell>
        </row>
        <row r="1519">
          <cell r="A1519" t="str">
            <v>BASICO</v>
          </cell>
          <cell r="B1519" t="str">
            <v>OUX2321</v>
          </cell>
          <cell r="G1519">
            <v>-3833483000</v>
          </cell>
          <cell r="H1519">
            <v>43089.672974537039</v>
          </cell>
          <cell r="I1519">
            <v>43089.689155092594</v>
          </cell>
          <cell r="J1519">
            <v>1.6180555555555556E-2</v>
          </cell>
        </row>
        <row r="1520">
          <cell r="A1520" t="str">
            <v>BASICO</v>
          </cell>
          <cell r="B1520" t="str">
            <v>OUX2321</v>
          </cell>
          <cell r="G1520">
            <v>-3833527200</v>
          </cell>
          <cell r="H1520">
            <v>43089.702685185184</v>
          </cell>
          <cell r="I1520">
            <v>43089.711342592593</v>
          </cell>
          <cell r="J1520">
            <v>8.6574074074074071E-3</v>
          </cell>
        </row>
        <row r="1521">
          <cell r="A1521" t="str">
            <v>TOUCH</v>
          </cell>
          <cell r="B1521" t="str">
            <v>PKE2278</v>
          </cell>
          <cell r="G1521">
            <v>-3849878000</v>
          </cell>
          <cell r="H1521">
            <v>43089.70484953704</v>
          </cell>
          <cell r="I1521">
            <v>43089.71</v>
          </cell>
          <cell r="J1521">
            <v>5.1504629629629635E-3</v>
          </cell>
        </row>
        <row r="1522">
          <cell r="A1522" t="str">
            <v>TOUCH</v>
          </cell>
          <cell r="B1522" t="str">
            <v>PKE2278</v>
          </cell>
          <cell r="G1522">
            <v>-3850326500</v>
          </cell>
          <cell r="H1522">
            <v>43089.712673611109</v>
          </cell>
          <cell r="I1522">
            <v>43089.740729166668</v>
          </cell>
          <cell r="J1522">
            <v>2.8055555555555556E-2</v>
          </cell>
        </row>
        <row r="1523">
          <cell r="A1523" t="str">
            <v>BASICO</v>
          </cell>
          <cell r="B1523" t="str">
            <v>OUX2321</v>
          </cell>
          <cell r="G1523">
            <v>-3834880800</v>
          </cell>
          <cell r="H1523">
            <v>43089.731064814812</v>
          </cell>
          <cell r="I1523">
            <v>43089.75582175926</v>
          </cell>
          <cell r="J1523">
            <v>2.4756944444444443E-2</v>
          </cell>
        </row>
        <row r="1524">
          <cell r="A1524" t="str">
            <v>TOUCH</v>
          </cell>
          <cell r="B1524" t="str">
            <v>PKE2278</v>
          </cell>
          <cell r="G1524">
            <v>-3850111200</v>
          </cell>
          <cell r="H1524">
            <v>43089.748124999998</v>
          </cell>
          <cell r="I1524">
            <v>43089.761273148149</v>
          </cell>
          <cell r="J1524">
            <v>1.3148148148148147E-2</v>
          </cell>
        </row>
        <row r="1525">
          <cell r="A1525" t="str">
            <v>TOUCH</v>
          </cell>
          <cell r="B1525" t="str">
            <v>PKE2278</v>
          </cell>
          <cell r="G1525">
            <v>-3849491700</v>
          </cell>
          <cell r="H1525">
            <v>43089.763819444444</v>
          </cell>
          <cell r="I1525">
            <v>43089.795451388891</v>
          </cell>
          <cell r="J1525">
            <v>3.1631944444444442E-2</v>
          </cell>
        </row>
        <row r="1526">
          <cell r="A1526" t="str">
            <v>BASICO</v>
          </cell>
          <cell r="B1526" t="str">
            <v>OUX2321</v>
          </cell>
          <cell r="G1526">
            <v>-3835552800</v>
          </cell>
          <cell r="H1526">
            <v>43089.767291666663</v>
          </cell>
          <cell r="I1526">
            <v>43089.769444444442</v>
          </cell>
          <cell r="J1526">
            <v>2.1527777777777778E-3</v>
          </cell>
        </row>
        <row r="1527">
          <cell r="A1527" t="str">
            <v>BASICO</v>
          </cell>
          <cell r="B1527" t="str">
            <v>OUX2321</v>
          </cell>
          <cell r="G1527">
            <v>-3835201800</v>
          </cell>
          <cell r="H1527">
            <v>43089.77447916667</v>
          </cell>
          <cell r="I1527">
            <v>43089.787326388891</v>
          </cell>
          <cell r="J1527">
            <v>1.2847222222222223E-2</v>
          </cell>
        </row>
        <row r="1528">
          <cell r="A1528" t="str">
            <v>BASICO</v>
          </cell>
          <cell r="B1528" t="str">
            <v>OUX2321</v>
          </cell>
          <cell r="G1528">
            <v>-3834750000</v>
          </cell>
          <cell r="H1528">
            <v>43089.791979166665</v>
          </cell>
          <cell r="I1528">
            <v>43089.797025462962</v>
          </cell>
          <cell r="J1528">
            <v>5.0462962962962961E-3</v>
          </cell>
        </row>
        <row r="1529">
          <cell r="A1529" t="str">
            <v>BASICO</v>
          </cell>
          <cell r="B1529" t="str">
            <v>OUX2321</v>
          </cell>
          <cell r="G1529">
            <v>-3835127000</v>
          </cell>
          <cell r="H1529">
            <v>43089.79960648148</v>
          </cell>
          <cell r="I1529">
            <v>43089.851851851854</v>
          </cell>
          <cell r="J1529">
            <v>5.2245370370370366E-2</v>
          </cell>
        </row>
        <row r="1530">
          <cell r="A1530" t="str">
            <v>TOUCH</v>
          </cell>
          <cell r="B1530" t="str">
            <v>PKE2278</v>
          </cell>
          <cell r="G1530">
            <v>-3850186000</v>
          </cell>
          <cell r="H1530">
            <v>43089.800347222219</v>
          </cell>
          <cell r="I1530">
            <v>43089.857314814813</v>
          </cell>
          <cell r="J1530">
            <v>5.6967592592592597E-2</v>
          </cell>
        </row>
        <row r="1531">
          <cell r="A1531" t="str">
            <v>TOUCH</v>
          </cell>
          <cell r="B1531" t="str">
            <v>PKE2278</v>
          </cell>
          <cell r="G1531">
            <v>-3850530800</v>
          </cell>
          <cell r="H1531">
            <v>43089.859537037039</v>
          </cell>
          <cell r="I1531">
            <v>43089.897106481483</v>
          </cell>
          <cell r="J1531">
            <v>3.7569444444444447E-2</v>
          </cell>
        </row>
        <row r="1532">
          <cell r="A1532" t="str">
            <v>BASICO</v>
          </cell>
          <cell r="B1532" t="str">
            <v>OUX2321</v>
          </cell>
          <cell r="G1532">
            <v>-3831004500</v>
          </cell>
          <cell r="H1532">
            <v>43089.866608796299</v>
          </cell>
          <cell r="I1532">
            <v>43089.896527777775</v>
          </cell>
          <cell r="J1532">
            <v>2.991898148148148E-2</v>
          </cell>
        </row>
        <row r="1533">
          <cell r="A1533" t="str">
            <v>BASICO</v>
          </cell>
          <cell r="B1533" t="str">
            <v>OUX2321</v>
          </cell>
          <cell r="G1533">
            <v>-3831664700</v>
          </cell>
          <cell r="H1533">
            <v>43089.901608796295</v>
          </cell>
          <cell r="I1533">
            <v>43089.902442129627</v>
          </cell>
          <cell r="J1533">
            <v>8.3333333333333339E-4</v>
          </cell>
        </row>
        <row r="1534">
          <cell r="A1534" t="str">
            <v>TOUCH</v>
          </cell>
          <cell r="B1534" t="str">
            <v>PKE2278</v>
          </cell>
          <cell r="G1534">
            <v>-3852200500</v>
          </cell>
          <cell r="H1534">
            <v>43089.904328703706</v>
          </cell>
          <cell r="I1534">
            <v>43089.99019675926</v>
          </cell>
          <cell r="J1534">
            <v>8.5868055555555559E-2</v>
          </cell>
        </row>
        <row r="1535">
          <cell r="A1535" t="str">
            <v>BASICO</v>
          </cell>
          <cell r="B1535" t="str">
            <v>OUX2321</v>
          </cell>
          <cell r="G1535">
            <v>-3832355300</v>
          </cell>
          <cell r="H1535">
            <v>43089.913900462961</v>
          </cell>
          <cell r="I1535">
            <v>43090.017118055555</v>
          </cell>
          <cell r="J1535">
            <v>0.1032175925925926</v>
          </cell>
        </row>
        <row r="1536">
          <cell r="A1536" t="str">
            <v>TOUCH</v>
          </cell>
          <cell r="B1536" t="str">
            <v>PKE2278</v>
          </cell>
          <cell r="G1536">
            <v>-3852139600</v>
          </cell>
          <cell r="H1536">
            <v>43089.992685185185</v>
          </cell>
          <cell r="I1536">
            <v>43090.091481481482</v>
          </cell>
          <cell r="J1536">
            <v>9.8796296296296285E-2</v>
          </cell>
        </row>
        <row r="1537">
          <cell r="A1537" t="str">
            <v>BASICO</v>
          </cell>
          <cell r="B1537" t="str">
            <v>OUX2321</v>
          </cell>
          <cell r="G1537">
            <v>-3832712500</v>
          </cell>
          <cell r="H1537">
            <v>43090.021261574075</v>
          </cell>
          <cell r="I1537">
            <v>43090.681250000001</v>
          </cell>
          <cell r="J1537">
            <v>0.65998842592592599</v>
          </cell>
        </row>
        <row r="1538">
          <cell r="A1538" t="str">
            <v>TOUCH</v>
          </cell>
          <cell r="B1538" t="str">
            <v>PKE2278</v>
          </cell>
          <cell r="G1538">
            <v>-3850534100</v>
          </cell>
          <cell r="H1538">
            <v>43090.100821759261</v>
          </cell>
          <cell r="I1538">
            <v>43090.112303240741</v>
          </cell>
          <cell r="J1538">
            <v>1.1481481481481483E-2</v>
          </cell>
        </row>
        <row r="1539">
          <cell r="A1539" t="str">
            <v>TOUCH</v>
          </cell>
          <cell r="B1539" t="str">
            <v>PKE2278</v>
          </cell>
          <cell r="G1539">
            <v>-3843648700</v>
          </cell>
          <cell r="H1539">
            <v>43090.128310185188</v>
          </cell>
          <cell r="I1539">
            <v>43090.731782407405</v>
          </cell>
          <cell r="J1539">
            <v>0.60347222222222219</v>
          </cell>
        </row>
        <row r="1540">
          <cell r="A1540" t="str">
            <v>BASICO</v>
          </cell>
          <cell r="B1540" t="str">
            <v>OUX2321</v>
          </cell>
          <cell r="G1540">
            <v>-3835292200</v>
          </cell>
          <cell r="H1540">
            <v>43090.689039351855</v>
          </cell>
          <cell r="I1540">
            <v>43090.696087962962</v>
          </cell>
          <cell r="J1540">
            <v>7.0486111111111105E-3</v>
          </cell>
        </row>
        <row r="1541">
          <cell r="A1541" t="str">
            <v>BASICO</v>
          </cell>
          <cell r="B1541" t="str">
            <v>OUX2321</v>
          </cell>
          <cell r="G1541">
            <v>-3832713200</v>
          </cell>
          <cell r="H1541">
            <v>43090.735914351855</v>
          </cell>
          <cell r="I1541">
            <v>43090.825520833336</v>
          </cell>
          <cell r="J1541">
            <v>8.9606481481481481E-2</v>
          </cell>
        </row>
        <row r="1542">
          <cell r="A1542" t="str">
            <v>TOUCH</v>
          </cell>
          <cell r="B1542" t="str">
            <v>PKE2278</v>
          </cell>
          <cell r="G1542">
            <v>-3849524600</v>
          </cell>
          <cell r="H1542">
            <v>43090.758344907408</v>
          </cell>
          <cell r="I1542">
            <v>43090.813402777778</v>
          </cell>
          <cell r="J1542">
            <v>5.5057870370370375E-2</v>
          </cell>
        </row>
        <row r="1543">
          <cell r="A1543" t="str">
            <v>TOUCH</v>
          </cell>
          <cell r="B1543" t="str">
            <v>PKE2278</v>
          </cell>
          <cell r="G1543">
            <v>-3849429500</v>
          </cell>
          <cell r="H1543">
            <v>43090.815393518518</v>
          </cell>
          <cell r="I1543">
            <v>43090.854039351849</v>
          </cell>
          <cell r="J1543">
            <v>3.8645833333333331E-2</v>
          </cell>
        </row>
        <row r="1544">
          <cell r="A1544" t="str">
            <v>BASICO</v>
          </cell>
          <cell r="B1544" t="str">
            <v>OUX2321</v>
          </cell>
          <cell r="G1544">
            <v>-3832332000</v>
          </cell>
          <cell r="H1544">
            <v>43090.829687500001</v>
          </cell>
          <cell r="I1544">
            <v>43090.869421296295</v>
          </cell>
          <cell r="J1544">
            <v>3.9733796296296302E-2</v>
          </cell>
        </row>
        <row r="1545">
          <cell r="A1545" t="str">
            <v>TOUCH</v>
          </cell>
          <cell r="B1545" t="str">
            <v>PKE2278</v>
          </cell>
          <cell r="G1545">
            <v>-3849737100</v>
          </cell>
          <cell r="H1545">
            <v>43090.85560185185</v>
          </cell>
          <cell r="I1545">
            <v>43090.861226851855</v>
          </cell>
          <cell r="J1545">
            <v>5.6249999999999989E-3</v>
          </cell>
        </row>
        <row r="1546">
          <cell r="A1546" t="str">
            <v>TOUCH</v>
          </cell>
          <cell r="B1546" t="str">
            <v>PKE2278</v>
          </cell>
          <cell r="G1546">
            <v>-3850633900</v>
          </cell>
          <cell r="H1546">
            <v>43090.868831018517</v>
          </cell>
          <cell r="I1546">
            <v>43090.96435185185</v>
          </cell>
          <cell r="J1546">
            <v>9.5520833333333333E-2</v>
          </cell>
        </row>
        <row r="1547">
          <cell r="A1547" t="str">
            <v>BASICO</v>
          </cell>
          <cell r="B1547" t="str">
            <v>OUX2321</v>
          </cell>
          <cell r="G1547">
            <v>-3829850000</v>
          </cell>
          <cell r="H1547">
            <v>43090.880532407406</v>
          </cell>
          <cell r="I1547">
            <v>43090.94021990741</v>
          </cell>
          <cell r="J1547">
            <v>5.9687500000000004E-2</v>
          </cell>
        </row>
        <row r="1548">
          <cell r="A1548" t="str">
            <v>BASICO</v>
          </cell>
          <cell r="B1548" t="str">
            <v>OUX2321</v>
          </cell>
          <cell r="G1548">
            <v>-3830015400</v>
          </cell>
          <cell r="H1548">
            <v>43090.943506944444</v>
          </cell>
          <cell r="I1548">
            <v>43090.97351851852</v>
          </cell>
          <cell r="J1548">
            <v>3.0011574074074076E-2</v>
          </cell>
        </row>
        <row r="1549">
          <cell r="A1549" t="str">
            <v>TOUCH</v>
          </cell>
          <cell r="B1549" t="str">
            <v>PKE2278</v>
          </cell>
          <cell r="G1549">
            <v>-3850505700</v>
          </cell>
          <cell r="H1549">
            <v>43090.966574074075</v>
          </cell>
          <cell r="I1549">
            <v>43090.990914351853</v>
          </cell>
          <cell r="J1549">
            <v>2.4340277777777777E-2</v>
          </cell>
        </row>
        <row r="1550">
          <cell r="A1550" t="str">
            <v>BASICO</v>
          </cell>
          <cell r="B1550" t="str">
            <v>OUX2321</v>
          </cell>
          <cell r="G1550">
            <v>-3832525800</v>
          </cell>
          <cell r="H1550">
            <v>43090.981400462966</v>
          </cell>
          <cell r="I1550">
            <v>43091.007592592592</v>
          </cell>
          <cell r="J1550">
            <v>2.6192129629629631E-2</v>
          </cell>
        </row>
        <row r="1551">
          <cell r="A1551" t="str">
            <v>TOUCH</v>
          </cell>
          <cell r="B1551" t="str">
            <v>PKE2278</v>
          </cell>
          <cell r="G1551">
            <v>-3843655200</v>
          </cell>
          <cell r="H1551">
            <v>43091.007303240738</v>
          </cell>
          <cell r="I1551">
            <v>43091.457245370373</v>
          </cell>
          <cell r="J1551">
            <v>0.44994212962962959</v>
          </cell>
        </row>
        <row r="1552">
          <cell r="A1552" t="str">
            <v>BASICO</v>
          </cell>
          <cell r="B1552" t="str">
            <v>OUX2321</v>
          </cell>
          <cell r="G1552">
            <v>-3832708200</v>
          </cell>
          <cell r="H1552">
            <v>43091.012615740743</v>
          </cell>
          <cell r="I1552">
            <v>43091.672546296293</v>
          </cell>
          <cell r="J1552">
            <v>0.65993055555555558</v>
          </cell>
        </row>
        <row r="1553">
          <cell r="A1553" t="str">
            <v>TOUCH</v>
          </cell>
          <cell r="B1553" t="str">
            <v>PKE2278</v>
          </cell>
          <cell r="G1553">
            <v>-3845480900</v>
          </cell>
          <cell r="H1553">
            <v>43091.473530092589</v>
          </cell>
          <cell r="I1553">
            <v>43091.510185185187</v>
          </cell>
          <cell r="J1553">
            <v>3.6655092592592593E-2</v>
          </cell>
        </row>
        <row r="1554">
          <cell r="A1554" t="str">
            <v>TOUCH</v>
          </cell>
          <cell r="B1554" t="str">
            <v>PKE2278</v>
          </cell>
          <cell r="G1554">
            <v>-3845774700</v>
          </cell>
          <cell r="H1554">
            <v>43091.515324074076</v>
          </cell>
          <cell r="I1554">
            <v>43091.518171296295</v>
          </cell>
          <cell r="J1554">
            <v>2.8472222222222219E-3</v>
          </cell>
        </row>
        <row r="1555">
          <cell r="A1555" t="str">
            <v>TOUCH</v>
          </cell>
          <cell r="B1555" t="str">
            <v>PKE2278</v>
          </cell>
          <cell r="G1555">
            <v>-3847370200</v>
          </cell>
          <cell r="H1555">
            <v>43091.524872685186</v>
          </cell>
          <cell r="I1555">
            <v>43091.5469212963</v>
          </cell>
          <cell r="J1555">
            <v>2.2048611111111113E-2</v>
          </cell>
        </row>
        <row r="1556">
          <cell r="A1556" t="str">
            <v>TOUCH</v>
          </cell>
          <cell r="B1556" t="str">
            <v>PKE2278</v>
          </cell>
          <cell r="G1556">
            <v>-3843641200</v>
          </cell>
          <cell r="H1556">
            <v>43091.574560185189</v>
          </cell>
          <cell r="I1556">
            <v>43091.761423611111</v>
          </cell>
          <cell r="J1556">
            <v>0.18686342592592595</v>
          </cell>
        </row>
        <row r="1557">
          <cell r="A1557" t="str">
            <v>BASICO</v>
          </cell>
          <cell r="B1557" t="str">
            <v>OUX2321</v>
          </cell>
          <cell r="G1557">
            <v>-3832956300</v>
          </cell>
          <cell r="H1557">
            <v>43091.676921296297</v>
          </cell>
          <cell r="I1557">
            <v>43091.687395833331</v>
          </cell>
          <cell r="J1557">
            <v>1.0474537037037037E-2</v>
          </cell>
        </row>
        <row r="1558">
          <cell r="A1558" t="str">
            <v>BASICO</v>
          </cell>
          <cell r="B1558" t="str">
            <v>OUX2321</v>
          </cell>
          <cell r="G1558">
            <v>-3832499800</v>
          </cell>
          <cell r="H1558">
            <v>43091.694201388891</v>
          </cell>
          <cell r="I1558">
            <v>43091.773217592592</v>
          </cell>
          <cell r="J1558">
            <v>7.90162037037037E-2</v>
          </cell>
        </row>
        <row r="1559">
          <cell r="A1559" t="str">
            <v>TOUCH</v>
          </cell>
          <cell r="B1559" t="str">
            <v>PKE2278</v>
          </cell>
          <cell r="G1559">
            <v>-3843700900</v>
          </cell>
          <cell r="H1559">
            <v>43091.764687499999</v>
          </cell>
          <cell r="I1559">
            <v>43091.768784722219</v>
          </cell>
          <cell r="J1559">
            <v>4.0972222222222226E-3</v>
          </cell>
        </row>
        <row r="1560">
          <cell r="A1560" t="str">
            <v>BASICO</v>
          </cell>
          <cell r="B1560" t="str">
            <v>OUX2321</v>
          </cell>
          <cell r="G1560">
            <v>-3832497500</v>
          </cell>
          <cell r="H1560">
            <v>43091.775231481479</v>
          </cell>
          <cell r="I1560">
            <v>43091.859675925924</v>
          </cell>
          <cell r="J1560">
            <v>8.4444444444444447E-2</v>
          </cell>
        </row>
        <row r="1561">
          <cell r="A1561" t="str">
            <v>TOUCH</v>
          </cell>
          <cell r="B1561" t="str">
            <v>PKE2278</v>
          </cell>
          <cell r="G1561">
            <v>-3848705000</v>
          </cell>
          <cell r="H1561">
            <v>43091.788819444446</v>
          </cell>
          <cell r="I1561">
            <v>43091.79173611111</v>
          </cell>
          <cell r="J1561">
            <v>2.9166666666666668E-3</v>
          </cell>
        </row>
        <row r="1562">
          <cell r="A1562" t="str">
            <v>TOUCH</v>
          </cell>
          <cell r="B1562" t="str">
            <v>PKE2278</v>
          </cell>
          <cell r="G1562">
            <v>-3850414400</v>
          </cell>
          <cell r="H1562">
            <v>43091.805659722224</v>
          </cell>
          <cell r="I1562">
            <v>43091.823333333334</v>
          </cell>
          <cell r="J1562">
            <v>1.7673611111111109E-2</v>
          </cell>
        </row>
        <row r="1563">
          <cell r="A1563" t="str">
            <v>TOUCH</v>
          </cell>
          <cell r="B1563" t="str">
            <v>PKE2278</v>
          </cell>
          <cell r="G1563">
            <v>-3848311800</v>
          </cell>
          <cell r="H1563">
            <v>43091.864571759259</v>
          </cell>
          <cell r="I1563">
            <v>43091.895208333335</v>
          </cell>
          <cell r="J1563">
            <v>3.0636574074074076E-2</v>
          </cell>
        </row>
        <row r="1564">
          <cell r="A1564" t="str">
            <v>BASICO</v>
          </cell>
          <cell r="B1564" t="str">
            <v>OUX2321</v>
          </cell>
          <cell r="G1564">
            <v>-3830588600</v>
          </cell>
          <cell r="H1564">
            <v>43091.867731481485</v>
          </cell>
          <cell r="I1564">
            <v>43091.878599537034</v>
          </cell>
          <cell r="J1564">
            <v>1.0868055555555556E-2</v>
          </cell>
        </row>
        <row r="1565">
          <cell r="A1565" t="str">
            <v>BASICO</v>
          </cell>
          <cell r="B1565" t="str">
            <v>OUX2321</v>
          </cell>
          <cell r="G1565">
            <v>-3832971700</v>
          </cell>
          <cell r="H1565">
            <v>43091.895925925928</v>
          </cell>
          <cell r="I1565">
            <v>43091.901863425926</v>
          </cell>
          <cell r="J1565">
            <v>5.9375000000000009E-3</v>
          </cell>
        </row>
        <row r="1566">
          <cell r="A1566" t="str">
            <v>TOUCH</v>
          </cell>
          <cell r="B1566" t="str">
            <v>PKE2278</v>
          </cell>
          <cell r="G1566">
            <v>-3847988800</v>
          </cell>
          <cell r="H1566">
            <v>43091.896631944444</v>
          </cell>
          <cell r="I1566">
            <v>43091.913182870368</v>
          </cell>
          <cell r="J1566">
            <v>1.6550925925925924E-2</v>
          </cell>
        </row>
        <row r="1567">
          <cell r="A1567" t="str">
            <v>BASICO</v>
          </cell>
          <cell r="B1567" t="str">
            <v>OUX2321</v>
          </cell>
          <cell r="G1567">
            <v>-3832486000</v>
          </cell>
          <cell r="H1567">
            <v>43091.914641203701</v>
          </cell>
          <cell r="I1567">
            <v>43091.939085648148</v>
          </cell>
          <cell r="J1567">
            <v>2.4444444444444446E-2</v>
          </cell>
        </row>
        <row r="1568">
          <cell r="A1568" t="str">
            <v>TOUCH</v>
          </cell>
          <cell r="B1568" t="str">
            <v>PKE2278</v>
          </cell>
          <cell r="G1568">
            <v>-3848064500</v>
          </cell>
          <cell r="H1568">
            <v>43091.918668981481</v>
          </cell>
          <cell r="I1568">
            <v>43091.922696759262</v>
          </cell>
          <cell r="J1568">
            <v>4.0277777777777777E-3</v>
          </cell>
        </row>
        <row r="1569">
          <cell r="A1569" t="str">
            <v>TOUCH</v>
          </cell>
          <cell r="B1569" t="str">
            <v>PKE2278</v>
          </cell>
          <cell r="G1569">
            <v>-3852216700</v>
          </cell>
          <cell r="H1569">
            <v>43091.944814814815</v>
          </cell>
          <cell r="I1569">
            <v>43091.997349537036</v>
          </cell>
          <cell r="J1569">
            <v>5.2534722222222219E-2</v>
          </cell>
        </row>
        <row r="1570">
          <cell r="A1570" t="str">
            <v>BASICO</v>
          </cell>
          <cell r="B1570" t="str">
            <v>OUX2321</v>
          </cell>
          <cell r="G1570">
            <v>-3829304800</v>
          </cell>
          <cell r="H1570">
            <v>43091.952002314814</v>
          </cell>
          <cell r="I1570">
            <v>43091.977141203701</v>
          </cell>
          <cell r="J1570">
            <v>2.5138888888888891E-2</v>
          </cell>
        </row>
        <row r="1571">
          <cell r="A1571" t="str">
            <v>BASICO</v>
          </cell>
          <cell r="B1571" t="str">
            <v>OUX2321</v>
          </cell>
          <cell r="G1571">
            <v>-3828219700</v>
          </cell>
          <cell r="H1571">
            <v>43091.988425925927</v>
          </cell>
          <cell r="I1571">
            <v>43092.205439814818</v>
          </cell>
          <cell r="J1571">
            <v>0.21701388888888887</v>
          </cell>
        </row>
        <row r="1572">
          <cell r="A1572" t="str">
            <v>TOUCH</v>
          </cell>
          <cell r="B1572" t="str">
            <v>PKE2278</v>
          </cell>
          <cell r="G1572">
            <v>-3852170600</v>
          </cell>
          <cell r="H1572">
            <v>43091.999641203707</v>
          </cell>
          <cell r="I1572">
            <v>43092.024953703702</v>
          </cell>
          <cell r="J1572">
            <v>2.5312500000000002E-2</v>
          </cell>
        </row>
        <row r="1573">
          <cell r="A1573" t="str">
            <v>TOUCH</v>
          </cell>
          <cell r="B1573" t="str">
            <v>PKE2278</v>
          </cell>
          <cell r="G1573">
            <v>-3843633100</v>
          </cell>
          <cell r="H1573">
            <v>43092.039259259262</v>
          </cell>
          <cell r="I1573">
            <v>43092.382152777776</v>
          </cell>
          <cell r="J1573">
            <v>0.34289351851851851</v>
          </cell>
        </row>
        <row r="1574">
          <cell r="A1574" t="str">
            <v>BASICO</v>
          </cell>
          <cell r="B1574" t="str">
            <v>OUX2321</v>
          </cell>
          <cell r="G1574">
            <v>-3832096500</v>
          </cell>
          <cell r="H1574">
            <v>43092.215127314812</v>
          </cell>
          <cell r="I1574">
            <v>43092.21638888889</v>
          </cell>
          <cell r="J1574">
            <v>1.261574074074074E-3</v>
          </cell>
        </row>
        <row r="1575">
          <cell r="A1575" t="str">
            <v>BASICO</v>
          </cell>
          <cell r="B1575" t="str">
            <v>OUX2321</v>
          </cell>
          <cell r="G1575">
            <v>-3832712000</v>
          </cell>
          <cell r="H1575">
            <v>43092.222222222219</v>
          </cell>
          <cell r="I1575">
            <v>43095.279398148145</v>
          </cell>
          <cell r="J1575" t="str">
            <v>3 D 01:22:20</v>
          </cell>
        </row>
        <row r="1576">
          <cell r="A1576" t="str">
            <v>TOUCH</v>
          </cell>
          <cell r="B1576" t="str">
            <v>PKE2278</v>
          </cell>
          <cell r="G1576">
            <v>-3850376200</v>
          </cell>
          <cell r="H1576">
            <v>43092.405868055554</v>
          </cell>
          <cell r="I1576">
            <v>43092.893703703703</v>
          </cell>
          <cell r="J1576">
            <v>0.48783564814814812</v>
          </cell>
        </row>
        <row r="1577">
          <cell r="A1577" t="str">
            <v>TOUCH</v>
          </cell>
          <cell r="B1577" t="str">
            <v>PKE2278</v>
          </cell>
          <cell r="G1577">
            <v>-3843650900</v>
          </cell>
          <cell r="H1577">
            <v>43092.907569444447</v>
          </cell>
          <cell r="I1577">
            <v>43093.726041666669</v>
          </cell>
          <cell r="J1577">
            <v>0.81847222222222227</v>
          </cell>
        </row>
        <row r="1578">
          <cell r="A1578" t="str">
            <v>TOUCH</v>
          </cell>
          <cell r="B1578" t="str">
            <v>PKE2278</v>
          </cell>
          <cell r="G1578">
            <v>-3843710700</v>
          </cell>
          <cell r="H1578">
            <v>43093.729131944441</v>
          </cell>
          <cell r="I1578">
            <v>43093.742048611108</v>
          </cell>
          <cell r="J1578">
            <v>1.2916666666666667E-2</v>
          </cell>
        </row>
        <row r="1579">
          <cell r="A1579" t="str">
            <v>TOUCH</v>
          </cell>
          <cell r="B1579" t="str">
            <v>PKE2278</v>
          </cell>
          <cell r="G1579">
            <v>-3850577100</v>
          </cell>
          <cell r="H1579">
            <v>43093.755520833336</v>
          </cell>
          <cell r="I1579">
            <v>43093.782708333332</v>
          </cell>
          <cell r="J1579">
            <v>2.71875E-2</v>
          </cell>
        </row>
        <row r="1580">
          <cell r="A1580" t="str">
            <v>TOUCH</v>
          </cell>
          <cell r="B1580" t="str">
            <v>PKE2278</v>
          </cell>
          <cell r="G1580">
            <v>-3850339600</v>
          </cell>
          <cell r="H1580">
            <v>43093.797465277778</v>
          </cell>
          <cell r="I1580">
            <v>43093.79923611111</v>
          </cell>
          <cell r="J1580">
            <v>1.7708333333333332E-3</v>
          </cell>
        </row>
        <row r="1581">
          <cell r="A1581" t="str">
            <v>TOUCH</v>
          </cell>
          <cell r="B1581" t="str">
            <v>PKE2278</v>
          </cell>
          <cell r="G1581">
            <v>-3850385200</v>
          </cell>
          <cell r="H1581">
            <v>43093.8046875</v>
          </cell>
          <cell r="I1581">
            <v>43093.862638888888</v>
          </cell>
          <cell r="J1581">
            <v>5.7951388888888893E-2</v>
          </cell>
        </row>
        <row r="1582">
          <cell r="A1582" t="str">
            <v>TOUCH</v>
          </cell>
          <cell r="B1582" t="str">
            <v>PKE2278</v>
          </cell>
          <cell r="G1582">
            <v>-3851478500</v>
          </cell>
          <cell r="H1582">
            <v>43093.869201388887</v>
          </cell>
          <cell r="I1582">
            <v>43094.001250000001</v>
          </cell>
          <cell r="J1582">
            <v>0.1320486111111111</v>
          </cell>
        </row>
        <row r="1583">
          <cell r="A1583" t="str">
            <v>TOUCH</v>
          </cell>
          <cell r="B1583" t="str">
            <v>PKE2278</v>
          </cell>
          <cell r="G1583">
            <v>-3851004700</v>
          </cell>
          <cell r="H1583">
            <v>43094.003055555557</v>
          </cell>
          <cell r="I1583">
            <v>43094.047372685185</v>
          </cell>
          <cell r="J1583">
            <v>4.431712962962963E-2</v>
          </cell>
        </row>
        <row r="1584">
          <cell r="A1584" t="str">
            <v>TOUCH</v>
          </cell>
          <cell r="B1584" t="str">
            <v>PKE2278</v>
          </cell>
          <cell r="G1584">
            <v>-3843491100</v>
          </cell>
          <cell r="H1584">
            <v>43094.058865740742</v>
          </cell>
          <cell r="I1584">
            <v>43094.094444444447</v>
          </cell>
          <cell r="J1584">
            <v>3.5578703703703703E-2</v>
          </cell>
        </row>
        <row r="1585">
          <cell r="A1585" t="str">
            <v>TOUCH</v>
          </cell>
          <cell r="B1585" t="str">
            <v>PKE2278</v>
          </cell>
          <cell r="G1585">
            <v>-3843382700</v>
          </cell>
          <cell r="H1585">
            <v>43094.096805555557</v>
          </cell>
          <cell r="I1585">
            <v>43094.123923611114</v>
          </cell>
          <cell r="J1585">
            <v>2.7118055555555552E-2</v>
          </cell>
        </row>
        <row r="1586">
          <cell r="A1586" t="str">
            <v>TOUCH</v>
          </cell>
          <cell r="B1586" t="str">
            <v>PKE2278</v>
          </cell>
          <cell r="G1586">
            <v>-3843488500</v>
          </cell>
          <cell r="H1586">
            <v>43094.127083333333</v>
          </cell>
          <cell r="I1586">
            <v>43094.146944444445</v>
          </cell>
          <cell r="J1586">
            <v>1.9861111111111111E-2</v>
          </cell>
        </row>
        <row r="1587">
          <cell r="A1587" t="str">
            <v>TOUCH</v>
          </cell>
          <cell r="B1587" t="str">
            <v>PKE2278</v>
          </cell>
          <cell r="G1587">
            <v>-3846146400</v>
          </cell>
          <cell r="H1587">
            <v>43094.155590277776</v>
          </cell>
          <cell r="I1587">
            <v>43094.172083333331</v>
          </cell>
          <cell r="J1587">
            <v>1.6493055555555556E-2</v>
          </cell>
        </row>
        <row r="1588">
          <cell r="A1588" t="str">
            <v>TOUCH</v>
          </cell>
          <cell r="B1588" t="str">
            <v>PKE2278</v>
          </cell>
          <cell r="G1588">
            <v>-3843647600</v>
          </cell>
          <cell r="H1588">
            <v>43094.181076388886</v>
          </cell>
          <cell r="I1588">
            <v>43094.735335648147</v>
          </cell>
          <cell r="J1588">
            <v>0.55425925925925923</v>
          </cell>
        </row>
        <row r="1589">
          <cell r="A1589" t="str">
            <v>TOUCH</v>
          </cell>
          <cell r="B1589" t="str">
            <v>PKE2278</v>
          </cell>
          <cell r="G1589">
            <v>-3850391500</v>
          </cell>
          <cell r="H1589">
            <v>43094.748807870368</v>
          </cell>
          <cell r="I1589">
            <v>43094.782349537039</v>
          </cell>
          <cell r="J1589">
            <v>3.3541666666666664E-2</v>
          </cell>
        </row>
        <row r="1590">
          <cell r="A1590" t="str">
            <v>TOUCH</v>
          </cell>
          <cell r="B1590" t="str">
            <v>PKE2278</v>
          </cell>
          <cell r="G1590">
            <v>-3849100800</v>
          </cell>
          <cell r="H1590">
            <v>43094.799861111111</v>
          </cell>
          <cell r="I1590">
            <v>43094.93372685185</v>
          </cell>
          <cell r="J1590">
            <v>0.13386574074074073</v>
          </cell>
        </row>
        <row r="1591">
          <cell r="A1591" t="str">
            <v>TOUCH</v>
          </cell>
          <cell r="B1591" t="str">
            <v>PKE2278</v>
          </cell>
          <cell r="G1591">
            <v>-3847205500</v>
          </cell>
          <cell r="H1591">
            <v>43094.949456018519</v>
          </cell>
          <cell r="I1591">
            <v>43095.011608796296</v>
          </cell>
          <cell r="J1591">
            <v>6.2152777777777779E-2</v>
          </cell>
        </row>
        <row r="1592">
          <cell r="A1592" t="str">
            <v>TOUCH</v>
          </cell>
          <cell r="B1592" t="str">
            <v>PKE2278</v>
          </cell>
          <cell r="G1592">
            <v>-3850535700</v>
          </cell>
          <cell r="H1592">
            <v>43095.023275462961</v>
          </cell>
          <cell r="I1592">
            <v>43095.038761574076</v>
          </cell>
          <cell r="J1592">
            <v>1.5486111111111112E-2</v>
          </cell>
        </row>
        <row r="1593">
          <cell r="A1593" t="str">
            <v>TOUCH</v>
          </cell>
          <cell r="B1593" t="str">
            <v>PKE2278</v>
          </cell>
          <cell r="G1593">
            <v>-3850272400</v>
          </cell>
          <cell r="H1593">
            <v>43095.043935185182</v>
          </cell>
          <cell r="I1593">
            <v>43095.062719907408</v>
          </cell>
          <cell r="J1593">
            <v>1.8784722222222223E-2</v>
          </cell>
        </row>
        <row r="1594">
          <cell r="A1594" t="str">
            <v>TOUCH</v>
          </cell>
          <cell r="B1594" t="str">
            <v>PKE2278</v>
          </cell>
          <cell r="G1594">
            <v>-3851449200</v>
          </cell>
          <cell r="H1594">
            <v>43095.072164351855</v>
          </cell>
          <cell r="I1594">
            <v>43095.091261574074</v>
          </cell>
          <cell r="J1594">
            <v>1.909722222222222E-2</v>
          </cell>
        </row>
        <row r="1595">
          <cell r="A1595" t="str">
            <v>TOUCH</v>
          </cell>
          <cell r="B1595" t="str">
            <v>PKE2278</v>
          </cell>
          <cell r="G1595">
            <v>-3849719000</v>
          </cell>
          <cell r="H1595">
            <v>43095.102754629632</v>
          </cell>
          <cell r="I1595">
            <v>43095.121724537035</v>
          </cell>
          <cell r="J1595">
            <v>1.8969907407407408E-2</v>
          </cell>
        </row>
        <row r="1596">
          <cell r="A1596" t="str">
            <v>TOUCH</v>
          </cell>
          <cell r="B1596" t="str">
            <v>PKE2278</v>
          </cell>
          <cell r="G1596">
            <v>-3843648000</v>
          </cell>
          <cell r="H1596">
            <v>43095.133900462963</v>
          </cell>
          <cell r="I1596">
            <v>43095.709108796298</v>
          </cell>
          <cell r="J1596">
            <v>0.57520833333333332</v>
          </cell>
        </row>
        <row r="1597">
          <cell r="A1597" t="str">
            <v>BASICO</v>
          </cell>
          <cell r="B1597" t="str">
            <v>OUX2321</v>
          </cell>
          <cell r="G1597">
            <v>-3829311200</v>
          </cell>
          <cell r="H1597">
            <v>43095.291215277779</v>
          </cell>
          <cell r="I1597">
            <v>43095.300833333335</v>
          </cell>
          <cell r="J1597">
            <v>9.618055555555555E-3</v>
          </cell>
        </row>
        <row r="1598">
          <cell r="A1598" t="str">
            <v>BASICO</v>
          </cell>
          <cell r="B1598" t="str">
            <v>OUX2321</v>
          </cell>
          <cell r="G1598">
            <v>-3830592400</v>
          </cell>
          <cell r="H1598">
            <v>43095.308819444443</v>
          </cell>
          <cell r="I1598">
            <v>43095.315648148149</v>
          </cell>
          <cell r="J1598">
            <v>6.828703703703704E-3</v>
          </cell>
        </row>
        <row r="1599">
          <cell r="A1599" t="str">
            <v>BASICO</v>
          </cell>
          <cell r="B1599" t="str">
            <v>OUX2321</v>
          </cell>
          <cell r="G1599">
            <v>-3831122300</v>
          </cell>
          <cell r="H1599">
            <v>43095.325613425928</v>
          </cell>
          <cell r="I1599">
            <v>43095.327245370368</v>
          </cell>
          <cell r="J1599">
            <v>1.6319444444444445E-3</v>
          </cell>
        </row>
        <row r="1600">
          <cell r="A1600" t="str">
            <v>BASICO</v>
          </cell>
          <cell r="B1600" t="str">
            <v>OUX2321</v>
          </cell>
          <cell r="G1600">
            <v>-3832479600</v>
          </cell>
          <cell r="H1600">
            <v>43095.334502314814</v>
          </cell>
          <cell r="I1600">
            <v>43095.345972222225</v>
          </cell>
          <cell r="J1600">
            <v>1.1469907407407408E-2</v>
          </cell>
        </row>
        <row r="1601">
          <cell r="A1601" t="str">
            <v>BASICO</v>
          </cell>
          <cell r="B1601" t="str">
            <v>OUX2321</v>
          </cell>
          <cell r="G1601">
            <v>-3832489300</v>
          </cell>
          <cell r="H1601">
            <v>43095.356562499997</v>
          </cell>
          <cell r="I1601">
            <v>43095.365405092591</v>
          </cell>
          <cell r="J1601">
            <v>8.8425925925925911E-3</v>
          </cell>
        </row>
        <row r="1602">
          <cell r="A1602" t="str">
            <v>BASICO</v>
          </cell>
          <cell r="B1602" t="str">
            <v>OUX2321</v>
          </cell>
          <cell r="G1602">
            <v>-3835093000</v>
          </cell>
          <cell r="H1602">
            <v>43095.388020833336</v>
          </cell>
          <cell r="I1602">
            <v>43095.403680555559</v>
          </cell>
          <cell r="J1602">
            <v>1.5659722222222224E-2</v>
          </cell>
        </row>
        <row r="1603">
          <cell r="A1603" t="str">
            <v>BASICO</v>
          </cell>
          <cell r="B1603" t="str">
            <v>OUX2321</v>
          </cell>
          <cell r="G1603">
            <v>-3832918800</v>
          </cell>
          <cell r="H1603">
            <v>43095.415868055556</v>
          </cell>
          <cell r="I1603">
            <v>43095.426099537035</v>
          </cell>
          <cell r="J1603">
            <v>1.0231481481481482E-2</v>
          </cell>
        </row>
        <row r="1604">
          <cell r="A1604" t="str">
            <v>BASICO</v>
          </cell>
          <cell r="B1604" t="str">
            <v>OUX2321</v>
          </cell>
          <cell r="G1604">
            <v>-3832643500</v>
          </cell>
          <cell r="H1604">
            <v>43095.429166666669</v>
          </cell>
          <cell r="I1604">
            <v>43095.431493055556</v>
          </cell>
          <cell r="J1604">
            <v>2.3263888888888887E-3</v>
          </cell>
        </row>
        <row r="1605">
          <cell r="A1605" t="str">
            <v>BASICO</v>
          </cell>
          <cell r="B1605" t="str">
            <v>OUX2321</v>
          </cell>
          <cell r="G1605">
            <v>-3832708500</v>
          </cell>
          <cell r="H1605">
            <v>43095.452743055554</v>
          </cell>
          <cell r="I1605">
            <v>43095.67114583333</v>
          </cell>
          <cell r="J1605">
            <v>0.21840277777777775</v>
          </cell>
        </row>
        <row r="1606">
          <cell r="A1606" t="str">
            <v>BASICO</v>
          </cell>
          <cell r="B1606" t="str">
            <v>OUX2321</v>
          </cell>
          <cell r="G1606">
            <v>-3830262200</v>
          </cell>
          <cell r="H1606">
            <v>43095.692766203705</v>
          </cell>
          <cell r="I1606">
            <v>43095.697465277779</v>
          </cell>
          <cell r="J1606">
            <v>4.6990740740740743E-3</v>
          </cell>
        </row>
        <row r="1607">
          <cell r="A1607" t="str">
            <v>BASICO</v>
          </cell>
          <cell r="B1607" t="str">
            <v>OUX2321</v>
          </cell>
          <cell r="G1607">
            <v>-3830216000</v>
          </cell>
          <cell r="H1607">
            <v>43095.704861111109</v>
          </cell>
          <cell r="I1607">
            <v>43095.75472222222</v>
          </cell>
          <cell r="J1607">
            <v>4.9861111111111113E-2</v>
          </cell>
        </row>
        <row r="1608">
          <cell r="A1608" t="str">
            <v>TOUCH</v>
          </cell>
          <cell r="B1608" t="str">
            <v>PKE2278</v>
          </cell>
          <cell r="G1608">
            <v>-3832711300</v>
          </cell>
          <cell r="H1608">
            <v>43095.730810185189</v>
          </cell>
          <cell r="I1608">
            <v>43095.762175925927</v>
          </cell>
          <cell r="J1608">
            <v>3.1365740740740743E-2</v>
          </cell>
        </row>
        <row r="1609">
          <cell r="A1609" t="str">
            <v>TOUCH</v>
          </cell>
          <cell r="B1609" t="str">
            <v>PKE2278</v>
          </cell>
          <cell r="G1609">
            <v>-3832997500</v>
          </cell>
          <cell r="H1609">
            <v>43095.767974537041</v>
          </cell>
          <cell r="I1609">
            <v>43095.774606481478</v>
          </cell>
          <cell r="J1609">
            <v>6.6319444444444446E-3</v>
          </cell>
        </row>
        <row r="1610">
          <cell r="A1610" t="str">
            <v>BASICO</v>
          </cell>
          <cell r="B1610" t="str">
            <v>OUX2321</v>
          </cell>
          <cell r="G1610">
            <v>-3834141000</v>
          </cell>
          <cell r="H1610">
            <v>43095.77820601852</v>
          </cell>
          <cell r="I1610">
            <v>43095.819837962961</v>
          </cell>
          <cell r="J1610">
            <v>4.1631944444444451E-2</v>
          </cell>
        </row>
        <row r="1611">
          <cell r="A1611" t="str">
            <v>TOUCH</v>
          </cell>
          <cell r="B1611" t="str">
            <v>PKE2278</v>
          </cell>
          <cell r="G1611">
            <v>-3832706100</v>
          </cell>
          <cell r="H1611">
            <v>43095.778460648151</v>
          </cell>
          <cell r="I1611">
            <v>43095.782152777778</v>
          </cell>
          <cell r="J1611">
            <v>3.6921296296296298E-3</v>
          </cell>
        </row>
        <row r="1612">
          <cell r="A1612" t="str">
            <v>TOUCH</v>
          </cell>
          <cell r="B1612" t="str">
            <v>PKE2278</v>
          </cell>
          <cell r="G1612">
            <v>-3832288100</v>
          </cell>
          <cell r="H1612">
            <v>43095.790648148148</v>
          </cell>
          <cell r="I1612">
            <v>43095.806319444448</v>
          </cell>
          <cell r="J1612">
            <v>1.5671296296296298E-2</v>
          </cell>
        </row>
        <row r="1613">
          <cell r="A1613" t="str">
            <v>TOUCH</v>
          </cell>
          <cell r="B1613" t="str">
            <v>PKE2278</v>
          </cell>
          <cell r="G1613">
            <v>-3830304600</v>
          </cell>
          <cell r="H1613">
            <v>43095.821134259262</v>
          </cell>
          <cell r="I1613">
            <v>43095.928425925929</v>
          </cell>
          <cell r="J1613">
            <v>0.10729166666666667</v>
          </cell>
        </row>
        <row r="1614">
          <cell r="A1614" t="str">
            <v>BASICO</v>
          </cell>
          <cell r="B1614" t="str">
            <v>OUX2321</v>
          </cell>
          <cell r="G1614">
            <v>-3832325400</v>
          </cell>
          <cell r="H1614">
            <v>43095.839884259258</v>
          </cell>
          <cell r="I1614">
            <v>43095.892222222225</v>
          </cell>
          <cell r="J1614">
            <v>5.2337962962962968E-2</v>
          </cell>
        </row>
        <row r="1615">
          <cell r="A1615" t="str">
            <v>BASICO</v>
          </cell>
          <cell r="B1615" t="str">
            <v>OUX2321</v>
          </cell>
          <cell r="G1615">
            <v>-3831384700</v>
          </cell>
          <cell r="H1615">
            <v>43095.895937499998</v>
          </cell>
          <cell r="I1615">
            <v>43095.898518518516</v>
          </cell>
          <cell r="J1615">
            <v>2.5810185185185185E-3</v>
          </cell>
        </row>
        <row r="1616">
          <cell r="A1616" t="str">
            <v>BASICO</v>
          </cell>
          <cell r="B1616" t="str">
            <v>OUX2321</v>
          </cell>
          <cell r="G1616">
            <v>-3830292100</v>
          </cell>
          <cell r="H1616">
            <v>43095.901365740741</v>
          </cell>
          <cell r="I1616">
            <v>43095.905023148145</v>
          </cell>
          <cell r="J1616">
            <v>3.6574074074074074E-3</v>
          </cell>
        </row>
        <row r="1617">
          <cell r="A1617" t="str">
            <v>BASICO</v>
          </cell>
          <cell r="B1617" t="str">
            <v>OUX2321</v>
          </cell>
          <cell r="G1617">
            <v>-3828232600</v>
          </cell>
          <cell r="H1617">
            <v>43095.917256944442</v>
          </cell>
          <cell r="I1617">
            <v>43095.940335648149</v>
          </cell>
          <cell r="J1617">
            <v>2.3078703703703702E-2</v>
          </cell>
        </row>
        <row r="1618">
          <cell r="A1618" t="str">
            <v>TOUCH</v>
          </cell>
          <cell r="B1618" t="str">
            <v>PKE2278</v>
          </cell>
          <cell r="G1618">
            <v>-3832394200</v>
          </cell>
          <cell r="H1618">
            <v>43095.933159722219</v>
          </cell>
          <cell r="I1618">
            <v>43095.936273148145</v>
          </cell>
          <cell r="J1618">
            <v>3.1134259259259257E-3</v>
          </cell>
        </row>
        <row r="1619">
          <cell r="A1619" t="str">
            <v>TOUCH</v>
          </cell>
          <cell r="B1619" t="str">
            <v>PKE2278</v>
          </cell>
          <cell r="G1619">
            <v>-3832719500</v>
          </cell>
          <cell r="H1619">
            <v>43095.940439814818</v>
          </cell>
          <cell r="I1619">
            <v>43095.971504629626</v>
          </cell>
          <cell r="J1619">
            <v>3.1064814814814812E-2</v>
          </cell>
        </row>
        <row r="1620">
          <cell r="A1620" t="str">
            <v>BASICO</v>
          </cell>
          <cell r="B1620" t="str">
            <v>OUX2321</v>
          </cell>
          <cell r="G1620">
            <v>-3832651200</v>
          </cell>
          <cell r="H1620">
            <v>43095.952337962961</v>
          </cell>
          <cell r="I1620">
            <v>43095.973599537036</v>
          </cell>
          <cell r="J1620">
            <v>2.1261574074074075E-2</v>
          </cell>
        </row>
        <row r="1621">
          <cell r="A1621" t="str">
            <v>BASICO</v>
          </cell>
          <cell r="B1621" t="str">
            <v>OUX2321</v>
          </cell>
          <cell r="G1621">
            <v>-3832655800</v>
          </cell>
          <cell r="H1621">
            <v>43095.977303240739</v>
          </cell>
          <cell r="I1621">
            <v>43095.994108796294</v>
          </cell>
          <cell r="J1621">
            <v>1.6805555555555556E-2</v>
          </cell>
        </row>
        <row r="1622">
          <cell r="A1622" t="str">
            <v>TOUCH</v>
          </cell>
          <cell r="B1622" t="str">
            <v>PKE2278</v>
          </cell>
          <cell r="G1622">
            <v>-3834755200</v>
          </cell>
          <cell r="H1622">
            <v>43095.978796296295</v>
          </cell>
          <cell r="I1622">
            <v>43096.170104166667</v>
          </cell>
          <cell r="J1622">
            <v>0.19130787037037036</v>
          </cell>
        </row>
        <row r="1623">
          <cell r="A1623" t="str">
            <v>BASICO</v>
          </cell>
          <cell r="B1623" t="str">
            <v>OUX2321</v>
          </cell>
          <cell r="G1623">
            <v>-3832353100</v>
          </cell>
          <cell r="H1623">
            <v>43095.99664351852</v>
          </cell>
          <cell r="I1623">
            <v>43096.021273148152</v>
          </cell>
          <cell r="J1623">
            <v>2.462962962962963E-2</v>
          </cell>
        </row>
        <row r="1624">
          <cell r="A1624" t="str">
            <v>BASICO</v>
          </cell>
          <cell r="B1624" t="str">
            <v>OUX2321</v>
          </cell>
          <cell r="G1624">
            <v>-3832712700</v>
          </cell>
          <cell r="H1624">
            <v>43096.026273148149</v>
          </cell>
          <cell r="I1624">
            <v>43096.665682870371</v>
          </cell>
          <cell r="J1624">
            <v>0.63940972222222225</v>
          </cell>
        </row>
        <row r="1625">
          <cell r="A1625" t="str">
            <v>TOUCH</v>
          </cell>
          <cell r="B1625" t="str">
            <v>PKE2278</v>
          </cell>
          <cell r="G1625">
            <v>-3832703100</v>
          </cell>
          <cell r="H1625">
            <v>43096.175833333335</v>
          </cell>
          <cell r="I1625">
            <v>43096.44458333333</v>
          </cell>
          <cell r="J1625">
            <v>0.26874999999999999</v>
          </cell>
        </row>
        <row r="1626">
          <cell r="A1626" t="str">
            <v>TOUCH</v>
          </cell>
          <cell r="B1626" t="str">
            <v>PKE2278</v>
          </cell>
          <cell r="G1626">
            <v>-3832874500</v>
          </cell>
          <cell r="H1626">
            <v>43096.449004629627</v>
          </cell>
          <cell r="I1626">
            <v>43096.45107638889</v>
          </cell>
          <cell r="J1626">
            <v>2.0717592592592593E-3</v>
          </cell>
        </row>
        <row r="1627">
          <cell r="A1627" t="str">
            <v>TOUCH</v>
          </cell>
          <cell r="B1627" t="str">
            <v>PKE2278</v>
          </cell>
          <cell r="G1627">
            <v>-3832148900</v>
          </cell>
          <cell r="H1627">
            <v>43096.455381944441</v>
          </cell>
          <cell r="I1627">
            <v>43096.494166666664</v>
          </cell>
          <cell r="J1627">
            <v>3.8784722222222227E-2</v>
          </cell>
        </row>
        <row r="1628">
          <cell r="A1628" t="str">
            <v>TOUCH</v>
          </cell>
          <cell r="B1628" t="str">
            <v>PKE2278</v>
          </cell>
          <cell r="G1628">
            <v>-3831926100</v>
          </cell>
          <cell r="H1628">
            <v>43096.500671296293</v>
          </cell>
          <cell r="I1628">
            <v>43096.508171296293</v>
          </cell>
          <cell r="J1628">
            <v>7.5000000000000006E-3</v>
          </cell>
        </row>
        <row r="1629">
          <cell r="A1629" t="str">
            <v>TOUCH</v>
          </cell>
          <cell r="B1629" t="str">
            <v>PKE2278</v>
          </cell>
          <cell r="G1629">
            <v>-3828350900</v>
          </cell>
          <cell r="H1629">
            <v>43096.519837962966</v>
          </cell>
          <cell r="I1629">
            <v>43096.646145833336</v>
          </cell>
          <cell r="J1629">
            <v>0.12630787037037036</v>
          </cell>
        </row>
        <row r="1630">
          <cell r="A1630" t="str">
            <v>TOUCH</v>
          </cell>
          <cell r="B1630" t="str">
            <v>PKE2278</v>
          </cell>
          <cell r="G1630">
            <v>-3832709500</v>
          </cell>
          <cell r="H1630">
            <v>43096.664930555555</v>
          </cell>
          <cell r="I1630">
            <v>43096.958425925928</v>
          </cell>
          <cell r="J1630">
            <v>0.29349537037037038</v>
          </cell>
        </row>
        <row r="1631">
          <cell r="A1631" t="str">
            <v>BASICO</v>
          </cell>
          <cell r="B1631" t="str">
            <v>OUX2321</v>
          </cell>
          <cell r="G1631">
            <v>-3830173000</v>
          </cell>
          <cell r="H1631">
            <v>43096.676435185182</v>
          </cell>
          <cell r="I1631">
            <v>43096.679120370369</v>
          </cell>
          <cell r="J1631">
            <v>2.685185185185185E-3</v>
          </cell>
        </row>
        <row r="1632">
          <cell r="A1632" t="str">
            <v>BASICO</v>
          </cell>
          <cell r="B1632" t="str">
            <v>OUX2321</v>
          </cell>
          <cell r="G1632">
            <v>-3830692000</v>
          </cell>
          <cell r="H1632">
            <v>43096.683634259258</v>
          </cell>
          <cell r="I1632">
            <v>43096.813726851855</v>
          </cell>
          <cell r="J1632">
            <v>0.13009259259259259</v>
          </cell>
        </row>
        <row r="1633">
          <cell r="A1633" t="str">
            <v>BASICO</v>
          </cell>
          <cell r="B1633" t="str">
            <v>OUX2321</v>
          </cell>
          <cell r="G1633">
            <v>-3831904900</v>
          </cell>
          <cell r="H1633">
            <v>43096.835011574076</v>
          </cell>
          <cell r="I1633">
            <v>43096.868344907409</v>
          </cell>
          <cell r="J1633">
            <v>3.3333333333333333E-2</v>
          </cell>
        </row>
        <row r="1634">
          <cell r="A1634" t="str">
            <v>BASICO</v>
          </cell>
          <cell r="B1634" t="str">
            <v>OUX2321</v>
          </cell>
          <cell r="G1634">
            <v>-3832674600</v>
          </cell>
          <cell r="H1634">
            <v>43096.872291666667</v>
          </cell>
          <cell r="I1634">
            <v>43096.913124999999</v>
          </cell>
          <cell r="J1634">
            <v>4.0833333333333333E-2</v>
          </cell>
        </row>
        <row r="1635">
          <cell r="A1635" t="str">
            <v>BASICO</v>
          </cell>
          <cell r="B1635" t="str">
            <v>OUX2321</v>
          </cell>
          <cell r="G1635">
            <v>-3833486200</v>
          </cell>
          <cell r="H1635">
            <v>43096.916701388887</v>
          </cell>
          <cell r="I1635">
            <v>43096.984722222223</v>
          </cell>
          <cell r="J1635">
            <v>6.8020833333333336E-2</v>
          </cell>
        </row>
        <row r="1636">
          <cell r="A1636" t="str">
            <v>TOUCH</v>
          </cell>
          <cell r="B1636" t="str">
            <v>PKE2278</v>
          </cell>
          <cell r="G1636">
            <v>-3832363900</v>
          </cell>
          <cell r="H1636">
            <v>43096.963599537034</v>
          </cell>
          <cell r="I1636">
            <v>43096.980798611112</v>
          </cell>
          <cell r="J1636">
            <v>1.7199074074074071E-2</v>
          </cell>
        </row>
        <row r="1637">
          <cell r="A1637" t="str">
            <v>TOUCH</v>
          </cell>
          <cell r="B1637" t="str">
            <v>PKE2278</v>
          </cell>
          <cell r="G1637">
            <v>-3830228700</v>
          </cell>
          <cell r="H1637">
            <v>43096.985879629632</v>
          </cell>
          <cell r="I1637">
            <v>43097.022222222222</v>
          </cell>
          <cell r="J1637">
            <v>3.6342592592592593E-2</v>
          </cell>
        </row>
        <row r="1638">
          <cell r="A1638" t="str">
            <v>BASICO</v>
          </cell>
          <cell r="B1638" t="str">
            <v>OUX2321</v>
          </cell>
          <cell r="G1638">
            <v>-3834009600</v>
          </cell>
          <cell r="H1638">
            <v>43096.996701388889</v>
          </cell>
          <cell r="I1638">
            <v>43097.019108796296</v>
          </cell>
          <cell r="J1638">
            <v>2.2407407407407407E-2</v>
          </cell>
        </row>
        <row r="1639">
          <cell r="A1639" t="str">
            <v>BASICO</v>
          </cell>
          <cell r="B1639" t="str">
            <v>OUX2321</v>
          </cell>
          <cell r="G1639">
            <v>-3832710400</v>
          </cell>
          <cell r="H1639">
            <v>43097.024016203701</v>
          </cell>
          <cell r="I1639">
            <v>43097.692256944443</v>
          </cell>
          <cell r="J1639">
            <v>0.66824074074074069</v>
          </cell>
        </row>
        <row r="1640">
          <cell r="A1640" t="str">
            <v>TOUCH</v>
          </cell>
          <cell r="B1640" t="str">
            <v>PKE2278</v>
          </cell>
          <cell r="G1640">
            <v>-3830478500</v>
          </cell>
          <cell r="H1640">
            <v>43097.024039351854</v>
          </cell>
          <cell r="I1640">
            <v>43097.183842592596</v>
          </cell>
          <cell r="J1640">
            <v>0.15980324074074073</v>
          </cell>
        </row>
        <row r="1641">
          <cell r="A1641" t="str">
            <v>TOUCH</v>
          </cell>
          <cell r="B1641" t="str">
            <v>PKE2278</v>
          </cell>
          <cell r="G1641">
            <v>-3832706100</v>
          </cell>
          <cell r="H1641">
            <v>43097.191840277781</v>
          </cell>
          <cell r="I1641">
            <v>43097.274386574078</v>
          </cell>
          <cell r="J1641">
            <v>8.2546296296296298E-2</v>
          </cell>
        </row>
        <row r="1642">
          <cell r="A1642" t="str">
            <v>TOUCH</v>
          </cell>
          <cell r="B1642" t="str">
            <v>PKE2278</v>
          </cell>
          <cell r="G1642">
            <v>-3832512300</v>
          </cell>
          <cell r="H1642">
            <v>43097.279282407406</v>
          </cell>
          <cell r="I1642">
            <v>43097.306597222225</v>
          </cell>
          <cell r="J1642">
            <v>2.7314814814814816E-2</v>
          </cell>
        </row>
        <row r="1643">
          <cell r="A1643" t="str">
            <v>TOUCH</v>
          </cell>
          <cell r="B1643" t="str">
            <v>PKE2278</v>
          </cell>
          <cell r="G1643">
            <v>-3830504800</v>
          </cell>
          <cell r="H1643">
            <v>43097.318483796298</v>
          </cell>
          <cell r="I1643">
            <v>43097.418645833335</v>
          </cell>
          <cell r="J1643">
            <v>0.10016203703703704</v>
          </cell>
        </row>
        <row r="1644">
          <cell r="A1644" t="str">
            <v>TOUCH</v>
          </cell>
          <cell r="B1644" t="str">
            <v>PKE2278</v>
          </cell>
          <cell r="G1644">
            <v>-3830543700</v>
          </cell>
          <cell r="H1644">
            <v>43097.424791666665</v>
          </cell>
          <cell r="I1644">
            <v>43097.426678240743</v>
          </cell>
          <cell r="J1644">
            <v>1.8865740740740742E-3</v>
          </cell>
        </row>
        <row r="1645">
          <cell r="A1645" t="str">
            <v>TOUCH</v>
          </cell>
          <cell r="B1645" t="str">
            <v>PKE2278</v>
          </cell>
          <cell r="G1645">
            <v>-3828730000</v>
          </cell>
          <cell r="H1645">
            <v>43097.432951388888</v>
          </cell>
          <cell r="I1645">
            <v>43097.442569444444</v>
          </cell>
          <cell r="J1645">
            <v>9.618055555555555E-3</v>
          </cell>
        </row>
        <row r="1646">
          <cell r="A1646" t="str">
            <v>TOUCH</v>
          </cell>
          <cell r="B1646" t="str">
            <v>PKE2278</v>
          </cell>
          <cell r="G1646">
            <v>-3829468900</v>
          </cell>
          <cell r="H1646">
            <v>43097.445393518516</v>
          </cell>
          <cell r="I1646">
            <v>43097.448414351849</v>
          </cell>
          <cell r="J1646">
            <v>3.0208333333333333E-3</v>
          </cell>
        </row>
        <row r="1647">
          <cell r="A1647" t="str">
            <v>TOUCH</v>
          </cell>
          <cell r="B1647" t="str">
            <v>PKE2278</v>
          </cell>
          <cell r="G1647">
            <v>-3832143800</v>
          </cell>
          <cell r="H1647">
            <v>43097.458055555559</v>
          </cell>
          <cell r="I1647">
            <v>43097.530023148145</v>
          </cell>
          <cell r="J1647">
            <v>7.1967592592592597E-2</v>
          </cell>
        </row>
        <row r="1648">
          <cell r="A1648" t="str">
            <v>TOUCH</v>
          </cell>
          <cell r="B1648" t="str">
            <v>PKE2278</v>
          </cell>
          <cell r="G1648">
            <v>-3828353400</v>
          </cell>
          <cell r="H1648">
            <v>43097.542384259257</v>
          </cell>
          <cell r="I1648">
            <v>43097.543877314813</v>
          </cell>
          <cell r="J1648">
            <v>1.4930555555555556E-3</v>
          </cell>
        </row>
        <row r="1649">
          <cell r="A1649" t="str">
            <v>TOUCH</v>
          </cell>
          <cell r="B1649" t="str">
            <v>PKE2278</v>
          </cell>
          <cell r="G1649">
            <v>-3828576000</v>
          </cell>
          <cell r="H1649">
            <v>43097.54583333333</v>
          </cell>
          <cell r="I1649">
            <v>43097.559849537036</v>
          </cell>
          <cell r="J1649">
            <v>1.4016203703703704E-2</v>
          </cell>
        </row>
        <row r="1650">
          <cell r="A1650" t="str">
            <v>TOUCH</v>
          </cell>
          <cell r="B1650" t="str">
            <v>PKE2278</v>
          </cell>
          <cell r="G1650">
            <v>-3829470500</v>
          </cell>
          <cell r="H1650">
            <v>43097.561863425923</v>
          </cell>
          <cell r="I1650">
            <v>43097.589444444442</v>
          </cell>
          <cell r="J1650">
            <v>2.7581018518518519E-2</v>
          </cell>
        </row>
        <row r="1651">
          <cell r="A1651" t="str">
            <v>TOUCH</v>
          </cell>
          <cell r="B1651" t="str">
            <v>PKE2278</v>
          </cell>
          <cell r="G1651">
            <v>-3829174000</v>
          </cell>
          <cell r="H1651">
            <v>43097.59138888889</v>
          </cell>
          <cell r="I1651">
            <v>43097.595208333332</v>
          </cell>
          <cell r="J1651">
            <v>3.8194444444444443E-3</v>
          </cell>
        </row>
        <row r="1652">
          <cell r="A1652" t="str">
            <v>TOUCH</v>
          </cell>
          <cell r="B1652" t="str">
            <v>PKE2278</v>
          </cell>
          <cell r="G1652">
            <v>-3831269900</v>
          </cell>
          <cell r="H1652">
            <v>43097.607997685183</v>
          </cell>
          <cell r="I1652">
            <v>43097.612013888887</v>
          </cell>
          <cell r="J1652">
            <v>4.0162037037037033E-3</v>
          </cell>
        </row>
        <row r="1653">
          <cell r="A1653" t="str">
            <v>TOUCH</v>
          </cell>
          <cell r="B1653" t="str">
            <v>PKE2278</v>
          </cell>
          <cell r="G1653">
            <v>-3832709300</v>
          </cell>
          <cell r="H1653">
            <v>43097.622581018521</v>
          </cell>
          <cell r="I1653" t="str">
            <v>--</v>
          </cell>
          <cell r="J1653">
            <v>0.37672453703703707</v>
          </cell>
        </row>
        <row r="1654">
          <cell r="A1654" t="str">
            <v>BASICO</v>
          </cell>
          <cell r="B1654" t="str">
            <v>OUX2321</v>
          </cell>
          <cell r="G1654">
            <v>-3832885200</v>
          </cell>
          <cell r="H1654">
            <v>43097.703333333331</v>
          </cell>
          <cell r="I1654">
            <v>43097.713055555556</v>
          </cell>
          <cell r="J1654">
            <v>9.7222222222222224E-3</v>
          </cell>
        </row>
        <row r="1655">
          <cell r="A1655" t="str">
            <v>BASICO</v>
          </cell>
          <cell r="B1655" t="str">
            <v>OUX2321</v>
          </cell>
          <cell r="G1655">
            <v>-3834142300</v>
          </cell>
          <cell r="H1655">
            <v>43097.718645833331</v>
          </cell>
          <cell r="I1655">
            <v>43097.743796296294</v>
          </cell>
          <cell r="J1655">
            <v>2.5150462962962961E-2</v>
          </cell>
        </row>
        <row r="1656">
          <cell r="A1656" t="str">
            <v>BASICO</v>
          </cell>
          <cell r="B1656" t="str">
            <v>OUX2321</v>
          </cell>
          <cell r="G1656">
            <v>-3834885000</v>
          </cell>
          <cell r="H1656">
            <v>43097.750115740739</v>
          </cell>
          <cell r="I1656">
            <v>43097.776122685187</v>
          </cell>
          <cell r="J1656">
            <v>2.6006944444444447E-2</v>
          </cell>
        </row>
        <row r="1657">
          <cell r="A1657" t="str">
            <v>BASICO</v>
          </cell>
          <cell r="B1657" t="str">
            <v>OUX2321</v>
          </cell>
          <cell r="G1657">
            <v>-3835423800</v>
          </cell>
          <cell r="H1657">
            <v>43097.781886574077</v>
          </cell>
          <cell r="I1657">
            <v>43097.78564814815</v>
          </cell>
          <cell r="J1657">
            <v>3.7615740740740739E-3</v>
          </cell>
        </row>
        <row r="1658">
          <cell r="A1658" t="str">
            <v>BASICO</v>
          </cell>
          <cell r="B1658" t="str">
            <v>OUX2321</v>
          </cell>
          <cell r="G1658">
            <v>-3833315900</v>
          </cell>
          <cell r="H1658">
            <v>43097.797256944446</v>
          </cell>
          <cell r="I1658">
            <v>43097.801203703704</v>
          </cell>
          <cell r="J1658">
            <v>3.9467592592592592E-3</v>
          </cell>
        </row>
        <row r="1659">
          <cell r="A1659" t="str">
            <v>BASICO</v>
          </cell>
          <cell r="B1659" t="str">
            <v>OUX2321</v>
          </cell>
          <cell r="G1659">
            <v>-3831387100</v>
          </cell>
          <cell r="H1659">
            <v>43097.815613425926</v>
          </cell>
          <cell r="I1659">
            <v>43097.822141203702</v>
          </cell>
          <cell r="J1659">
            <v>6.5277777777777782E-3</v>
          </cell>
        </row>
        <row r="1660">
          <cell r="A1660" t="str">
            <v>BASICO</v>
          </cell>
          <cell r="B1660" t="str">
            <v>OUX2321</v>
          </cell>
          <cell r="G1660">
            <v>-3830245200</v>
          </cell>
          <cell r="H1660">
            <v>43097.825891203705</v>
          </cell>
          <cell r="I1660" t="str">
            <v>--</v>
          </cell>
          <cell r="J1660">
            <v>0.17341435185185183</v>
          </cell>
        </row>
      </sheetData>
      <sheetData sheetId="9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86EED6E-4EAF-4F67-AF59-55B0F8F72A2A}" name="MIP" displayName="MIP" ref="B6:AQ925" totalsRowShown="0" headerRowDxfId="103" dataDxfId="102" headerRowBorderDxfId="100" tableBorderDxfId="101" totalsRowBorderDxfId="99" headerRowCellStyle="Normal 2" dataCellStyle="Normal 2">
  <autoFilter ref="B6:AQ925" xr:uid="{00000000-0009-0000-0100-000001000000}"/>
  <tableColumns count="42">
    <tableColumn id="29" xr3:uid="{00000000-0010-0000-0300-00001D000000}" name="Sem" dataDxfId="98" dataCellStyle="Normal 2">
      <calculatedColumnFormula>WEEKNUM(MIP[[#This Row],[Data]])</calculatedColumnFormula>
    </tableColumn>
    <tableColumn id="1" xr3:uid="{00000000-0010-0000-0300-000001000000}" name="Data" dataDxfId="97" dataCellStyle="Normal 2"/>
    <tableColumn id="24" xr3:uid="{00000000-0010-0000-0300-000018000000}" name="Turno" dataDxfId="96" dataCellStyle="Normal 2"/>
    <tableColumn id="2" xr3:uid="{00000000-0010-0000-0300-000002000000}" name="Equipe" dataDxfId="95" dataCellStyle="Normal 2"/>
    <tableColumn id="3" xr3:uid="{00000000-0010-0000-0300-000003000000}" name="Previsto / Realizado" dataDxfId="94" dataCellStyle="Normal 2"/>
    <tableColumn id="30" xr3:uid="{00000000-0010-0000-0300-00001E000000}" name="Placa" dataDxfId="93" dataCellStyle="Normal 2"/>
    <tableColumn id="4" xr3:uid="{00000000-0010-0000-0300-000004000000}" name="Qnt Colab" dataDxfId="92" dataCellStyle="Normal 2"/>
    <tableColumn id="6" xr3:uid="{00000000-0010-0000-0300-000006000000}" name="PT-1" dataDxfId="91" dataCellStyle="Normal 2"/>
    <tableColumn id="7" xr3:uid="{00000000-0010-0000-0300-000007000000}" name="PT-2" dataDxfId="90" dataCellStyle="Normal 2"/>
    <tableColumn id="8" xr3:uid="{00000000-0010-0000-0300-000008000000}" name="PT-3" dataDxfId="89" dataCellStyle="Normal 2"/>
    <tableColumn id="23" xr3:uid="{00000000-0010-0000-0300-000017000000}" name="PT &gt; 3 Pontos" dataDxfId="88" dataCellStyle="Normal 2"/>
    <tableColumn id="21" xr3:uid="{00000000-0010-0000-0300-000015000000}" name="P.E" dataDxfId="87" dataCellStyle="Normal 2"/>
    <tableColumn id="12" xr3:uid="{00000000-0010-0000-0300-00000C000000}" name="S.B" dataDxfId="86" dataCellStyle="Normal 2"/>
    <tableColumn id="11" xr3:uid="{00000000-0010-0000-0300-00000B000000}" name="U.P" dataDxfId="85" dataCellStyle="Normal 2"/>
    <tableColumn id="10" xr3:uid="{00000000-0010-0000-0300-00000A000000}" name="P.S" dataDxfId="84" dataCellStyle="Normal 2"/>
    <tableColumn id="28" xr3:uid="{00000000-0010-0000-0300-00001C000000}" name="HH AC extra" dataDxfId="83" dataCellStyle="Normal 2"/>
    <tableColumn id="22" xr3:uid="{00000000-0010-0000-0300-000016000000}" name="Observação" dataDxfId="82" dataCellStyle="Normal 2"/>
    <tableColumn id="26" xr3:uid="{00000000-0010-0000-0300-00001A000000}" name="Pontos" dataDxfId="81" dataCellStyle="Normal 2">
      <calculatedColumnFormula>MIP[[#This Row],[PT-1]]+MIP[[#This Row],[PT-2]]*2+MIP[[#This Row],[PT-3]]*3+MIP[[#This Row],[PT &gt; 3 Pontos]]</calculatedColumnFormula>
    </tableColumn>
    <tableColumn id="9" xr3:uid="{00000000-0010-0000-0300-000009000000}" name="HH AC TOT" dataDxfId="80" dataCellStyle="Normal 2">
      <calculatedColumnFormula>IF(MIP[[#This Row],[P.S]]-MIP[[#This Row],[U.P]]&gt;=0,MIP[[#This Row],[P.S]]-MIP[[#This Row],[U.P]]+MIP[[#This Row],[S.B]]-MIP[[#This Row],[P.E]],1+MIP[[#This Row],[P.S]]-MIP[[#This Row],[U.P]]+MIP[[#This Row],[S.B]]-MIP[[#This Row],[P.E]])+MIP[[#This Row],[HH AC extra]]</calculatedColumnFormula>
    </tableColumn>
    <tableColumn id="20" xr3:uid="{00000000-0010-0000-0300-000014000000}" name="HH AC IN/OUT" dataDxfId="79" dataCellStyle="Normal 2">
      <calculatedColumnFormula>IF(MIP[[#This Row],[P.S]]-MIP[[#This Row],[U.P]]&gt;=0,MIP[[#This Row],[P.S]]-MIP[[#This Row],[U.P]]+MIP[[#This Row],[S.B]]-MIP[[#This Row],[P.E]],1+MIP[[#This Row],[P.S]]-MIP[[#This Row],[U.P]]+MIP[[#This Row],[S.B]]-MIP[[#This Row],[P.E]])</calculatedColumnFormula>
    </tableColumn>
    <tableColumn id="25" xr3:uid="{00000000-0010-0000-0300-000019000000}" name="#" dataDxfId="78">
      <calculatedColumnFormula>MIP[[#This Row],[Eficiência]]</calculatedColumnFormula>
    </tableColumn>
    <tableColumn id="33" xr3:uid="{00000000-0010-0000-0300-000021000000}" name="Exc" dataDxfId="77" dataCellStyle="Normal 2">
      <calculatedColumnFormula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calculatedColumnFormula>
    </tableColumn>
    <tableColumn id="5" xr3:uid="{00000000-0010-0000-0300-000005000000}" name="HH disponível" dataDxfId="76" dataCellStyle="Normal 2">
      <calculatedColumnFormula>IF(MIP[[#This Row],[P.S]]-MIP[[#This Row],[P.E]]&lt;0,1+MIP[[#This Row],[P.S]]-MIP[[#This Row],[P.E]]-1/24,MIP[[#This Row],[P.S]]-MIP[[#This Row],[P.E]]-1/24)</calculatedColumnFormula>
    </tableColumn>
    <tableColumn id="13" xr3:uid="{00000000-0010-0000-0300-00000D000000}" name="HH Produtivo_x000a_Total" dataDxfId="75" dataCellStyle="Normal 2">
      <calculatedColumnFormula>MIP[[#This Row],[PT-1]]*$S$3+MIP[[#This Row],[PT-2]]*$T$3+MIP[[#This Row],[PT-3]]*$U$3+MIP[[#This Row],[PT &gt; 3 Pontos]]*$V$3</calculatedColumnFormula>
    </tableColumn>
    <tableColumn id="14" xr3:uid="{00000000-0010-0000-0300-00000E000000}" name="HH Trabalhado" dataDxfId="74" dataCellStyle="Normal 2">
      <calculatedColumnFormula>MIP[[#This Row],[HH disponível]]-MIP[[#This Row],[HH AC TOT]]</calculatedColumnFormula>
    </tableColumn>
    <tableColumn id="15" xr3:uid="{00000000-0010-0000-0300-00000F000000}" name="Eficiência" dataDxfId="73">
      <calculatedColumnFormula>MIP[[#This Row],[HH Produtivo
Total]]/MIP[[#This Row],[HH Trabalhado]]</calculatedColumnFormula>
    </tableColumn>
    <tableColumn id="16" xr3:uid="{00000000-0010-0000-0300-000010000000}" name="Produtividade" dataDxfId="72">
      <calculatedColumnFormula>MIP[[#This Row],[HH Produtivo
Total]]/MIP[[#This Row],[HH disponível]]</calculatedColumnFormula>
    </tableColumn>
    <tableColumn id="17" xr3:uid="{00000000-0010-0000-0300-000011000000}" name="Utilização" dataDxfId="71">
      <calculatedColumnFormula>MIP[[#This Row],[HH Trabalhado]]/MIP[[#This Row],[HH disponível]]</calculatedColumnFormula>
    </tableColumn>
    <tableColumn id="18" xr3:uid="{00000000-0010-0000-0300-000012000000}" name="Colaborador 1" dataDxfId="70" dataCellStyle="Normal 2">
      <calculatedColumnFormula>LEFT(MIP[[#This Row],[Equipe]], SEARCH("/",MIP[[#This Row],[Equipe]],1)-1)</calculatedColumnFormula>
    </tableColumn>
    <tableColumn id="19" xr3:uid="{00000000-0010-0000-0300-000013000000}" name="Colaborador 2" dataDxfId="69" dataCellStyle="Normal 2">
      <calculatedColumnFormula>RIGHT(MIP[[#This Row],[Equipe]], LEN(MIP[[#This Row],[Equipe]])-SEARCH("/",MIP[[#This Row],[Equipe]],1))</calculatedColumnFormula>
    </tableColumn>
    <tableColumn id="36" xr3:uid="{00000000-0010-0000-0300-000024000000}" name="Qntd de paradas" dataDxfId="68" dataCellStyle="Normal 2">
      <calculatedColumnFormula>COUNTIFS('[1]Tempo parado'!H:H,"&gt;="&amp;MIP[[#This Row],[S.B Sitrack]],'[1]Tempo parado'!I:I,"&lt;="&amp;MIP[[#This Row],[C.B Sitrack]],'[1]Tempo parado'!B:B,MIP[[#This Row],[Placa]])</calculatedColumnFormula>
    </tableColumn>
    <tableColumn id="27" xr3:uid="{00000000-0010-0000-0300-00001B000000}" name="Hora inserção" dataDxfId="67" dataCellStyle="Normal 2"/>
    <tableColumn id="31" xr3:uid="{00000000-0010-0000-0300-00001F000000}" name="Comentário sistema" dataDxfId="66" dataCellStyle="Normal 2"/>
    <tableColumn id="37" xr3:uid="{00000000-0010-0000-0300-000025000000}" name="S.B Sitrack" dataDxfId="65" dataCellStyle="Normal 2"/>
    <tableColumn id="32" xr3:uid="{00000000-0010-0000-0300-000020000000}" name="C.B Sitrack" dataDxfId="64" dataCellStyle="Normal 2"/>
    <tableColumn id="39" xr3:uid="{00000000-0010-0000-0300-000027000000}" name="Distorção" dataDxfId="63" dataCellStyle="Normal 2">
      <calculatedColumnFormula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calculatedColumnFormula>
    </tableColumn>
    <tableColumn id="34" xr3:uid="{00000000-0010-0000-0300-000022000000}" name="Distância Sitrack" dataDxfId="62" dataCellStyle="Normal 2">
      <calculatedColumnFormula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calculatedColumnFormula>
    </tableColumn>
    <tableColumn id="35" xr3:uid="{00000000-0010-0000-0300-000023000000}" name="Tempo parado" dataDxfId="61" dataCellStyle="Normal 2">
      <calculatedColumnFormula>SUMIFS('[1]Tempo parado'!J:J,'[1]Tempo parado'!H:H,"&gt;="&amp;MIP[[#This Row],[S.B Sitrack]],'[1]Tempo parado'!I:I,"&lt;="&amp;MIP[[#This Row],[C.B Sitrack]],'[1]Tempo parado'!B:B,MIP[[#This Row],[Placa]])</calculatedColumnFormula>
    </tableColumn>
    <tableColumn id="38" xr3:uid="{00000000-0010-0000-0300-000026000000}" name="% tempo parado" dataDxfId="60" dataCellStyle="Normal 2">
      <calculatedColumnFormula>IFERROR(MIP[[#This Row],[Tempo parado]]/(MIP[[#This Row],[C.B Sitrack]]-MIP[[#This Row],[S.B Sitrack]]),"")</calculatedColumnFormula>
    </tableColumn>
    <tableColumn id="40" xr3:uid="{00000000-0010-0000-0300-000028000000}" name="Rota" dataDxfId="59" dataCellStyle="Normal 2"/>
    <tableColumn id="42" xr3:uid="{00000000-0010-0000-0300-00002A000000}" name="Sem_fin" dataDxfId="58" dataCellStyle="Normal 2">
      <calculatedColumnFormula>IF(AND(MIP[Exc]=0,MIP[Previsto / Realizado]="Realizado"),MIP[Sem],0)</calculatedColumnFormula>
    </tableColumn>
    <tableColumn id="43" xr3:uid="{00000000-0010-0000-0300-00002B000000}" name="Sem_fin Sit" dataDxfId="57" dataCellStyle="Normal 2">
      <calculatedColumnFormula>IF(AND(MIP[Exc]=0,MIP[Previsto / Realizado]="Realizado",ISBLANK(MIP[[#This Row],[S.B Sitrack]])=FALSE,ISBLANK(MIP[[#This Row],[C.B Sitrack]])=FALSE),MIP[Sem],0)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B0F50A8-2593-4897-BC0A-65C1062EBF5C}" name="SitratckAut" displayName="SitratckAut" ref="D4:D5" totalsRowShown="0" headerRowDxfId="56" dataDxfId="55" headerRowBorderDxfId="53" tableBorderDxfId="54" totalsRowBorderDxfId="52">
  <autoFilter ref="D4:D5" xr:uid="{00000000-0009-0000-0100-000012000000}"/>
  <tableColumns count="1">
    <tableColumn id="1" xr3:uid="{00000000-0010-0000-0400-000001000000}" name="P. aut." dataDxfId="5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609ABAA-CC9D-4925-A6F0-93B3CED03031}" name="MIP_4" displayName="MIP_4" ref="A1:AP920" totalsRowShown="0" headerRowDxfId="46" dataDxfId="45" headerRowBorderDxfId="43" tableBorderDxfId="44" totalsRowBorderDxfId="42" headerRowCellStyle="Normal 2" dataCellStyle="Normal 2">
  <autoFilter ref="A1:AP920" xr:uid="{3D5F78EE-BDE1-4FC7-9CB4-D8759335BF69}"/>
  <tableColumns count="42">
    <tableColumn id="29" xr3:uid="{3511F7B1-03BB-419A-850E-D49C16FCB977}" name="Sem" dataDxfId="41" dataCellStyle="Normal 2">
      <calculatedColumnFormula>WEEKNUM(MIP_4[[#This Row],[Data]])</calculatedColumnFormula>
    </tableColumn>
    <tableColumn id="1" xr3:uid="{E578DA8F-BA4F-4F8C-A96F-8F4CD037F147}" name="Data" dataDxfId="40" dataCellStyle="Normal 2"/>
    <tableColumn id="24" xr3:uid="{D6B67D41-093E-47DC-A282-8F70B23A919F}" name="Turno" dataDxfId="39" dataCellStyle="Normal 2"/>
    <tableColumn id="2" xr3:uid="{AF9944CD-C8DE-400C-A3A8-217212FDC83F}" name="Equipe" dataDxfId="38" dataCellStyle="Normal 2"/>
    <tableColumn id="3" xr3:uid="{00AD04A0-FD14-46C5-A65A-86BB6BD93CFC}" name="Previsto / Realizado" dataDxfId="37" dataCellStyle="Normal 2"/>
    <tableColumn id="30" xr3:uid="{CFEED991-981A-4F68-9D84-0BB2BE522D3C}" name="Placa" dataDxfId="36" dataCellStyle="Normal 2"/>
    <tableColumn id="4" xr3:uid="{286CF950-EDA9-4924-8A5A-6932B01AA4CD}" name="Qnt Colab" dataDxfId="35" dataCellStyle="Normal 2"/>
    <tableColumn id="6" xr3:uid="{25E1E667-A4E5-4802-8DAC-B9FE2A9D6A3E}" name="PT-1" dataDxfId="34" dataCellStyle="Normal 2"/>
    <tableColumn id="7" xr3:uid="{9CC97C8A-7655-4901-B304-A2B2DDC23939}" name="PT-2" dataDxfId="33" dataCellStyle="Normal 2"/>
    <tableColumn id="8" xr3:uid="{9DAB7896-FCB2-4F51-B90A-9942FA2EBE23}" name="PT-3" dataDxfId="32" dataCellStyle="Normal 2"/>
    <tableColumn id="23" xr3:uid="{B5C61B06-A02E-4C0B-9388-A71F787ED118}" name="PT &gt; 3 Pontos" dataDxfId="31" dataCellStyle="Normal 2"/>
    <tableColumn id="21" xr3:uid="{7C1CACC9-C6ED-4097-BE43-A95CD831537C}" name="P.E" dataDxfId="30" dataCellStyle="Normal 2"/>
    <tableColumn id="12" xr3:uid="{9BD1E594-ED20-442D-BD19-F431E5550FA6}" name="S.B" dataDxfId="29" dataCellStyle="Normal 2"/>
    <tableColumn id="11" xr3:uid="{49C02992-9A7B-4073-8495-627816ED9EE8}" name="U.P" dataDxfId="28" dataCellStyle="Normal 2"/>
    <tableColumn id="10" xr3:uid="{B5EEB9E8-670F-4986-B33F-B4206E7A98CD}" name="P.S" dataDxfId="27" dataCellStyle="Normal 2"/>
    <tableColumn id="28" xr3:uid="{6F35DBAF-A555-4D9D-ADFD-A3DECABA18AD}" name="HH AC extra" dataDxfId="26" dataCellStyle="Normal 2"/>
    <tableColumn id="22" xr3:uid="{293D2663-B1F9-4BD9-A4B9-D87EC6BA290A}" name="Observação" dataDxfId="25" dataCellStyle="Normal 2"/>
    <tableColumn id="26" xr3:uid="{1CCD0D97-1D6E-4699-A0EC-DA516FE4E0C2}" name="Pontos" dataDxfId="24" dataCellStyle="Normal 2">
      <calculatedColumnFormula>MIP_4[[#This Row],[PT-1]]+MIP_4[[#This Row],[PT-2]]*2+MIP_4[[#This Row],[PT-3]]*3+MIP_4[[#This Row],[PT &gt; 3 Pontos]]</calculatedColumnFormula>
    </tableColumn>
    <tableColumn id="9" xr3:uid="{0B9AC5E5-BACA-4ABE-8F2C-DE5D46ECE5D6}" name="HH AC TOT" dataDxfId="23" dataCellStyle="Normal 2">
      <calculatedColumnFormula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calculatedColumnFormula>
    </tableColumn>
    <tableColumn id="20" xr3:uid="{A212A347-81BE-4648-A90B-97BD1A916B9F}" name="HH AC IN/OUT" dataDxfId="22" dataCellStyle="Normal 2">
      <calculatedColumnFormula>IF(MIP_4[[#This Row],[P.S]]-MIP_4[[#This Row],[U.P]]&gt;=0,MIP_4[[#This Row],[P.S]]-MIP_4[[#This Row],[U.P]]+MIP_4[[#This Row],[S.B]]-MIP_4[[#This Row],[P.E]],1+MIP_4[[#This Row],[P.S]]-MIP_4[[#This Row],[U.P]]+MIP_4[[#This Row],[S.B]]-MIP_4[[#This Row],[P.E]])</calculatedColumnFormula>
    </tableColumn>
    <tableColumn id="25" xr3:uid="{6719FC73-BC3D-4BB0-8E4D-AEB267563C33}" name="#" dataDxfId="21">
      <calculatedColumnFormula>MIP_4[[#This Row],[Eficiência]]</calculatedColumnFormula>
    </tableColumn>
    <tableColumn id="33" xr3:uid="{FDBE2F21-1F90-4606-A62A-61CCCF89F8B1}" name="Exc" dataDxfId="20" dataCellStyle="Normal 2">
      <calculatedColumnFormula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calculatedColumnFormula>
    </tableColumn>
    <tableColumn id="5" xr3:uid="{36872043-70ED-41EB-B5A0-3770913CD7BB}" name="HH disponível" dataDxfId="19" dataCellStyle="Normal 2">
      <calculatedColumnFormula>IF(MIP_4[[#This Row],[P.S]]-MIP_4[[#This Row],[P.E]]&lt;0,1+MIP_4[[#This Row],[P.S]]-MIP_4[[#This Row],[P.E]]-1/24,MIP_4[[#This Row],[P.S]]-MIP_4[[#This Row],[P.E]]-1/24)</calculatedColumnFormula>
    </tableColumn>
    <tableColumn id="13" xr3:uid="{409992EE-B9B5-4155-97DB-3639F94754B0}" name="HH Produtivo_x000a_Total" dataDxfId="18" dataCellStyle="Normal 2">
      <calculatedColumnFormula>MIP_4[[#This Row],[PT-1]]*$S$3+MIP_4[[#This Row],[PT-2]]*$T$3+MIP_4[[#This Row],[PT-3]]*$U$3+MIP_4[[#This Row],[PT &gt; 3 Pontos]]*$V$3</calculatedColumnFormula>
    </tableColumn>
    <tableColumn id="14" xr3:uid="{97243EC1-92B5-4AB4-AE59-DC7994A2461E}" name="HH Trabalhado" dataDxfId="17" dataCellStyle="Normal 2">
      <calculatedColumnFormula>MIP_4[[#This Row],[HH disponível]]-MIP_4[[#This Row],[HH AC TOT]]</calculatedColumnFormula>
    </tableColumn>
    <tableColumn id="15" xr3:uid="{583D10A0-0344-4E15-8083-7478A6D7BBFF}" name="Eficiência" dataDxfId="16">
      <calculatedColumnFormula>MIP_4[[#This Row],[HH Produtivo
Total]]/MIP_4[[#This Row],[HH Trabalhado]]</calculatedColumnFormula>
    </tableColumn>
    <tableColumn id="16" xr3:uid="{48479A90-7C43-4D78-96B2-61020F8F289E}" name="Produtividade" dataDxfId="15">
      <calculatedColumnFormula>MIP_4[[#This Row],[HH Produtivo
Total]]/MIP_4[[#This Row],[HH disponível]]</calculatedColumnFormula>
    </tableColumn>
    <tableColumn id="17" xr3:uid="{F5E6C3D7-449D-4978-A9C4-5C1A2FEC52FD}" name="Utilização" dataDxfId="14">
      <calculatedColumnFormula>MIP_4[[#This Row],[HH Trabalhado]]/MIP_4[[#This Row],[HH disponível]]</calculatedColumnFormula>
    </tableColumn>
    <tableColumn id="18" xr3:uid="{7DC34363-D153-4C91-B220-B45C1F6BA07B}" name="Colaborador 1" dataDxfId="13" dataCellStyle="Normal 2">
      <calculatedColumnFormula>LEFT(MIP_4[[#This Row],[Equipe]], SEARCH("/",MIP_4[[#This Row],[Equipe]],1)-1)</calculatedColumnFormula>
    </tableColumn>
    <tableColumn id="19" xr3:uid="{7ADF08EB-25AF-4658-B14A-8E39149271E8}" name="Colaborador 2" dataDxfId="12" dataCellStyle="Normal 2">
      <calculatedColumnFormula>RIGHT(MIP_4[[#This Row],[Equipe]], LEN(MIP_4[[#This Row],[Equipe]])-SEARCH("/",MIP_4[[#This Row],[Equipe]],1))</calculatedColumnFormula>
    </tableColumn>
    <tableColumn id="36" xr3:uid="{246B4646-C0AD-49BE-926D-C50D949EB8F2}" name="Qntd de paradas" dataDxfId="11" dataCellStyle="Normal 2">
      <calculatedColumnFormula>COUNTIFS('[1]Tempo parado'!G:G,"&gt;="&amp;MIP_4[[#This Row],[S.B Sitrack]],'[1]Tempo parado'!H:H,"&lt;="&amp;MIP_4[[#This Row],[C.B Sitrack]],'[1]Tempo parado'!A:A,MIP_4[[#This Row],[Placa]])</calculatedColumnFormula>
    </tableColumn>
    <tableColumn id="27" xr3:uid="{751533EC-C4F4-4057-9E1A-25294F66D591}" name="Hora inserção" dataDxfId="10" dataCellStyle="Normal 2"/>
    <tableColumn id="31" xr3:uid="{0605ECC9-985A-4ECB-8BAC-870C424FB117}" name="Comentário sistema" dataDxfId="9" dataCellStyle="Normal 2"/>
    <tableColumn id="37" xr3:uid="{AEA39471-04DE-403A-9152-92A9CD34F958}" name="S.B Sitrack" dataDxfId="8" dataCellStyle="Normal 2"/>
    <tableColumn id="32" xr3:uid="{6702E9D8-901E-4E76-9EF0-F0A12D8A4EED}" name="C.B Sitrack" dataDxfId="7" dataCellStyle="Normal 2"/>
    <tableColumn id="39" xr3:uid="{36C83446-92BD-4E4A-B54E-C665128A8D2F}" name="Distorção" dataDxfId="6" dataCellStyle="Normal 2">
      <calculatedColumnFormula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calculatedColumnFormula>
    </tableColumn>
    <tableColumn id="34" xr3:uid="{29197651-0280-4A81-86B6-CC85733C6702}" name="Distância Sitrack" dataDxfId="5" dataCellStyle="Normal 2">
      <calculatedColumnFormula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calculatedColumnFormula>
    </tableColumn>
    <tableColumn id="35" xr3:uid="{D0CA8FCC-1C67-4991-88B2-8FE6ACC995CC}" name="Tempo parado" dataDxfId="4" dataCellStyle="Normal 2">
      <calculatedColumnFormula>SUMIFS('[1]Tempo parado'!I:I,'[1]Tempo parado'!G:G,"&gt;="&amp;MIP_4[[#This Row],[S.B Sitrack]],'[1]Tempo parado'!H:H,"&lt;="&amp;MIP_4[[#This Row],[C.B Sitrack]],'[1]Tempo parado'!A:A,MIP_4[[#This Row],[Placa]])</calculatedColumnFormula>
    </tableColumn>
    <tableColumn id="38" xr3:uid="{8CC53ED3-51C5-4D2F-B158-C367C5E8B731}" name="% tempo parado" dataDxfId="3" dataCellStyle="Normal 2">
      <calculatedColumnFormula>IFERROR(MIP_4[[#This Row],[Tempo parado]]/(MIP_4[[#This Row],[C.B Sitrack]]-MIP_4[[#This Row],[S.B Sitrack]]),"")</calculatedColumnFormula>
    </tableColumn>
    <tableColumn id="40" xr3:uid="{27AE9988-E01F-4E95-A144-323A90C72803}" name="Rota" dataDxfId="2" dataCellStyle="Normal 2"/>
    <tableColumn id="42" xr3:uid="{F3E4F931-673B-4CC4-8DD9-4101809A29EF}" name="Sem_fin" dataDxfId="1" dataCellStyle="Normal 2">
      <calculatedColumnFormula>IF(AND(MIP_4[Exc]=0,MIP_4[Previsto / Realizado]="Realizado"),MIP_4[Sem],0)</calculatedColumnFormula>
    </tableColumn>
    <tableColumn id="43" xr3:uid="{02C4ED8C-0C8D-469D-BD8B-D06C00629574}" name="Sem_fin Sit" dataDxfId="0" dataCellStyle="Normal 2">
      <calculatedColumnFormula>IF(AND(MIP_4[Exc]=0,MIP_4[Previsto / Realizado]="Realizado",ISBLANK(MIP_4[[#This Row],[S.B Sitrack]])=FALSE,ISBLANK(MIP_4[[#This Row],[C.B Sitrack]])=FALSE),MIP_4[Sem],0)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google.com/maps/dir/?api=1&amp;origin=-12.894481,-38.328202&amp;waypoints=-12.898342,-38.325232%7C-12.890809,-38.320164%7C-12.892415,-38.31995%7C-12.89828,-38.311777%7C-12.891877,-38.327222%7C-12.90079,-38.341018%7C-12.89689,-38.342712%7C-12.871445,-38.353992%7C-12.886046,-38.345059%7C-12.899261,-38.3272%7C-12.901692,-38.316907%7C-12.860061,-38.298224&amp;destination=-12.891801,-38.327236" TargetMode="External"/><Relationship Id="rId13" Type="http://schemas.openxmlformats.org/officeDocument/2006/relationships/hyperlink" Target="http://www.google.com/maps/dir/?api=1&amp;origin=-12.889978,-38.327006&amp;waypoints=-12.856733,-38.354395%7C-12.863787,-38.294222%7C-12.858545,-38.294199%7C-12.869864,-38.338376%7C-12.88249,-38.333441%7C-12.897319,-38.325312&amp;destination=-12.89175,-38.327184" TargetMode="External"/><Relationship Id="rId18" Type="http://schemas.openxmlformats.org/officeDocument/2006/relationships/hyperlink" Target="http://www.google.com/maps/dir/?api=1&amp;origin=-12.896384,-38.329847&amp;waypoints=-12.893414,-38.320266%7C-12.859975,-38.327684%7C-12.849733,-38.338081%7C-12.881286,-38.33429%7C-12.889708,-38.325642%7C-12.885134,-38.355481%7C-12.878472,-38.352773%7C-12.895566,-38.323616&amp;destination=-12.891864,-38.327135" TargetMode="External"/><Relationship Id="rId26" Type="http://schemas.openxmlformats.org/officeDocument/2006/relationships/drawing" Target="../drawings/drawing1.xml"/><Relationship Id="rId3" Type="http://schemas.openxmlformats.org/officeDocument/2006/relationships/hyperlink" Target="http://www.google.com/maps/dir/?api=1&amp;origin=-12.894821,-38.328504&amp;waypoints=-12.898018,-38.325114%7C-12.88862,-38.307955%7C-12.896074,-38.294895%7C-12.882693,-38.287501%7C-12.879063,-38.284788%7C-12.878176,-38.321633%7C-12.879382,-38.332672%7C-12.899259,-38.327044%7C-12.875338,-38.339603&amp;destination=-12.891878,-38.32709" TargetMode="External"/><Relationship Id="rId21" Type="http://schemas.openxmlformats.org/officeDocument/2006/relationships/hyperlink" Target="http://www.google.com/maps/dir/?api=1&amp;origin=-12.889459,-38.32646&amp;waypoints=-12.881122,-38.296332%7C-12.88115,-38.304056%7C-12.871603,-38.357745%7C-12.841062,-38.334224%7C-12.899032,-38.351278%7C-12.887372,-38.354253%7C-12.881909,-38.328099%7C-12.895429,-38.347297%7C-12.867724,-38.29744%7C-12.89716,-38.324762&amp;destination=-12.891808,-38.327121" TargetMode="External"/><Relationship Id="rId7" Type="http://schemas.openxmlformats.org/officeDocument/2006/relationships/hyperlink" Target="http://www.google.com/maps/dir/?api=1&amp;origin=-12.895483,-38.329079&amp;waypoints=-12.894043,-38.356227%7C-12.865278,-38.307719%7C-12.882631,-38.289522%7C-12.882456,-38.289068%7C-12.876192,-38.318258%7C-12.881113,-38.331902%7C-12.881952,-38.340722%7C-12.897404,-38.324914&amp;destination=-12.891832,-38.327134" TargetMode="External"/><Relationship Id="rId12" Type="http://schemas.openxmlformats.org/officeDocument/2006/relationships/hyperlink" Target="http://www.google.com/maps/dir/?api=1&amp;origin=-12.8942,-38.327931&amp;waypoints=-12.882997,-38.283165%7C-12.838155,-38.356178%7C-12.877479,-38.324318%7C-12.888142,-38.334516%7C-12.896102,-38.34381%7C-12.895665,-38.347754%7C-12.894069,-38.356198&amp;destination=-12.891823,-38.327084" TargetMode="External"/><Relationship Id="rId17" Type="http://schemas.openxmlformats.org/officeDocument/2006/relationships/hyperlink" Target="http://www.google.com/maps/dir/?api=1&amp;origin=-12.889743,-38.325572&amp;waypoints=-12.869924,-38.339055%7C-12.856535,-38.340858%7C-12.849749,-38.338106%7C-12.854642,-38.359217%7C-12.88656,-38.312448%7C-12.899262,-38.327351%7C-12.883358,-38.339343%7C-12.89556,-38.323448%7C-12.886257,-38.337358%7C-12.883875,-38.342693&amp;destination=-12.891837,-38.327092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http://www.google.com/maps/dir/?api=1&amp;origin=-12.889597,-38.326594&amp;waypoints=-12.838752,-38.349935%7C-12.908897,-38.304001%7C-12.891527,-38.328795%7C-12.870247,-38.339278%7C-12.842388,-38.35586%7C-12.866364,-38.305421&amp;destination=-12.891859,-38.327269" TargetMode="External"/><Relationship Id="rId16" Type="http://schemas.openxmlformats.org/officeDocument/2006/relationships/hyperlink" Target="http://www.google.com/maps/dir/?api=1&amp;origin=-12.895696,-38.332212&amp;waypoints=-12.873331,-38.343708%7C-12.86778,-38.299486%7C-12.879836,-38.332108%7C-12.877217,-38.329879%7C-12.894822,-38.317418%7C-12.897447,-38.324942%7C-12.877567,-38.281654&amp;destination=-12.89185,-38.327107" TargetMode="External"/><Relationship Id="rId20" Type="http://schemas.openxmlformats.org/officeDocument/2006/relationships/hyperlink" Target="http://www.google.com/maps/dir/?api=1&amp;origin=-12.889936,-38.330384&amp;waypoints=-12.877079,-38.348716%7C-12.898287,-38.338377%7C-12.897502,-38.329514%7C-12.881215,-38.331876%7C-12.839069,-38.329782%7C-12.834444,-38.331492%7C-12.89704,-38.32467&amp;destination=-12.891851,-38.327112" TargetMode="External"/><Relationship Id="rId29" Type="http://schemas.openxmlformats.org/officeDocument/2006/relationships/table" Target="../tables/table2.xml"/><Relationship Id="rId1" Type="http://schemas.openxmlformats.org/officeDocument/2006/relationships/hyperlink" Target="http://www.google.com/maps/dir/?api=1&amp;origin=-12.896186,-38.329723&amp;waypoints=-12.876697,-38.352566%7C-12.865928,-38.355956%7C-12.868591,-38.33836%7C-12.878584,-38.334269%7C-12.900824,-38.346558%7C-12.886427,-38.353018%7C-12.891859,-38.327201%7C-12.898757,-38.327667%7C-12.900237,-38.308862%7C-12.890356,-38.303998%7C-12.885273,-38.293436%7C-12.87869,-38.301358%7C-12.897382,-38.325316&amp;destination=-12.891855,-38.327094" TargetMode="External"/><Relationship Id="rId6" Type="http://schemas.openxmlformats.org/officeDocument/2006/relationships/hyperlink" Target="http://www.google.com/maps/dir/?api=1&amp;origin=-12.896538,-38.332824&amp;waypoints=-12.89561,-38.347623%7C-12.887021,-38.290708%7C-12.876608,-38.291125%7C-12.883396,-38.287441%7C-12.8998,-38.296716%7C-12.899515,-38.323684%7C-12.89548,-38.323409%7C-12.8623,-38.291001&amp;destination=-12.891804,-38.327086" TargetMode="External"/><Relationship Id="rId11" Type="http://schemas.openxmlformats.org/officeDocument/2006/relationships/hyperlink" Target="http://www.google.com/maps/dir/?api=1&amp;origin=-12.890122,-38.330209&amp;waypoints=-12.878861,-38.285087%7C-12.880843,-38.290371%7C-12.88874,-38.288272%7C-12.886785,-38.303013%7C-12.896906,-38.318738%7C-12.87521,-38.337683%7C-12.893877,-38.340905%7C-12.877679,-38.33289%7C-12.89592,-38.347846&amp;destination=-12.891861,-38.327194" TargetMode="External"/><Relationship Id="rId24" Type="http://schemas.openxmlformats.org/officeDocument/2006/relationships/hyperlink" Target="http://www.google.com/maps/dir/?api=1&amp;origin=-12.889727,-38.325163&amp;waypoints=-12.885045,-38.33483%7C-12.890894,-38.335272%7C-12.837828,-38.348808%7C-12.887569,-38.352018%7C-12.899113,-38.35127%7C-12.901721,-38.310045%7C-12.895492,-38.323553&amp;destination=-12.89189,-38.327125" TargetMode="External"/><Relationship Id="rId5" Type="http://schemas.openxmlformats.org/officeDocument/2006/relationships/hyperlink" Target="http://www.google.com/maps/dir/?api=1&amp;origin=-12.894356,-38.328065&amp;waypoints=-12.897085,-38.325224%7C-12.865474,-38.307881%7C-12.898974,-38.327234%7C-12.896569,-38.324835%7C-12.875713,-38.340783%7C-12.836915,-38.336042%7C-12.880569,-38.330779&amp;destination=-12.891829,-38.327093" TargetMode="External"/><Relationship Id="rId15" Type="http://schemas.openxmlformats.org/officeDocument/2006/relationships/hyperlink" Target="http://www.google.com/maps/dir/?api=1&amp;origin=-12.889776,-38.325542&amp;waypoints=-12.842239,-38.334227%7C-12.877553,-38.326026%7C-12.884051,-38.33888%7C-12.879913,-38.352153%7C-12.886335,-38.352381%7C-12.860259,-38.297318%7C-12.862296,-38.290964%7C-12.885983,-38.310996%7C-12.905355,-38.302465%7C-12.897298,-38.325266&amp;destination=-12.89182,-38.327239" TargetMode="External"/><Relationship Id="rId23" Type="http://schemas.openxmlformats.org/officeDocument/2006/relationships/hyperlink" Target="http://www.google.com/maps/dir/?api=1&amp;origin=-12.893955,-38.327725&amp;waypoints=-12.898078,-38.325128%7C-12.898197,-38.3394%7C-12.901327,-38.341427%7C-12.897162,-38.345571%7C-12.900242,-38.343938%7C-12.887032,-38.353276%7C-12.887558,-38.344177%7C-12.899137,-38.327813%7C-12.880897,-38.324028%7C-12.856075,-38.361473&amp;destination=-12.891807,-38.327084" TargetMode="External"/><Relationship Id="rId28" Type="http://schemas.openxmlformats.org/officeDocument/2006/relationships/table" Target="../tables/table1.xml"/><Relationship Id="rId10" Type="http://schemas.openxmlformats.org/officeDocument/2006/relationships/hyperlink" Target="http://www.google.com/maps/dir/?api=1&amp;origin=-12.896524,-38.332856&amp;waypoints=-12.897109,-38.3424%7C-12.896585,-38.32478%7C-12.870339,-38.320168%7C-12.837883,-38.337345%7C-12.880629,-38.331668%7C-12.878174,-38.332328%7C-12.889882,-38.351229%7C-12.890283,-38.313436%7C-12.89558,-38.323467&amp;destination=-12.891808,-38.327199" TargetMode="External"/><Relationship Id="rId19" Type="http://schemas.openxmlformats.org/officeDocument/2006/relationships/hyperlink" Target="http://www.google.com/maps/dir/?api=1&amp;origin=-12.893209,-38.327099&amp;waypoin&amp;destination=-12.891895,-38.327066" TargetMode="External"/><Relationship Id="rId4" Type="http://schemas.openxmlformats.org/officeDocument/2006/relationships/hyperlink" Target="http://www.google.com/maps/dir/?api=1&amp;origin=-12.889521,-38.330843&amp;waypoints=-12.888889,-38.337388%7C-12.891369,-38.294176%7C-12.879734,-38.298311%7C-12.843324,-38.356404%7C-12.886344,-38.345388%7C-12.897953,-38.350212%7C-12.893712,-38.303354%7C-12.878112,-38.332062%7C-12.897224,-38.324794&amp;destination=-12.891837,-38.327097" TargetMode="External"/><Relationship Id="rId9" Type="http://schemas.openxmlformats.org/officeDocument/2006/relationships/hyperlink" Target="http://www.google.com/maps/dir/?api=1&amp;origin=-12.896608,-38.330037&amp;waypoints=-12.897184,-38.33003%7C-12.894762,-38.293441%7C-12.891228,-38.301845%7C-12.893271,-38.305756%7C-12.880943,-38.306764%7C-12.882278,-38.282126%7C-12.877826,-38.285051%7C-12.883055,-38.320984%7C-12.839523,-38.35429%7C-12.841997,-38.334758&amp;destination=-12.891842,-38.327103" TargetMode="External"/><Relationship Id="rId14" Type="http://schemas.openxmlformats.org/officeDocument/2006/relationships/hyperlink" Target="http://www.google.com/maps/dir/?api=1&amp;origin=-12.889978,-38.327006&amp;waypoints=-12.856733,-38.354395%7C-12.863787,-38.294222%7C-12.858545,-38.294199%7C-12.869864,-38.338376%7C-12.88249,-38.333441%7C-12.897319,-38.325312&amp;destination=-12.89175,-38.327184" TargetMode="External"/><Relationship Id="rId22" Type="http://schemas.openxmlformats.org/officeDocument/2006/relationships/hyperlink" Target="http://www.google.com/maps/dir/?api=1&amp;origin=-12.886654,-38.3237&amp;waypoints=-12.869533,-38.301296%7C-12.86739,-38.30042%7C-12.896698,-38.324919%7C-12.896008,-38.321181%7C-12.891815,-38.31036%7C-12.885674,-38.306436%7C-12.895612,-38.294984%7C-12.864611,-38.29634%7C-12.889887,-38.321718&amp;destination=-12.891818,-38.327128" TargetMode="External"/><Relationship Id="rId27" Type="http://schemas.openxmlformats.org/officeDocument/2006/relationships/vmlDrawing" Target="../drawings/vmlDrawing1.vml"/><Relationship Id="rId30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google.com/maps/dir/?api=1&amp;origin=-12.894481,-38.328202&amp;waypoints=-12.898342,-38.325232%7C-12.890809,-38.320164%7C-12.892415,-38.31995%7C-12.89828,-38.311777%7C-12.891877,-38.327222%7C-12.90079,-38.341018%7C-12.89689,-38.342712%7C-12.871445,-38.353992%7C-12.886046,-38.345059%7C-12.899261,-38.3272%7C-12.901692,-38.316907%7C-12.860061,-38.298224&amp;destination=-12.891801,-38.327236" TargetMode="External"/><Relationship Id="rId13" Type="http://schemas.openxmlformats.org/officeDocument/2006/relationships/hyperlink" Target="http://www.google.com/maps/dir/?api=1&amp;origin=-12.889978,-38.327006&amp;waypoints=-12.856733,-38.354395%7C-12.863787,-38.294222%7C-12.858545,-38.294199%7C-12.869864,-38.338376%7C-12.88249,-38.333441%7C-12.897319,-38.325312&amp;destination=-12.89175,-38.327184" TargetMode="External"/><Relationship Id="rId18" Type="http://schemas.openxmlformats.org/officeDocument/2006/relationships/hyperlink" Target="http://www.google.com/maps/dir/?api=1&amp;origin=-12.896384,-38.329847&amp;waypoints=-12.893414,-38.320266%7C-12.859975,-38.327684%7C-12.849733,-38.338081%7C-12.881286,-38.33429%7C-12.889708,-38.325642%7C-12.885134,-38.355481%7C-12.878472,-38.352773%7C-12.895566,-38.323616&amp;destination=-12.891864,-38.327135" TargetMode="External"/><Relationship Id="rId26" Type="http://schemas.openxmlformats.org/officeDocument/2006/relationships/table" Target="../tables/table3.xml"/><Relationship Id="rId3" Type="http://schemas.openxmlformats.org/officeDocument/2006/relationships/hyperlink" Target="http://www.google.com/maps/dir/?api=1&amp;origin=-12.894821,-38.328504&amp;waypoints=-12.898018,-38.325114%7C-12.88862,-38.307955%7C-12.896074,-38.294895%7C-12.882693,-38.287501%7C-12.879063,-38.284788%7C-12.878176,-38.321633%7C-12.879382,-38.332672%7C-12.899259,-38.327044%7C-12.875338,-38.339603&amp;destination=-12.891878,-38.32709" TargetMode="External"/><Relationship Id="rId21" Type="http://schemas.openxmlformats.org/officeDocument/2006/relationships/hyperlink" Target="http://www.google.com/maps/dir/?api=1&amp;origin=-12.889459,-38.32646&amp;waypoints=-12.881122,-38.296332%7C-12.88115,-38.304056%7C-12.871603,-38.357745%7C-12.841062,-38.334224%7C-12.899032,-38.351278%7C-12.887372,-38.354253%7C-12.881909,-38.328099%7C-12.895429,-38.347297%7C-12.867724,-38.29744%7C-12.89716,-38.324762&amp;destination=-12.891808,-38.327121" TargetMode="External"/><Relationship Id="rId7" Type="http://schemas.openxmlformats.org/officeDocument/2006/relationships/hyperlink" Target="http://www.google.com/maps/dir/?api=1&amp;origin=-12.895483,-38.329079&amp;waypoints=-12.894043,-38.356227%7C-12.865278,-38.307719%7C-12.882631,-38.289522%7C-12.882456,-38.289068%7C-12.876192,-38.318258%7C-12.881113,-38.331902%7C-12.881952,-38.340722%7C-12.897404,-38.324914&amp;destination=-12.891832,-38.327134" TargetMode="External"/><Relationship Id="rId12" Type="http://schemas.openxmlformats.org/officeDocument/2006/relationships/hyperlink" Target="http://www.google.com/maps/dir/?api=1&amp;origin=-12.8942,-38.327931&amp;waypoints=-12.882997,-38.283165%7C-12.838155,-38.356178%7C-12.877479,-38.324318%7C-12.888142,-38.334516%7C-12.896102,-38.34381%7C-12.895665,-38.347754%7C-12.894069,-38.356198&amp;destination=-12.891823,-38.327084" TargetMode="External"/><Relationship Id="rId17" Type="http://schemas.openxmlformats.org/officeDocument/2006/relationships/hyperlink" Target="http://www.google.com/maps/dir/?api=1&amp;origin=-12.889743,-38.325572&amp;waypoints=-12.869924,-38.339055%7C-12.856535,-38.340858%7C-12.849749,-38.338106%7C-12.854642,-38.359217%7C-12.88656,-38.312448%7C-12.899262,-38.327351%7C-12.883358,-38.339343%7C-12.89556,-38.323448%7C-12.886257,-38.337358%7C-12.883875,-38.342693&amp;destination=-12.891837,-38.327092" TargetMode="External"/><Relationship Id="rId25" Type="http://schemas.openxmlformats.org/officeDocument/2006/relationships/vmlDrawing" Target="../drawings/vmlDrawing2.vml"/><Relationship Id="rId2" Type="http://schemas.openxmlformats.org/officeDocument/2006/relationships/hyperlink" Target="http://www.google.com/maps/dir/?api=1&amp;origin=-12.889597,-38.326594&amp;waypoints=-12.838752,-38.349935%7C-12.908897,-38.304001%7C-12.891527,-38.328795%7C-12.870247,-38.339278%7C-12.842388,-38.35586%7C-12.866364,-38.305421&amp;destination=-12.891859,-38.327269" TargetMode="External"/><Relationship Id="rId16" Type="http://schemas.openxmlformats.org/officeDocument/2006/relationships/hyperlink" Target="http://www.google.com/maps/dir/?api=1&amp;origin=-12.895696,-38.332212&amp;waypoints=-12.873331,-38.343708%7C-12.86778,-38.299486%7C-12.879836,-38.332108%7C-12.877217,-38.329879%7C-12.894822,-38.317418%7C-12.897447,-38.324942%7C-12.877567,-38.281654&amp;destination=-12.89185,-38.327107" TargetMode="External"/><Relationship Id="rId20" Type="http://schemas.openxmlformats.org/officeDocument/2006/relationships/hyperlink" Target="http://www.google.com/maps/dir/?api=1&amp;origin=-12.889936,-38.330384&amp;waypoints=-12.877079,-38.348716%7C-12.898287,-38.338377%7C-12.897502,-38.329514%7C-12.881215,-38.331876%7C-12.839069,-38.329782%7C-12.834444,-38.331492%7C-12.89704,-38.32467&amp;destination=-12.891851,-38.327112" TargetMode="External"/><Relationship Id="rId1" Type="http://schemas.openxmlformats.org/officeDocument/2006/relationships/hyperlink" Target="http://www.google.com/maps/dir/?api=1&amp;origin=-12.896186,-38.329723&amp;waypoints=-12.876697,-38.352566%7C-12.865928,-38.355956%7C-12.868591,-38.33836%7C-12.878584,-38.334269%7C-12.900824,-38.346558%7C-12.886427,-38.353018%7C-12.891859,-38.327201%7C-12.898757,-38.327667%7C-12.900237,-38.308862%7C-12.890356,-38.303998%7C-12.885273,-38.293436%7C-12.87869,-38.301358%7C-12.897382,-38.325316&amp;destination=-12.891855,-38.327094" TargetMode="External"/><Relationship Id="rId6" Type="http://schemas.openxmlformats.org/officeDocument/2006/relationships/hyperlink" Target="http://www.google.com/maps/dir/?api=1&amp;origin=-12.896538,-38.332824&amp;waypoints=-12.89561,-38.347623%7C-12.887021,-38.290708%7C-12.876608,-38.291125%7C-12.883396,-38.287441%7C-12.8998,-38.296716%7C-12.899515,-38.323684%7C-12.89548,-38.323409%7C-12.8623,-38.291001&amp;destination=-12.891804,-38.327086" TargetMode="External"/><Relationship Id="rId11" Type="http://schemas.openxmlformats.org/officeDocument/2006/relationships/hyperlink" Target="http://www.google.com/maps/dir/?api=1&amp;origin=-12.890122,-38.330209&amp;waypoints=-12.878861,-38.285087%7C-12.880843,-38.290371%7C-12.88874,-38.288272%7C-12.886785,-38.303013%7C-12.896906,-38.318738%7C-12.87521,-38.337683%7C-12.893877,-38.340905%7C-12.877679,-38.33289%7C-12.89592,-38.347846&amp;destination=-12.891861,-38.327194" TargetMode="External"/><Relationship Id="rId24" Type="http://schemas.openxmlformats.org/officeDocument/2006/relationships/hyperlink" Target="http://www.google.com/maps/dir/?api=1&amp;origin=-12.889727,-38.325163&amp;waypoints=-12.885045,-38.33483%7C-12.890894,-38.335272%7C-12.837828,-38.348808%7C-12.887569,-38.352018%7C-12.899113,-38.35127%7C-12.901721,-38.310045%7C-12.895492,-38.323553&amp;destination=-12.89189,-38.327125" TargetMode="External"/><Relationship Id="rId5" Type="http://schemas.openxmlformats.org/officeDocument/2006/relationships/hyperlink" Target="http://www.google.com/maps/dir/?api=1&amp;origin=-12.894356,-38.328065&amp;waypoints=-12.897085,-38.325224%7C-12.865474,-38.307881%7C-12.898974,-38.327234%7C-12.896569,-38.324835%7C-12.875713,-38.340783%7C-12.836915,-38.336042%7C-12.880569,-38.330779&amp;destination=-12.891829,-38.327093" TargetMode="External"/><Relationship Id="rId15" Type="http://schemas.openxmlformats.org/officeDocument/2006/relationships/hyperlink" Target="http://www.google.com/maps/dir/?api=1&amp;origin=-12.889776,-38.325542&amp;waypoints=-12.842239,-38.334227%7C-12.877553,-38.326026%7C-12.884051,-38.33888%7C-12.879913,-38.352153%7C-12.886335,-38.352381%7C-12.860259,-38.297318%7C-12.862296,-38.290964%7C-12.885983,-38.310996%7C-12.905355,-38.302465%7C-12.897298,-38.325266&amp;destination=-12.89182,-38.327239" TargetMode="External"/><Relationship Id="rId23" Type="http://schemas.openxmlformats.org/officeDocument/2006/relationships/hyperlink" Target="http://www.google.com/maps/dir/?api=1&amp;origin=-12.893955,-38.327725&amp;waypoints=-12.898078,-38.325128%7C-12.898197,-38.3394%7C-12.901327,-38.341427%7C-12.897162,-38.345571%7C-12.900242,-38.343938%7C-12.887032,-38.353276%7C-12.887558,-38.344177%7C-12.899137,-38.327813%7C-12.880897,-38.324028%7C-12.856075,-38.361473&amp;destination=-12.891807,-38.327084" TargetMode="External"/><Relationship Id="rId10" Type="http://schemas.openxmlformats.org/officeDocument/2006/relationships/hyperlink" Target="http://www.google.com/maps/dir/?api=1&amp;origin=-12.896524,-38.332856&amp;waypoints=-12.897109,-38.3424%7C-12.896585,-38.32478%7C-12.870339,-38.320168%7C-12.837883,-38.337345%7C-12.880629,-38.331668%7C-12.878174,-38.332328%7C-12.889882,-38.351229%7C-12.890283,-38.313436%7C-12.89558,-38.323467&amp;destination=-12.891808,-38.327199" TargetMode="External"/><Relationship Id="rId19" Type="http://schemas.openxmlformats.org/officeDocument/2006/relationships/hyperlink" Target="http://www.google.com/maps/dir/?api=1&amp;origin=-12.893209,-38.327099&amp;waypoin&amp;destination=-12.891895,-38.327066" TargetMode="External"/><Relationship Id="rId4" Type="http://schemas.openxmlformats.org/officeDocument/2006/relationships/hyperlink" Target="http://www.google.com/maps/dir/?api=1&amp;origin=-12.889521,-38.330843&amp;waypoints=-12.888889,-38.337388%7C-12.891369,-38.294176%7C-12.879734,-38.298311%7C-12.843324,-38.356404%7C-12.886344,-38.345388%7C-12.897953,-38.350212%7C-12.893712,-38.303354%7C-12.878112,-38.332062%7C-12.897224,-38.324794&amp;destination=-12.891837,-38.327097" TargetMode="External"/><Relationship Id="rId9" Type="http://schemas.openxmlformats.org/officeDocument/2006/relationships/hyperlink" Target="http://www.google.com/maps/dir/?api=1&amp;origin=-12.896608,-38.330037&amp;waypoints=-12.897184,-38.33003%7C-12.894762,-38.293441%7C-12.891228,-38.301845%7C-12.893271,-38.305756%7C-12.880943,-38.306764%7C-12.882278,-38.282126%7C-12.877826,-38.285051%7C-12.883055,-38.320984%7C-12.839523,-38.35429%7C-12.841997,-38.334758&amp;destination=-12.891842,-38.327103" TargetMode="External"/><Relationship Id="rId14" Type="http://schemas.openxmlformats.org/officeDocument/2006/relationships/hyperlink" Target="http://www.google.com/maps/dir/?api=1&amp;origin=-12.889978,-38.327006&amp;waypoints=-12.856733,-38.354395%7C-12.863787,-38.294222%7C-12.858545,-38.294199%7C-12.869864,-38.338376%7C-12.88249,-38.333441%7C-12.897319,-38.325312&amp;destination=-12.89175,-38.327184" TargetMode="External"/><Relationship Id="rId22" Type="http://schemas.openxmlformats.org/officeDocument/2006/relationships/hyperlink" Target="http://www.google.com/maps/dir/?api=1&amp;origin=-12.886654,-38.3237&amp;waypoints=-12.869533,-38.301296%7C-12.86739,-38.30042%7C-12.896698,-38.324919%7C-12.896008,-38.321181%7C-12.891815,-38.31036%7C-12.885674,-38.306436%7C-12.895612,-38.294984%7C-12.864611,-38.29634%7C-12.889887,-38.321718&amp;destination=-12.891818,-38.327128" TargetMode="External"/><Relationship Id="rId27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A4FA2-E76E-438C-B52D-DCF52F414226}">
  <sheetPr>
    <tabColor theme="3"/>
  </sheetPr>
  <dimension ref="A1:AR925"/>
  <sheetViews>
    <sheetView showGridLines="0" zoomScale="70" zoomScaleNormal="70" zoomScaleSheetLayoutView="80" zoomScalePageLayoutView="90" workbookViewId="0">
      <pane xSplit="5" ySplit="6" topLeftCell="AH908" activePane="bottomRight" state="frozen"/>
      <selection pane="topRight" activeCell="E1" sqref="E1"/>
      <selection pane="bottomLeft" activeCell="A7" sqref="A7"/>
      <selection pane="bottomRight" activeCell="B6" sqref="B6:AQ925"/>
    </sheetView>
  </sheetViews>
  <sheetFormatPr defaultColWidth="12.5703125" defaultRowHeight="15.75" outlineLevelCol="2" x14ac:dyDescent="0.25"/>
  <cols>
    <col min="1" max="1" width="2.7109375" style="11" customWidth="1"/>
    <col min="2" max="2" width="6.28515625" style="1" customWidth="1"/>
    <col min="3" max="3" width="12.85546875" style="1" bestFit="1" customWidth="1"/>
    <col min="4" max="4" width="12.28515625" style="1" customWidth="1"/>
    <col min="5" max="5" width="33" style="10" customWidth="1"/>
    <col min="6" max="6" width="11" style="1" customWidth="1"/>
    <col min="7" max="7" width="13.28515625" style="1" customWidth="1"/>
    <col min="8" max="12" width="9" style="1" customWidth="1"/>
    <col min="13" max="15" width="9" style="9" customWidth="1"/>
    <col min="16" max="16" width="10.5703125" style="9" customWidth="1"/>
    <col min="17" max="17" width="12.5703125" style="1" bestFit="1" customWidth="1"/>
    <col min="18" max="18" width="61" style="1" customWidth="1"/>
    <col min="19" max="19" width="9.5703125" customWidth="1" outlineLevel="1"/>
    <col min="20" max="20" width="14.85546875" style="1" customWidth="1" outlineLevel="1"/>
    <col min="21" max="22" width="8.85546875" style="1" customWidth="1" outlineLevel="1"/>
    <col min="23" max="23" width="8.42578125" style="1" customWidth="1" outlineLevel="1"/>
    <col min="24" max="25" width="14.28515625" style="1" customWidth="1" outlineLevel="1"/>
    <col min="26" max="26" width="10.28515625" style="8" customWidth="1" outlineLevel="1"/>
    <col min="27" max="27" width="12" style="8" customWidth="1" outlineLevel="1" collapsed="1"/>
    <col min="28" max="28" width="15.140625" style="8" customWidth="1" outlineLevel="1"/>
    <col min="29" max="29" width="14.85546875" style="1" customWidth="1" outlineLevel="1"/>
    <col min="30" max="30" width="14.85546875" style="1" customWidth="1" outlineLevel="1" collapsed="1"/>
    <col min="31" max="31" width="13.85546875" style="7" customWidth="1" outlineLevel="1" collapsed="1"/>
    <col min="32" max="32" width="10.28515625" style="1" customWidth="1" outlineLevel="2"/>
    <col min="33" max="33" width="16.140625" style="6" customWidth="1" outlineLevel="2" collapsed="1"/>
    <col min="34" max="34" width="21.140625" style="6" customWidth="1" outlineLevel="1"/>
    <col min="35" max="35" width="21.140625" style="5" customWidth="1"/>
    <col min="36" max="36" width="19.5703125" style="4" bestFit="1" customWidth="1"/>
    <col min="37" max="37" width="21.42578125" style="3" bestFit="1" customWidth="1"/>
    <col min="38" max="38" width="21.42578125" style="3" customWidth="1"/>
    <col min="39" max="39" width="18" style="1" customWidth="1"/>
    <col min="40" max="40" width="12.5703125" style="2"/>
    <col min="41" max="16384" width="12.5703125" style="1"/>
  </cols>
  <sheetData>
    <row r="1" spans="1:43" ht="16.5" customHeight="1" x14ac:dyDescent="0.25">
      <c r="A1" s="122" t="s">
        <v>531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5" t="s">
        <v>530</v>
      </c>
      <c r="T1" s="124"/>
      <c r="U1" s="124"/>
      <c r="V1" s="123"/>
    </row>
    <row r="2" spans="1:43" ht="16.5" customHeight="1" x14ac:dyDescent="0.25">
      <c r="A2" s="122"/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1" t="s">
        <v>529</v>
      </c>
      <c r="T2" s="120" t="s">
        <v>528</v>
      </c>
      <c r="U2" s="120" t="s">
        <v>527</v>
      </c>
      <c r="V2" s="119" t="s">
        <v>526</v>
      </c>
    </row>
    <row r="3" spans="1:43" ht="19.5" thickBot="1" x14ac:dyDescent="0.35">
      <c r="A3" s="118" t="s">
        <v>525</v>
      </c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7">
        <f>VLOOKUP(S2,[1]!UltTP[#Data],2,FALSE)</f>
        <v>2.5025852958937181E-2</v>
      </c>
      <c r="T3" s="116">
        <f>VLOOKUP(T2,[1]!UltTP[#Data],2,FALSE)</f>
        <v>4.3908766103059584E-2</v>
      </c>
      <c r="U3" s="116">
        <f>VLOOKUP(U2,[1]!UltTP[#Data],2,FALSE)</f>
        <v>6.2791679247181986E-2</v>
      </c>
      <c r="V3" s="115">
        <f>VLOOKUP(V2,[1]!UltTP[#Data],2,FALSE)</f>
        <v>2.0248010880747909E-2</v>
      </c>
    </row>
    <row r="4" spans="1:43" ht="16.5" thickBot="1" x14ac:dyDescent="0.3">
      <c r="D4" s="114" t="s">
        <v>524</v>
      </c>
      <c r="E4" s="1"/>
      <c r="AE4" s="1"/>
    </row>
    <row r="5" spans="1:43" ht="16.5" thickBot="1" x14ac:dyDescent="0.3">
      <c r="D5" s="113" t="s">
        <v>523</v>
      </c>
      <c r="I5" s="112" t="s">
        <v>522</v>
      </c>
      <c r="J5" s="112"/>
      <c r="K5" s="112"/>
      <c r="L5" s="112"/>
      <c r="M5" s="112" t="s">
        <v>521</v>
      </c>
      <c r="N5" s="112"/>
      <c r="O5" s="112"/>
      <c r="P5" s="112"/>
      <c r="Q5" s="112"/>
      <c r="AA5" s="111" t="s">
        <v>520</v>
      </c>
      <c r="AB5" s="110"/>
      <c r="AC5" s="109"/>
    </row>
    <row r="6" spans="1:43" s="90" customFormat="1" ht="33.75" customHeight="1" x14ac:dyDescent="0.25">
      <c r="A6" s="108"/>
      <c r="B6" s="107" t="s">
        <v>519</v>
      </c>
      <c r="C6" s="106" t="s">
        <v>518</v>
      </c>
      <c r="D6" s="105" t="s">
        <v>517</v>
      </c>
      <c r="E6" s="102" t="s">
        <v>516</v>
      </c>
      <c r="F6" s="102" t="s">
        <v>515</v>
      </c>
      <c r="G6" s="102" t="s">
        <v>514</v>
      </c>
      <c r="H6" s="102" t="s">
        <v>513</v>
      </c>
      <c r="I6" s="102" t="s">
        <v>512</v>
      </c>
      <c r="J6" s="102" t="s">
        <v>511</v>
      </c>
      <c r="K6" s="102" t="s">
        <v>510</v>
      </c>
      <c r="L6" s="102" t="s">
        <v>509</v>
      </c>
      <c r="M6" s="104" t="s">
        <v>508</v>
      </c>
      <c r="N6" s="104" t="s">
        <v>507</v>
      </c>
      <c r="O6" s="104" t="s">
        <v>506</v>
      </c>
      <c r="P6" s="104" t="s">
        <v>505</v>
      </c>
      <c r="Q6" s="103" t="s">
        <v>504</v>
      </c>
      <c r="R6" s="102" t="s">
        <v>503</v>
      </c>
      <c r="S6" s="101" t="s">
        <v>502</v>
      </c>
      <c r="T6" s="99" t="s">
        <v>501</v>
      </c>
      <c r="U6" s="99" t="s">
        <v>500</v>
      </c>
      <c r="V6" s="99" t="s">
        <v>499</v>
      </c>
      <c r="W6" s="99" t="s">
        <v>498</v>
      </c>
      <c r="X6" s="99" t="s">
        <v>497</v>
      </c>
      <c r="Y6" s="99" t="s">
        <v>496</v>
      </c>
      <c r="Z6" s="99" t="s">
        <v>495</v>
      </c>
      <c r="AA6" s="100" t="s">
        <v>494</v>
      </c>
      <c r="AB6" s="100" t="s">
        <v>493</v>
      </c>
      <c r="AC6" s="100" t="s">
        <v>492</v>
      </c>
      <c r="AD6" s="91" t="s">
        <v>491</v>
      </c>
      <c r="AE6" s="91" t="s">
        <v>490</v>
      </c>
      <c r="AF6" s="99" t="s">
        <v>489</v>
      </c>
      <c r="AG6" s="98" t="s">
        <v>488</v>
      </c>
      <c r="AH6" s="97" t="s">
        <v>487</v>
      </c>
      <c r="AI6" s="96" t="s">
        <v>486</v>
      </c>
      <c r="AJ6" s="95" t="s">
        <v>485</v>
      </c>
      <c r="AK6" s="93" t="s">
        <v>484</v>
      </c>
      <c r="AL6" s="94" t="s">
        <v>483</v>
      </c>
      <c r="AM6" s="93" t="s">
        <v>482</v>
      </c>
      <c r="AN6" s="92" t="s">
        <v>481</v>
      </c>
      <c r="AO6" s="91" t="s">
        <v>480</v>
      </c>
      <c r="AP6" s="91" t="s">
        <v>479</v>
      </c>
      <c r="AQ6" s="91" t="s">
        <v>478</v>
      </c>
    </row>
    <row r="7" spans="1:43" s="87" customFormat="1" x14ac:dyDescent="0.25">
      <c r="A7" s="11"/>
      <c r="B7" s="44">
        <f>WEEKNUM(MIP[[#This Row],[Data]])</f>
        <v>19</v>
      </c>
      <c r="C7" s="45">
        <v>42863</v>
      </c>
      <c r="D7" s="45"/>
      <c r="E7" s="83" t="s">
        <v>463</v>
      </c>
      <c r="F7" s="35" t="s">
        <v>5</v>
      </c>
      <c r="G7" s="83"/>
      <c r="H7" s="44">
        <v>2</v>
      </c>
      <c r="I7" s="44">
        <v>8</v>
      </c>
      <c r="J7" s="44">
        <v>2</v>
      </c>
      <c r="K7" s="44">
        <v>0</v>
      </c>
      <c r="L7" s="44">
        <v>0</v>
      </c>
      <c r="M7" s="43">
        <v>0.625</v>
      </c>
      <c r="N7" s="43">
        <v>0.64583333333333337</v>
      </c>
      <c r="O7" s="43">
        <f>18/24/60</f>
        <v>1.2500000000000001E-2</v>
      </c>
      <c r="P7" s="43">
        <f>48/24/60</f>
        <v>3.3333333333333333E-2</v>
      </c>
      <c r="Q7" s="39"/>
      <c r="R7" s="42"/>
      <c r="S7" s="44">
        <f>MIP[[#This Row],[PT-1]]+MIP[[#This Row],[PT-2]]*2+MIP[[#This Row],[PT-3]]*3+MIP[[#This Row],[PT &gt; 3 Pontos]]</f>
        <v>12</v>
      </c>
      <c r="T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4.1666666666666741E-2</v>
      </c>
      <c r="U7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4.1666666666666741E-2</v>
      </c>
      <c r="V7" s="41">
        <f>MIP[[#This Row],[Eficiência]]</f>
        <v>0.88622878731574339</v>
      </c>
      <c r="W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" s="39">
        <f>IF(MIP[[#This Row],[P.S]]-MIP[[#This Row],[P.E]]&lt;0,1+MIP[[#This Row],[P.S]]-MIP[[#This Row],[P.E]]-1/24,MIP[[#This Row],[P.S]]-MIP[[#This Row],[P.E]]-1/24)</f>
        <v>0.36666666666666675</v>
      </c>
      <c r="Y7" s="39">
        <f>MIP[[#This Row],[PT-1]]*$S$3+MIP[[#This Row],[PT-2]]*$T$3+MIP[[#This Row],[PT-3]]*$U$3+MIP[[#This Row],[PT &gt; 3 Pontos]]*$V$3</f>
        <v>0.2880243558776166</v>
      </c>
      <c r="Z7" s="39">
        <f>MIP[[#This Row],[HH disponível]]-MIP[[#This Row],[HH AC TOT]]</f>
        <v>0.32500000000000001</v>
      </c>
      <c r="AA7" s="38">
        <f>MIP[[#This Row],[HH Produtivo
Total]]/MIP[[#This Row],[HH Trabalhado]]</f>
        <v>0.88622878731574339</v>
      </c>
      <c r="AB7" s="38">
        <f>MIP[[#This Row],[HH Produtivo
Total]]/MIP[[#This Row],[HH disponível]]</f>
        <v>0.78552097057531778</v>
      </c>
      <c r="AC7" s="38">
        <f>MIP[[#This Row],[HH Trabalhado]]/MIP[[#This Row],[HH disponível]]</f>
        <v>0.88636363636363624</v>
      </c>
      <c r="AD7" s="37" t="str">
        <f>LEFT(MIP[[#This Row],[Equipe]], SEARCH("/",MIP[[#This Row],[Equipe]],1)-1)</f>
        <v xml:space="preserve">EDILTON </v>
      </c>
      <c r="AE7" s="37" t="str">
        <f>RIGHT(MIP[[#This Row],[Equipe]], LEN(MIP[[#This Row],[Equipe]])-SEARCH("/",MIP[[#This Row],[Equipe]],1))</f>
        <v xml:space="preserve"> CLAUDINEY</v>
      </c>
      <c r="AF7" s="44">
        <f>COUNTIFS('[1]Tempo parado'!H:H,"&gt;="&amp;MIP[[#This Row],[S.B Sitrack]],'[1]Tempo parado'!I:I,"&lt;="&amp;MIP[[#This Row],[C.B Sitrack]],'[1]Tempo parado'!B:B,MIP[[#This Row],[Placa]])</f>
        <v>0</v>
      </c>
      <c r="AG7" s="36"/>
      <c r="AH7" s="35"/>
      <c r="AI7" s="34"/>
      <c r="AJ7" s="34"/>
      <c r="AK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" s="32">
        <f>SUMIFS('[1]Tempo parado'!J:J,'[1]Tempo parado'!H:H,"&gt;="&amp;MIP[[#This Row],[S.B Sitrack]],'[1]Tempo parado'!I:I,"&lt;="&amp;MIP[[#This Row],[C.B Sitrack]],'[1]Tempo parado'!B:B,MIP[[#This Row],[Placa]])</f>
        <v>0</v>
      </c>
      <c r="AN7" s="32" t="str">
        <f>IFERROR(MIP[[#This Row],[Tempo parado]]/(MIP[[#This Row],[C.B Sitrack]]-MIP[[#This Row],[S.B Sitrack]]),"")</f>
        <v/>
      </c>
      <c r="AO7" s="89"/>
      <c r="AP7" s="44">
        <f>IF(AND(MIP[Exc]=0,MIP[Previsto / Realizado]="Realizado"),MIP[Sem],0)</f>
        <v>0</v>
      </c>
      <c r="AQ7" s="88">
        <f>IF(AND(MIP[Exc]=0,MIP[Previsto / Realizado]="Realizado",ISBLANK(MIP[[#This Row],[S.B Sitrack]])=FALSE,ISBLANK(MIP[[#This Row],[C.B Sitrack]])=FALSE),MIP[Sem],0)</f>
        <v>0</v>
      </c>
    </row>
    <row r="8" spans="1:43" s="87" customFormat="1" x14ac:dyDescent="0.25">
      <c r="A8" s="11"/>
      <c r="B8" s="44">
        <f>WEEKNUM(MIP[[#This Row],[Data]])</f>
        <v>19</v>
      </c>
      <c r="C8" s="45">
        <v>42863</v>
      </c>
      <c r="D8" s="45"/>
      <c r="E8" s="83" t="s">
        <v>463</v>
      </c>
      <c r="F8" s="35" t="s">
        <v>2</v>
      </c>
      <c r="G8" s="83"/>
      <c r="H8" s="44">
        <v>2</v>
      </c>
      <c r="I8" s="44">
        <v>8</v>
      </c>
      <c r="J8" s="44">
        <v>1</v>
      </c>
      <c r="K8" s="44">
        <v>0</v>
      </c>
      <c r="L8" s="44">
        <v>0</v>
      </c>
      <c r="M8" s="43">
        <v>0.625</v>
      </c>
      <c r="N8" s="43">
        <v>0.70000000000000007</v>
      </c>
      <c r="O8" s="43">
        <f>1</f>
        <v>1</v>
      </c>
      <c r="P8" s="43">
        <f>1/24/60*48</f>
        <v>3.3333333333333326E-2</v>
      </c>
      <c r="Q8" s="39"/>
      <c r="R8" s="42" t="s">
        <v>477</v>
      </c>
      <c r="S8" s="44">
        <f>MIP[[#This Row],[PT-1]]+MIP[[#This Row],[PT-2]]*2+MIP[[#This Row],[PT-3]]*3+MIP[[#This Row],[PT &gt; 3 Pontos]]</f>
        <v>10</v>
      </c>
      <c r="T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0.10833333333333328</v>
      </c>
      <c r="U8" s="39">
        <f>IF(MIP[[#This Row],[P.S]]-MIP[[#This Row],[U.P]]&gt;=0,MIP[[#This Row],[P.S]]-MIP[[#This Row],[U.P]]+MIP[[#This Row],[S.B]]-MIP[[#This Row],[P.E]],1+MIP[[#This Row],[P.S]]-MIP[[#This Row],[U.P]]+MIP[[#This Row],[S.B]]-MIP[[#This Row],[P.E]])</f>
        <v>0.10833333333333328</v>
      </c>
      <c r="V8" s="41">
        <f>MIP[[#This Row],[Eficiência]]</f>
        <v>0.94496357332086622</v>
      </c>
      <c r="W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" s="39">
        <f>IF(MIP[[#This Row],[P.S]]-MIP[[#This Row],[P.E]]&lt;0,1+MIP[[#This Row],[P.S]]-MIP[[#This Row],[P.E]]-1/24,MIP[[#This Row],[P.S]]-MIP[[#This Row],[P.E]]-1/24)</f>
        <v>0.36666666666666653</v>
      </c>
      <c r="Y8" s="39">
        <f>MIP[[#This Row],[PT-1]]*$S$3+MIP[[#This Row],[PT-2]]*$T$3+MIP[[#This Row],[PT-3]]*$U$3+MIP[[#This Row],[PT &gt; 3 Pontos]]*$V$3</f>
        <v>0.24411558977455702</v>
      </c>
      <c r="Z8" s="39">
        <f>MIP[[#This Row],[HH disponível]]-MIP[[#This Row],[HH AC TOT]]</f>
        <v>0.25833333333333325</v>
      </c>
      <c r="AA8" s="38">
        <f>MIP[[#This Row],[HH Produtivo
Total]]/MIP[[#This Row],[HH Trabalhado]]</f>
        <v>0.94496357332086622</v>
      </c>
      <c r="AB8" s="38">
        <f>MIP[[#This Row],[HH Produtivo
Total]]/MIP[[#This Row],[HH disponível]]</f>
        <v>0.66576979029424666</v>
      </c>
      <c r="AC8" s="38">
        <f>MIP[[#This Row],[HH Trabalhado]]/MIP[[#This Row],[HH disponível]]</f>
        <v>0.70454545454545459</v>
      </c>
      <c r="AD8" s="37" t="str">
        <f>LEFT(MIP[[#This Row],[Equipe]], SEARCH("/",MIP[[#This Row],[Equipe]],1)-1)</f>
        <v xml:space="preserve">EDILTON </v>
      </c>
      <c r="AE8" s="37" t="str">
        <f>RIGHT(MIP[[#This Row],[Equipe]], LEN(MIP[[#This Row],[Equipe]])-SEARCH("/",MIP[[#This Row],[Equipe]],1))</f>
        <v xml:space="preserve"> CLAUDINEY</v>
      </c>
      <c r="AF8" s="44">
        <f>COUNTIFS('[1]Tempo parado'!H:H,"&gt;="&amp;MIP[[#This Row],[S.B Sitrack]],'[1]Tempo parado'!I:I,"&lt;="&amp;MIP[[#This Row],[C.B Sitrack]],'[1]Tempo parado'!B:B,MIP[[#This Row],[Placa]])</f>
        <v>0</v>
      </c>
      <c r="AG8" s="36"/>
      <c r="AH8" s="35"/>
      <c r="AI8" s="34"/>
      <c r="AJ8" s="34"/>
      <c r="AK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" s="32">
        <f>SUMIFS('[1]Tempo parado'!J:J,'[1]Tempo parado'!H:H,"&gt;="&amp;MIP[[#This Row],[S.B Sitrack]],'[1]Tempo parado'!I:I,"&lt;="&amp;MIP[[#This Row],[C.B Sitrack]],'[1]Tempo parado'!B:B,MIP[[#This Row],[Placa]])</f>
        <v>0</v>
      </c>
      <c r="AN8" s="32" t="str">
        <f>IFERROR(MIP[[#This Row],[Tempo parado]]/(MIP[[#This Row],[C.B Sitrack]]-MIP[[#This Row],[S.B Sitrack]]),"")</f>
        <v/>
      </c>
      <c r="AO8" s="30"/>
      <c r="AP8" s="44">
        <f>IF(AND(MIP[Exc]=0,MIP[Previsto / Realizado]="Realizado"),MIP[Sem],0)</f>
        <v>19</v>
      </c>
      <c r="AQ8" s="29">
        <f>IF(AND(MIP[Exc]=0,MIP[Previsto / Realizado]="Realizado",ISBLANK(MIP[[#This Row],[S.B Sitrack]])=FALSE,ISBLANK(MIP[[#This Row],[C.B Sitrack]])=FALSE),MIP[Sem],0)</f>
        <v>0</v>
      </c>
    </row>
    <row r="9" spans="1:43" s="87" customFormat="1" x14ac:dyDescent="0.25">
      <c r="A9" s="11"/>
      <c r="B9" s="44">
        <f>WEEKNUM(MIP[[#This Row],[Data]])</f>
        <v>19</v>
      </c>
      <c r="C9" s="45">
        <v>42863</v>
      </c>
      <c r="D9" s="45"/>
      <c r="E9" s="83" t="s">
        <v>439</v>
      </c>
      <c r="F9" s="35" t="s">
        <v>5</v>
      </c>
      <c r="G9" s="83"/>
      <c r="H9" s="44">
        <v>2</v>
      </c>
      <c r="I9" s="44">
        <v>8</v>
      </c>
      <c r="J9" s="44">
        <v>2</v>
      </c>
      <c r="K9" s="44">
        <v>1</v>
      </c>
      <c r="L9" s="44">
        <v>0</v>
      </c>
      <c r="M9" s="43">
        <v>0.625</v>
      </c>
      <c r="N9" s="43">
        <v>0.64583333333333337</v>
      </c>
      <c r="O9" s="43">
        <f>18/24/60</f>
        <v>1.2500000000000001E-2</v>
      </c>
      <c r="P9" s="43">
        <f>48/24/60</f>
        <v>3.3333333333333333E-2</v>
      </c>
      <c r="Q9" s="39"/>
      <c r="R9" s="42"/>
      <c r="S9" s="44">
        <f>MIP[[#This Row],[PT-1]]+MIP[[#This Row],[PT-2]]*2+MIP[[#This Row],[PT-3]]*3+MIP[[#This Row],[PT &gt; 3 Pontos]]</f>
        <v>15</v>
      </c>
      <c r="T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4.1666666666666741E-2</v>
      </c>
      <c r="U9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4.1666666666666741E-2</v>
      </c>
      <c r="V9" s="41">
        <f>MIP[[#This Row],[Eficiência]]</f>
        <v>1.0794339542301494</v>
      </c>
      <c r="W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9" s="39">
        <f>IF(MIP[[#This Row],[P.S]]-MIP[[#This Row],[P.E]]&lt;0,1+MIP[[#This Row],[P.S]]-MIP[[#This Row],[P.E]]-1/24,MIP[[#This Row],[P.S]]-MIP[[#This Row],[P.E]]-1/24)</f>
        <v>0.36666666666666675</v>
      </c>
      <c r="Y9" s="39">
        <f>MIP[[#This Row],[PT-1]]*$S$3+MIP[[#This Row],[PT-2]]*$T$3+MIP[[#This Row],[PT-3]]*$U$3+MIP[[#This Row],[PT &gt; 3 Pontos]]*$V$3</f>
        <v>0.35081603512479859</v>
      </c>
      <c r="Z9" s="39">
        <f>MIP[[#This Row],[HH disponível]]-MIP[[#This Row],[HH AC TOT]]</f>
        <v>0.32500000000000001</v>
      </c>
      <c r="AA9" s="38">
        <f>MIP[[#This Row],[HH Produtivo
Total]]/MIP[[#This Row],[HH Trabalhado]]</f>
        <v>1.0794339542301494</v>
      </c>
      <c r="AB9" s="38">
        <f>MIP[[#This Row],[HH Produtivo
Total]]/MIP[[#This Row],[HH disponível]]</f>
        <v>0.95677100488581412</v>
      </c>
      <c r="AC9" s="38">
        <f>MIP[[#This Row],[HH Trabalhado]]/MIP[[#This Row],[HH disponível]]</f>
        <v>0.88636363636363624</v>
      </c>
      <c r="AD9" s="37" t="str">
        <f>LEFT(MIP[[#This Row],[Equipe]], SEARCH("/",MIP[[#This Row],[Equipe]],1)-1)</f>
        <v xml:space="preserve">ADEMÁRIO </v>
      </c>
      <c r="AE9" s="37" t="str">
        <f>RIGHT(MIP[[#This Row],[Equipe]], LEN(MIP[[#This Row],[Equipe]])-SEARCH("/",MIP[[#This Row],[Equipe]],1))</f>
        <v xml:space="preserve"> ANDERSON</v>
      </c>
      <c r="AF9" s="44">
        <f>COUNTIFS('[1]Tempo parado'!H:H,"&gt;="&amp;MIP[[#This Row],[S.B Sitrack]],'[1]Tempo parado'!I:I,"&lt;="&amp;MIP[[#This Row],[C.B Sitrack]],'[1]Tempo parado'!B:B,MIP[[#This Row],[Placa]])</f>
        <v>0</v>
      </c>
      <c r="AG9" s="36"/>
      <c r="AH9" s="35"/>
      <c r="AI9" s="34"/>
      <c r="AJ9" s="34"/>
      <c r="AK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9" s="32">
        <f>SUMIFS('[1]Tempo parado'!J:J,'[1]Tempo parado'!H:H,"&gt;="&amp;MIP[[#This Row],[S.B Sitrack]],'[1]Tempo parado'!I:I,"&lt;="&amp;MIP[[#This Row],[C.B Sitrack]],'[1]Tempo parado'!B:B,MIP[[#This Row],[Placa]])</f>
        <v>0</v>
      </c>
      <c r="AN9" s="32" t="str">
        <f>IFERROR(MIP[[#This Row],[Tempo parado]]/(MIP[[#This Row],[C.B Sitrack]]-MIP[[#This Row],[S.B Sitrack]]),"")</f>
        <v/>
      </c>
      <c r="AO9" s="30"/>
      <c r="AP9" s="44">
        <f>IF(AND(MIP[Exc]=0,MIP[Previsto / Realizado]="Realizado"),MIP[Sem],0)</f>
        <v>0</v>
      </c>
      <c r="AQ9" s="29">
        <f>IF(AND(MIP[Exc]=0,MIP[Previsto / Realizado]="Realizado",ISBLANK(MIP[[#This Row],[S.B Sitrack]])=FALSE,ISBLANK(MIP[[#This Row],[C.B Sitrack]])=FALSE),MIP[Sem],0)</f>
        <v>0</v>
      </c>
    </row>
    <row r="10" spans="1:43" s="87" customFormat="1" x14ac:dyDescent="0.25">
      <c r="A10" s="11"/>
      <c r="B10" s="44">
        <f>WEEKNUM(MIP[[#This Row],[Data]])</f>
        <v>19</v>
      </c>
      <c r="C10" s="45">
        <v>42863</v>
      </c>
      <c r="D10" s="45"/>
      <c r="E10" s="83" t="s">
        <v>439</v>
      </c>
      <c r="F10" s="35" t="s">
        <v>2</v>
      </c>
      <c r="G10" s="83"/>
      <c r="H10" s="44">
        <v>2</v>
      </c>
      <c r="I10" s="44">
        <v>8</v>
      </c>
      <c r="J10" s="44">
        <v>2</v>
      </c>
      <c r="K10" s="44">
        <v>0</v>
      </c>
      <c r="L10" s="44">
        <v>0</v>
      </c>
      <c r="M10" s="43">
        <v>0.625</v>
      </c>
      <c r="N10" s="43">
        <v>0.70000000000000007</v>
      </c>
      <c r="O10" s="43">
        <v>0.98749999999999993</v>
      </c>
      <c r="P10" s="43">
        <f>48/24/60</f>
        <v>3.3333333333333333E-2</v>
      </c>
      <c r="Q10" s="39"/>
      <c r="R10" s="42" t="s">
        <v>477</v>
      </c>
      <c r="S10" s="44">
        <f>MIP[[#This Row],[PT-1]]+MIP[[#This Row],[PT-2]]*2+MIP[[#This Row],[PT-3]]*3+MIP[[#This Row],[PT &gt; 3 Pontos]]</f>
        <v>12</v>
      </c>
      <c r="T1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0.12083333333333357</v>
      </c>
      <c r="U10" s="39">
        <f>IF(MIP[[#This Row],[P.S]]-MIP[[#This Row],[U.P]]&gt;=0,MIP[[#This Row],[P.S]]-MIP[[#This Row],[U.P]]+MIP[[#This Row],[S.B]]-MIP[[#This Row],[P.E]],1+MIP[[#This Row],[P.S]]-MIP[[#This Row],[U.P]]+MIP[[#This Row],[S.B]]-MIP[[#This Row],[P.E]])</f>
        <v>0.12083333333333357</v>
      </c>
      <c r="V10" s="41">
        <f>MIP[[#This Row],[Eficiência]]</f>
        <v>1.1716244984852209</v>
      </c>
      <c r="W1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0" s="39">
        <f>IF(MIP[[#This Row],[P.S]]-MIP[[#This Row],[P.E]]&lt;0,1+MIP[[#This Row],[P.S]]-MIP[[#This Row],[P.E]]-1/24,MIP[[#This Row],[P.S]]-MIP[[#This Row],[P.E]]-1/24)</f>
        <v>0.36666666666666675</v>
      </c>
      <c r="Y10" s="39">
        <f>MIP[[#This Row],[PT-1]]*$S$3+MIP[[#This Row],[PT-2]]*$T$3+MIP[[#This Row],[PT-3]]*$U$3+MIP[[#This Row],[PT &gt; 3 Pontos]]*$V$3</f>
        <v>0.2880243558776166</v>
      </c>
      <c r="Z10" s="39">
        <f>MIP[[#This Row],[HH disponível]]-MIP[[#This Row],[HH AC TOT]]</f>
        <v>0.24583333333333318</v>
      </c>
      <c r="AA10" s="38">
        <f>MIP[[#This Row],[HH Produtivo
Total]]/MIP[[#This Row],[HH Trabalhado]]</f>
        <v>1.1716244984852209</v>
      </c>
      <c r="AB10" s="38">
        <f>MIP[[#This Row],[HH Produtivo
Total]]/MIP[[#This Row],[HH disponível]]</f>
        <v>0.78552097057531778</v>
      </c>
      <c r="AC10" s="38">
        <f>MIP[[#This Row],[HH Trabalhado]]/MIP[[#This Row],[HH disponível]]</f>
        <v>0.67045454545454486</v>
      </c>
      <c r="AD10" s="37" t="str">
        <f>LEFT(MIP[[#This Row],[Equipe]], SEARCH("/",MIP[[#This Row],[Equipe]],1)-1)</f>
        <v xml:space="preserve">ADEMÁRIO </v>
      </c>
      <c r="AE10" s="37" t="str">
        <f>RIGHT(MIP[[#This Row],[Equipe]], LEN(MIP[[#This Row],[Equipe]])-SEARCH("/",MIP[[#This Row],[Equipe]],1))</f>
        <v xml:space="preserve"> ANDERSON</v>
      </c>
      <c r="AF10" s="44">
        <f>COUNTIFS('[1]Tempo parado'!H:H,"&gt;="&amp;MIP[[#This Row],[S.B Sitrack]],'[1]Tempo parado'!I:I,"&lt;="&amp;MIP[[#This Row],[C.B Sitrack]],'[1]Tempo parado'!B:B,MIP[[#This Row],[Placa]])</f>
        <v>0</v>
      </c>
      <c r="AG10" s="36"/>
      <c r="AH10" s="35"/>
      <c r="AI10" s="34"/>
      <c r="AJ10" s="34"/>
      <c r="AK1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0" s="32">
        <f>SUMIFS('[1]Tempo parado'!J:J,'[1]Tempo parado'!H:H,"&gt;="&amp;MIP[[#This Row],[S.B Sitrack]],'[1]Tempo parado'!I:I,"&lt;="&amp;MIP[[#This Row],[C.B Sitrack]],'[1]Tempo parado'!B:B,MIP[[#This Row],[Placa]])</f>
        <v>0</v>
      </c>
      <c r="AN10" s="32" t="str">
        <f>IFERROR(MIP[[#This Row],[Tempo parado]]/(MIP[[#This Row],[C.B Sitrack]]-MIP[[#This Row],[S.B Sitrack]]),"")</f>
        <v/>
      </c>
      <c r="AO10" s="30"/>
      <c r="AP10" s="44">
        <f>IF(AND(MIP[Exc]=0,MIP[Previsto / Realizado]="Realizado"),MIP[Sem],0)</f>
        <v>19</v>
      </c>
      <c r="AQ10" s="29">
        <f>IF(AND(MIP[Exc]=0,MIP[Previsto / Realizado]="Realizado",ISBLANK(MIP[[#This Row],[S.B Sitrack]])=FALSE,ISBLANK(MIP[[#This Row],[C.B Sitrack]])=FALSE),MIP[Sem],0)</f>
        <v>0</v>
      </c>
    </row>
    <row r="11" spans="1:43" s="87" customFormat="1" x14ac:dyDescent="0.25">
      <c r="A11" s="11"/>
      <c r="B11" s="44">
        <f>WEEKNUM(MIP[[#This Row],[Data]])</f>
        <v>19</v>
      </c>
      <c r="C11" s="45">
        <v>42864</v>
      </c>
      <c r="D11" s="45"/>
      <c r="E11" s="35" t="s">
        <v>10</v>
      </c>
      <c r="F11" s="35" t="s">
        <v>5</v>
      </c>
      <c r="G11" s="35"/>
      <c r="H11" s="44">
        <v>2</v>
      </c>
      <c r="I11" s="44">
        <v>7</v>
      </c>
      <c r="J11" s="44">
        <v>4</v>
      </c>
      <c r="K11" s="44">
        <v>0</v>
      </c>
      <c r="L11" s="44">
        <v>0</v>
      </c>
      <c r="M11" s="43">
        <v>0.25</v>
      </c>
      <c r="N11" s="43">
        <v>0.27083333333333331</v>
      </c>
      <c r="O11" s="43">
        <v>0.63750000000000007</v>
      </c>
      <c r="P11" s="43">
        <v>0.65833333333333333</v>
      </c>
      <c r="Q11" s="39"/>
      <c r="R11" s="42"/>
      <c r="S11" s="44">
        <f>MIP[[#This Row],[PT-1]]+MIP[[#This Row],[PT-2]]*2+MIP[[#This Row],[PT-3]]*3+MIP[[#This Row],[PT &gt; 3 Pontos]]</f>
        <v>15</v>
      </c>
      <c r="T1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11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11" s="41">
        <f>MIP[[#This Row],[Eficiência]]</f>
        <v>1.0794339542301494</v>
      </c>
      <c r="W1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1" s="39">
        <f>IF(MIP[[#This Row],[P.S]]-MIP[[#This Row],[P.E]]&lt;0,1+MIP[[#This Row],[P.S]]-MIP[[#This Row],[P.E]]-1/24,MIP[[#This Row],[P.S]]-MIP[[#This Row],[P.E]]-1/24)</f>
        <v>0.36666666666666664</v>
      </c>
      <c r="Y11" s="39">
        <f>MIP[[#This Row],[PT-1]]*$S$3+MIP[[#This Row],[PT-2]]*$T$3+MIP[[#This Row],[PT-3]]*$U$3+MIP[[#This Row],[PT &gt; 3 Pontos]]*$V$3</f>
        <v>0.35081603512479864</v>
      </c>
      <c r="Z11" s="39">
        <f>MIP[[#This Row],[HH disponível]]-MIP[[#This Row],[HH AC TOT]]</f>
        <v>0.32500000000000007</v>
      </c>
      <c r="AA11" s="38">
        <f>MIP[[#This Row],[HH Produtivo
Total]]/MIP[[#This Row],[HH Trabalhado]]</f>
        <v>1.0794339542301494</v>
      </c>
      <c r="AB11" s="38">
        <f>MIP[[#This Row],[HH Produtivo
Total]]/MIP[[#This Row],[HH disponível]]</f>
        <v>0.95677100488581457</v>
      </c>
      <c r="AC11" s="38">
        <f>MIP[[#This Row],[HH Trabalhado]]/MIP[[#This Row],[HH disponível]]</f>
        <v>0.88636363636363658</v>
      </c>
      <c r="AD11" s="37" t="str">
        <f>LEFT(MIP[[#This Row],[Equipe]], SEARCH("/",MIP[[#This Row],[Equipe]],1)-1)</f>
        <v xml:space="preserve">JOILSON </v>
      </c>
      <c r="AE11" s="37" t="str">
        <f>RIGHT(MIP[[#This Row],[Equipe]], LEN(MIP[[#This Row],[Equipe]])-SEARCH("/",MIP[[#This Row],[Equipe]],1))</f>
        <v xml:space="preserve"> VALDEI</v>
      </c>
      <c r="AF11" s="44">
        <f>COUNTIFS('[1]Tempo parado'!H:H,"&gt;="&amp;MIP[[#This Row],[S.B Sitrack]],'[1]Tempo parado'!I:I,"&lt;="&amp;MIP[[#This Row],[C.B Sitrack]],'[1]Tempo parado'!B:B,MIP[[#This Row],[Placa]])</f>
        <v>0</v>
      </c>
      <c r="AG11" s="36"/>
      <c r="AH11" s="35"/>
      <c r="AI11" s="34"/>
      <c r="AJ11" s="34"/>
      <c r="AK1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1" s="32">
        <f>SUMIFS('[1]Tempo parado'!J:J,'[1]Tempo parado'!H:H,"&gt;="&amp;MIP[[#This Row],[S.B Sitrack]],'[1]Tempo parado'!I:I,"&lt;="&amp;MIP[[#This Row],[C.B Sitrack]],'[1]Tempo parado'!B:B,MIP[[#This Row],[Placa]])</f>
        <v>0</v>
      </c>
      <c r="AN11" s="32" t="str">
        <f>IFERROR(MIP[[#This Row],[Tempo parado]]/(MIP[[#This Row],[C.B Sitrack]]-MIP[[#This Row],[S.B Sitrack]]),"")</f>
        <v/>
      </c>
      <c r="AO11" s="30"/>
      <c r="AP11" s="44">
        <f>IF(AND(MIP[Exc]=0,MIP[Previsto / Realizado]="Realizado"),MIP[Sem],0)</f>
        <v>0</v>
      </c>
      <c r="AQ11" s="29">
        <f>IF(AND(MIP[Exc]=0,MIP[Previsto / Realizado]="Realizado",ISBLANK(MIP[[#This Row],[S.B Sitrack]])=FALSE,ISBLANK(MIP[[#This Row],[C.B Sitrack]])=FALSE),MIP[Sem],0)</f>
        <v>0</v>
      </c>
    </row>
    <row r="12" spans="1:43" s="87" customFormat="1" x14ac:dyDescent="0.25">
      <c r="A12" s="11"/>
      <c r="B12" s="44">
        <f>WEEKNUM(MIP[[#This Row],[Data]])</f>
        <v>19</v>
      </c>
      <c r="C12" s="45">
        <v>42864</v>
      </c>
      <c r="D12" s="45"/>
      <c r="E12" s="35" t="s">
        <v>10</v>
      </c>
      <c r="F12" s="35" t="s">
        <v>2</v>
      </c>
      <c r="G12" s="35"/>
      <c r="H12" s="44">
        <v>2</v>
      </c>
      <c r="I12" s="44">
        <v>6</v>
      </c>
      <c r="J12" s="44">
        <v>1</v>
      </c>
      <c r="K12" s="44">
        <v>0</v>
      </c>
      <c r="L12" s="44">
        <v>0</v>
      </c>
      <c r="M12" s="43">
        <v>0.25763888888888892</v>
      </c>
      <c r="N12" s="43">
        <v>0.2986111111111111</v>
      </c>
      <c r="O12" s="43">
        <v>0.60625000000000007</v>
      </c>
      <c r="P12" s="43">
        <v>0.6777777777777777</v>
      </c>
      <c r="Q12" s="39"/>
      <c r="R12" s="42" t="s">
        <v>476</v>
      </c>
      <c r="S12" s="44">
        <f>MIP[[#This Row],[PT-1]]+MIP[[#This Row],[PT-2]]*2+MIP[[#This Row],[PT-3]]*3+MIP[[#This Row],[PT &gt; 3 Pontos]]</f>
        <v>8</v>
      </c>
      <c r="T1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0.11249999999999982</v>
      </c>
      <c r="U12" s="39">
        <f>IF(MIP[[#This Row],[P.S]]-MIP[[#This Row],[U.P]]&gt;=0,MIP[[#This Row],[P.S]]-MIP[[#This Row],[U.P]]+MIP[[#This Row],[S.B]]-MIP[[#This Row],[P.E]],1+MIP[[#This Row],[P.S]]-MIP[[#This Row],[U.P]]+MIP[[#This Row],[S.B]]-MIP[[#This Row],[P.E]])</f>
        <v>0.11249999999999982</v>
      </c>
      <c r="V12" s="41">
        <f>MIP[[#This Row],[Eficiência]]</f>
        <v>0.72963966776402867</v>
      </c>
      <c r="W1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2" s="39">
        <f>IF(MIP[[#This Row],[P.S]]-MIP[[#This Row],[P.E]]&lt;0,1+MIP[[#This Row],[P.S]]-MIP[[#This Row],[P.E]]-1/24,MIP[[#This Row],[P.S]]-MIP[[#This Row],[P.E]]-1/24)</f>
        <v>0.3784722222222221</v>
      </c>
      <c r="Y12" s="39">
        <f>MIP[[#This Row],[PT-1]]*$S$3+MIP[[#This Row],[PT-2]]*$T$3+MIP[[#This Row],[PT-3]]*$U$3+MIP[[#This Row],[PT &gt; 3 Pontos]]*$V$3</f>
        <v>0.19406388385668266</v>
      </c>
      <c r="Z12" s="39">
        <f>MIP[[#This Row],[HH disponível]]-MIP[[#This Row],[HH AC TOT]]</f>
        <v>0.26597222222222228</v>
      </c>
      <c r="AA12" s="38">
        <f>MIP[[#This Row],[HH Produtivo
Total]]/MIP[[#This Row],[HH Trabalhado]]</f>
        <v>0.72963966776402867</v>
      </c>
      <c r="AB12" s="38">
        <f>MIP[[#This Row],[HH Produtivo
Total]]/MIP[[#This Row],[HH disponível]]</f>
        <v>0.51275595000664798</v>
      </c>
      <c r="AC12" s="38">
        <f>MIP[[#This Row],[HH Trabalhado]]/MIP[[#This Row],[HH disponível]]</f>
        <v>0.70275229357798208</v>
      </c>
      <c r="AD12" s="37" t="str">
        <f>LEFT(MIP[[#This Row],[Equipe]], SEARCH("/",MIP[[#This Row],[Equipe]],1)-1)</f>
        <v xml:space="preserve">JOILSON </v>
      </c>
      <c r="AE12" s="37" t="str">
        <f>RIGHT(MIP[[#This Row],[Equipe]], LEN(MIP[[#This Row],[Equipe]])-SEARCH("/",MIP[[#This Row],[Equipe]],1))</f>
        <v xml:space="preserve"> VALDEI</v>
      </c>
      <c r="AF12" s="44">
        <f>COUNTIFS('[1]Tempo parado'!H:H,"&gt;="&amp;MIP[[#This Row],[S.B Sitrack]],'[1]Tempo parado'!I:I,"&lt;="&amp;MIP[[#This Row],[C.B Sitrack]],'[1]Tempo parado'!B:B,MIP[[#This Row],[Placa]])</f>
        <v>0</v>
      </c>
      <c r="AG12" s="36"/>
      <c r="AH12" s="35"/>
      <c r="AI12" s="34"/>
      <c r="AJ12" s="34"/>
      <c r="AK1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2" s="32">
        <f>SUMIFS('[1]Tempo parado'!J:J,'[1]Tempo parado'!H:H,"&gt;="&amp;MIP[[#This Row],[S.B Sitrack]],'[1]Tempo parado'!I:I,"&lt;="&amp;MIP[[#This Row],[C.B Sitrack]],'[1]Tempo parado'!B:B,MIP[[#This Row],[Placa]])</f>
        <v>0</v>
      </c>
      <c r="AN12" s="32" t="str">
        <f>IFERROR(MIP[[#This Row],[Tempo parado]]/(MIP[[#This Row],[C.B Sitrack]]-MIP[[#This Row],[S.B Sitrack]]),"")</f>
        <v/>
      </c>
      <c r="AO12" s="30"/>
      <c r="AP12" s="44">
        <f>IF(AND(MIP[Exc]=0,MIP[Previsto / Realizado]="Realizado"),MIP[Sem],0)</f>
        <v>19</v>
      </c>
      <c r="AQ12" s="29">
        <f>IF(AND(MIP[Exc]=0,MIP[Previsto / Realizado]="Realizado",ISBLANK(MIP[[#This Row],[S.B Sitrack]])=FALSE,ISBLANK(MIP[[#This Row],[C.B Sitrack]])=FALSE),MIP[Sem],0)</f>
        <v>0</v>
      </c>
    </row>
    <row r="13" spans="1:43" s="87" customFormat="1" x14ac:dyDescent="0.25">
      <c r="A13" s="11"/>
      <c r="B13" s="44">
        <f>WEEKNUM(MIP[[#This Row],[Data]])</f>
        <v>19</v>
      </c>
      <c r="C13" s="45">
        <v>42864</v>
      </c>
      <c r="D13" s="45"/>
      <c r="E13" s="83" t="s">
        <v>439</v>
      </c>
      <c r="F13" s="35" t="s">
        <v>5</v>
      </c>
      <c r="G13" s="83"/>
      <c r="H13" s="44">
        <v>2</v>
      </c>
      <c r="I13" s="44">
        <v>4</v>
      </c>
      <c r="J13" s="44">
        <v>2</v>
      </c>
      <c r="K13" s="44">
        <v>2</v>
      </c>
      <c r="L13" s="44">
        <v>0</v>
      </c>
      <c r="M13" s="43">
        <v>0.625</v>
      </c>
      <c r="N13" s="43">
        <v>0.64583333333333337</v>
      </c>
      <c r="O13" s="43">
        <f>18/24/60</f>
        <v>1.2500000000000001E-2</v>
      </c>
      <c r="P13" s="43">
        <f>48/24/60</f>
        <v>3.3333333333333333E-2</v>
      </c>
      <c r="Q13" s="39"/>
      <c r="R13" s="42"/>
      <c r="S13" s="44">
        <f>MIP[[#This Row],[PT-1]]+MIP[[#This Row],[PT-2]]*2+MIP[[#This Row],[PT-3]]*3+MIP[[#This Row],[PT &gt; 3 Pontos]]</f>
        <v>14</v>
      </c>
      <c r="T1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4.1666666666666741E-2</v>
      </c>
      <c r="U13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4.1666666666666741E-2</v>
      </c>
      <c r="V13" s="41">
        <f>MIP[[#This Row],[Eficiência]]</f>
        <v>0.9646286231884057</v>
      </c>
      <c r="W1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3" s="39">
        <f>IF(MIP[[#This Row],[P.S]]-MIP[[#This Row],[P.E]]&lt;0,1+MIP[[#This Row],[P.S]]-MIP[[#This Row],[P.E]]-1/24,MIP[[#This Row],[P.S]]-MIP[[#This Row],[P.E]]-1/24)</f>
        <v>0.36666666666666675</v>
      </c>
      <c r="Y13" s="39">
        <f>MIP[[#This Row],[PT-1]]*$S$3+MIP[[#This Row],[PT-2]]*$T$3+MIP[[#This Row],[PT-3]]*$U$3+MIP[[#This Row],[PT &gt; 3 Pontos]]*$V$3</f>
        <v>0.31350430253623185</v>
      </c>
      <c r="Z13" s="39">
        <f>MIP[[#This Row],[HH disponível]]-MIP[[#This Row],[HH AC TOT]]</f>
        <v>0.32500000000000001</v>
      </c>
      <c r="AA13" s="38">
        <f>MIP[[#This Row],[HH Produtivo
Total]]/MIP[[#This Row],[HH Trabalhado]]</f>
        <v>0.9646286231884057</v>
      </c>
      <c r="AB13" s="38">
        <f>MIP[[#This Row],[HH Produtivo
Total]]/MIP[[#This Row],[HH disponível]]</f>
        <v>0.85501173418972298</v>
      </c>
      <c r="AC13" s="38">
        <f>MIP[[#This Row],[HH Trabalhado]]/MIP[[#This Row],[HH disponível]]</f>
        <v>0.88636363636363624</v>
      </c>
      <c r="AD13" s="37" t="str">
        <f>LEFT(MIP[[#This Row],[Equipe]], SEARCH("/",MIP[[#This Row],[Equipe]],1)-1)</f>
        <v xml:space="preserve">ADEMÁRIO </v>
      </c>
      <c r="AE13" s="37" t="str">
        <f>RIGHT(MIP[[#This Row],[Equipe]], LEN(MIP[[#This Row],[Equipe]])-SEARCH("/",MIP[[#This Row],[Equipe]],1))</f>
        <v xml:space="preserve"> ANDERSON</v>
      </c>
      <c r="AF13" s="44">
        <f>COUNTIFS('[1]Tempo parado'!H:H,"&gt;="&amp;MIP[[#This Row],[S.B Sitrack]],'[1]Tempo parado'!I:I,"&lt;="&amp;MIP[[#This Row],[C.B Sitrack]],'[1]Tempo parado'!B:B,MIP[[#This Row],[Placa]])</f>
        <v>0</v>
      </c>
      <c r="AG13" s="36"/>
      <c r="AH13" s="35"/>
      <c r="AI13" s="34"/>
      <c r="AJ13" s="34"/>
      <c r="AK1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3" s="32">
        <f>SUMIFS('[1]Tempo parado'!J:J,'[1]Tempo parado'!H:H,"&gt;="&amp;MIP[[#This Row],[S.B Sitrack]],'[1]Tempo parado'!I:I,"&lt;="&amp;MIP[[#This Row],[C.B Sitrack]],'[1]Tempo parado'!B:B,MIP[[#This Row],[Placa]])</f>
        <v>0</v>
      </c>
      <c r="AN13" s="32" t="str">
        <f>IFERROR(MIP[[#This Row],[Tempo parado]]/(MIP[[#This Row],[C.B Sitrack]]-MIP[[#This Row],[S.B Sitrack]]),"")</f>
        <v/>
      </c>
      <c r="AO13" s="30"/>
      <c r="AP13" s="44">
        <f>IF(AND(MIP[Exc]=0,MIP[Previsto / Realizado]="Realizado"),MIP[Sem],0)</f>
        <v>0</v>
      </c>
      <c r="AQ13" s="29">
        <f>IF(AND(MIP[Exc]=0,MIP[Previsto / Realizado]="Realizado",ISBLANK(MIP[[#This Row],[S.B Sitrack]])=FALSE,ISBLANK(MIP[[#This Row],[C.B Sitrack]])=FALSE),MIP[Sem],0)</f>
        <v>0</v>
      </c>
    </row>
    <row r="14" spans="1:43" s="87" customFormat="1" x14ac:dyDescent="0.25">
      <c r="A14" s="11"/>
      <c r="B14" s="44">
        <f>WEEKNUM(MIP[[#This Row],[Data]])</f>
        <v>19</v>
      </c>
      <c r="C14" s="45">
        <v>42864</v>
      </c>
      <c r="D14" s="45"/>
      <c r="E14" s="83" t="s">
        <v>439</v>
      </c>
      <c r="F14" s="35" t="s">
        <v>2</v>
      </c>
      <c r="G14" s="83"/>
      <c r="H14" s="44">
        <v>2</v>
      </c>
      <c r="I14" s="44">
        <v>4</v>
      </c>
      <c r="J14" s="44">
        <v>2</v>
      </c>
      <c r="K14" s="44">
        <v>2</v>
      </c>
      <c r="L14" s="44">
        <v>0</v>
      </c>
      <c r="M14" s="43">
        <v>0.65277777777777779</v>
      </c>
      <c r="N14" s="43">
        <v>0.68125000000000002</v>
      </c>
      <c r="O14" s="43">
        <f>25/24/60</f>
        <v>1.7361111111111112E-2</v>
      </c>
      <c r="P14" s="43">
        <f>53/24/60</f>
        <v>3.6805555555555557E-2</v>
      </c>
      <c r="Q14" s="39"/>
      <c r="R14" s="42"/>
      <c r="S14" s="44">
        <f>MIP[[#This Row],[PT-1]]+MIP[[#This Row],[PT-2]]*2+MIP[[#This Row],[PT-3]]*3+MIP[[#This Row],[PT &gt; 3 Pontos]]</f>
        <v>14</v>
      </c>
      <c r="T1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4.7916666666666718E-2</v>
      </c>
      <c r="U14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4.7916666666666718E-2</v>
      </c>
      <c r="V14" s="41">
        <f>MIP[[#This Row],[Eficiência]]</f>
        <v>1.0647315935192783</v>
      </c>
      <c r="W1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4" s="39">
        <f>IF(MIP[[#This Row],[P.S]]-MIP[[#This Row],[P.E]]&lt;0,1+MIP[[#This Row],[P.S]]-MIP[[#This Row],[P.E]]-1/24,MIP[[#This Row],[P.S]]-MIP[[#This Row],[P.E]]-1/24)</f>
        <v>0.34236111111111106</v>
      </c>
      <c r="Y14" s="39">
        <f>MIP[[#This Row],[PT-1]]*$S$3+MIP[[#This Row],[PT-2]]*$T$3+MIP[[#This Row],[PT-3]]*$U$3+MIP[[#This Row],[PT &gt; 3 Pontos]]*$V$3</f>
        <v>0.31350430253623185</v>
      </c>
      <c r="Z14" s="39">
        <f>MIP[[#This Row],[HH disponível]]-MIP[[#This Row],[HH AC TOT]]</f>
        <v>0.29444444444444434</v>
      </c>
      <c r="AA14" s="38">
        <f>MIP[[#This Row],[HH Produtivo
Total]]/MIP[[#This Row],[HH Trabalhado]]</f>
        <v>1.0647315935192783</v>
      </c>
      <c r="AB14" s="38">
        <f>MIP[[#This Row],[HH Produtivo
Total]]/MIP[[#This Row],[HH disponível]]</f>
        <v>0.91571236440603232</v>
      </c>
      <c r="AC14" s="38">
        <f>MIP[[#This Row],[HH Trabalhado]]/MIP[[#This Row],[HH disponível]]</f>
        <v>0.86004056795131834</v>
      </c>
      <c r="AD14" s="37" t="str">
        <f>LEFT(MIP[[#This Row],[Equipe]], SEARCH("/",MIP[[#This Row],[Equipe]],1)-1)</f>
        <v xml:space="preserve">ADEMÁRIO </v>
      </c>
      <c r="AE14" s="37" t="str">
        <f>RIGHT(MIP[[#This Row],[Equipe]], LEN(MIP[[#This Row],[Equipe]])-SEARCH("/",MIP[[#This Row],[Equipe]],1))</f>
        <v xml:space="preserve"> ANDERSON</v>
      </c>
      <c r="AF14" s="44">
        <f>COUNTIFS('[1]Tempo parado'!H:H,"&gt;="&amp;MIP[[#This Row],[S.B Sitrack]],'[1]Tempo parado'!I:I,"&lt;="&amp;MIP[[#This Row],[C.B Sitrack]],'[1]Tempo parado'!B:B,MIP[[#This Row],[Placa]])</f>
        <v>0</v>
      </c>
      <c r="AG14" s="36"/>
      <c r="AH14" s="35"/>
      <c r="AI14" s="34"/>
      <c r="AJ14" s="34"/>
      <c r="AK1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4" s="32">
        <f>SUMIFS('[1]Tempo parado'!J:J,'[1]Tempo parado'!H:H,"&gt;="&amp;MIP[[#This Row],[S.B Sitrack]],'[1]Tempo parado'!I:I,"&lt;="&amp;MIP[[#This Row],[C.B Sitrack]],'[1]Tempo parado'!B:B,MIP[[#This Row],[Placa]])</f>
        <v>0</v>
      </c>
      <c r="AN14" s="32" t="str">
        <f>IFERROR(MIP[[#This Row],[Tempo parado]]/(MIP[[#This Row],[C.B Sitrack]]-MIP[[#This Row],[S.B Sitrack]]),"")</f>
        <v/>
      </c>
      <c r="AO14" s="30"/>
      <c r="AP14" s="44">
        <f>IF(AND(MIP[Exc]=0,MIP[Previsto / Realizado]="Realizado"),MIP[Sem],0)</f>
        <v>19</v>
      </c>
      <c r="AQ14" s="29">
        <f>IF(AND(MIP[Exc]=0,MIP[Previsto / Realizado]="Realizado",ISBLANK(MIP[[#This Row],[S.B Sitrack]])=FALSE,ISBLANK(MIP[[#This Row],[C.B Sitrack]])=FALSE),MIP[Sem],0)</f>
        <v>0</v>
      </c>
    </row>
    <row r="15" spans="1:43" s="87" customFormat="1" x14ac:dyDescent="0.25">
      <c r="A15" s="11"/>
      <c r="B15" s="44">
        <f>WEEKNUM(MIP[[#This Row],[Data]])</f>
        <v>19</v>
      </c>
      <c r="C15" s="45">
        <v>42865</v>
      </c>
      <c r="D15" s="45"/>
      <c r="E15" s="35" t="s">
        <v>10</v>
      </c>
      <c r="F15" s="35" t="s">
        <v>5</v>
      </c>
      <c r="G15" s="35"/>
      <c r="H15" s="44">
        <v>2</v>
      </c>
      <c r="I15" s="44">
        <v>6</v>
      </c>
      <c r="J15" s="44">
        <v>3</v>
      </c>
      <c r="K15" s="44">
        <v>1</v>
      </c>
      <c r="L15" s="44">
        <v>0</v>
      </c>
      <c r="M15" s="43">
        <v>0.25</v>
      </c>
      <c r="N15" s="43">
        <v>0.27083333333333331</v>
      </c>
      <c r="O15" s="43">
        <v>0.63750000000000007</v>
      </c>
      <c r="P15" s="43">
        <v>0.65833333333333333</v>
      </c>
      <c r="Q15" s="39"/>
      <c r="R15" s="42"/>
      <c r="S15" s="44">
        <f>MIP[[#This Row],[PT-1]]+MIP[[#This Row],[PT-2]]*2+MIP[[#This Row],[PT-3]]*3+MIP[[#This Row],[PT &gt; 3 Pontos]]</f>
        <v>15</v>
      </c>
      <c r="T1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15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15" s="41">
        <f>MIP[[#This Row],[Eficiência]]</f>
        <v>1.0605326009537961</v>
      </c>
      <c r="W1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5" s="39">
        <f>IF(MIP[[#This Row],[P.S]]-MIP[[#This Row],[P.E]]&lt;0,1+MIP[[#This Row],[P.S]]-MIP[[#This Row],[P.E]]-1/24,MIP[[#This Row],[P.S]]-MIP[[#This Row],[P.E]]-1/24)</f>
        <v>0.36666666666666664</v>
      </c>
      <c r="Y15" s="39">
        <f>MIP[[#This Row],[PT-1]]*$S$3+MIP[[#This Row],[PT-2]]*$T$3+MIP[[#This Row],[PT-3]]*$U$3+MIP[[#This Row],[PT &gt; 3 Pontos]]*$V$3</f>
        <v>0.3446730953099838</v>
      </c>
      <c r="Z15" s="39">
        <f>MIP[[#This Row],[HH disponível]]-MIP[[#This Row],[HH AC TOT]]</f>
        <v>0.32500000000000007</v>
      </c>
      <c r="AA15" s="38">
        <f>MIP[[#This Row],[HH Produtivo
Total]]/MIP[[#This Row],[HH Trabalhado]]</f>
        <v>1.0605326009537961</v>
      </c>
      <c r="AB15" s="38">
        <f>MIP[[#This Row],[HH Produtivo
Total]]/MIP[[#This Row],[HH disponível]]</f>
        <v>0.94001753266359223</v>
      </c>
      <c r="AC15" s="38">
        <f>MIP[[#This Row],[HH Trabalhado]]/MIP[[#This Row],[HH disponível]]</f>
        <v>0.88636363636363658</v>
      </c>
      <c r="AD15" s="37" t="str">
        <f>LEFT(MIP[[#This Row],[Equipe]], SEARCH("/",MIP[[#This Row],[Equipe]],1)-1)</f>
        <v xml:space="preserve">JOILSON </v>
      </c>
      <c r="AE15" s="37" t="str">
        <f>RIGHT(MIP[[#This Row],[Equipe]], LEN(MIP[[#This Row],[Equipe]])-SEARCH("/",MIP[[#This Row],[Equipe]],1))</f>
        <v xml:space="preserve"> VALDEI</v>
      </c>
      <c r="AF15" s="44">
        <f>COUNTIFS('[1]Tempo parado'!H:H,"&gt;="&amp;MIP[[#This Row],[S.B Sitrack]],'[1]Tempo parado'!I:I,"&lt;="&amp;MIP[[#This Row],[C.B Sitrack]],'[1]Tempo parado'!B:B,MIP[[#This Row],[Placa]])</f>
        <v>0</v>
      </c>
      <c r="AG15" s="36"/>
      <c r="AH15" s="35"/>
      <c r="AI15" s="34"/>
      <c r="AJ15" s="34"/>
      <c r="AK1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5" s="32">
        <f>SUMIFS('[1]Tempo parado'!J:J,'[1]Tempo parado'!H:H,"&gt;="&amp;MIP[[#This Row],[S.B Sitrack]],'[1]Tempo parado'!I:I,"&lt;="&amp;MIP[[#This Row],[C.B Sitrack]],'[1]Tempo parado'!B:B,MIP[[#This Row],[Placa]])</f>
        <v>0</v>
      </c>
      <c r="AN15" s="32" t="str">
        <f>IFERROR(MIP[[#This Row],[Tempo parado]]/(MIP[[#This Row],[C.B Sitrack]]-MIP[[#This Row],[S.B Sitrack]]),"")</f>
        <v/>
      </c>
      <c r="AO15" s="30"/>
      <c r="AP15" s="44">
        <f>IF(AND(MIP[Exc]=0,MIP[Previsto / Realizado]="Realizado"),MIP[Sem],0)</f>
        <v>0</v>
      </c>
      <c r="AQ15" s="29">
        <f>IF(AND(MIP[Exc]=0,MIP[Previsto / Realizado]="Realizado",ISBLANK(MIP[[#This Row],[S.B Sitrack]])=FALSE,ISBLANK(MIP[[#This Row],[C.B Sitrack]])=FALSE),MIP[Sem],0)</f>
        <v>0</v>
      </c>
    </row>
    <row r="16" spans="1:43" s="87" customFormat="1" x14ac:dyDescent="0.25">
      <c r="A16" s="11"/>
      <c r="B16" s="44">
        <f>WEEKNUM(MIP[[#This Row],[Data]])</f>
        <v>19</v>
      </c>
      <c r="C16" s="45">
        <v>42865</v>
      </c>
      <c r="D16" s="45"/>
      <c r="E16" s="35" t="s">
        <v>10</v>
      </c>
      <c r="F16" s="35" t="s">
        <v>2</v>
      </c>
      <c r="G16" s="35"/>
      <c r="H16" s="44">
        <v>2</v>
      </c>
      <c r="I16" s="44">
        <v>4</v>
      </c>
      <c r="J16" s="44">
        <v>2</v>
      </c>
      <c r="K16" s="44">
        <v>1</v>
      </c>
      <c r="L16" s="44">
        <v>0</v>
      </c>
      <c r="M16" s="43">
        <v>0.25</v>
      </c>
      <c r="N16" s="43">
        <v>0.28055555555555556</v>
      </c>
      <c r="O16" s="43">
        <v>0.53194444444444444</v>
      </c>
      <c r="P16" s="43">
        <v>0.65833333333333333</v>
      </c>
      <c r="Q16" s="39"/>
      <c r="R16" s="42" t="s">
        <v>475</v>
      </c>
      <c r="S16" s="44">
        <f>MIP[[#This Row],[PT-1]]+MIP[[#This Row],[PT-2]]*2+MIP[[#This Row],[PT-3]]*3+MIP[[#This Row],[PT &gt; 3 Pontos]]</f>
        <v>11</v>
      </c>
      <c r="T1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0.15694444444444444</v>
      </c>
      <c r="U16" s="39">
        <f>IF(MIP[[#This Row],[P.S]]-MIP[[#This Row],[U.P]]&gt;=0,MIP[[#This Row],[P.S]]-MIP[[#This Row],[U.P]]+MIP[[#This Row],[S.B]]-MIP[[#This Row],[P.E]],1+MIP[[#This Row],[P.S]]-MIP[[#This Row],[U.P]]+MIP[[#This Row],[S.B]]-MIP[[#This Row],[P.E]])</f>
        <v>0.15694444444444444</v>
      </c>
      <c r="V16" s="41">
        <f>MIP[[#This Row],[Eficiência]]</f>
        <v>1.1954509189941451</v>
      </c>
      <c r="W1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6" s="39">
        <f>IF(MIP[[#This Row],[P.S]]-MIP[[#This Row],[P.E]]&lt;0,1+MIP[[#This Row],[P.S]]-MIP[[#This Row],[P.E]]-1/24,MIP[[#This Row],[P.S]]-MIP[[#This Row],[P.E]]-1/24)</f>
        <v>0.36666666666666664</v>
      </c>
      <c r="Y16" s="39">
        <f>MIP[[#This Row],[PT-1]]*$S$3+MIP[[#This Row],[PT-2]]*$T$3+MIP[[#This Row],[PT-3]]*$U$3+MIP[[#This Row],[PT &gt; 3 Pontos]]*$V$3</f>
        <v>0.25071262328904986</v>
      </c>
      <c r="Z16" s="39">
        <f>MIP[[#This Row],[HH disponível]]-MIP[[#This Row],[HH AC TOT]]</f>
        <v>0.2097222222222222</v>
      </c>
      <c r="AA16" s="38">
        <f>MIP[[#This Row],[HH Produtivo
Total]]/MIP[[#This Row],[HH Trabalhado]]</f>
        <v>1.1954509189941451</v>
      </c>
      <c r="AB16" s="38">
        <f>MIP[[#This Row],[HH Produtivo
Total]]/MIP[[#This Row],[HH disponível]]</f>
        <v>0.68376169987922697</v>
      </c>
      <c r="AC16" s="38">
        <f>MIP[[#This Row],[HH Trabalhado]]/MIP[[#This Row],[HH disponível]]</f>
        <v>0.57196969696969691</v>
      </c>
      <c r="AD16" s="37" t="str">
        <f>LEFT(MIP[[#This Row],[Equipe]], SEARCH("/",MIP[[#This Row],[Equipe]],1)-1)</f>
        <v xml:space="preserve">JOILSON </v>
      </c>
      <c r="AE16" s="37" t="str">
        <f>RIGHT(MIP[[#This Row],[Equipe]], LEN(MIP[[#This Row],[Equipe]])-SEARCH("/",MIP[[#This Row],[Equipe]],1))</f>
        <v xml:space="preserve"> VALDEI</v>
      </c>
      <c r="AF16" s="44">
        <f>COUNTIFS('[1]Tempo parado'!H:H,"&gt;="&amp;MIP[[#This Row],[S.B Sitrack]],'[1]Tempo parado'!I:I,"&lt;="&amp;MIP[[#This Row],[C.B Sitrack]],'[1]Tempo parado'!B:B,MIP[[#This Row],[Placa]])</f>
        <v>0</v>
      </c>
      <c r="AG16" s="36"/>
      <c r="AH16" s="35"/>
      <c r="AI16" s="34"/>
      <c r="AJ16" s="34"/>
      <c r="AK1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6" s="32">
        <f>SUMIFS('[1]Tempo parado'!J:J,'[1]Tempo parado'!H:H,"&gt;="&amp;MIP[[#This Row],[S.B Sitrack]],'[1]Tempo parado'!I:I,"&lt;="&amp;MIP[[#This Row],[C.B Sitrack]],'[1]Tempo parado'!B:B,MIP[[#This Row],[Placa]])</f>
        <v>0</v>
      </c>
      <c r="AN16" s="32" t="str">
        <f>IFERROR(MIP[[#This Row],[Tempo parado]]/(MIP[[#This Row],[C.B Sitrack]]-MIP[[#This Row],[S.B Sitrack]]),"")</f>
        <v/>
      </c>
      <c r="AO16" s="30"/>
      <c r="AP16" s="44">
        <f>IF(AND(MIP[Exc]=0,MIP[Previsto / Realizado]="Realizado"),MIP[Sem],0)</f>
        <v>19</v>
      </c>
      <c r="AQ16" s="29">
        <f>IF(AND(MIP[Exc]=0,MIP[Previsto / Realizado]="Realizado",ISBLANK(MIP[[#This Row],[S.B Sitrack]])=FALSE,ISBLANK(MIP[[#This Row],[C.B Sitrack]])=FALSE),MIP[Sem],0)</f>
        <v>0</v>
      </c>
    </row>
    <row r="17" spans="1:43" s="87" customFormat="1" x14ac:dyDescent="0.25">
      <c r="A17" s="11"/>
      <c r="B17" s="44">
        <f>WEEKNUM(MIP[[#This Row],[Data]])</f>
        <v>19</v>
      </c>
      <c r="C17" s="45">
        <v>42865</v>
      </c>
      <c r="D17" s="45"/>
      <c r="E17" s="83" t="s">
        <v>439</v>
      </c>
      <c r="F17" s="35" t="s">
        <v>5</v>
      </c>
      <c r="G17" s="83"/>
      <c r="H17" s="44">
        <v>2</v>
      </c>
      <c r="I17" s="44">
        <v>6</v>
      </c>
      <c r="J17" s="44">
        <v>4</v>
      </c>
      <c r="K17" s="44">
        <v>0</v>
      </c>
      <c r="L17" s="44">
        <v>0</v>
      </c>
      <c r="M17" s="43">
        <v>0.625</v>
      </c>
      <c r="N17" s="43">
        <v>0.64583333333333337</v>
      </c>
      <c r="O17" s="43">
        <f>1+18/24/60</f>
        <v>1.0125</v>
      </c>
      <c r="P17" s="43">
        <f>1+48/24/60</f>
        <v>1.0333333333333334</v>
      </c>
      <c r="Q17" s="39"/>
      <c r="R17" s="42"/>
      <c r="S17" s="44">
        <f>MIP[[#This Row],[PT-1]]+MIP[[#This Row],[PT-2]]*2+MIP[[#This Row],[PT-3]]*3+MIP[[#This Row],[PT &gt; 3 Pontos]]</f>
        <v>14</v>
      </c>
      <c r="T1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17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17" s="41">
        <f>MIP[[#This Row],[Eficiência]]</f>
        <v>1.0024313297411123</v>
      </c>
      <c r="W1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7" s="39">
        <f>IF(MIP[[#This Row],[P.S]]-MIP[[#This Row],[P.E]]&lt;0,1+MIP[[#This Row],[P.S]]-MIP[[#This Row],[P.E]]-1/24,MIP[[#This Row],[P.S]]-MIP[[#This Row],[P.E]]-1/24)</f>
        <v>0.36666666666666675</v>
      </c>
      <c r="Y17" s="39">
        <f>MIP[[#This Row],[PT-1]]*$S$3+MIP[[#This Row],[PT-2]]*$T$3+MIP[[#This Row],[PT-3]]*$U$3+MIP[[#This Row],[PT &gt; 3 Pontos]]*$V$3</f>
        <v>0.32579018216586142</v>
      </c>
      <c r="Z17" s="39">
        <f>MIP[[#This Row],[HH disponível]]-MIP[[#This Row],[HH AC TOT]]</f>
        <v>0.3249999999999999</v>
      </c>
      <c r="AA17" s="38">
        <f>MIP[[#This Row],[HH Produtivo
Total]]/MIP[[#This Row],[HH Trabalhado]]</f>
        <v>1.0024313297411123</v>
      </c>
      <c r="AB17" s="38">
        <f>MIP[[#This Row],[HH Produtivo
Total]]/MIP[[#This Row],[HH disponível]]</f>
        <v>0.88851867863416734</v>
      </c>
      <c r="AC17" s="38">
        <f>MIP[[#This Row],[HH Trabalhado]]/MIP[[#This Row],[HH disponível]]</f>
        <v>0.88636363636363591</v>
      </c>
      <c r="AD17" s="37" t="str">
        <f>LEFT(MIP[[#This Row],[Equipe]], SEARCH("/",MIP[[#This Row],[Equipe]],1)-1)</f>
        <v xml:space="preserve">ADEMÁRIO </v>
      </c>
      <c r="AE17" s="37" t="str">
        <f>RIGHT(MIP[[#This Row],[Equipe]], LEN(MIP[[#This Row],[Equipe]])-SEARCH("/",MIP[[#This Row],[Equipe]],1))</f>
        <v xml:space="preserve"> ANDERSON</v>
      </c>
      <c r="AF17" s="44">
        <f>COUNTIFS('[1]Tempo parado'!H:H,"&gt;="&amp;MIP[[#This Row],[S.B Sitrack]],'[1]Tempo parado'!I:I,"&lt;="&amp;MIP[[#This Row],[C.B Sitrack]],'[1]Tempo parado'!B:B,MIP[[#This Row],[Placa]])</f>
        <v>0</v>
      </c>
      <c r="AG17" s="36"/>
      <c r="AH17" s="35"/>
      <c r="AI17" s="34"/>
      <c r="AJ17" s="34"/>
      <c r="AK1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7" s="32">
        <f>SUMIFS('[1]Tempo parado'!J:J,'[1]Tempo parado'!H:H,"&gt;="&amp;MIP[[#This Row],[S.B Sitrack]],'[1]Tempo parado'!I:I,"&lt;="&amp;MIP[[#This Row],[C.B Sitrack]],'[1]Tempo parado'!B:B,MIP[[#This Row],[Placa]])</f>
        <v>0</v>
      </c>
      <c r="AN17" s="32" t="str">
        <f>IFERROR(MIP[[#This Row],[Tempo parado]]/(MIP[[#This Row],[C.B Sitrack]]-MIP[[#This Row],[S.B Sitrack]]),"")</f>
        <v/>
      </c>
      <c r="AO17" s="30"/>
      <c r="AP17" s="44">
        <f>IF(AND(MIP[Exc]=0,MIP[Previsto / Realizado]="Realizado"),MIP[Sem],0)</f>
        <v>0</v>
      </c>
      <c r="AQ17" s="29">
        <f>IF(AND(MIP[Exc]=0,MIP[Previsto / Realizado]="Realizado",ISBLANK(MIP[[#This Row],[S.B Sitrack]])=FALSE,ISBLANK(MIP[[#This Row],[C.B Sitrack]])=FALSE),MIP[Sem],0)</f>
        <v>0</v>
      </c>
    </row>
    <row r="18" spans="1:43" s="87" customFormat="1" x14ac:dyDescent="0.25">
      <c r="A18" s="11"/>
      <c r="B18" s="44">
        <f>WEEKNUM(MIP[[#This Row],[Data]])</f>
        <v>19</v>
      </c>
      <c r="C18" s="45">
        <v>42865</v>
      </c>
      <c r="D18" s="45"/>
      <c r="E18" s="83" t="s">
        <v>439</v>
      </c>
      <c r="F18" s="35" t="s">
        <v>2</v>
      </c>
      <c r="G18" s="83"/>
      <c r="H18" s="44">
        <v>2</v>
      </c>
      <c r="I18" s="44">
        <v>5</v>
      </c>
      <c r="J18" s="44">
        <v>4</v>
      </c>
      <c r="K18" s="44">
        <v>0</v>
      </c>
      <c r="L18" s="44">
        <v>0</v>
      </c>
      <c r="M18" s="43">
        <v>0.61736111111111114</v>
      </c>
      <c r="N18" s="43">
        <v>0.66666666666666663</v>
      </c>
      <c r="O18" s="43">
        <f>1+35/24/60</f>
        <v>1.0243055555555556</v>
      </c>
      <c r="P18" s="43">
        <f>1+54/24/60</f>
        <v>1.0375000000000001</v>
      </c>
      <c r="Q18" s="39"/>
      <c r="R18" s="42"/>
      <c r="S18" s="44">
        <f>MIP[[#This Row],[PT-1]]+MIP[[#This Row],[PT-2]]*2+MIP[[#This Row],[PT-3]]*3+MIP[[#This Row],[PT &gt; 3 Pontos]]</f>
        <v>13</v>
      </c>
      <c r="T1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6.25E-2</v>
      </c>
      <c r="U18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6.25E-2</v>
      </c>
      <c r="V18" s="41">
        <f>MIP[[#This Row],[Eficiência]]</f>
        <v>0.95186952540213354</v>
      </c>
      <c r="W1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8" s="39">
        <f>IF(MIP[[#This Row],[P.S]]-MIP[[#This Row],[P.E]]&lt;0,1+MIP[[#This Row],[P.S]]-MIP[[#This Row],[P.E]]-1/24,MIP[[#This Row],[P.S]]-MIP[[#This Row],[P.E]]-1/24)</f>
        <v>0.37847222222222227</v>
      </c>
      <c r="Y18" s="39">
        <f>MIP[[#This Row],[PT-1]]*$S$3+MIP[[#This Row],[PT-2]]*$T$3+MIP[[#This Row],[PT-3]]*$U$3+MIP[[#This Row],[PT &gt; 3 Pontos]]*$V$3</f>
        <v>0.3007643292069242</v>
      </c>
      <c r="Z18" s="39">
        <f>MIP[[#This Row],[HH disponível]]-MIP[[#This Row],[HH AC TOT]]</f>
        <v>0.31597222222222227</v>
      </c>
      <c r="AA18" s="38">
        <f>MIP[[#This Row],[HH Produtivo
Total]]/MIP[[#This Row],[HH Trabalhado]]</f>
        <v>0.95186952540213354</v>
      </c>
      <c r="AB18" s="38">
        <f>MIP[[#This Row],[HH Produtivo
Total]]/MIP[[#This Row],[HH disponível]]</f>
        <v>0.79468006249168954</v>
      </c>
      <c r="AC18" s="38">
        <f>MIP[[#This Row],[HH Trabalhado]]/MIP[[#This Row],[HH disponível]]</f>
        <v>0.83486238532110091</v>
      </c>
      <c r="AD18" s="37" t="str">
        <f>LEFT(MIP[[#This Row],[Equipe]], SEARCH("/",MIP[[#This Row],[Equipe]],1)-1)</f>
        <v xml:space="preserve">ADEMÁRIO </v>
      </c>
      <c r="AE18" s="37" t="str">
        <f>RIGHT(MIP[[#This Row],[Equipe]], LEN(MIP[[#This Row],[Equipe]])-SEARCH("/",MIP[[#This Row],[Equipe]],1))</f>
        <v xml:space="preserve"> ANDERSON</v>
      </c>
      <c r="AF18" s="44">
        <f>COUNTIFS('[1]Tempo parado'!H:H,"&gt;="&amp;MIP[[#This Row],[S.B Sitrack]],'[1]Tempo parado'!I:I,"&lt;="&amp;MIP[[#This Row],[C.B Sitrack]],'[1]Tempo parado'!B:B,MIP[[#This Row],[Placa]])</f>
        <v>0</v>
      </c>
      <c r="AG18" s="36"/>
      <c r="AH18" s="35"/>
      <c r="AI18" s="34"/>
      <c r="AJ18" s="34"/>
      <c r="AK1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8" s="32">
        <f>SUMIFS('[1]Tempo parado'!J:J,'[1]Tempo parado'!H:H,"&gt;="&amp;MIP[[#This Row],[S.B Sitrack]],'[1]Tempo parado'!I:I,"&lt;="&amp;MIP[[#This Row],[C.B Sitrack]],'[1]Tempo parado'!B:B,MIP[[#This Row],[Placa]])</f>
        <v>0</v>
      </c>
      <c r="AN18" s="32" t="str">
        <f>IFERROR(MIP[[#This Row],[Tempo parado]]/(MIP[[#This Row],[C.B Sitrack]]-MIP[[#This Row],[S.B Sitrack]]),"")</f>
        <v/>
      </c>
      <c r="AO18" s="30"/>
      <c r="AP18" s="44">
        <f>IF(AND(MIP[Exc]=0,MIP[Previsto / Realizado]="Realizado"),MIP[Sem],0)</f>
        <v>19</v>
      </c>
      <c r="AQ18" s="29">
        <f>IF(AND(MIP[Exc]=0,MIP[Previsto / Realizado]="Realizado",ISBLANK(MIP[[#This Row],[S.B Sitrack]])=FALSE,ISBLANK(MIP[[#This Row],[C.B Sitrack]])=FALSE),MIP[Sem],0)</f>
        <v>0</v>
      </c>
    </row>
    <row r="19" spans="1:43" s="87" customFormat="1" x14ac:dyDescent="0.25">
      <c r="A19" s="11"/>
      <c r="B19" s="44">
        <f>WEEKNUM(MIP[[#This Row],[Data]])</f>
        <v>19</v>
      </c>
      <c r="C19" s="45">
        <v>42866</v>
      </c>
      <c r="D19" s="45"/>
      <c r="E19" s="83" t="s">
        <v>463</v>
      </c>
      <c r="F19" s="35" t="s">
        <v>5</v>
      </c>
      <c r="G19" s="83"/>
      <c r="H19" s="44">
        <v>2</v>
      </c>
      <c r="I19" s="44">
        <v>8</v>
      </c>
      <c r="J19" s="44">
        <v>2</v>
      </c>
      <c r="K19" s="44">
        <v>1</v>
      </c>
      <c r="L19" s="44">
        <v>0</v>
      </c>
      <c r="M19" s="43">
        <v>0.625</v>
      </c>
      <c r="N19" s="43">
        <v>0.64583333333333337</v>
      </c>
      <c r="O19" s="43">
        <f>1+18/24/60</f>
        <v>1.0125</v>
      </c>
      <c r="P19" s="43">
        <f>1+48/24/60</f>
        <v>1.0333333333333334</v>
      </c>
      <c r="Q19" s="39"/>
      <c r="R19" s="42"/>
      <c r="S19" s="44">
        <f>MIP[[#This Row],[PT-1]]+MIP[[#This Row],[PT-2]]*2+MIP[[#This Row],[PT-3]]*3+MIP[[#This Row],[PT &gt; 3 Pontos]]</f>
        <v>15</v>
      </c>
      <c r="T1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19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19" s="41">
        <f>MIP[[#This Row],[Eficiência]]</f>
        <v>1.0794339542301499</v>
      </c>
      <c r="W1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9" s="39">
        <f>IF(MIP[[#This Row],[P.S]]-MIP[[#This Row],[P.E]]&lt;0,1+MIP[[#This Row],[P.S]]-MIP[[#This Row],[P.E]]-1/24,MIP[[#This Row],[P.S]]-MIP[[#This Row],[P.E]]-1/24)</f>
        <v>0.36666666666666675</v>
      </c>
      <c r="Y19" s="39">
        <f>MIP[[#This Row],[PT-1]]*$S$3+MIP[[#This Row],[PT-2]]*$T$3+MIP[[#This Row],[PT-3]]*$U$3+MIP[[#This Row],[PT &gt; 3 Pontos]]*$V$3</f>
        <v>0.35081603512479859</v>
      </c>
      <c r="Z19" s="39">
        <f>MIP[[#This Row],[HH disponível]]-MIP[[#This Row],[HH AC TOT]]</f>
        <v>0.3249999999999999</v>
      </c>
      <c r="AA19" s="38">
        <f>MIP[[#This Row],[HH Produtivo
Total]]/MIP[[#This Row],[HH Trabalhado]]</f>
        <v>1.0794339542301499</v>
      </c>
      <c r="AB19" s="38">
        <f>MIP[[#This Row],[HH Produtivo
Total]]/MIP[[#This Row],[HH disponível]]</f>
        <v>0.95677100488581412</v>
      </c>
      <c r="AC19" s="38">
        <f>MIP[[#This Row],[HH Trabalhado]]/MIP[[#This Row],[HH disponível]]</f>
        <v>0.88636363636363591</v>
      </c>
      <c r="AD19" s="37" t="str">
        <f>LEFT(MIP[[#This Row],[Equipe]], SEARCH("/",MIP[[#This Row],[Equipe]],1)-1)</f>
        <v xml:space="preserve">EDILTON </v>
      </c>
      <c r="AE19" s="37" t="str">
        <f>RIGHT(MIP[[#This Row],[Equipe]], LEN(MIP[[#This Row],[Equipe]])-SEARCH("/",MIP[[#This Row],[Equipe]],1))</f>
        <v xml:space="preserve"> CLAUDINEY</v>
      </c>
      <c r="AF19" s="44">
        <f>COUNTIFS('[1]Tempo parado'!H:H,"&gt;="&amp;MIP[[#This Row],[S.B Sitrack]],'[1]Tempo parado'!I:I,"&lt;="&amp;MIP[[#This Row],[C.B Sitrack]],'[1]Tempo parado'!B:B,MIP[[#This Row],[Placa]])</f>
        <v>0</v>
      </c>
      <c r="AG19" s="36"/>
      <c r="AH19" s="35"/>
      <c r="AI19" s="34"/>
      <c r="AJ19" s="34"/>
      <c r="AK1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9" s="32">
        <f>SUMIFS('[1]Tempo parado'!J:J,'[1]Tempo parado'!H:H,"&gt;="&amp;MIP[[#This Row],[S.B Sitrack]],'[1]Tempo parado'!I:I,"&lt;="&amp;MIP[[#This Row],[C.B Sitrack]],'[1]Tempo parado'!B:B,MIP[[#This Row],[Placa]])</f>
        <v>0</v>
      </c>
      <c r="AN19" s="32" t="str">
        <f>IFERROR(MIP[[#This Row],[Tempo parado]]/(MIP[[#This Row],[C.B Sitrack]]-MIP[[#This Row],[S.B Sitrack]]),"")</f>
        <v/>
      </c>
      <c r="AO19" s="30"/>
      <c r="AP19" s="44">
        <f>IF(AND(MIP[Exc]=0,MIP[Previsto / Realizado]="Realizado"),MIP[Sem],0)</f>
        <v>0</v>
      </c>
      <c r="AQ19" s="29">
        <f>IF(AND(MIP[Exc]=0,MIP[Previsto / Realizado]="Realizado",ISBLANK(MIP[[#This Row],[S.B Sitrack]])=FALSE,ISBLANK(MIP[[#This Row],[C.B Sitrack]])=FALSE),MIP[Sem],0)</f>
        <v>0</v>
      </c>
    </row>
    <row r="20" spans="1:43" s="87" customFormat="1" x14ac:dyDescent="0.25">
      <c r="A20" s="11"/>
      <c r="B20" s="44">
        <f>WEEKNUM(MIP[[#This Row],[Data]])</f>
        <v>19</v>
      </c>
      <c r="C20" s="45">
        <v>42866</v>
      </c>
      <c r="D20" s="45"/>
      <c r="E20" s="83" t="s">
        <v>463</v>
      </c>
      <c r="F20" s="35" t="s">
        <v>2</v>
      </c>
      <c r="G20" s="83"/>
      <c r="H20" s="44">
        <v>2</v>
      </c>
      <c r="I20" s="44">
        <v>7</v>
      </c>
      <c r="J20" s="44">
        <v>2</v>
      </c>
      <c r="K20" s="44">
        <v>0</v>
      </c>
      <c r="L20" s="44">
        <v>0</v>
      </c>
      <c r="M20" s="43">
        <v>0.62569444444444444</v>
      </c>
      <c r="N20" s="43">
        <v>0.67569444444444438</v>
      </c>
      <c r="O20" s="43">
        <f>30/24/60</f>
        <v>2.0833333333333332E-2</v>
      </c>
      <c r="P20" s="43">
        <f>1/24</f>
        <v>4.1666666666666664E-2</v>
      </c>
      <c r="Q20" s="39"/>
      <c r="R20" s="42" t="s">
        <v>474</v>
      </c>
      <c r="S20" s="44">
        <f>MIP[[#This Row],[PT-1]]+MIP[[#This Row],[PT-2]]*2+MIP[[#This Row],[PT-3]]*3+MIP[[#This Row],[PT &gt; 3 Pontos]]</f>
        <v>11</v>
      </c>
      <c r="T2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7.0833333333333304E-2</v>
      </c>
      <c r="U20" s="39">
        <f>IF(MIP[[#This Row],[P.S]]-MIP[[#This Row],[U.P]]&gt;=0,MIP[[#This Row],[P.S]]-MIP[[#This Row],[U.P]]+MIP[[#This Row],[S.B]]-MIP[[#This Row],[P.E]],1+MIP[[#This Row],[P.S]]-MIP[[#This Row],[U.P]]+MIP[[#This Row],[S.B]]-MIP[[#This Row],[P.E]])</f>
        <v>7.0833333333333304E-2</v>
      </c>
      <c r="V20" s="41">
        <f>MIP[[#This Row],[Eficiência]]</f>
        <v>0.86663122243226154</v>
      </c>
      <c r="W2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0" s="39">
        <f>IF(MIP[[#This Row],[P.S]]-MIP[[#This Row],[P.E]]&lt;0,1+MIP[[#This Row],[P.S]]-MIP[[#This Row],[P.E]]-1/24,MIP[[#This Row],[P.S]]-MIP[[#This Row],[P.E]]-1/24)</f>
        <v>0.37430555555555561</v>
      </c>
      <c r="Y20" s="39">
        <f>MIP[[#This Row],[PT-1]]*$S$3+MIP[[#This Row],[PT-2]]*$T$3+MIP[[#This Row],[PT-3]]*$U$3+MIP[[#This Row],[PT &gt; 3 Pontos]]*$V$3</f>
        <v>0.26299850291867943</v>
      </c>
      <c r="Z20" s="39">
        <f>MIP[[#This Row],[HH disponível]]-MIP[[#This Row],[HH AC TOT]]</f>
        <v>0.30347222222222231</v>
      </c>
      <c r="AA20" s="38">
        <f>MIP[[#This Row],[HH Produtivo
Total]]/MIP[[#This Row],[HH Trabalhado]]</f>
        <v>0.86663122243226154</v>
      </c>
      <c r="AB20" s="38">
        <f>MIP[[#This Row],[HH Produtivo
Total]]/MIP[[#This Row],[HH disponível]]</f>
        <v>0.70263050872522881</v>
      </c>
      <c r="AC20" s="38">
        <f>MIP[[#This Row],[HH Trabalhado]]/MIP[[#This Row],[HH disponível]]</f>
        <v>0.81076066790352519</v>
      </c>
      <c r="AD20" s="37" t="str">
        <f>LEFT(MIP[[#This Row],[Equipe]], SEARCH("/",MIP[[#This Row],[Equipe]],1)-1)</f>
        <v xml:space="preserve">EDILTON </v>
      </c>
      <c r="AE20" s="37" t="str">
        <f>RIGHT(MIP[[#This Row],[Equipe]], LEN(MIP[[#This Row],[Equipe]])-SEARCH("/",MIP[[#This Row],[Equipe]],1))</f>
        <v xml:space="preserve"> CLAUDINEY</v>
      </c>
      <c r="AF20" s="44">
        <f>COUNTIFS('[1]Tempo parado'!H:H,"&gt;="&amp;MIP[[#This Row],[S.B Sitrack]],'[1]Tempo parado'!I:I,"&lt;="&amp;MIP[[#This Row],[C.B Sitrack]],'[1]Tempo parado'!B:B,MIP[[#This Row],[Placa]])</f>
        <v>0</v>
      </c>
      <c r="AG20" s="36"/>
      <c r="AH20" s="35"/>
      <c r="AI20" s="34"/>
      <c r="AJ20" s="34"/>
      <c r="AK2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0" s="32">
        <f>SUMIFS('[1]Tempo parado'!J:J,'[1]Tempo parado'!H:H,"&gt;="&amp;MIP[[#This Row],[S.B Sitrack]],'[1]Tempo parado'!I:I,"&lt;="&amp;MIP[[#This Row],[C.B Sitrack]],'[1]Tempo parado'!B:B,MIP[[#This Row],[Placa]])</f>
        <v>0</v>
      </c>
      <c r="AN20" s="32" t="str">
        <f>IFERROR(MIP[[#This Row],[Tempo parado]]/(MIP[[#This Row],[C.B Sitrack]]-MIP[[#This Row],[S.B Sitrack]]),"")</f>
        <v/>
      </c>
      <c r="AO20" s="30"/>
      <c r="AP20" s="44">
        <f>IF(AND(MIP[Exc]=0,MIP[Previsto / Realizado]="Realizado"),MIP[Sem],0)</f>
        <v>19</v>
      </c>
      <c r="AQ20" s="29">
        <f>IF(AND(MIP[Exc]=0,MIP[Previsto / Realizado]="Realizado",ISBLANK(MIP[[#This Row],[S.B Sitrack]])=FALSE,ISBLANK(MIP[[#This Row],[C.B Sitrack]])=FALSE),MIP[Sem],0)</f>
        <v>0</v>
      </c>
    </row>
    <row r="21" spans="1:43" s="87" customFormat="1" x14ac:dyDescent="0.25">
      <c r="A21" s="11"/>
      <c r="B21" s="44">
        <f>WEEKNUM(MIP[[#This Row],[Data]])</f>
        <v>19</v>
      </c>
      <c r="C21" s="45">
        <v>42867</v>
      </c>
      <c r="D21" s="45"/>
      <c r="E21" s="83" t="s">
        <v>463</v>
      </c>
      <c r="F21" s="35" t="s">
        <v>5</v>
      </c>
      <c r="G21" s="83"/>
      <c r="H21" s="44">
        <v>2</v>
      </c>
      <c r="I21" s="44">
        <v>6</v>
      </c>
      <c r="J21" s="44">
        <v>4</v>
      </c>
      <c r="K21" s="44">
        <v>0</v>
      </c>
      <c r="L21" s="44">
        <v>0</v>
      </c>
      <c r="M21" s="43">
        <v>0.625</v>
      </c>
      <c r="N21" s="43">
        <v>0.64583333333333337</v>
      </c>
      <c r="O21" s="43">
        <f>1+18/24/60</f>
        <v>1.0125</v>
      </c>
      <c r="P21" s="43">
        <f>1+48/24/60</f>
        <v>1.0333333333333334</v>
      </c>
      <c r="Q21" s="39"/>
      <c r="R21" s="42"/>
      <c r="S21" s="44">
        <f>MIP[[#This Row],[PT-1]]+MIP[[#This Row],[PT-2]]*2+MIP[[#This Row],[PT-3]]*3+MIP[[#This Row],[PT &gt; 3 Pontos]]</f>
        <v>14</v>
      </c>
      <c r="T2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21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21" s="41">
        <f>MIP[[#This Row],[Eficiência]]</f>
        <v>1.0024313297411123</v>
      </c>
      <c r="W2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1" s="39">
        <f>IF(MIP[[#This Row],[P.S]]-MIP[[#This Row],[P.E]]&lt;0,1+MIP[[#This Row],[P.S]]-MIP[[#This Row],[P.E]]-1/24,MIP[[#This Row],[P.S]]-MIP[[#This Row],[P.E]]-1/24)</f>
        <v>0.36666666666666675</v>
      </c>
      <c r="Y21" s="39">
        <f>MIP[[#This Row],[PT-1]]*$S$3+MIP[[#This Row],[PT-2]]*$T$3+MIP[[#This Row],[PT-3]]*$U$3+MIP[[#This Row],[PT &gt; 3 Pontos]]*$V$3</f>
        <v>0.32579018216586142</v>
      </c>
      <c r="Z21" s="39">
        <f>MIP[[#This Row],[HH disponível]]-MIP[[#This Row],[HH AC TOT]]</f>
        <v>0.3249999999999999</v>
      </c>
      <c r="AA21" s="38">
        <f>MIP[[#This Row],[HH Produtivo
Total]]/MIP[[#This Row],[HH Trabalhado]]</f>
        <v>1.0024313297411123</v>
      </c>
      <c r="AB21" s="38">
        <f>MIP[[#This Row],[HH Produtivo
Total]]/MIP[[#This Row],[HH disponível]]</f>
        <v>0.88851867863416734</v>
      </c>
      <c r="AC21" s="38">
        <f>MIP[[#This Row],[HH Trabalhado]]/MIP[[#This Row],[HH disponível]]</f>
        <v>0.88636363636363591</v>
      </c>
      <c r="AD21" s="37" t="str">
        <f>LEFT(MIP[[#This Row],[Equipe]], SEARCH("/",MIP[[#This Row],[Equipe]],1)-1)</f>
        <v xml:space="preserve">EDILTON </v>
      </c>
      <c r="AE21" s="37" t="str">
        <f>RIGHT(MIP[[#This Row],[Equipe]], LEN(MIP[[#This Row],[Equipe]])-SEARCH("/",MIP[[#This Row],[Equipe]],1))</f>
        <v xml:space="preserve"> CLAUDINEY</v>
      </c>
      <c r="AF21" s="44">
        <f>COUNTIFS('[1]Tempo parado'!H:H,"&gt;="&amp;MIP[[#This Row],[S.B Sitrack]],'[1]Tempo parado'!I:I,"&lt;="&amp;MIP[[#This Row],[C.B Sitrack]],'[1]Tempo parado'!B:B,MIP[[#This Row],[Placa]])</f>
        <v>0</v>
      </c>
      <c r="AG21" s="36"/>
      <c r="AH21" s="35"/>
      <c r="AI21" s="34"/>
      <c r="AJ21" s="34"/>
      <c r="AK2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1" s="32">
        <f>SUMIFS('[1]Tempo parado'!J:J,'[1]Tempo parado'!H:H,"&gt;="&amp;MIP[[#This Row],[S.B Sitrack]],'[1]Tempo parado'!I:I,"&lt;="&amp;MIP[[#This Row],[C.B Sitrack]],'[1]Tempo parado'!B:B,MIP[[#This Row],[Placa]])</f>
        <v>0</v>
      </c>
      <c r="AN21" s="32" t="str">
        <f>IFERROR(MIP[[#This Row],[Tempo parado]]/(MIP[[#This Row],[C.B Sitrack]]-MIP[[#This Row],[S.B Sitrack]]),"")</f>
        <v/>
      </c>
      <c r="AO21" s="30"/>
      <c r="AP21" s="44">
        <f>IF(AND(MIP[Exc]=0,MIP[Previsto / Realizado]="Realizado"),MIP[Sem],0)</f>
        <v>0</v>
      </c>
      <c r="AQ21" s="29">
        <f>IF(AND(MIP[Exc]=0,MIP[Previsto / Realizado]="Realizado",ISBLANK(MIP[[#This Row],[S.B Sitrack]])=FALSE,ISBLANK(MIP[[#This Row],[C.B Sitrack]])=FALSE),MIP[Sem],0)</f>
        <v>0</v>
      </c>
    </row>
    <row r="22" spans="1:43" s="87" customFormat="1" x14ac:dyDescent="0.25">
      <c r="A22" s="11"/>
      <c r="B22" s="44">
        <f>WEEKNUM(MIP[[#This Row],[Data]])</f>
        <v>19</v>
      </c>
      <c r="C22" s="45">
        <v>42867</v>
      </c>
      <c r="D22" s="45"/>
      <c r="E22" s="83" t="s">
        <v>463</v>
      </c>
      <c r="F22" s="35" t="s">
        <v>2</v>
      </c>
      <c r="G22" s="83"/>
      <c r="H22" s="44">
        <v>2</v>
      </c>
      <c r="I22" s="44">
        <v>5</v>
      </c>
      <c r="J22" s="44">
        <v>2</v>
      </c>
      <c r="K22" s="44">
        <v>0</v>
      </c>
      <c r="L22" s="44">
        <v>0</v>
      </c>
      <c r="M22" s="43">
        <v>0.62569444444444444</v>
      </c>
      <c r="N22" s="43">
        <v>0.66319444444444442</v>
      </c>
      <c r="O22" s="43">
        <f>1+20/24/60</f>
        <v>1.0138888888888888</v>
      </c>
      <c r="P22" s="43">
        <f>1+56/24/60</f>
        <v>1.038888888888889</v>
      </c>
      <c r="Q22" s="39"/>
      <c r="R22" s="42" t="s">
        <v>473</v>
      </c>
      <c r="S22" s="44">
        <f>MIP[[#This Row],[PT-1]]+MIP[[#This Row],[PT-2]]*2+MIP[[#This Row],[PT-3]]*3+MIP[[#This Row],[PT &gt; 3 Pontos]]</f>
        <v>9</v>
      </c>
      <c r="T2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6.2500000000000111E-2</v>
      </c>
      <c r="U22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6.2500000000000111E-2</v>
      </c>
      <c r="V22" s="41">
        <f>MIP[[#This Row],[Eficiência]]</f>
        <v>0.68908626445204335</v>
      </c>
      <c r="W2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2" s="39">
        <f>IF(MIP[[#This Row],[P.S]]-MIP[[#This Row],[P.E]]&lt;0,1+MIP[[#This Row],[P.S]]-MIP[[#This Row],[P.E]]-1/24,MIP[[#This Row],[P.S]]-MIP[[#This Row],[P.E]]-1/24)</f>
        <v>0.37152777777777785</v>
      </c>
      <c r="Y22" s="39">
        <f>MIP[[#This Row],[PT-1]]*$S$3+MIP[[#This Row],[PT-2]]*$T$3+MIP[[#This Row],[PT-3]]*$U$3+MIP[[#This Row],[PT &gt; 3 Pontos]]*$V$3</f>
        <v>0.21294679700080504</v>
      </c>
      <c r="Z22" s="39">
        <f>MIP[[#This Row],[HH disponível]]-MIP[[#This Row],[HH AC TOT]]</f>
        <v>0.30902777777777773</v>
      </c>
      <c r="AA22" s="38">
        <f>MIP[[#This Row],[HH Produtivo
Total]]/MIP[[#This Row],[HH Trabalhado]]</f>
        <v>0.68908626445204335</v>
      </c>
      <c r="AB22" s="38">
        <f>MIP[[#This Row],[HH Produtivo
Total]]/MIP[[#This Row],[HH disponível]]</f>
        <v>0.57316521061898917</v>
      </c>
      <c r="AC22" s="38">
        <f>MIP[[#This Row],[HH Trabalhado]]/MIP[[#This Row],[HH disponível]]</f>
        <v>0.8317757009345792</v>
      </c>
      <c r="AD22" s="37" t="str">
        <f>LEFT(MIP[[#This Row],[Equipe]], SEARCH("/",MIP[[#This Row],[Equipe]],1)-1)</f>
        <v xml:space="preserve">EDILTON </v>
      </c>
      <c r="AE22" s="37" t="str">
        <f>RIGHT(MIP[[#This Row],[Equipe]], LEN(MIP[[#This Row],[Equipe]])-SEARCH("/",MIP[[#This Row],[Equipe]],1))</f>
        <v xml:space="preserve"> CLAUDINEY</v>
      </c>
      <c r="AF22" s="44">
        <f>COUNTIFS('[1]Tempo parado'!H:H,"&gt;="&amp;MIP[[#This Row],[S.B Sitrack]],'[1]Tempo parado'!I:I,"&lt;="&amp;MIP[[#This Row],[C.B Sitrack]],'[1]Tempo parado'!B:B,MIP[[#This Row],[Placa]])</f>
        <v>0</v>
      </c>
      <c r="AG22" s="36"/>
      <c r="AH22" s="35"/>
      <c r="AI22" s="34"/>
      <c r="AJ22" s="34"/>
      <c r="AK2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2" s="32">
        <f>SUMIFS('[1]Tempo parado'!J:J,'[1]Tempo parado'!H:H,"&gt;="&amp;MIP[[#This Row],[S.B Sitrack]],'[1]Tempo parado'!I:I,"&lt;="&amp;MIP[[#This Row],[C.B Sitrack]],'[1]Tempo parado'!B:B,MIP[[#This Row],[Placa]])</f>
        <v>0</v>
      </c>
      <c r="AN22" s="32" t="str">
        <f>IFERROR(MIP[[#This Row],[Tempo parado]]/(MIP[[#This Row],[C.B Sitrack]]-MIP[[#This Row],[S.B Sitrack]]),"")</f>
        <v/>
      </c>
      <c r="AO22" s="30"/>
      <c r="AP22" s="44">
        <f>IF(AND(MIP[Exc]=0,MIP[Previsto / Realizado]="Realizado"),MIP[Sem],0)</f>
        <v>19</v>
      </c>
      <c r="AQ22" s="29">
        <f>IF(AND(MIP[Exc]=0,MIP[Previsto / Realizado]="Realizado",ISBLANK(MIP[[#This Row],[S.B Sitrack]])=FALSE,ISBLANK(MIP[[#This Row],[C.B Sitrack]])=FALSE),MIP[Sem],0)</f>
        <v>0</v>
      </c>
    </row>
    <row r="23" spans="1:43" x14ac:dyDescent="0.25">
      <c r="B23" s="44">
        <f>WEEKNUM(MIP[[#This Row],[Data]])</f>
        <v>19</v>
      </c>
      <c r="C23" s="45">
        <v>42868</v>
      </c>
      <c r="D23" s="45"/>
      <c r="E23" s="35" t="s">
        <v>10</v>
      </c>
      <c r="F23" s="35" t="s">
        <v>5</v>
      </c>
      <c r="G23" s="35"/>
      <c r="H23" s="44">
        <v>2</v>
      </c>
      <c r="I23" s="44">
        <v>7</v>
      </c>
      <c r="J23" s="44">
        <v>2</v>
      </c>
      <c r="K23" s="44">
        <v>1</v>
      </c>
      <c r="L23" s="44">
        <v>5</v>
      </c>
      <c r="M23" s="43">
        <v>0.25</v>
      </c>
      <c r="N23" s="43">
        <v>0.27083333333333331</v>
      </c>
      <c r="O23" s="43">
        <v>0.63750000000000007</v>
      </c>
      <c r="P23" s="43">
        <v>0.65833333333333333</v>
      </c>
      <c r="Q23" s="39"/>
      <c r="R23" s="42"/>
      <c r="S23" s="44">
        <f>MIP[[#This Row],[PT-1]]+MIP[[#This Row],[PT-2]]*2+MIP[[#This Row],[PT-3]]*3+MIP[[#This Row],[PT &gt; 3 Pontos]]</f>
        <v>19</v>
      </c>
      <c r="T2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23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23" s="41">
        <f>MIP[[#This Row],[Eficiência]]</f>
        <v>1.3139391894449257</v>
      </c>
      <c r="W2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3" s="39">
        <f>IF(MIP[[#This Row],[P.S]]-MIP[[#This Row],[P.E]]&lt;0,1+MIP[[#This Row],[P.S]]-MIP[[#This Row],[P.E]]-1/24,MIP[[#This Row],[P.S]]-MIP[[#This Row],[P.E]]-1/24)</f>
        <v>0.36666666666666664</v>
      </c>
      <c r="Y23" s="39">
        <f>MIP[[#This Row],[PT-1]]*$S$3+MIP[[#This Row],[PT-2]]*$T$3+MIP[[#This Row],[PT-3]]*$U$3+MIP[[#This Row],[PT &gt; 3 Pontos]]*$V$3</f>
        <v>0.42703023656960093</v>
      </c>
      <c r="Z23" s="39">
        <f>MIP[[#This Row],[HH disponível]]-MIP[[#This Row],[HH AC TOT]]</f>
        <v>0.32500000000000007</v>
      </c>
      <c r="AA23" s="38">
        <f>MIP[[#This Row],[HH Produtivo
Total]]/MIP[[#This Row],[HH Trabalhado]]</f>
        <v>1.3139391894449257</v>
      </c>
      <c r="AB23" s="38">
        <f>MIP[[#This Row],[HH Produtivo
Total]]/MIP[[#This Row],[HH disponível]]</f>
        <v>1.1646279179170935</v>
      </c>
      <c r="AC23" s="38">
        <f>MIP[[#This Row],[HH Trabalhado]]/MIP[[#This Row],[HH disponível]]</f>
        <v>0.88636363636363658</v>
      </c>
      <c r="AD23" s="37" t="str">
        <f>LEFT(MIP[[#This Row],[Equipe]], SEARCH("/",MIP[[#This Row],[Equipe]],1)-1)</f>
        <v xml:space="preserve">JOILSON </v>
      </c>
      <c r="AE23" s="37" t="str">
        <f>RIGHT(MIP[[#This Row],[Equipe]], LEN(MIP[[#This Row],[Equipe]])-SEARCH("/",MIP[[#This Row],[Equipe]],1))</f>
        <v xml:space="preserve"> VALDEI</v>
      </c>
      <c r="AF23" s="44">
        <f>COUNTIFS('[1]Tempo parado'!H:H,"&gt;="&amp;MIP[[#This Row],[S.B Sitrack]],'[1]Tempo parado'!I:I,"&lt;="&amp;MIP[[#This Row],[C.B Sitrack]],'[1]Tempo parado'!B:B,MIP[[#This Row],[Placa]])</f>
        <v>0</v>
      </c>
      <c r="AG23" s="36"/>
      <c r="AH23" s="35"/>
      <c r="AI23" s="34"/>
      <c r="AJ23" s="34"/>
      <c r="AK2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3" s="32">
        <f>SUMIFS('[1]Tempo parado'!J:J,'[1]Tempo parado'!H:H,"&gt;="&amp;MIP[[#This Row],[S.B Sitrack]],'[1]Tempo parado'!I:I,"&lt;="&amp;MIP[[#This Row],[C.B Sitrack]],'[1]Tempo parado'!B:B,MIP[[#This Row],[Placa]])</f>
        <v>0</v>
      </c>
      <c r="AN23" s="32" t="str">
        <f>IFERROR(MIP[[#This Row],[Tempo parado]]/(MIP[[#This Row],[C.B Sitrack]]-MIP[[#This Row],[S.B Sitrack]]),"")</f>
        <v/>
      </c>
      <c r="AO23" s="30"/>
      <c r="AP23" s="44">
        <f>IF(AND(MIP[Exc]=0,MIP[Previsto / Realizado]="Realizado"),MIP[Sem],0)</f>
        <v>0</v>
      </c>
      <c r="AQ23" s="29">
        <f>IF(AND(MIP[Exc]=0,MIP[Previsto / Realizado]="Realizado",ISBLANK(MIP[[#This Row],[S.B Sitrack]])=FALSE,ISBLANK(MIP[[#This Row],[C.B Sitrack]])=FALSE),MIP[Sem],0)</f>
        <v>0</v>
      </c>
    </row>
    <row r="24" spans="1:43" x14ac:dyDescent="0.25">
      <c r="B24" s="44">
        <f>WEEKNUM(MIP[[#This Row],[Data]])</f>
        <v>19</v>
      </c>
      <c r="C24" s="45">
        <v>42868</v>
      </c>
      <c r="D24" s="45"/>
      <c r="E24" s="35" t="s">
        <v>10</v>
      </c>
      <c r="F24" s="35" t="s">
        <v>2</v>
      </c>
      <c r="G24" s="35"/>
      <c r="H24" s="44">
        <v>2</v>
      </c>
      <c r="I24" s="44">
        <v>6</v>
      </c>
      <c r="J24" s="44">
        <v>1</v>
      </c>
      <c r="K24" s="44">
        <v>1</v>
      </c>
      <c r="L24" s="44">
        <v>0</v>
      </c>
      <c r="M24" s="43">
        <v>0.25</v>
      </c>
      <c r="N24" s="43">
        <v>0.28541666666666665</v>
      </c>
      <c r="O24" s="43">
        <v>0.63888888888888895</v>
      </c>
      <c r="P24" s="43">
        <v>0.65833333333333333</v>
      </c>
      <c r="Q24" s="39"/>
      <c r="R24" s="42" t="s">
        <v>472</v>
      </c>
      <c r="S24" s="44">
        <f>MIP[[#This Row],[PT-1]]+MIP[[#This Row],[PT-2]]*2+MIP[[#This Row],[PT-3]]*3+MIP[[#This Row],[PT &gt; 3 Pontos]]</f>
        <v>11</v>
      </c>
      <c r="T2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5.4861111111111027E-2</v>
      </c>
      <c r="U24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5.4861111111111027E-2</v>
      </c>
      <c r="V24" s="41">
        <f>MIP[[#This Row],[Eficiência]]</f>
        <v>0.82376839837319604</v>
      </c>
      <c r="W2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4" s="39">
        <f>IF(MIP[[#This Row],[P.S]]-MIP[[#This Row],[P.E]]&lt;0,1+MIP[[#This Row],[P.S]]-MIP[[#This Row],[P.E]]-1/24,MIP[[#This Row],[P.S]]-MIP[[#This Row],[P.E]]-1/24)</f>
        <v>0.36666666666666664</v>
      </c>
      <c r="Y24" s="39">
        <f>MIP[[#This Row],[PT-1]]*$S$3+MIP[[#This Row],[PT-2]]*$T$3+MIP[[#This Row],[PT-3]]*$U$3+MIP[[#This Row],[PT &gt; 3 Pontos]]*$V$3</f>
        <v>0.25685556310386465</v>
      </c>
      <c r="Z24" s="39">
        <f>MIP[[#This Row],[HH disponível]]-MIP[[#This Row],[HH AC TOT]]</f>
        <v>0.31180555555555561</v>
      </c>
      <c r="AA24" s="38">
        <f>MIP[[#This Row],[HH Produtivo
Total]]/MIP[[#This Row],[HH Trabalhado]]</f>
        <v>0.82376839837319604</v>
      </c>
      <c r="AB24" s="38">
        <f>MIP[[#This Row],[HH Produtivo
Total]]/MIP[[#This Row],[HH disponível]]</f>
        <v>0.70051517210144909</v>
      </c>
      <c r="AC24" s="38">
        <f>MIP[[#This Row],[HH Trabalhado]]/MIP[[#This Row],[HH disponível]]</f>
        <v>0.85037878787878807</v>
      </c>
      <c r="AD24" s="37" t="str">
        <f>LEFT(MIP[[#This Row],[Equipe]], SEARCH("/",MIP[[#This Row],[Equipe]],1)-1)</f>
        <v xml:space="preserve">JOILSON </v>
      </c>
      <c r="AE24" s="37" t="str">
        <f>RIGHT(MIP[[#This Row],[Equipe]], LEN(MIP[[#This Row],[Equipe]])-SEARCH("/",MIP[[#This Row],[Equipe]],1))</f>
        <v xml:space="preserve"> VALDEI</v>
      </c>
      <c r="AF24" s="44">
        <f>COUNTIFS('[1]Tempo parado'!H:H,"&gt;="&amp;MIP[[#This Row],[S.B Sitrack]],'[1]Tempo parado'!I:I,"&lt;="&amp;MIP[[#This Row],[C.B Sitrack]],'[1]Tempo parado'!B:B,MIP[[#This Row],[Placa]])</f>
        <v>0</v>
      </c>
      <c r="AG24" s="36"/>
      <c r="AH24" s="35"/>
      <c r="AI24" s="34"/>
      <c r="AJ24" s="34"/>
      <c r="AK2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4" s="32">
        <f>SUMIFS('[1]Tempo parado'!J:J,'[1]Tempo parado'!H:H,"&gt;="&amp;MIP[[#This Row],[S.B Sitrack]],'[1]Tempo parado'!I:I,"&lt;="&amp;MIP[[#This Row],[C.B Sitrack]],'[1]Tempo parado'!B:B,MIP[[#This Row],[Placa]])</f>
        <v>0</v>
      </c>
      <c r="AN24" s="32" t="str">
        <f>IFERROR(MIP[[#This Row],[Tempo parado]]/(MIP[[#This Row],[C.B Sitrack]]-MIP[[#This Row],[S.B Sitrack]]),"")</f>
        <v/>
      </c>
      <c r="AO24" s="30"/>
      <c r="AP24" s="44">
        <f>IF(AND(MIP[Exc]=0,MIP[Previsto / Realizado]="Realizado"),MIP[Sem],0)</f>
        <v>19</v>
      </c>
      <c r="AQ24" s="29">
        <f>IF(AND(MIP[Exc]=0,MIP[Previsto / Realizado]="Realizado",ISBLANK(MIP[[#This Row],[S.B Sitrack]])=FALSE,ISBLANK(MIP[[#This Row],[C.B Sitrack]])=FALSE),MIP[Sem],0)</f>
        <v>0</v>
      </c>
    </row>
    <row r="25" spans="1:43" x14ac:dyDescent="0.25">
      <c r="B25" s="44">
        <f>WEEKNUM(MIP[[#This Row],[Data]])</f>
        <v>20</v>
      </c>
      <c r="C25" s="45">
        <v>42869</v>
      </c>
      <c r="D25" s="45"/>
      <c r="E25" s="35" t="s">
        <v>10</v>
      </c>
      <c r="F25" s="35" t="s">
        <v>5</v>
      </c>
      <c r="G25" s="35"/>
      <c r="H25" s="44">
        <v>2</v>
      </c>
      <c r="I25" s="44">
        <v>4</v>
      </c>
      <c r="J25" s="44">
        <v>4</v>
      </c>
      <c r="K25" s="44">
        <v>1</v>
      </c>
      <c r="L25" s="44">
        <v>0</v>
      </c>
      <c r="M25" s="43">
        <v>0.25</v>
      </c>
      <c r="N25" s="43">
        <v>0.27083333333333331</v>
      </c>
      <c r="O25" s="43">
        <v>0.63750000000000007</v>
      </c>
      <c r="P25" s="43">
        <v>0.65833333333333333</v>
      </c>
      <c r="Q25" s="39"/>
      <c r="R25" s="42"/>
      <c r="S25" s="44">
        <f>MIP[[#This Row],[PT-1]]+MIP[[#This Row],[PT-2]]*2+MIP[[#This Row],[PT-3]]*3+MIP[[#This Row],[PT &gt; 3 Pontos]]</f>
        <v>15</v>
      </c>
      <c r="T2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25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25" s="41">
        <f>MIP[[#This Row],[Eficiência]]</f>
        <v>1.0416312476774432</v>
      </c>
      <c r="W2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5" s="39">
        <f>IF(MIP[[#This Row],[P.S]]-MIP[[#This Row],[P.E]]&lt;0,1+MIP[[#This Row],[P.S]]-MIP[[#This Row],[P.E]]-1/24,MIP[[#This Row],[P.S]]-MIP[[#This Row],[P.E]]-1/24)</f>
        <v>0.36666666666666664</v>
      </c>
      <c r="Y25" s="39">
        <f>MIP[[#This Row],[PT-1]]*$S$3+MIP[[#This Row],[PT-2]]*$T$3+MIP[[#This Row],[PT-3]]*$U$3+MIP[[#This Row],[PT &gt; 3 Pontos]]*$V$3</f>
        <v>0.33853015549516907</v>
      </c>
      <c r="Z25" s="39">
        <f>MIP[[#This Row],[HH disponível]]-MIP[[#This Row],[HH AC TOT]]</f>
        <v>0.32500000000000007</v>
      </c>
      <c r="AA25" s="38">
        <f>MIP[[#This Row],[HH Produtivo
Total]]/MIP[[#This Row],[HH Trabalhado]]</f>
        <v>1.0416312476774432</v>
      </c>
      <c r="AB25" s="38">
        <f>MIP[[#This Row],[HH Produtivo
Total]]/MIP[[#This Row],[HH disponível]]</f>
        <v>0.92326406044137022</v>
      </c>
      <c r="AC25" s="38">
        <f>MIP[[#This Row],[HH Trabalhado]]/MIP[[#This Row],[HH disponível]]</f>
        <v>0.88636363636363658</v>
      </c>
      <c r="AD25" s="37" t="str">
        <f>LEFT(MIP[[#This Row],[Equipe]], SEARCH("/",MIP[[#This Row],[Equipe]],1)-1)</f>
        <v xml:space="preserve">JOILSON </v>
      </c>
      <c r="AE25" s="37" t="str">
        <f>RIGHT(MIP[[#This Row],[Equipe]], LEN(MIP[[#This Row],[Equipe]])-SEARCH("/",MIP[[#This Row],[Equipe]],1))</f>
        <v xml:space="preserve"> VALDEI</v>
      </c>
      <c r="AF25" s="44">
        <f>COUNTIFS('[1]Tempo parado'!H:H,"&gt;="&amp;MIP[[#This Row],[S.B Sitrack]],'[1]Tempo parado'!I:I,"&lt;="&amp;MIP[[#This Row],[C.B Sitrack]],'[1]Tempo parado'!B:B,MIP[[#This Row],[Placa]])</f>
        <v>0</v>
      </c>
      <c r="AG25" s="36"/>
      <c r="AH25" s="35"/>
      <c r="AI25" s="34"/>
      <c r="AJ25" s="34"/>
      <c r="AK2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5" s="32">
        <f>SUMIFS('[1]Tempo parado'!J:J,'[1]Tempo parado'!H:H,"&gt;="&amp;MIP[[#This Row],[S.B Sitrack]],'[1]Tempo parado'!I:I,"&lt;="&amp;MIP[[#This Row],[C.B Sitrack]],'[1]Tempo parado'!B:B,MIP[[#This Row],[Placa]])</f>
        <v>0</v>
      </c>
      <c r="AN25" s="32" t="str">
        <f>IFERROR(MIP[[#This Row],[Tempo parado]]/(MIP[[#This Row],[C.B Sitrack]]-MIP[[#This Row],[S.B Sitrack]]),"")</f>
        <v/>
      </c>
      <c r="AO25" s="30"/>
      <c r="AP25" s="44">
        <f>IF(AND(MIP[Exc]=0,MIP[Previsto / Realizado]="Realizado"),MIP[Sem],0)</f>
        <v>0</v>
      </c>
      <c r="AQ25" s="29">
        <f>IF(AND(MIP[Exc]=0,MIP[Previsto / Realizado]="Realizado",ISBLANK(MIP[[#This Row],[S.B Sitrack]])=FALSE,ISBLANK(MIP[[#This Row],[C.B Sitrack]])=FALSE),MIP[Sem],0)</f>
        <v>0</v>
      </c>
    </row>
    <row r="26" spans="1:43" x14ac:dyDescent="0.25">
      <c r="B26" s="44">
        <f>WEEKNUM(MIP[[#This Row],[Data]])</f>
        <v>20</v>
      </c>
      <c r="C26" s="45">
        <v>42869</v>
      </c>
      <c r="D26" s="45"/>
      <c r="E26" s="35" t="s">
        <v>10</v>
      </c>
      <c r="F26" s="35" t="s">
        <v>2</v>
      </c>
      <c r="G26" s="35"/>
      <c r="H26" s="44">
        <v>2</v>
      </c>
      <c r="I26" s="44">
        <v>2</v>
      </c>
      <c r="J26" s="44">
        <v>4</v>
      </c>
      <c r="K26" s="44">
        <v>0</v>
      </c>
      <c r="L26" s="44">
        <v>0</v>
      </c>
      <c r="M26" s="43">
        <v>0.25</v>
      </c>
      <c r="N26" s="43">
        <v>0.28472222222222221</v>
      </c>
      <c r="O26" s="43">
        <v>0.64166666666666672</v>
      </c>
      <c r="P26" s="43">
        <v>0.65833333333333333</v>
      </c>
      <c r="Q26" s="39"/>
      <c r="R26" s="42" t="s">
        <v>472</v>
      </c>
      <c r="S26" s="44">
        <f>MIP[[#This Row],[PT-1]]+MIP[[#This Row],[PT-2]]*2+MIP[[#This Row],[PT-3]]*3+MIP[[#This Row],[PT &gt; 3 Pontos]]</f>
        <v>10</v>
      </c>
      <c r="T2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5.1388888888888817E-2</v>
      </c>
      <c r="U26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5.1388888888888817E-2</v>
      </c>
      <c r="V26" s="41">
        <f>MIP[[#This Row],[Eficiência]]</f>
        <v>0.71583469003383748</v>
      </c>
      <c r="W2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6" s="39">
        <f>IF(MIP[[#This Row],[P.S]]-MIP[[#This Row],[P.E]]&lt;0,1+MIP[[#This Row],[P.S]]-MIP[[#This Row],[P.E]]-1/24,MIP[[#This Row],[P.S]]-MIP[[#This Row],[P.E]]-1/24)</f>
        <v>0.36666666666666664</v>
      </c>
      <c r="Y26" s="39">
        <f>MIP[[#This Row],[PT-1]]*$S$3+MIP[[#This Row],[PT-2]]*$T$3+MIP[[#This Row],[PT-3]]*$U$3+MIP[[#This Row],[PT &gt; 3 Pontos]]*$V$3</f>
        <v>0.2256867703301127</v>
      </c>
      <c r="Z26" s="39">
        <f>MIP[[#This Row],[HH disponível]]-MIP[[#This Row],[HH AC TOT]]</f>
        <v>0.31527777777777782</v>
      </c>
      <c r="AA26" s="38">
        <f>MIP[[#This Row],[HH Produtivo
Total]]/MIP[[#This Row],[HH Trabalhado]]</f>
        <v>0.71583469003383748</v>
      </c>
      <c r="AB26" s="38">
        <f>MIP[[#This Row],[HH Produtivo
Total]]/MIP[[#This Row],[HH disponível]]</f>
        <v>0.61550937362758007</v>
      </c>
      <c r="AC26" s="38">
        <f>MIP[[#This Row],[HH Trabalhado]]/MIP[[#This Row],[HH disponível]]</f>
        <v>0.85984848484848508</v>
      </c>
      <c r="AD26" s="37" t="str">
        <f>LEFT(MIP[[#This Row],[Equipe]], SEARCH("/",MIP[[#This Row],[Equipe]],1)-1)</f>
        <v xml:space="preserve">JOILSON </v>
      </c>
      <c r="AE26" s="37" t="str">
        <f>RIGHT(MIP[[#This Row],[Equipe]], LEN(MIP[[#This Row],[Equipe]])-SEARCH("/",MIP[[#This Row],[Equipe]],1))</f>
        <v xml:space="preserve"> VALDEI</v>
      </c>
      <c r="AF26" s="44">
        <f>COUNTIFS('[1]Tempo parado'!H:H,"&gt;="&amp;MIP[[#This Row],[S.B Sitrack]],'[1]Tempo parado'!I:I,"&lt;="&amp;MIP[[#This Row],[C.B Sitrack]],'[1]Tempo parado'!B:B,MIP[[#This Row],[Placa]])</f>
        <v>0</v>
      </c>
      <c r="AG26" s="36"/>
      <c r="AH26" s="35"/>
      <c r="AI26" s="34"/>
      <c r="AJ26" s="34"/>
      <c r="AK2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6" s="32">
        <f>SUMIFS('[1]Tempo parado'!J:J,'[1]Tempo parado'!H:H,"&gt;="&amp;MIP[[#This Row],[S.B Sitrack]],'[1]Tempo parado'!I:I,"&lt;="&amp;MIP[[#This Row],[C.B Sitrack]],'[1]Tempo parado'!B:B,MIP[[#This Row],[Placa]])</f>
        <v>0</v>
      </c>
      <c r="AN26" s="32" t="str">
        <f>IFERROR(MIP[[#This Row],[Tempo parado]]/(MIP[[#This Row],[C.B Sitrack]]-MIP[[#This Row],[S.B Sitrack]]),"")</f>
        <v/>
      </c>
      <c r="AO26" s="30"/>
      <c r="AP26" s="44">
        <f>IF(AND(MIP[Exc]=0,MIP[Previsto / Realizado]="Realizado"),MIP[Sem],0)</f>
        <v>20</v>
      </c>
      <c r="AQ26" s="29">
        <f>IF(AND(MIP[Exc]=0,MIP[Previsto / Realizado]="Realizado",ISBLANK(MIP[[#This Row],[S.B Sitrack]])=FALSE,ISBLANK(MIP[[#This Row],[C.B Sitrack]])=FALSE),MIP[Sem],0)</f>
        <v>0</v>
      </c>
    </row>
    <row r="27" spans="1:43" x14ac:dyDescent="0.25">
      <c r="B27" s="44">
        <f>WEEKNUM(MIP[[#This Row],[Data]])</f>
        <v>20</v>
      </c>
      <c r="C27" s="45">
        <v>42869</v>
      </c>
      <c r="D27" s="45"/>
      <c r="E27" s="35" t="s">
        <v>471</v>
      </c>
      <c r="F27" s="35" t="s">
        <v>5</v>
      </c>
      <c r="G27" s="35"/>
      <c r="H27" s="44">
        <v>2</v>
      </c>
      <c r="I27" s="44">
        <v>4</v>
      </c>
      <c r="J27" s="44">
        <v>4</v>
      </c>
      <c r="K27" s="44">
        <v>1</v>
      </c>
      <c r="L27" s="44">
        <v>0</v>
      </c>
      <c r="M27" s="43">
        <v>0.625</v>
      </c>
      <c r="N27" s="43">
        <v>0.64583333333333337</v>
      </c>
      <c r="O27" s="43">
        <f>1+18/24/60</f>
        <v>1.0125</v>
      </c>
      <c r="P27" s="43">
        <f>1+48/24/60</f>
        <v>1.0333333333333334</v>
      </c>
      <c r="Q27" s="39"/>
      <c r="R27" s="42"/>
      <c r="S27" s="44">
        <f>MIP[[#This Row],[PT-1]]+MIP[[#This Row],[PT-2]]*2+MIP[[#This Row],[PT-3]]*3+MIP[[#This Row],[PT &gt; 3 Pontos]]</f>
        <v>15</v>
      </c>
      <c r="T2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27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27" s="41">
        <f>MIP[[#This Row],[Eficiência]]</f>
        <v>1.0416312476774436</v>
      </c>
      <c r="W2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7" s="39">
        <f>IF(MIP[[#This Row],[P.S]]-MIP[[#This Row],[P.E]]&lt;0,1+MIP[[#This Row],[P.S]]-MIP[[#This Row],[P.E]]-1/24,MIP[[#This Row],[P.S]]-MIP[[#This Row],[P.E]]-1/24)</f>
        <v>0.36666666666666675</v>
      </c>
      <c r="Y27" s="39">
        <f>MIP[[#This Row],[PT-1]]*$S$3+MIP[[#This Row],[PT-2]]*$T$3+MIP[[#This Row],[PT-3]]*$U$3+MIP[[#This Row],[PT &gt; 3 Pontos]]*$V$3</f>
        <v>0.33853015549516907</v>
      </c>
      <c r="Z27" s="39">
        <f>MIP[[#This Row],[HH disponível]]-MIP[[#This Row],[HH AC TOT]]</f>
        <v>0.3249999999999999</v>
      </c>
      <c r="AA27" s="38">
        <f>MIP[[#This Row],[HH Produtivo
Total]]/MIP[[#This Row],[HH Trabalhado]]</f>
        <v>1.0416312476774436</v>
      </c>
      <c r="AB27" s="38">
        <f>MIP[[#This Row],[HH Produtivo
Total]]/MIP[[#This Row],[HH disponível]]</f>
        <v>0.92326406044136999</v>
      </c>
      <c r="AC27" s="38">
        <f>MIP[[#This Row],[HH Trabalhado]]/MIP[[#This Row],[HH disponível]]</f>
        <v>0.88636363636363591</v>
      </c>
      <c r="AD27" s="37" t="str">
        <f>LEFT(MIP[[#This Row],[Equipe]], SEARCH("/",MIP[[#This Row],[Equipe]],1)-1)</f>
        <v xml:space="preserve">ANDERSON </v>
      </c>
      <c r="AE27" s="37" t="str">
        <f>RIGHT(MIP[[#This Row],[Equipe]], LEN(MIP[[#This Row],[Equipe]])-SEARCH("/",MIP[[#This Row],[Equipe]],1))</f>
        <v xml:space="preserve"> CLAUDINEY</v>
      </c>
      <c r="AF27" s="44">
        <f>COUNTIFS('[1]Tempo parado'!H:H,"&gt;="&amp;MIP[[#This Row],[S.B Sitrack]],'[1]Tempo parado'!I:I,"&lt;="&amp;MIP[[#This Row],[C.B Sitrack]],'[1]Tempo parado'!B:B,MIP[[#This Row],[Placa]])</f>
        <v>0</v>
      </c>
      <c r="AG27" s="36"/>
      <c r="AH27" s="35"/>
      <c r="AI27" s="34"/>
      <c r="AJ27" s="34"/>
      <c r="AK2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7" s="32">
        <f>SUMIFS('[1]Tempo parado'!J:J,'[1]Tempo parado'!H:H,"&gt;="&amp;MIP[[#This Row],[S.B Sitrack]],'[1]Tempo parado'!I:I,"&lt;="&amp;MIP[[#This Row],[C.B Sitrack]],'[1]Tempo parado'!B:B,MIP[[#This Row],[Placa]])</f>
        <v>0</v>
      </c>
      <c r="AN27" s="32" t="str">
        <f>IFERROR(MIP[[#This Row],[Tempo parado]]/(MIP[[#This Row],[C.B Sitrack]]-MIP[[#This Row],[S.B Sitrack]]),"")</f>
        <v/>
      </c>
      <c r="AO27" s="30"/>
      <c r="AP27" s="44">
        <f>IF(AND(MIP[Exc]=0,MIP[Previsto / Realizado]="Realizado"),MIP[Sem],0)</f>
        <v>0</v>
      </c>
      <c r="AQ27" s="29">
        <f>IF(AND(MIP[Exc]=0,MIP[Previsto / Realizado]="Realizado",ISBLANK(MIP[[#This Row],[S.B Sitrack]])=FALSE,ISBLANK(MIP[[#This Row],[C.B Sitrack]])=FALSE),MIP[Sem],0)</f>
        <v>0</v>
      </c>
    </row>
    <row r="28" spans="1:43" x14ac:dyDescent="0.25">
      <c r="B28" s="44">
        <f>WEEKNUM(MIP[[#This Row],[Data]])</f>
        <v>20</v>
      </c>
      <c r="C28" s="45">
        <v>42869</v>
      </c>
      <c r="D28" s="45"/>
      <c r="E28" s="35" t="s">
        <v>471</v>
      </c>
      <c r="F28" s="35" t="s">
        <v>2</v>
      </c>
      <c r="G28" s="35"/>
      <c r="H28" s="44">
        <v>2</v>
      </c>
      <c r="I28" s="44">
        <v>1</v>
      </c>
      <c r="J28" s="44">
        <v>4</v>
      </c>
      <c r="K28" s="44">
        <v>0</v>
      </c>
      <c r="L28" s="44">
        <v>0</v>
      </c>
      <c r="M28" s="43">
        <v>0.64583333333333337</v>
      </c>
      <c r="N28" s="43">
        <v>0.66666666666666663</v>
      </c>
      <c r="O28" s="43">
        <f>1+6/24/60</f>
        <v>1.0041666666666667</v>
      </c>
      <c r="P28" s="43">
        <f>1+48/24/60</f>
        <v>1.0333333333333334</v>
      </c>
      <c r="Q28" s="39"/>
      <c r="R28" s="42" t="s">
        <v>470</v>
      </c>
      <c r="S28" s="44">
        <f>MIP[[#This Row],[PT-1]]+MIP[[#This Row],[PT-2]]*2+MIP[[#This Row],[PT-3]]*3+MIP[[#This Row],[PT &gt; 3 Pontos]]</f>
        <v>9</v>
      </c>
      <c r="T2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5.0000000000000044E-2</v>
      </c>
      <c r="U28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5.0000000000000044E-2</v>
      </c>
      <c r="V28" s="41">
        <f>MIP[[#This Row],[Eficiência]]</f>
        <v>0.6782904249166497</v>
      </c>
      <c r="W2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8" s="39">
        <f>IF(MIP[[#This Row],[P.S]]-MIP[[#This Row],[P.E]]&lt;0,1+MIP[[#This Row],[P.S]]-MIP[[#This Row],[P.E]]-1/24,MIP[[#This Row],[P.S]]-MIP[[#This Row],[P.E]]-1/24)</f>
        <v>0.34583333333333338</v>
      </c>
      <c r="Y28" s="39">
        <f>MIP[[#This Row],[PT-1]]*$S$3+MIP[[#This Row],[PT-2]]*$T$3+MIP[[#This Row],[PT-3]]*$U$3+MIP[[#This Row],[PT &gt; 3 Pontos]]*$V$3</f>
        <v>0.20066091737117553</v>
      </c>
      <c r="Z28" s="39">
        <f>MIP[[#This Row],[HH disponível]]-MIP[[#This Row],[HH AC TOT]]</f>
        <v>0.29583333333333334</v>
      </c>
      <c r="AA28" s="38">
        <f>MIP[[#This Row],[HH Produtivo
Total]]/MIP[[#This Row],[HH Trabalhado]]</f>
        <v>0.6782904249166497</v>
      </c>
      <c r="AB28" s="38">
        <f>MIP[[#This Row],[HH Produtivo
Total]]/MIP[[#This Row],[HH disponível]]</f>
        <v>0.58022433938653162</v>
      </c>
      <c r="AC28" s="38">
        <f>MIP[[#This Row],[HH Trabalhado]]/MIP[[#This Row],[HH disponível]]</f>
        <v>0.85542168674698782</v>
      </c>
      <c r="AD28" s="37" t="str">
        <f>LEFT(MIP[[#This Row],[Equipe]], SEARCH("/",MIP[[#This Row],[Equipe]],1)-1)</f>
        <v xml:space="preserve">ANDERSON </v>
      </c>
      <c r="AE28" s="37" t="str">
        <f>RIGHT(MIP[[#This Row],[Equipe]], LEN(MIP[[#This Row],[Equipe]])-SEARCH("/",MIP[[#This Row],[Equipe]],1))</f>
        <v xml:space="preserve"> CLAUDINEY</v>
      </c>
      <c r="AF28" s="44">
        <f>COUNTIFS('[1]Tempo parado'!H:H,"&gt;="&amp;MIP[[#This Row],[S.B Sitrack]],'[1]Tempo parado'!I:I,"&lt;="&amp;MIP[[#This Row],[C.B Sitrack]],'[1]Tempo parado'!B:B,MIP[[#This Row],[Placa]])</f>
        <v>0</v>
      </c>
      <c r="AG28" s="36"/>
      <c r="AH28" s="35"/>
      <c r="AI28" s="34"/>
      <c r="AJ28" s="34"/>
      <c r="AK2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8" s="32">
        <f>SUMIFS('[1]Tempo parado'!J:J,'[1]Tempo parado'!H:H,"&gt;="&amp;MIP[[#This Row],[S.B Sitrack]],'[1]Tempo parado'!I:I,"&lt;="&amp;MIP[[#This Row],[C.B Sitrack]],'[1]Tempo parado'!B:B,MIP[[#This Row],[Placa]])</f>
        <v>0</v>
      </c>
      <c r="AN28" s="32" t="str">
        <f>IFERROR(MIP[[#This Row],[Tempo parado]]/(MIP[[#This Row],[C.B Sitrack]]-MIP[[#This Row],[S.B Sitrack]]),"")</f>
        <v/>
      </c>
      <c r="AO28" s="30"/>
      <c r="AP28" s="44">
        <f>IF(AND(MIP[Exc]=0,MIP[Previsto / Realizado]="Realizado"),MIP[Sem],0)</f>
        <v>20</v>
      </c>
      <c r="AQ28" s="29">
        <f>IF(AND(MIP[Exc]=0,MIP[Previsto / Realizado]="Realizado",ISBLANK(MIP[[#This Row],[S.B Sitrack]])=FALSE,ISBLANK(MIP[[#This Row],[C.B Sitrack]])=FALSE),MIP[Sem],0)</f>
        <v>0</v>
      </c>
    </row>
    <row r="29" spans="1:43" x14ac:dyDescent="0.25">
      <c r="B29" s="44">
        <f>WEEKNUM(MIP[[#This Row],[Data]])</f>
        <v>20</v>
      </c>
      <c r="C29" s="45">
        <v>42871</v>
      </c>
      <c r="D29" s="45"/>
      <c r="E29" s="35" t="s">
        <v>460</v>
      </c>
      <c r="F29" s="35" t="s">
        <v>5</v>
      </c>
      <c r="G29" s="35"/>
      <c r="H29" s="44">
        <v>2</v>
      </c>
      <c r="I29" s="44">
        <v>4</v>
      </c>
      <c r="J29" s="44">
        <v>1</v>
      </c>
      <c r="K29" s="44">
        <v>0</v>
      </c>
      <c r="L29" s="44">
        <v>15</v>
      </c>
      <c r="M29" s="43">
        <v>0.25</v>
      </c>
      <c r="N29" s="43">
        <v>0.27083333333333331</v>
      </c>
      <c r="O29" s="43">
        <v>0.63750000000000007</v>
      </c>
      <c r="P29" s="43">
        <v>0.65833333333333333</v>
      </c>
      <c r="Q29" s="39"/>
      <c r="R29" s="42"/>
      <c r="S29" s="44">
        <f>MIP[[#This Row],[PT-1]]+MIP[[#This Row],[PT-2]]*2+MIP[[#This Row],[PT-3]]*3+MIP[[#This Row],[PT &gt; 3 Pontos]]</f>
        <v>21</v>
      </c>
      <c r="T2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29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29" s="41">
        <f>MIP[[#This Row],[Eficiência]]</f>
        <v>1.3776379727693133</v>
      </c>
      <c r="W2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9" s="39">
        <f>IF(MIP[[#This Row],[P.S]]-MIP[[#This Row],[P.E]]&lt;0,1+MIP[[#This Row],[P.S]]-MIP[[#This Row],[P.E]]-1/24,MIP[[#This Row],[P.S]]-MIP[[#This Row],[P.E]]-1/24)</f>
        <v>0.36666666666666664</v>
      </c>
      <c r="Y29" s="39">
        <f>MIP[[#This Row],[PT-1]]*$S$3+MIP[[#This Row],[PT-2]]*$T$3+MIP[[#This Row],[PT-3]]*$U$3+MIP[[#This Row],[PT &gt; 3 Pontos]]*$V$3</f>
        <v>0.44773234115002691</v>
      </c>
      <c r="Z29" s="39">
        <f>MIP[[#This Row],[HH disponível]]-MIP[[#This Row],[HH AC TOT]]</f>
        <v>0.32500000000000007</v>
      </c>
      <c r="AA29" s="38">
        <f>MIP[[#This Row],[HH Produtivo
Total]]/MIP[[#This Row],[HH Trabalhado]]</f>
        <v>1.3776379727693133</v>
      </c>
      <c r="AB29" s="38">
        <f>MIP[[#This Row],[HH Produtivo
Total]]/MIP[[#This Row],[HH disponível]]</f>
        <v>1.2210882031364372</v>
      </c>
      <c r="AC29" s="38">
        <f>MIP[[#This Row],[HH Trabalhado]]/MIP[[#This Row],[HH disponível]]</f>
        <v>0.88636363636363658</v>
      </c>
      <c r="AD29" s="37" t="str">
        <f>LEFT(MIP[[#This Row],[Equipe]], SEARCH("/",MIP[[#This Row],[Equipe]],1)-1)</f>
        <v xml:space="preserve">Joilson </v>
      </c>
      <c r="AE29" s="37" t="str">
        <f>RIGHT(MIP[[#This Row],[Equipe]], LEN(MIP[[#This Row],[Equipe]])-SEARCH("/",MIP[[#This Row],[Equipe]],1))</f>
        <v xml:space="preserve"> Diego</v>
      </c>
      <c r="AF29" s="44">
        <f>COUNTIFS('[1]Tempo parado'!H:H,"&gt;="&amp;MIP[[#This Row],[S.B Sitrack]],'[1]Tempo parado'!I:I,"&lt;="&amp;MIP[[#This Row],[C.B Sitrack]],'[1]Tempo parado'!B:B,MIP[[#This Row],[Placa]])</f>
        <v>0</v>
      </c>
      <c r="AG29" s="36"/>
      <c r="AH29" s="35"/>
      <c r="AI29" s="34"/>
      <c r="AJ29" s="34"/>
      <c r="AK2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9" s="32">
        <f>SUMIFS('[1]Tempo parado'!J:J,'[1]Tempo parado'!H:H,"&gt;="&amp;MIP[[#This Row],[S.B Sitrack]],'[1]Tempo parado'!I:I,"&lt;="&amp;MIP[[#This Row],[C.B Sitrack]],'[1]Tempo parado'!B:B,MIP[[#This Row],[Placa]])</f>
        <v>0</v>
      </c>
      <c r="AN29" s="32" t="str">
        <f>IFERROR(MIP[[#This Row],[Tempo parado]]/(MIP[[#This Row],[C.B Sitrack]]-MIP[[#This Row],[S.B Sitrack]]),"")</f>
        <v/>
      </c>
      <c r="AO29" s="30"/>
      <c r="AP29" s="44">
        <f>IF(AND(MIP[Exc]=0,MIP[Previsto / Realizado]="Realizado"),MIP[Sem],0)</f>
        <v>0</v>
      </c>
      <c r="AQ29" s="29">
        <f>IF(AND(MIP[Exc]=0,MIP[Previsto / Realizado]="Realizado",ISBLANK(MIP[[#This Row],[S.B Sitrack]])=FALSE,ISBLANK(MIP[[#This Row],[C.B Sitrack]])=FALSE),MIP[Sem],0)</f>
        <v>0</v>
      </c>
    </row>
    <row r="30" spans="1:43" x14ac:dyDescent="0.25">
      <c r="B30" s="44">
        <f>WEEKNUM(MIP[[#This Row],[Data]])</f>
        <v>20</v>
      </c>
      <c r="C30" s="45">
        <v>42871</v>
      </c>
      <c r="D30" s="45"/>
      <c r="E30" s="35" t="s">
        <v>460</v>
      </c>
      <c r="F30" s="35" t="s">
        <v>2</v>
      </c>
      <c r="G30" s="35"/>
      <c r="H30" s="44">
        <v>2</v>
      </c>
      <c r="I30" s="44">
        <v>4</v>
      </c>
      <c r="J30" s="44">
        <v>1</v>
      </c>
      <c r="K30" s="44">
        <v>0</v>
      </c>
      <c r="L30" s="44">
        <v>7</v>
      </c>
      <c r="M30" s="43">
        <v>0.24861111111111112</v>
      </c>
      <c r="N30" s="43">
        <v>0.27083333333333331</v>
      </c>
      <c r="O30" s="43">
        <v>0.62847222222222221</v>
      </c>
      <c r="P30" s="82">
        <v>0.66249999999999998</v>
      </c>
      <c r="Q30" s="39"/>
      <c r="R30" s="42" t="s">
        <v>469</v>
      </c>
      <c r="S30" s="44">
        <f>MIP[[#This Row],[PT-1]]+MIP[[#This Row],[PT-2]]*2+MIP[[#This Row],[PT-3]]*3+MIP[[#This Row],[PT &gt; 3 Pontos]]</f>
        <v>13</v>
      </c>
      <c r="T3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5.6249999999999967E-2</v>
      </c>
      <c r="U30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5.6249999999999967E-2</v>
      </c>
      <c r="V30" s="41">
        <f>MIP[[#This Row],[Eficiência]]</f>
        <v>0.90434612287873173</v>
      </c>
      <c r="W3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0" s="39">
        <f>IF(MIP[[#This Row],[P.S]]-MIP[[#This Row],[P.E]]&lt;0,1+MIP[[#This Row],[P.S]]-MIP[[#This Row],[P.E]]-1/24,MIP[[#This Row],[P.S]]-MIP[[#This Row],[P.E]]-1/24)</f>
        <v>0.37222222222222218</v>
      </c>
      <c r="Y30" s="39">
        <f>MIP[[#This Row],[PT-1]]*$S$3+MIP[[#This Row],[PT-2]]*$T$3+MIP[[#This Row],[PT-3]]*$U$3+MIP[[#This Row],[PT &gt; 3 Pontos]]*$V$3</f>
        <v>0.2857482541040437</v>
      </c>
      <c r="Z30" s="39">
        <f>MIP[[#This Row],[HH disponível]]-MIP[[#This Row],[HH AC TOT]]</f>
        <v>0.31597222222222221</v>
      </c>
      <c r="AA30" s="38">
        <f>MIP[[#This Row],[HH Produtivo
Total]]/MIP[[#This Row],[HH Trabalhado]]</f>
        <v>0.90434612287873173</v>
      </c>
      <c r="AB30" s="38">
        <f>MIP[[#This Row],[HH Produtivo
Total]]/MIP[[#This Row],[HH disponível]]</f>
        <v>0.76768187669743093</v>
      </c>
      <c r="AC30" s="38">
        <f>MIP[[#This Row],[HH Trabalhado]]/MIP[[#This Row],[HH disponível]]</f>
        <v>0.84888059701492546</v>
      </c>
      <c r="AD30" s="37" t="str">
        <f>LEFT(MIP[[#This Row],[Equipe]], SEARCH("/",MIP[[#This Row],[Equipe]],1)-1)</f>
        <v xml:space="preserve">Joilson </v>
      </c>
      <c r="AE30" s="37" t="str">
        <f>RIGHT(MIP[[#This Row],[Equipe]], LEN(MIP[[#This Row],[Equipe]])-SEARCH("/",MIP[[#This Row],[Equipe]],1))</f>
        <v xml:space="preserve"> Diego</v>
      </c>
      <c r="AF30" s="44">
        <f>COUNTIFS('[1]Tempo parado'!H:H,"&gt;="&amp;MIP[[#This Row],[S.B Sitrack]],'[1]Tempo parado'!I:I,"&lt;="&amp;MIP[[#This Row],[C.B Sitrack]],'[1]Tempo parado'!B:B,MIP[[#This Row],[Placa]])</f>
        <v>0</v>
      </c>
      <c r="AG30" s="36"/>
      <c r="AH30" s="35"/>
      <c r="AI30" s="34"/>
      <c r="AJ30" s="34"/>
      <c r="AK3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0" s="32">
        <f>SUMIFS('[1]Tempo parado'!J:J,'[1]Tempo parado'!H:H,"&gt;="&amp;MIP[[#This Row],[S.B Sitrack]],'[1]Tempo parado'!I:I,"&lt;="&amp;MIP[[#This Row],[C.B Sitrack]],'[1]Tempo parado'!B:B,MIP[[#This Row],[Placa]])</f>
        <v>0</v>
      </c>
      <c r="AN30" s="32" t="str">
        <f>IFERROR(MIP[[#This Row],[Tempo parado]]/(MIP[[#This Row],[C.B Sitrack]]-MIP[[#This Row],[S.B Sitrack]]),"")</f>
        <v/>
      </c>
      <c r="AO30" s="30"/>
      <c r="AP30" s="44">
        <f>IF(AND(MIP[Exc]=0,MIP[Previsto / Realizado]="Realizado"),MIP[Sem],0)</f>
        <v>20</v>
      </c>
      <c r="AQ30" s="29">
        <f>IF(AND(MIP[Exc]=0,MIP[Previsto / Realizado]="Realizado",ISBLANK(MIP[[#This Row],[S.B Sitrack]])=FALSE,ISBLANK(MIP[[#This Row],[C.B Sitrack]])=FALSE),MIP[Sem],0)</f>
        <v>0</v>
      </c>
    </row>
    <row r="31" spans="1:43" x14ac:dyDescent="0.25">
      <c r="B31" s="44">
        <f>WEEKNUM(MIP[[#This Row],[Data]])</f>
        <v>20</v>
      </c>
      <c r="C31" s="45">
        <v>42871</v>
      </c>
      <c r="D31" s="45"/>
      <c r="E31" s="83" t="s">
        <v>463</v>
      </c>
      <c r="F31" s="35" t="s">
        <v>5</v>
      </c>
      <c r="G31" s="83"/>
      <c r="H31" s="44">
        <v>2</v>
      </c>
      <c r="I31" s="44">
        <v>8</v>
      </c>
      <c r="J31" s="44">
        <v>2</v>
      </c>
      <c r="K31" s="44">
        <v>1</v>
      </c>
      <c r="L31" s="44">
        <v>0</v>
      </c>
      <c r="M31" s="43">
        <v>0.625</v>
      </c>
      <c r="N31" s="43">
        <v>0.64583333333333337</v>
      </c>
      <c r="O31" s="43">
        <f>1+18/24/60</f>
        <v>1.0125</v>
      </c>
      <c r="P31" s="43">
        <f>1+48/24/60</f>
        <v>1.0333333333333334</v>
      </c>
      <c r="Q31" s="39"/>
      <c r="R31" s="42"/>
      <c r="S31" s="44">
        <f>MIP[[#This Row],[PT-1]]+MIP[[#This Row],[PT-2]]*2+MIP[[#This Row],[PT-3]]*3+MIP[[#This Row],[PT &gt; 3 Pontos]]</f>
        <v>15</v>
      </c>
      <c r="T3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31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31" s="41">
        <f>MIP[[#This Row],[Eficiência]]</f>
        <v>1.0794339542301499</v>
      </c>
      <c r="W3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1" s="39">
        <f>IF(MIP[[#This Row],[P.S]]-MIP[[#This Row],[P.E]]&lt;0,1+MIP[[#This Row],[P.S]]-MIP[[#This Row],[P.E]]-1/24,MIP[[#This Row],[P.S]]-MIP[[#This Row],[P.E]]-1/24)</f>
        <v>0.36666666666666675</v>
      </c>
      <c r="Y31" s="39">
        <f>MIP[[#This Row],[PT-1]]*$S$3+MIP[[#This Row],[PT-2]]*$T$3+MIP[[#This Row],[PT-3]]*$U$3+MIP[[#This Row],[PT &gt; 3 Pontos]]*$V$3</f>
        <v>0.35081603512479859</v>
      </c>
      <c r="Z31" s="39">
        <f>MIP[[#This Row],[HH disponível]]-MIP[[#This Row],[HH AC TOT]]</f>
        <v>0.3249999999999999</v>
      </c>
      <c r="AA31" s="38">
        <f>MIP[[#This Row],[HH Produtivo
Total]]/MIP[[#This Row],[HH Trabalhado]]</f>
        <v>1.0794339542301499</v>
      </c>
      <c r="AB31" s="38">
        <f>MIP[[#This Row],[HH Produtivo
Total]]/MIP[[#This Row],[HH disponível]]</f>
        <v>0.95677100488581412</v>
      </c>
      <c r="AC31" s="38">
        <f>MIP[[#This Row],[HH Trabalhado]]/MIP[[#This Row],[HH disponível]]</f>
        <v>0.88636363636363591</v>
      </c>
      <c r="AD31" s="37" t="str">
        <f>LEFT(MIP[[#This Row],[Equipe]], SEARCH("/",MIP[[#This Row],[Equipe]],1)-1)</f>
        <v xml:space="preserve">EDILTON </v>
      </c>
      <c r="AE31" s="37" t="str">
        <f>RIGHT(MIP[[#This Row],[Equipe]], LEN(MIP[[#This Row],[Equipe]])-SEARCH("/",MIP[[#This Row],[Equipe]],1))</f>
        <v xml:space="preserve"> CLAUDINEY</v>
      </c>
      <c r="AF31" s="44">
        <f>COUNTIFS('[1]Tempo parado'!H:H,"&gt;="&amp;MIP[[#This Row],[S.B Sitrack]],'[1]Tempo parado'!I:I,"&lt;="&amp;MIP[[#This Row],[C.B Sitrack]],'[1]Tempo parado'!B:B,MIP[[#This Row],[Placa]])</f>
        <v>0</v>
      </c>
      <c r="AG31" s="36"/>
      <c r="AH31" s="35"/>
      <c r="AI31" s="34"/>
      <c r="AJ31" s="34"/>
      <c r="AK3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1" s="32">
        <f>SUMIFS('[1]Tempo parado'!J:J,'[1]Tempo parado'!H:H,"&gt;="&amp;MIP[[#This Row],[S.B Sitrack]],'[1]Tempo parado'!I:I,"&lt;="&amp;MIP[[#This Row],[C.B Sitrack]],'[1]Tempo parado'!B:B,MIP[[#This Row],[Placa]])</f>
        <v>0</v>
      </c>
      <c r="AN31" s="32" t="str">
        <f>IFERROR(MIP[[#This Row],[Tempo parado]]/(MIP[[#This Row],[C.B Sitrack]]-MIP[[#This Row],[S.B Sitrack]]),"")</f>
        <v/>
      </c>
      <c r="AO31" s="30"/>
      <c r="AP31" s="44">
        <f>IF(AND(MIP[Exc]=0,MIP[Previsto / Realizado]="Realizado"),MIP[Sem],0)</f>
        <v>0</v>
      </c>
      <c r="AQ31" s="29">
        <f>IF(AND(MIP[Exc]=0,MIP[Previsto / Realizado]="Realizado",ISBLANK(MIP[[#This Row],[S.B Sitrack]])=FALSE,ISBLANK(MIP[[#This Row],[C.B Sitrack]])=FALSE),MIP[Sem],0)</f>
        <v>0</v>
      </c>
    </row>
    <row r="32" spans="1:43" x14ac:dyDescent="0.25">
      <c r="B32" s="44">
        <f>WEEKNUM(MIP[[#This Row],[Data]])</f>
        <v>20</v>
      </c>
      <c r="C32" s="45">
        <v>42871</v>
      </c>
      <c r="D32" s="45"/>
      <c r="E32" s="83" t="s">
        <v>463</v>
      </c>
      <c r="F32" s="35" t="s">
        <v>2</v>
      </c>
      <c r="G32" s="83"/>
      <c r="H32" s="44">
        <v>2</v>
      </c>
      <c r="I32" s="44">
        <v>5</v>
      </c>
      <c r="J32" s="44">
        <v>1</v>
      </c>
      <c r="K32" s="44">
        <v>0</v>
      </c>
      <c r="L32" s="44">
        <v>5</v>
      </c>
      <c r="M32" s="43">
        <v>0.625</v>
      </c>
      <c r="N32" s="43">
        <v>0.66666666666666663</v>
      </c>
      <c r="O32" s="43">
        <f>1+33/24/60</f>
        <v>1.0229166666666667</v>
      </c>
      <c r="P32" s="43">
        <f>1+48/24/60</f>
        <v>1.0333333333333334</v>
      </c>
      <c r="Q32" s="39"/>
      <c r="R32" s="42" t="s">
        <v>468</v>
      </c>
      <c r="S32" s="44">
        <f>MIP[[#This Row],[PT-1]]+MIP[[#This Row],[PT-2]]*2+MIP[[#This Row],[PT-3]]*3+MIP[[#This Row],[PT &gt; 3 Pontos]]</f>
        <v>12</v>
      </c>
      <c r="T3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5.208333333333337E-2</v>
      </c>
      <c r="U32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5.208333333333337E-2</v>
      </c>
      <c r="V32" s="41">
        <f>MIP[[#This Row],[Eficiência]]</f>
        <v>0.85916212546167403</v>
      </c>
      <c r="W3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2" s="39">
        <f>IF(MIP[[#This Row],[P.S]]-MIP[[#This Row],[P.E]]&lt;0,1+MIP[[#This Row],[P.S]]-MIP[[#This Row],[P.E]]-1/24,MIP[[#This Row],[P.S]]-MIP[[#This Row],[P.E]]-1/24)</f>
        <v>0.36666666666666675</v>
      </c>
      <c r="Y32" s="39">
        <f>MIP[[#This Row],[PT-1]]*$S$3+MIP[[#This Row],[PT-2]]*$T$3+MIP[[#This Row],[PT-3]]*$U$3+MIP[[#This Row],[PT &gt; 3 Pontos]]*$V$3</f>
        <v>0.270278085301485</v>
      </c>
      <c r="Z32" s="39">
        <f>MIP[[#This Row],[HH disponível]]-MIP[[#This Row],[HH AC TOT]]</f>
        <v>0.31458333333333338</v>
      </c>
      <c r="AA32" s="38">
        <f>MIP[[#This Row],[HH Produtivo
Total]]/MIP[[#This Row],[HH Trabalhado]]</f>
        <v>0.85916212546167403</v>
      </c>
      <c r="AB32" s="38">
        <f>MIP[[#This Row],[HH Produtivo
Total]]/MIP[[#This Row],[HH disponível]]</f>
        <v>0.7371220508222317</v>
      </c>
      <c r="AC32" s="38">
        <f>MIP[[#This Row],[HH Trabalhado]]/MIP[[#This Row],[HH disponível]]</f>
        <v>0.85795454545454541</v>
      </c>
      <c r="AD32" s="37" t="str">
        <f>LEFT(MIP[[#This Row],[Equipe]], SEARCH("/",MIP[[#This Row],[Equipe]],1)-1)</f>
        <v xml:space="preserve">EDILTON </v>
      </c>
      <c r="AE32" s="37" t="str">
        <f>RIGHT(MIP[[#This Row],[Equipe]], LEN(MIP[[#This Row],[Equipe]])-SEARCH("/",MIP[[#This Row],[Equipe]],1))</f>
        <v xml:space="preserve"> CLAUDINEY</v>
      </c>
      <c r="AF32" s="44">
        <f>COUNTIFS('[1]Tempo parado'!H:H,"&gt;="&amp;MIP[[#This Row],[S.B Sitrack]],'[1]Tempo parado'!I:I,"&lt;="&amp;MIP[[#This Row],[C.B Sitrack]],'[1]Tempo parado'!B:B,MIP[[#This Row],[Placa]])</f>
        <v>0</v>
      </c>
      <c r="AG32" s="36"/>
      <c r="AH32" s="35"/>
      <c r="AI32" s="34"/>
      <c r="AJ32" s="34"/>
      <c r="AK3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2" s="32">
        <f>SUMIFS('[1]Tempo parado'!J:J,'[1]Tempo parado'!H:H,"&gt;="&amp;MIP[[#This Row],[S.B Sitrack]],'[1]Tempo parado'!I:I,"&lt;="&amp;MIP[[#This Row],[C.B Sitrack]],'[1]Tempo parado'!B:B,MIP[[#This Row],[Placa]])</f>
        <v>0</v>
      </c>
      <c r="AN32" s="32" t="str">
        <f>IFERROR(MIP[[#This Row],[Tempo parado]]/(MIP[[#This Row],[C.B Sitrack]]-MIP[[#This Row],[S.B Sitrack]]),"")</f>
        <v/>
      </c>
      <c r="AO32" s="30"/>
      <c r="AP32" s="44">
        <f>IF(AND(MIP[Exc]=0,MIP[Previsto / Realizado]="Realizado"),MIP[Sem],0)</f>
        <v>20</v>
      </c>
      <c r="AQ32" s="29">
        <f>IF(AND(MIP[Exc]=0,MIP[Previsto / Realizado]="Realizado",ISBLANK(MIP[[#This Row],[S.B Sitrack]])=FALSE,ISBLANK(MIP[[#This Row],[C.B Sitrack]])=FALSE),MIP[Sem],0)</f>
        <v>0</v>
      </c>
    </row>
    <row r="33" spans="1:43" x14ac:dyDescent="0.25">
      <c r="B33" s="44">
        <f>WEEKNUM(MIP[[#This Row],[Data]])</f>
        <v>20</v>
      </c>
      <c r="C33" s="45">
        <v>42872</v>
      </c>
      <c r="D33" s="45"/>
      <c r="E33" s="35" t="s">
        <v>460</v>
      </c>
      <c r="F33" s="35" t="s">
        <v>5</v>
      </c>
      <c r="G33" s="35"/>
      <c r="H33" s="44">
        <v>2</v>
      </c>
      <c r="I33" s="44">
        <v>8</v>
      </c>
      <c r="J33" s="44">
        <v>3</v>
      </c>
      <c r="K33" s="44">
        <v>2</v>
      </c>
      <c r="L33" s="44">
        <v>0</v>
      </c>
      <c r="M33" s="43">
        <v>0.25</v>
      </c>
      <c r="N33" s="43">
        <v>0.27083333333333331</v>
      </c>
      <c r="O33" s="43">
        <v>0.63750000000000007</v>
      </c>
      <c r="P33" s="43">
        <v>0.65833333333333333</v>
      </c>
      <c r="Q33" s="39"/>
      <c r="R33" s="42"/>
      <c r="S33" s="44">
        <f>MIP[[#This Row],[PT-1]]+MIP[[#This Row],[PT-2]]*2+MIP[[#This Row],[PT-3]]*3+MIP[[#This Row],[PT &gt; 3 Pontos]]</f>
        <v>20</v>
      </c>
      <c r="T3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33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33" s="41">
        <f>MIP[[#This Row],[Eficiência]]</f>
        <v>1.4077430168462772</v>
      </c>
      <c r="W3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3" s="39">
        <f>IF(MIP[[#This Row],[P.S]]-MIP[[#This Row],[P.E]]&lt;0,1+MIP[[#This Row],[P.S]]-MIP[[#This Row],[P.E]]-1/24,MIP[[#This Row],[P.S]]-MIP[[#This Row],[P.E]]-1/24)</f>
        <v>0.36666666666666664</v>
      </c>
      <c r="Y33" s="39">
        <f>MIP[[#This Row],[PT-1]]*$S$3+MIP[[#This Row],[PT-2]]*$T$3+MIP[[#This Row],[PT-3]]*$U$3+MIP[[#This Row],[PT &gt; 3 Pontos]]*$V$3</f>
        <v>0.45751648047504018</v>
      </c>
      <c r="Z33" s="39">
        <f>MIP[[#This Row],[HH disponível]]-MIP[[#This Row],[HH AC TOT]]</f>
        <v>0.32500000000000007</v>
      </c>
      <c r="AA33" s="38">
        <f>MIP[[#This Row],[HH Produtivo
Total]]/MIP[[#This Row],[HH Trabalhado]]</f>
        <v>1.4077430168462772</v>
      </c>
      <c r="AB33" s="38">
        <f>MIP[[#This Row],[HH Produtivo
Total]]/MIP[[#This Row],[HH disponível]]</f>
        <v>1.2477722194773824</v>
      </c>
      <c r="AC33" s="38">
        <f>MIP[[#This Row],[HH Trabalhado]]/MIP[[#This Row],[HH disponível]]</f>
        <v>0.88636363636363658</v>
      </c>
      <c r="AD33" s="37" t="str">
        <f>LEFT(MIP[[#This Row],[Equipe]], SEARCH("/",MIP[[#This Row],[Equipe]],1)-1)</f>
        <v xml:space="preserve">Joilson </v>
      </c>
      <c r="AE33" s="37" t="str">
        <f>RIGHT(MIP[[#This Row],[Equipe]], LEN(MIP[[#This Row],[Equipe]])-SEARCH("/",MIP[[#This Row],[Equipe]],1))</f>
        <v xml:space="preserve"> Diego</v>
      </c>
      <c r="AF33" s="44">
        <f>COUNTIFS('[1]Tempo parado'!H:H,"&gt;="&amp;MIP[[#This Row],[S.B Sitrack]],'[1]Tempo parado'!I:I,"&lt;="&amp;MIP[[#This Row],[C.B Sitrack]],'[1]Tempo parado'!B:B,MIP[[#This Row],[Placa]])</f>
        <v>0</v>
      </c>
      <c r="AG33" s="36"/>
      <c r="AH33" s="35"/>
      <c r="AI33" s="34"/>
      <c r="AJ33" s="34"/>
      <c r="AK3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3" s="32">
        <f>SUMIFS('[1]Tempo parado'!J:J,'[1]Tempo parado'!H:H,"&gt;="&amp;MIP[[#This Row],[S.B Sitrack]],'[1]Tempo parado'!I:I,"&lt;="&amp;MIP[[#This Row],[C.B Sitrack]],'[1]Tempo parado'!B:B,MIP[[#This Row],[Placa]])</f>
        <v>0</v>
      </c>
      <c r="AN33" s="32" t="str">
        <f>IFERROR(MIP[[#This Row],[Tempo parado]]/(MIP[[#This Row],[C.B Sitrack]]-MIP[[#This Row],[S.B Sitrack]]),"")</f>
        <v/>
      </c>
      <c r="AO33" s="30"/>
      <c r="AP33" s="44">
        <f>IF(AND(MIP[Exc]=0,MIP[Previsto / Realizado]="Realizado"),MIP[Sem],0)</f>
        <v>0</v>
      </c>
      <c r="AQ33" s="29">
        <f>IF(AND(MIP[Exc]=0,MIP[Previsto / Realizado]="Realizado",ISBLANK(MIP[[#This Row],[S.B Sitrack]])=FALSE,ISBLANK(MIP[[#This Row],[C.B Sitrack]])=FALSE),MIP[Sem],0)</f>
        <v>0</v>
      </c>
    </row>
    <row r="34" spans="1:43" x14ac:dyDescent="0.25">
      <c r="B34" s="44">
        <f>WEEKNUM(MIP[[#This Row],[Data]])</f>
        <v>20</v>
      </c>
      <c r="C34" s="45">
        <v>42872</v>
      </c>
      <c r="D34" s="45"/>
      <c r="E34" s="35" t="s">
        <v>460</v>
      </c>
      <c r="F34" s="35" t="s">
        <v>2</v>
      </c>
      <c r="G34" s="35"/>
      <c r="H34" s="44">
        <v>2</v>
      </c>
      <c r="I34" s="44">
        <v>7</v>
      </c>
      <c r="J34" s="44">
        <v>3</v>
      </c>
      <c r="K34" s="44">
        <v>1</v>
      </c>
      <c r="L34" s="44">
        <v>0</v>
      </c>
      <c r="M34" s="43">
        <v>0.24722222222222223</v>
      </c>
      <c r="N34" s="43">
        <v>0.27083333333333331</v>
      </c>
      <c r="O34" s="43">
        <v>0.64236111111111105</v>
      </c>
      <c r="P34" s="43">
        <v>0.66111111111111109</v>
      </c>
      <c r="Q34" s="39"/>
      <c r="R34" s="42" t="s">
        <v>467</v>
      </c>
      <c r="S34" s="44">
        <f>MIP[[#This Row],[PT-1]]+MIP[[#This Row],[PT-2]]*2+MIP[[#This Row],[PT-3]]*3+MIP[[#This Row],[PT &gt; 3 Pontos]]</f>
        <v>16</v>
      </c>
      <c r="T3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4.2361111111111127E-2</v>
      </c>
      <c r="U34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4.2361111111111127E-2</v>
      </c>
      <c r="V34" s="41">
        <f>MIP[[#This Row],[Eficiência]]</f>
        <v>1.1207715484363081</v>
      </c>
      <c r="W3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4" s="39">
        <f>IF(MIP[[#This Row],[P.S]]-MIP[[#This Row],[P.E]]&lt;0,1+MIP[[#This Row],[P.S]]-MIP[[#This Row],[P.E]]-1/24,MIP[[#This Row],[P.S]]-MIP[[#This Row],[P.E]]-1/24)</f>
        <v>0.37222222222222218</v>
      </c>
      <c r="Y34" s="39">
        <f>MIP[[#This Row],[PT-1]]*$S$3+MIP[[#This Row],[PT-2]]*$T$3+MIP[[#This Row],[PT-3]]*$U$3+MIP[[#This Row],[PT &gt; 3 Pontos]]*$V$3</f>
        <v>0.36969894826892102</v>
      </c>
      <c r="Z34" s="39">
        <f>MIP[[#This Row],[HH disponível]]-MIP[[#This Row],[HH AC TOT]]</f>
        <v>0.32986111111111105</v>
      </c>
      <c r="AA34" s="38">
        <f>MIP[[#This Row],[HH Produtivo
Total]]/MIP[[#This Row],[HH Trabalhado]]</f>
        <v>1.1207715484363081</v>
      </c>
      <c r="AB34" s="38">
        <f>MIP[[#This Row],[HH Produtivo
Total]]/MIP[[#This Row],[HH disponível]]</f>
        <v>0.99322105505083269</v>
      </c>
      <c r="AC34" s="38">
        <f>MIP[[#This Row],[HH Trabalhado]]/MIP[[#This Row],[HH disponível]]</f>
        <v>0.88619402985074625</v>
      </c>
      <c r="AD34" s="37" t="str">
        <f>LEFT(MIP[[#This Row],[Equipe]], SEARCH("/",MIP[[#This Row],[Equipe]],1)-1)</f>
        <v xml:space="preserve">Joilson </v>
      </c>
      <c r="AE34" s="37" t="str">
        <f>RIGHT(MIP[[#This Row],[Equipe]], LEN(MIP[[#This Row],[Equipe]])-SEARCH("/",MIP[[#This Row],[Equipe]],1))</f>
        <v xml:space="preserve"> Diego</v>
      </c>
      <c r="AF34" s="44">
        <f>COUNTIFS('[1]Tempo parado'!H:H,"&gt;="&amp;MIP[[#This Row],[S.B Sitrack]],'[1]Tempo parado'!I:I,"&lt;="&amp;MIP[[#This Row],[C.B Sitrack]],'[1]Tempo parado'!B:B,MIP[[#This Row],[Placa]])</f>
        <v>0</v>
      </c>
      <c r="AG34" s="36"/>
      <c r="AH34" s="35"/>
      <c r="AI34" s="34"/>
      <c r="AJ34" s="34"/>
      <c r="AK3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4" s="32">
        <f>SUMIFS('[1]Tempo parado'!J:J,'[1]Tempo parado'!H:H,"&gt;="&amp;MIP[[#This Row],[S.B Sitrack]],'[1]Tempo parado'!I:I,"&lt;="&amp;MIP[[#This Row],[C.B Sitrack]],'[1]Tempo parado'!B:B,MIP[[#This Row],[Placa]])</f>
        <v>0</v>
      </c>
      <c r="AN34" s="32" t="str">
        <f>IFERROR(MIP[[#This Row],[Tempo parado]]/(MIP[[#This Row],[C.B Sitrack]]-MIP[[#This Row],[S.B Sitrack]]),"")</f>
        <v/>
      </c>
      <c r="AO34" s="30"/>
      <c r="AP34" s="44">
        <f>IF(AND(MIP[Exc]=0,MIP[Previsto / Realizado]="Realizado"),MIP[Sem],0)</f>
        <v>20</v>
      </c>
      <c r="AQ34" s="29">
        <f>IF(AND(MIP[Exc]=0,MIP[Previsto / Realizado]="Realizado",ISBLANK(MIP[[#This Row],[S.B Sitrack]])=FALSE,ISBLANK(MIP[[#This Row],[C.B Sitrack]])=FALSE),MIP[Sem],0)</f>
        <v>0</v>
      </c>
    </row>
    <row r="35" spans="1:43" x14ac:dyDescent="0.25">
      <c r="B35" s="44">
        <f>WEEKNUM(MIP[[#This Row],[Data]])</f>
        <v>20</v>
      </c>
      <c r="C35" s="45">
        <v>42871</v>
      </c>
      <c r="D35" s="45"/>
      <c r="E35" s="83" t="s">
        <v>439</v>
      </c>
      <c r="F35" s="35" t="s">
        <v>5</v>
      </c>
      <c r="G35" s="83"/>
      <c r="H35" s="44">
        <v>2</v>
      </c>
      <c r="I35" s="44">
        <v>0</v>
      </c>
      <c r="J35" s="44">
        <v>0</v>
      </c>
      <c r="K35" s="44">
        <v>0</v>
      </c>
      <c r="L35" s="44">
        <v>21</v>
      </c>
      <c r="M35" s="43">
        <v>0.625</v>
      </c>
      <c r="N35" s="43">
        <v>0.64583333333333337</v>
      </c>
      <c r="O35" s="43">
        <f>1+18/24/60</f>
        <v>1.0125</v>
      </c>
      <c r="P35" s="43">
        <f>1+48/24/60</f>
        <v>1.0333333333333334</v>
      </c>
      <c r="Q35" s="39"/>
      <c r="R35" s="42"/>
      <c r="S35" s="44">
        <f>MIP[[#This Row],[PT-1]]+MIP[[#This Row],[PT-2]]*2+MIP[[#This Row],[PT-3]]*3+MIP[[#This Row],[PT &gt; 3 Pontos]]</f>
        <v>21</v>
      </c>
      <c r="T3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35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35" s="41">
        <f>MIP[[#This Row],[Eficiência]]</f>
        <v>1.3083330107560192</v>
      </c>
      <c r="W3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5" s="39">
        <f>IF(MIP[[#This Row],[P.S]]-MIP[[#This Row],[P.E]]&lt;0,1+MIP[[#This Row],[P.S]]-MIP[[#This Row],[P.E]]-1/24,MIP[[#This Row],[P.S]]-MIP[[#This Row],[P.E]]-1/24)</f>
        <v>0.36666666666666675</v>
      </c>
      <c r="Y35" s="39">
        <f>MIP[[#This Row],[PT-1]]*$S$3+MIP[[#This Row],[PT-2]]*$T$3+MIP[[#This Row],[PT-3]]*$U$3+MIP[[#This Row],[PT &gt; 3 Pontos]]*$V$3</f>
        <v>0.42520822849570611</v>
      </c>
      <c r="Z35" s="39">
        <f>MIP[[#This Row],[HH disponível]]-MIP[[#This Row],[HH AC TOT]]</f>
        <v>0.3249999999999999</v>
      </c>
      <c r="AA35" s="38">
        <f>MIP[[#This Row],[HH Produtivo
Total]]/MIP[[#This Row],[HH Trabalhado]]</f>
        <v>1.3083330107560192</v>
      </c>
      <c r="AB35" s="38">
        <f>MIP[[#This Row],[HH Produtivo
Total]]/MIP[[#This Row],[HH disponível]]</f>
        <v>1.1596588049882892</v>
      </c>
      <c r="AC35" s="38">
        <f>MIP[[#This Row],[HH Trabalhado]]/MIP[[#This Row],[HH disponível]]</f>
        <v>0.88636363636363591</v>
      </c>
      <c r="AD35" s="37" t="str">
        <f>LEFT(MIP[[#This Row],[Equipe]], SEARCH("/",MIP[[#This Row],[Equipe]],1)-1)</f>
        <v xml:space="preserve">ADEMÁRIO </v>
      </c>
      <c r="AE35" s="37" t="str">
        <f>RIGHT(MIP[[#This Row],[Equipe]], LEN(MIP[[#This Row],[Equipe]])-SEARCH("/",MIP[[#This Row],[Equipe]],1))</f>
        <v xml:space="preserve"> ANDERSON</v>
      </c>
      <c r="AF35" s="44">
        <f>COUNTIFS('[1]Tempo parado'!H:H,"&gt;="&amp;MIP[[#This Row],[S.B Sitrack]],'[1]Tempo parado'!I:I,"&lt;="&amp;MIP[[#This Row],[C.B Sitrack]],'[1]Tempo parado'!B:B,MIP[[#This Row],[Placa]])</f>
        <v>0</v>
      </c>
      <c r="AG35" s="36"/>
      <c r="AH35" s="35"/>
      <c r="AI35" s="34"/>
      <c r="AJ35" s="34"/>
      <c r="AK3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5" s="32">
        <f>SUMIFS('[1]Tempo parado'!J:J,'[1]Tempo parado'!H:H,"&gt;="&amp;MIP[[#This Row],[S.B Sitrack]],'[1]Tempo parado'!I:I,"&lt;="&amp;MIP[[#This Row],[C.B Sitrack]],'[1]Tempo parado'!B:B,MIP[[#This Row],[Placa]])</f>
        <v>0</v>
      </c>
      <c r="AN35" s="32" t="str">
        <f>IFERROR(MIP[[#This Row],[Tempo parado]]/(MIP[[#This Row],[C.B Sitrack]]-MIP[[#This Row],[S.B Sitrack]]),"")</f>
        <v/>
      </c>
      <c r="AO35" s="30"/>
      <c r="AP35" s="44">
        <f>IF(AND(MIP[Exc]=0,MIP[Previsto / Realizado]="Realizado"),MIP[Sem],0)</f>
        <v>0</v>
      </c>
      <c r="AQ35" s="29">
        <f>IF(AND(MIP[Exc]=0,MIP[Previsto / Realizado]="Realizado",ISBLANK(MIP[[#This Row],[S.B Sitrack]])=FALSE,ISBLANK(MIP[[#This Row],[C.B Sitrack]])=FALSE),MIP[Sem],0)</f>
        <v>0</v>
      </c>
    </row>
    <row r="36" spans="1:43" x14ac:dyDescent="0.25">
      <c r="B36" s="44">
        <f>WEEKNUM(MIP[[#This Row],[Data]])</f>
        <v>20</v>
      </c>
      <c r="C36" s="45">
        <v>42871</v>
      </c>
      <c r="D36" s="45"/>
      <c r="E36" s="83" t="s">
        <v>439</v>
      </c>
      <c r="F36" s="35" t="s">
        <v>2</v>
      </c>
      <c r="G36" s="83"/>
      <c r="H36" s="44">
        <v>2</v>
      </c>
      <c r="I36" s="44">
        <v>0</v>
      </c>
      <c r="J36" s="44">
        <v>0</v>
      </c>
      <c r="K36" s="44">
        <v>0</v>
      </c>
      <c r="L36" s="44">
        <v>21</v>
      </c>
      <c r="M36" s="43">
        <v>0.625</v>
      </c>
      <c r="N36" s="43">
        <v>0.67013888888888884</v>
      </c>
      <c r="O36" s="43">
        <f>1+31/24/60</f>
        <v>1.0215277777777778</v>
      </c>
      <c r="P36" s="43">
        <f>1+48/24/60</f>
        <v>1.0333333333333334</v>
      </c>
      <c r="Q36" s="39"/>
      <c r="R36" s="42"/>
      <c r="S36" s="44">
        <f>MIP[[#This Row],[PT-1]]+MIP[[#This Row],[PT-2]]*2+MIP[[#This Row],[PT-3]]*3+MIP[[#This Row],[PT &gt; 3 Pontos]]</f>
        <v>21</v>
      </c>
      <c r="T3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5.6944444444444464E-2</v>
      </c>
      <c r="U36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5.6944444444444464E-2</v>
      </c>
      <c r="V36" s="41">
        <f>MIP[[#This Row],[Eficiência]]</f>
        <v>1.3728696166677503</v>
      </c>
      <c r="W3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6" s="39">
        <f>IF(MIP[[#This Row],[P.S]]-MIP[[#This Row],[P.E]]&lt;0,1+MIP[[#This Row],[P.S]]-MIP[[#This Row],[P.E]]-1/24,MIP[[#This Row],[P.S]]-MIP[[#This Row],[P.E]]-1/24)</f>
        <v>0.36666666666666675</v>
      </c>
      <c r="Y36" s="39">
        <f>MIP[[#This Row],[PT-1]]*$S$3+MIP[[#This Row],[PT-2]]*$T$3+MIP[[#This Row],[PT-3]]*$U$3+MIP[[#This Row],[PT &gt; 3 Pontos]]*$V$3</f>
        <v>0.42520822849570611</v>
      </c>
      <c r="Z36" s="39">
        <f>MIP[[#This Row],[HH disponível]]-MIP[[#This Row],[HH AC TOT]]</f>
        <v>0.30972222222222229</v>
      </c>
      <c r="AA36" s="38">
        <f>MIP[[#This Row],[HH Produtivo
Total]]/MIP[[#This Row],[HH Trabalhado]]</f>
        <v>1.3728696166677503</v>
      </c>
      <c r="AB36" s="38">
        <f>MIP[[#This Row],[HH Produtivo
Total]]/MIP[[#This Row],[HH disponível]]</f>
        <v>1.1596588049882892</v>
      </c>
      <c r="AC36" s="38">
        <f>MIP[[#This Row],[HH Trabalhado]]/MIP[[#This Row],[HH disponível]]</f>
        <v>0.84469696969696972</v>
      </c>
      <c r="AD36" s="37" t="str">
        <f>LEFT(MIP[[#This Row],[Equipe]], SEARCH("/",MIP[[#This Row],[Equipe]],1)-1)</f>
        <v xml:space="preserve">ADEMÁRIO </v>
      </c>
      <c r="AE36" s="37" t="str">
        <f>RIGHT(MIP[[#This Row],[Equipe]], LEN(MIP[[#This Row],[Equipe]])-SEARCH("/",MIP[[#This Row],[Equipe]],1))</f>
        <v xml:space="preserve"> ANDERSON</v>
      </c>
      <c r="AF36" s="44">
        <f>COUNTIFS('[1]Tempo parado'!H:H,"&gt;="&amp;MIP[[#This Row],[S.B Sitrack]],'[1]Tempo parado'!I:I,"&lt;="&amp;MIP[[#This Row],[C.B Sitrack]],'[1]Tempo parado'!B:B,MIP[[#This Row],[Placa]])</f>
        <v>0</v>
      </c>
      <c r="AG36" s="36"/>
      <c r="AH36" s="35"/>
      <c r="AI36" s="34"/>
      <c r="AJ36" s="34"/>
      <c r="AK3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6" s="32">
        <f>SUMIFS('[1]Tempo parado'!J:J,'[1]Tempo parado'!H:H,"&gt;="&amp;MIP[[#This Row],[S.B Sitrack]],'[1]Tempo parado'!I:I,"&lt;="&amp;MIP[[#This Row],[C.B Sitrack]],'[1]Tempo parado'!B:B,MIP[[#This Row],[Placa]])</f>
        <v>0</v>
      </c>
      <c r="AN36" s="32" t="str">
        <f>IFERROR(MIP[[#This Row],[Tempo parado]]/(MIP[[#This Row],[C.B Sitrack]]-MIP[[#This Row],[S.B Sitrack]]),"")</f>
        <v/>
      </c>
      <c r="AO36" s="30"/>
      <c r="AP36" s="44">
        <f>IF(AND(MIP[Exc]=0,MIP[Previsto / Realizado]="Realizado"),MIP[Sem],0)</f>
        <v>20</v>
      </c>
      <c r="AQ36" s="29">
        <f>IF(AND(MIP[Exc]=0,MIP[Previsto / Realizado]="Realizado",ISBLANK(MIP[[#This Row],[S.B Sitrack]])=FALSE,ISBLANK(MIP[[#This Row],[C.B Sitrack]])=FALSE),MIP[Sem],0)</f>
        <v>0</v>
      </c>
    </row>
    <row r="37" spans="1:43" x14ac:dyDescent="0.25">
      <c r="B37" s="44">
        <f>WEEKNUM(MIP[[#This Row],[Data]])</f>
        <v>20</v>
      </c>
      <c r="C37" s="45">
        <v>42872</v>
      </c>
      <c r="D37" s="45"/>
      <c r="E37" s="83" t="s">
        <v>463</v>
      </c>
      <c r="F37" s="35" t="s">
        <v>5</v>
      </c>
      <c r="G37" s="83"/>
      <c r="H37" s="44">
        <v>2</v>
      </c>
      <c r="I37" s="44">
        <v>10</v>
      </c>
      <c r="J37" s="44">
        <v>1</v>
      </c>
      <c r="K37" s="44">
        <v>0</v>
      </c>
      <c r="L37" s="44">
        <v>0</v>
      </c>
      <c r="M37" s="43">
        <v>0.625</v>
      </c>
      <c r="N37" s="43">
        <v>0.64583333333333337</v>
      </c>
      <c r="O37" s="43">
        <f>1+18/24/60</f>
        <v>1.0125</v>
      </c>
      <c r="P37" s="43">
        <f>1+48/24/60</f>
        <v>1.0333333333333334</v>
      </c>
      <c r="Q37" s="39"/>
      <c r="R37" s="42"/>
      <c r="S37" s="44">
        <f>MIP[[#This Row],[PT-1]]+MIP[[#This Row],[PT-2]]*2+MIP[[#This Row],[PT-3]]*3+MIP[[#This Row],[PT &gt; 3 Pontos]]</f>
        <v>12</v>
      </c>
      <c r="T3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37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37" s="41">
        <f>MIP[[#This Row],[Eficiência]]</f>
        <v>0.90513014059209684</v>
      </c>
      <c r="W3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7" s="39">
        <f>IF(MIP[[#This Row],[P.S]]-MIP[[#This Row],[P.E]]&lt;0,1+MIP[[#This Row],[P.S]]-MIP[[#This Row],[P.E]]-1/24,MIP[[#This Row],[P.S]]-MIP[[#This Row],[P.E]]-1/24)</f>
        <v>0.36666666666666675</v>
      </c>
      <c r="Y37" s="39">
        <f>MIP[[#This Row],[PT-1]]*$S$3+MIP[[#This Row],[PT-2]]*$T$3+MIP[[#This Row],[PT-3]]*$U$3+MIP[[#This Row],[PT &gt; 3 Pontos]]*$V$3</f>
        <v>0.29416729569243139</v>
      </c>
      <c r="Z37" s="39">
        <f>MIP[[#This Row],[HH disponível]]-MIP[[#This Row],[HH AC TOT]]</f>
        <v>0.3249999999999999</v>
      </c>
      <c r="AA37" s="38">
        <f>MIP[[#This Row],[HH Produtivo
Total]]/MIP[[#This Row],[HH Trabalhado]]</f>
        <v>0.90513014059209684</v>
      </c>
      <c r="AB37" s="38">
        <f>MIP[[#This Row],[HH Produtivo
Total]]/MIP[[#This Row],[HH disponível]]</f>
        <v>0.80227444279754001</v>
      </c>
      <c r="AC37" s="38">
        <f>MIP[[#This Row],[HH Trabalhado]]/MIP[[#This Row],[HH disponível]]</f>
        <v>0.88636363636363591</v>
      </c>
      <c r="AD37" s="37" t="str">
        <f>LEFT(MIP[[#This Row],[Equipe]], SEARCH("/",MIP[[#This Row],[Equipe]],1)-1)</f>
        <v xml:space="preserve">EDILTON </v>
      </c>
      <c r="AE37" s="37" t="str">
        <f>RIGHT(MIP[[#This Row],[Equipe]], LEN(MIP[[#This Row],[Equipe]])-SEARCH("/",MIP[[#This Row],[Equipe]],1))</f>
        <v xml:space="preserve"> CLAUDINEY</v>
      </c>
      <c r="AF37" s="44">
        <f>COUNTIFS('[1]Tempo parado'!H:H,"&gt;="&amp;MIP[[#This Row],[S.B Sitrack]],'[1]Tempo parado'!I:I,"&lt;="&amp;MIP[[#This Row],[C.B Sitrack]],'[1]Tempo parado'!B:B,MIP[[#This Row],[Placa]])</f>
        <v>0</v>
      </c>
      <c r="AG37" s="36"/>
      <c r="AH37" s="35"/>
      <c r="AI37" s="34"/>
      <c r="AJ37" s="34"/>
      <c r="AK3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7" s="32">
        <f>SUMIFS('[1]Tempo parado'!J:J,'[1]Tempo parado'!H:H,"&gt;="&amp;MIP[[#This Row],[S.B Sitrack]],'[1]Tempo parado'!I:I,"&lt;="&amp;MIP[[#This Row],[C.B Sitrack]],'[1]Tempo parado'!B:B,MIP[[#This Row],[Placa]])</f>
        <v>0</v>
      </c>
      <c r="AN37" s="32" t="str">
        <f>IFERROR(MIP[[#This Row],[Tempo parado]]/(MIP[[#This Row],[C.B Sitrack]]-MIP[[#This Row],[S.B Sitrack]]),"")</f>
        <v/>
      </c>
      <c r="AO37" s="30"/>
      <c r="AP37" s="44">
        <f>IF(AND(MIP[Exc]=0,MIP[Previsto / Realizado]="Realizado"),MIP[Sem],0)</f>
        <v>0</v>
      </c>
      <c r="AQ37" s="29">
        <f>IF(AND(MIP[Exc]=0,MIP[Previsto / Realizado]="Realizado",ISBLANK(MIP[[#This Row],[S.B Sitrack]])=FALSE,ISBLANK(MIP[[#This Row],[C.B Sitrack]])=FALSE),MIP[Sem],0)</f>
        <v>0</v>
      </c>
    </row>
    <row r="38" spans="1:43" x14ac:dyDescent="0.25">
      <c r="B38" s="44">
        <f>WEEKNUM(MIP[[#This Row],[Data]])</f>
        <v>20</v>
      </c>
      <c r="C38" s="45">
        <v>42872</v>
      </c>
      <c r="D38" s="45"/>
      <c r="E38" s="83" t="s">
        <v>463</v>
      </c>
      <c r="F38" s="35" t="s">
        <v>2</v>
      </c>
      <c r="G38" s="83"/>
      <c r="H38" s="44">
        <v>2</v>
      </c>
      <c r="I38" s="44">
        <v>7</v>
      </c>
      <c r="J38" s="44">
        <v>2</v>
      </c>
      <c r="K38" s="44">
        <v>0</v>
      </c>
      <c r="L38" s="44">
        <v>0</v>
      </c>
      <c r="M38" s="43">
        <v>0.62152777777777779</v>
      </c>
      <c r="N38" s="43">
        <v>0.68541666666666667</v>
      </c>
      <c r="O38" s="43">
        <f>1+20/24/60</f>
        <v>1.0138888888888888</v>
      </c>
      <c r="P38" s="43">
        <f>1+50/24/60</f>
        <v>1.0347222222222223</v>
      </c>
      <c r="Q38" s="39"/>
      <c r="R38" s="42" t="s">
        <v>466</v>
      </c>
      <c r="S38" s="44">
        <f>MIP[[#This Row],[PT-1]]+MIP[[#This Row],[PT-2]]*2+MIP[[#This Row],[PT-3]]*3+MIP[[#This Row],[PT &gt; 3 Pontos]]</f>
        <v>11</v>
      </c>
      <c r="T3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8.4722222222222365E-2</v>
      </c>
      <c r="U38" s="39">
        <f>IF(MIP[[#This Row],[P.S]]-MIP[[#This Row],[U.P]]&gt;=0,MIP[[#This Row],[P.S]]-MIP[[#This Row],[U.P]]+MIP[[#This Row],[S.B]]-MIP[[#This Row],[P.E]],1+MIP[[#This Row],[P.S]]-MIP[[#This Row],[U.P]]+MIP[[#This Row],[S.B]]-MIP[[#This Row],[P.E]])</f>
        <v>8.4722222222222365E-2</v>
      </c>
      <c r="V38" s="41">
        <f>MIP[[#This Row],[Eficiência]]</f>
        <v>0.91699235884479047</v>
      </c>
      <c r="W3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8" s="39">
        <f>IF(MIP[[#This Row],[P.S]]-MIP[[#This Row],[P.E]]&lt;0,1+MIP[[#This Row],[P.S]]-MIP[[#This Row],[P.E]]-1/24,MIP[[#This Row],[P.S]]-MIP[[#This Row],[P.E]]-1/24)</f>
        <v>0.37152777777777785</v>
      </c>
      <c r="Y38" s="39">
        <f>MIP[[#This Row],[PT-1]]*$S$3+MIP[[#This Row],[PT-2]]*$T$3+MIP[[#This Row],[PT-3]]*$U$3+MIP[[#This Row],[PT &gt; 3 Pontos]]*$V$3</f>
        <v>0.26299850291867943</v>
      </c>
      <c r="Z38" s="39">
        <f>MIP[[#This Row],[HH disponível]]-MIP[[#This Row],[HH AC TOT]]</f>
        <v>0.28680555555555548</v>
      </c>
      <c r="AA38" s="38">
        <f>MIP[[#This Row],[HH Produtivo
Total]]/MIP[[#This Row],[HH Trabalhado]]</f>
        <v>0.91699235884479047</v>
      </c>
      <c r="AB38" s="38">
        <f>MIP[[#This Row],[HH Produtivo
Total]]/MIP[[#This Row],[HH disponível]]</f>
        <v>0.7078838209399968</v>
      </c>
      <c r="AC38" s="38">
        <f>MIP[[#This Row],[HH Trabalhado]]/MIP[[#This Row],[HH disponível]]</f>
        <v>0.77196261682242961</v>
      </c>
      <c r="AD38" s="37" t="str">
        <f>LEFT(MIP[[#This Row],[Equipe]], SEARCH("/",MIP[[#This Row],[Equipe]],1)-1)</f>
        <v xml:space="preserve">EDILTON </v>
      </c>
      <c r="AE38" s="37" t="str">
        <f>RIGHT(MIP[[#This Row],[Equipe]], LEN(MIP[[#This Row],[Equipe]])-SEARCH("/",MIP[[#This Row],[Equipe]],1))</f>
        <v xml:space="preserve"> CLAUDINEY</v>
      </c>
      <c r="AF38" s="44">
        <f>COUNTIFS('[1]Tempo parado'!H:H,"&gt;="&amp;MIP[[#This Row],[S.B Sitrack]],'[1]Tempo parado'!I:I,"&lt;="&amp;MIP[[#This Row],[C.B Sitrack]],'[1]Tempo parado'!B:B,MIP[[#This Row],[Placa]])</f>
        <v>0</v>
      </c>
      <c r="AG38" s="36"/>
      <c r="AH38" s="35"/>
      <c r="AI38" s="34"/>
      <c r="AJ38" s="34"/>
      <c r="AK3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8" s="32">
        <f>SUMIFS('[1]Tempo parado'!J:J,'[1]Tempo parado'!H:H,"&gt;="&amp;MIP[[#This Row],[S.B Sitrack]],'[1]Tempo parado'!I:I,"&lt;="&amp;MIP[[#This Row],[C.B Sitrack]],'[1]Tempo parado'!B:B,MIP[[#This Row],[Placa]])</f>
        <v>0</v>
      </c>
      <c r="AN38" s="32" t="str">
        <f>IFERROR(MIP[[#This Row],[Tempo parado]]/(MIP[[#This Row],[C.B Sitrack]]-MIP[[#This Row],[S.B Sitrack]]),"")</f>
        <v/>
      </c>
      <c r="AO38" s="30"/>
      <c r="AP38" s="44">
        <f>IF(AND(MIP[Exc]=0,MIP[Previsto / Realizado]="Realizado"),MIP[Sem],0)</f>
        <v>20</v>
      </c>
      <c r="AQ38" s="29">
        <f>IF(AND(MIP[Exc]=0,MIP[Previsto / Realizado]="Realizado",ISBLANK(MIP[[#This Row],[S.B Sitrack]])=FALSE,ISBLANK(MIP[[#This Row],[C.B Sitrack]])=FALSE),MIP[Sem],0)</f>
        <v>0</v>
      </c>
    </row>
    <row r="39" spans="1:43" x14ac:dyDescent="0.25">
      <c r="B39" s="44">
        <f>WEEKNUM(MIP[[#This Row],[Data]])</f>
        <v>20</v>
      </c>
      <c r="C39" s="45">
        <v>42872</v>
      </c>
      <c r="D39" s="45"/>
      <c r="E39" s="83" t="s">
        <v>439</v>
      </c>
      <c r="F39" s="35" t="s">
        <v>5</v>
      </c>
      <c r="G39" s="83"/>
      <c r="H39" s="44">
        <v>2</v>
      </c>
      <c r="I39" s="44">
        <v>2</v>
      </c>
      <c r="J39" s="44">
        <v>1</v>
      </c>
      <c r="K39" s="44">
        <v>1</v>
      </c>
      <c r="L39" s="44">
        <v>8</v>
      </c>
      <c r="M39" s="43">
        <v>0.625</v>
      </c>
      <c r="N39" s="43">
        <v>0.64583333333333337</v>
      </c>
      <c r="O39" s="43">
        <f>1+18/24/60</f>
        <v>1.0125</v>
      </c>
      <c r="P39" s="43">
        <f>1+48/24/60</f>
        <v>1.0333333333333334</v>
      </c>
      <c r="Q39" s="39"/>
      <c r="R39" s="42"/>
      <c r="S39" s="44">
        <f>MIP[[#This Row],[PT-1]]+MIP[[#This Row],[PT-2]]*2+MIP[[#This Row],[PT-3]]*3+MIP[[#This Row],[PT &gt; 3 Pontos]]</f>
        <v>15</v>
      </c>
      <c r="T3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39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39" s="41">
        <f>MIP[[#This Row],[Eficiência]]</f>
        <v>0.98072688712030553</v>
      </c>
      <c r="W3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9" s="39">
        <f>IF(MIP[[#This Row],[P.S]]-MIP[[#This Row],[P.E]]&lt;0,1+MIP[[#This Row],[P.S]]-MIP[[#This Row],[P.E]]-1/24,MIP[[#This Row],[P.S]]-MIP[[#This Row],[P.E]]-1/24)</f>
        <v>0.36666666666666675</v>
      </c>
      <c r="Y39" s="39">
        <f>MIP[[#This Row],[PT-1]]*$S$3+MIP[[#This Row],[PT-2]]*$T$3+MIP[[#This Row],[PT-3]]*$U$3+MIP[[#This Row],[PT &gt; 3 Pontos]]*$V$3</f>
        <v>0.3187362383140992</v>
      </c>
      <c r="Z39" s="39">
        <f>MIP[[#This Row],[HH disponível]]-MIP[[#This Row],[HH AC TOT]]</f>
        <v>0.3249999999999999</v>
      </c>
      <c r="AA39" s="38">
        <f>MIP[[#This Row],[HH Produtivo
Total]]/MIP[[#This Row],[HH Trabalhado]]</f>
        <v>0.98072688712030553</v>
      </c>
      <c r="AB39" s="38">
        <f>MIP[[#This Row],[HH Produtivo
Total]]/MIP[[#This Row],[HH disponível]]</f>
        <v>0.86928064994754306</v>
      </c>
      <c r="AC39" s="38">
        <f>MIP[[#This Row],[HH Trabalhado]]/MIP[[#This Row],[HH disponível]]</f>
        <v>0.88636363636363591</v>
      </c>
      <c r="AD39" s="37" t="str">
        <f>LEFT(MIP[[#This Row],[Equipe]], SEARCH("/",MIP[[#This Row],[Equipe]],1)-1)</f>
        <v xml:space="preserve">ADEMÁRIO </v>
      </c>
      <c r="AE39" s="37" t="str">
        <f>RIGHT(MIP[[#This Row],[Equipe]], LEN(MIP[[#This Row],[Equipe]])-SEARCH("/",MIP[[#This Row],[Equipe]],1))</f>
        <v xml:space="preserve"> ANDERSON</v>
      </c>
      <c r="AF39" s="44">
        <f>COUNTIFS('[1]Tempo parado'!H:H,"&gt;="&amp;MIP[[#This Row],[S.B Sitrack]],'[1]Tempo parado'!I:I,"&lt;="&amp;MIP[[#This Row],[C.B Sitrack]],'[1]Tempo parado'!B:B,MIP[[#This Row],[Placa]])</f>
        <v>0</v>
      </c>
      <c r="AG39" s="36"/>
      <c r="AH39" s="35"/>
      <c r="AI39" s="34"/>
      <c r="AJ39" s="34"/>
      <c r="AK3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9" s="32">
        <f>SUMIFS('[1]Tempo parado'!J:J,'[1]Tempo parado'!H:H,"&gt;="&amp;MIP[[#This Row],[S.B Sitrack]],'[1]Tempo parado'!I:I,"&lt;="&amp;MIP[[#This Row],[C.B Sitrack]],'[1]Tempo parado'!B:B,MIP[[#This Row],[Placa]])</f>
        <v>0</v>
      </c>
      <c r="AN39" s="32" t="str">
        <f>IFERROR(MIP[[#This Row],[Tempo parado]]/(MIP[[#This Row],[C.B Sitrack]]-MIP[[#This Row],[S.B Sitrack]]),"")</f>
        <v/>
      </c>
      <c r="AO39" s="30"/>
      <c r="AP39" s="44">
        <f>IF(AND(MIP[Exc]=0,MIP[Previsto / Realizado]="Realizado"),MIP[Sem],0)</f>
        <v>0</v>
      </c>
      <c r="AQ39" s="29">
        <f>IF(AND(MIP[Exc]=0,MIP[Previsto / Realizado]="Realizado",ISBLANK(MIP[[#This Row],[S.B Sitrack]])=FALSE,ISBLANK(MIP[[#This Row],[C.B Sitrack]])=FALSE),MIP[Sem],0)</f>
        <v>0</v>
      </c>
    </row>
    <row r="40" spans="1:43" x14ac:dyDescent="0.25">
      <c r="B40" s="44">
        <f>WEEKNUM(MIP[[#This Row],[Data]])</f>
        <v>20</v>
      </c>
      <c r="C40" s="45">
        <v>42872</v>
      </c>
      <c r="D40" s="45"/>
      <c r="E40" s="83" t="s">
        <v>439</v>
      </c>
      <c r="F40" s="35" t="s">
        <v>2</v>
      </c>
      <c r="G40" s="83"/>
      <c r="H40" s="44">
        <v>2</v>
      </c>
      <c r="I40" s="44">
        <v>1</v>
      </c>
      <c r="J40" s="44">
        <v>1</v>
      </c>
      <c r="K40" s="44">
        <v>1</v>
      </c>
      <c r="L40" s="44">
        <v>8</v>
      </c>
      <c r="M40" s="43">
        <v>0.64097222222222217</v>
      </c>
      <c r="N40" s="43">
        <v>0.66180555555555554</v>
      </c>
      <c r="O40" s="43">
        <f>1+27/24/60</f>
        <v>1.01875</v>
      </c>
      <c r="P40" s="43">
        <f>1+50/24/60</f>
        <v>1.0347222222222223</v>
      </c>
      <c r="Q40" s="39"/>
      <c r="R40" s="42" t="s">
        <v>465</v>
      </c>
      <c r="S40" s="44">
        <f>MIP[[#This Row],[PT-1]]+MIP[[#This Row],[PT-2]]*2+MIP[[#This Row],[PT-3]]*3+MIP[[#This Row],[PT &gt; 3 Pontos]]</f>
        <v>14</v>
      </c>
      <c r="T4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3.6805555555555647E-2</v>
      </c>
      <c r="U40" s="39">
        <f>IF(MIP[[#This Row],[P.S]]-MIP[[#This Row],[U.P]]&gt;=0,MIP[[#This Row],[P.S]]-MIP[[#This Row],[U.P]]+MIP[[#This Row],[S.B]]-MIP[[#This Row],[P.E]],1+MIP[[#This Row],[P.S]]-MIP[[#This Row],[U.P]]+MIP[[#This Row],[S.B]]-MIP[[#This Row],[P.E]])</f>
        <v>3.6805555555555647E-2</v>
      </c>
      <c r="V40" s="41">
        <f>MIP[[#This Row],[Eficiência]]</f>
        <v>0.93159241169919216</v>
      </c>
      <c r="W4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0" s="39">
        <f>IF(MIP[[#This Row],[P.S]]-MIP[[#This Row],[P.E]]&lt;0,1+MIP[[#This Row],[P.S]]-MIP[[#This Row],[P.E]]-1/24,MIP[[#This Row],[P.S]]-MIP[[#This Row],[P.E]]-1/24)</f>
        <v>0.35208333333333347</v>
      </c>
      <c r="Y40" s="39">
        <f>MIP[[#This Row],[PT-1]]*$S$3+MIP[[#This Row],[PT-2]]*$T$3+MIP[[#This Row],[PT-3]]*$U$3+MIP[[#This Row],[PT &gt; 3 Pontos]]*$V$3</f>
        <v>0.29371038535516203</v>
      </c>
      <c r="Z40" s="39">
        <f>MIP[[#This Row],[HH disponível]]-MIP[[#This Row],[HH AC TOT]]</f>
        <v>0.31527777777777782</v>
      </c>
      <c r="AA40" s="38">
        <f>MIP[[#This Row],[HH Produtivo
Total]]/MIP[[#This Row],[HH Trabalhado]]</f>
        <v>0.93159241169919216</v>
      </c>
      <c r="AB40" s="38">
        <f>MIP[[#This Row],[HH Produtivo
Total]]/MIP[[#This Row],[HH disponível]]</f>
        <v>0.83420701165963151</v>
      </c>
      <c r="AC40" s="38">
        <f>MIP[[#This Row],[HH Trabalhado]]/MIP[[#This Row],[HH disponível]]</f>
        <v>0.89546351084812603</v>
      </c>
      <c r="AD40" s="37" t="str">
        <f>LEFT(MIP[[#This Row],[Equipe]], SEARCH("/",MIP[[#This Row],[Equipe]],1)-1)</f>
        <v xml:space="preserve">ADEMÁRIO </v>
      </c>
      <c r="AE40" s="37" t="str">
        <f>RIGHT(MIP[[#This Row],[Equipe]], LEN(MIP[[#This Row],[Equipe]])-SEARCH("/",MIP[[#This Row],[Equipe]],1))</f>
        <v xml:space="preserve"> ANDERSON</v>
      </c>
      <c r="AF40" s="44">
        <f>COUNTIFS('[1]Tempo parado'!H:H,"&gt;="&amp;MIP[[#This Row],[S.B Sitrack]],'[1]Tempo parado'!I:I,"&lt;="&amp;MIP[[#This Row],[C.B Sitrack]],'[1]Tempo parado'!B:B,MIP[[#This Row],[Placa]])</f>
        <v>0</v>
      </c>
      <c r="AG40" s="36"/>
      <c r="AH40" s="35"/>
      <c r="AI40" s="34"/>
      <c r="AJ40" s="34"/>
      <c r="AK4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0" s="32">
        <f>SUMIFS('[1]Tempo parado'!J:J,'[1]Tempo parado'!H:H,"&gt;="&amp;MIP[[#This Row],[S.B Sitrack]],'[1]Tempo parado'!I:I,"&lt;="&amp;MIP[[#This Row],[C.B Sitrack]],'[1]Tempo parado'!B:B,MIP[[#This Row],[Placa]])</f>
        <v>0</v>
      </c>
      <c r="AN40" s="32" t="str">
        <f>IFERROR(MIP[[#This Row],[Tempo parado]]/(MIP[[#This Row],[C.B Sitrack]]-MIP[[#This Row],[S.B Sitrack]]),"")</f>
        <v/>
      </c>
      <c r="AO40" s="30"/>
      <c r="AP40" s="44">
        <f>IF(AND(MIP[Exc]=0,MIP[Previsto / Realizado]="Realizado"),MIP[Sem],0)</f>
        <v>20</v>
      </c>
      <c r="AQ40" s="29">
        <f>IF(AND(MIP[Exc]=0,MIP[Previsto / Realizado]="Realizado",ISBLANK(MIP[[#This Row],[S.B Sitrack]])=FALSE,ISBLANK(MIP[[#This Row],[C.B Sitrack]])=FALSE),MIP[Sem],0)</f>
        <v>0</v>
      </c>
    </row>
    <row r="41" spans="1:43" x14ac:dyDescent="0.25">
      <c r="B41" s="44">
        <f>WEEKNUM(MIP[[#This Row],[Data]])</f>
        <v>20</v>
      </c>
      <c r="C41" s="45">
        <v>42873</v>
      </c>
      <c r="D41" s="45"/>
      <c r="E41" s="35" t="s">
        <v>460</v>
      </c>
      <c r="F41" s="35" t="s">
        <v>5</v>
      </c>
      <c r="G41" s="35"/>
      <c r="H41" s="44">
        <v>2</v>
      </c>
      <c r="I41" s="44">
        <v>5</v>
      </c>
      <c r="J41" s="44">
        <v>2</v>
      </c>
      <c r="K41" s="44">
        <v>1</v>
      </c>
      <c r="L41" s="44">
        <v>4</v>
      </c>
      <c r="M41" s="43">
        <v>0.25</v>
      </c>
      <c r="N41" s="43">
        <v>0.27083333333333331</v>
      </c>
      <c r="O41" s="43">
        <v>0.63750000000000007</v>
      </c>
      <c r="P41" s="43">
        <v>0.65833333333333333</v>
      </c>
      <c r="Q41" s="39"/>
      <c r="R41" s="42"/>
      <c r="S41" s="44">
        <f>MIP[[#This Row],[PT-1]]+MIP[[#This Row],[PT-2]]*2+MIP[[#This Row],[PT-3]]*3+MIP[[#This Row],[PT &gt; 3 Pontos]]</f>
        <v>16</v>
      </c>
      <c r="T4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41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41" s="41">
        <f>MIP[[#This Row],[Eficiência]]</f>
        <v>1.097632368526088</v>
      </c>
      <c r="W4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1" s="39">
        <f>IF(MIP[[#This Row],[P.S]]-MIP[[#This Row],[P.E]]&lt;0,1+MIP[[#This Row],[P.S]]-MIP[[#This Row],[P.E]]-1/24,MIP[[#This Row],[P.S]]-MIP[[#This Row],[P.E]]-1/24)</f>
        <v>0.36666666666666664</v>
      </c>
      <c r="Y41" s="39">
        <f>MIP[[#This Row],[PT-1]]*$S$3+MIP[[#This Row],[PT-2]]*$T$3+MIP[[#This Row],[PT-3]]*$U$3+MIP[[#This Row],[PT &gt; 3 Pontos]]*$V$3</f>
        <v>0.35673051977097869</v>
      </c>
      <c r="Z41" s="39">
        <f>MIP[[#This Row],[HH disponível]]-MIP[[#This Row],[HH AC TOT]]</f>
        <v>0.32500000000000007</v>
      </c>
      <c r="AA41" s="38">
        <f>MIP[[#This Row],[HH Produtivo
Total]]/MIP[[#This Row],[HH Trabalhado]]</f>
        <v>1.097632368526088</v>
      </c>
      <c r="AB41" s="38">
        <f>MIP[[#This Row],[HH Produtivo
Total]]/MIP[[#This Row],[HH disponível]]</f>
        <v>0.97290141755721471</v>
      </c>
      <c r="AC41" s="38">
        <f>MIP[[#This Row],[HH Trabalhado]]/MIP[[#This Row],[HH disponível]]</f>
        <v>0.88636363636363658</v>
      </c>
      <c r="AD41" s="37" t="str">
        <f>LEFT(MIP[[#This Row],[Equipe]], SEARCH("/",MIP[[#This Row],[Equipe]],1)-1)</f>
        <v xml:space="preserve">Joilson </v>
      </c>
      <c r="AE41" s="37" t="str">
        <f>RIGHT(MIP[[#This Row],[Equipe]], LEN(MIP[[#This Row],[Equipe]])-SEARCH("/",MIP[[#This Row],[Equipe]],1))</f>
        <v xml:space="preserve"> Diego</v>
      </c>
      <c r="AF41" s="44">
        <f>COUNTIFS('[1]Tempo parado'!H:H,"&gt;="&amp;MIP[[#This Row],[S.B Sitrack]],'[1]Tempo parado'!I:I,"&lt;="&amp;MIP[[#This Row],[C.B Sitrack]],'[1]Tempo parado'!B:B,MIP[[#This Row],[Placa]])</f>
        <v>0</v>
      </c>
      <c r="AG41" s="36"/>
      <c r="AH41" s="35"/>
      <c r="AI41" s="34"/>
      <c r="AJ41" s="34"/>
      <c r="AK4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1" s="32">
        <f>SUMIFS('[1]Tempo parado'!J:J,'[1]Tempo parado'!H:H,"&gt;="&amp;MIP[[#This Row],[S.B Sitrack]],'[1]Tempo parado'!I:I,"&lt;="&amp;MIP[[#This Row],[C.B Sitrack]],'[1]Tempo parado'!B:B,MIP[[#This Row],[Placa]])</f>
        <v>0</v>
      </c>
      <c r="AN41" s="32" t="str">
        <f>IFERROR(MIP[[#This Row],[Tempo parado]]/(MIP[[#This Row],[C.B Sitrack]]-MIP[[#This Row],[S.B Sitrack]]),"")</f>
        <v/>
      </c>
      <c r="AO41" s="30"/>
      <c r="AP41" s="44">
        <f>IF(AND(MIP[Exc]=0,MIP[Previsto / Realizado]="Realizado"),MIP[Sem],0)</f>
        <v>0</v>
      </c>
      <c r="AQ41" s="29">
        <f>IF(AND(MIP[Exc]=0,MIP[Previsto / Realizado]="Realizado",ISBLANK(MIP[[#This Row],[S.B Sitrack]])=FALSE,ISBLANK(MIP[[#This Row],[C.B Sitrack]])=FALSE),MIP[Sem],0)</f>
        <v>0</v>
      </c>
    </row>
    <row r="42" spans="1:43" x14ac:dyDescent="0.25">
      <c r="B42" s="44">
        <f>WEEKNUM(MIP[[#This Row],[Data]])</f>
        <v>20</v>
      </c>
      <c r="C42" s="45">
        <v>42873</v>
      </c>
      <c r="D42" s="45"/>
      <c r="E42" s="35" t="s">
        <v>460</v>
      </c>
      <c r="F42" s="35" t="s">
        <v>2</v>
      </c>
      <c r="G42" s="35"/>
      <c r="H42" s="44">
        <v>2</v>
      </c>
      <c r="I42" s="44">
        <v>2</v>
      </c>
      <c r="J42" s="44">
        <v>2</v>
      </c>
      <c r="K42" s="44">
        <v>1</v>
      </c>
      <c r="L42" s="44">
        <v>3</v>
      </c>
      <c r="M42" s="43">
        <v>0.24513888888888888</v>
      </c>
      <c r="N42" s="43">
        <v>0.30555555555555552</v>
      </c>
      <c r="O42" s="43">
        <v>0.6166666666666667</v>
      </c>
      <c r="P42" s="43">
        <v>0.66875000000000007</v>
      </c>
      <c r="Q42" s="39"/>
      <c r="R42" s="42" t="s">
        <v>464</v>
      </c>
      <c r="S42" s="44">
        <f>MIP[[#This Row],[PT-1]]+MIP[[#This Row],[PT-2]]*2+MIP[[#This Row],[PT-3]]*3+MIP[[#This Row],[PT &gt; 3 Pontos]]</f>
        <v>12</v>
      </c>
      <c r="T4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0.11250000000000002</v>
      </c>
      <c r="U42" s="39">
        <f>IF(MIP[[#This Row],[P.S]]-MIP[[#This Row],[U.P]]&gt;=0,MIP[[#This Row],[P.S]]-MIP[[#This Row],[U.P]]+MIP[[#This Row],[S.B]]-MIP[[#This Row],[P.E]],1+MIP[[#This Row],[P.S]]-MIP[[#This Row],[U.P]]+MIP[[#This Row],[S.B]]-MIP[[#This Row],[P.E]])</f>
        <v>0.11250000000000002</v>
      </c>
      <c r="V42" s="41">
        <f>MIP[[#This Row],[Eficiência]]</f>
        <v>0.97016270108073099</v>
      </c>
      <c r="W4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2" s="39">
        <f>IF(MIP[[#This Row],[P.S]]-MIP[[#This Row],[P.E]]&lt;0,1+MIP[[#This Row],[P.S]]-MIP[[#This Row],[P.E]]-1/24,MIP[[#This Row],[P.S]]-MIP[[#This Row],[P.E]]-1/24)</f>
        <v>0.38194444444444448</v>
      </c>
      <c r="Y42" s="39">
        <f>MIP[[#This Row],[PT-1]]*$S$3+MIP[[#This Row],[PT-2]]*$T$3+MIP[[#This Row],[PT-3]]*$U$3+MIP[[#This Row],[PT &gt; 3 Pontos]]*$V$3</f>
        <v>0.26140495001341923</v>
      </c>
      <c r="Z42" s="39">
        <f>MIP[[#This Row],[HH disponível]]-MIP[[#This Row],[HH AC TOT]]</f>
        <v>0.26944444444444449</v>
      </c>
      <c r="AA42" s="38">
        <f>MIP[[#This Row],[HH Produtivo
Total]]/MIP[[#This Row],[HH Trabalhado]]</f>
        <v>0.97016270108073099</v>
      </c>
      <c r="AB42" s="38">
        <f>MIP[[#This Row],[HH Produtivo
Total]]/MIP[[#This Row],[HH disponível]]</f>
        <v>0.68440568730786122</v>
      </c>
      <c r="AC42" s="38">
        <f>MIP[[#This Row],[HH Trabalhado]]/MIP[[#This Row],[HH disponível]]</f>
        <v>0.70545454545454556</v>
      </c>
      <c r="AD42" s="37" t="str">
        <f>LEFT(MIP[[#This Row],[Equipe]], SEARCH("/",MIP[[#This Row],[Equipe]],1)-1)</f>
        <v xml:space="preserve">Joilson </v>
      </c>
      <c r="AE42" s="37" t="str">
        <f>RIGHT(MIP[[#This Row],[Equipe]], LEN(MIP[[#This Row],[Equipe]])-SEARCH("/",MIP[[#This Row],[Equipe]],1))</f>
        <v xml:space="preserve"> Diego</v>
      </c>
      <c r="AF42" s="44">
        <f>COUNTIFS('[1]Tempo parado'!H:H,"&gt;="&amp;MIP[[#This Row],[S.B Sitrack]],'[1]Tempo parado'!I:I,"&lt;="&amp;MIP[[#This Row],[C.B Sitrack]],'[1]Tempo parado'!B:B,MIP[[#This Row],[Placa]])</f>
        <v>0</v>
      </c>
      <c r="AG42" s="36"/>
      <c r="AH42" s="35"/>
      <c r="AI42" s="34"/>
      <c r="AJ42" s="34"/>
      <c r="AK4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2" s="32">
        <f>SUMIFS('[1]Tempo parado'!J:J,'[1]Tempo parado'!H:H,"&gt;="&amp;MIP[[#This Row],[S.B Sitrack]],'[1]Tempo parado'!I:I,"&lt;="&amp;MIP[[#This Row],[C.B Sitrack]],'[1]Tempo parado'!B:B,MIP[[#This Row],[Placa]])</f>
        <v>0</v>
      </c>
      <c r="AN42" s="32" t="str">
        <f>IFERROR(MIP[[#This Row],[Tempo parado]]/(MIP[[#This Row],[C.B Sitrack]]-MIP[[#This Row],[S.B Sitrack]]),"")</f>
        <v/>
      </c>
      <c r="AO42" s="30"/>
      <c r="AP42" s="44">
        <f>IF(AND(MIP[Exc]=0,MIP[Previsto / Realizado]="Realizado"),MIP[Sem],0)</f>
        <v>20</v>
      </c>
      <c r="AQ42" s="29">
        <f>IF(AND(MIP[Exc]=0,MIP[Previsto / Realizado]="Realizado",ISBLANK(MIP[[#This Row],[S.B Sitrack]])=FALSE,ISBLANK(MIP[[#This Row],[C.B Sitrack]])=FALSE),MIP[Sem],0)</f>
        <v>0</v>
      </c>
    </row>
    <row r="43" spans="1:43" s="47" customFormat="1" x14ac:dyDescent="0.25">
      <c r="A43" s="11"/>
      <c r="B43" s="44">
        <f>WEEKNUM(MIP[[#This Row],[Data]])</f>
        <v>20</v>
      </c>
      <c r="C43" s="45">
        <v>42873</v>
      </c>
      <c r="D43" s="45"/>
      <c r="E43" s="83" t="s">
        <v>463</v>
      </c>
      <c r="F43" s="35" t="s">
        <v>5</v>
      </c>
      <c r="G43" s="83"/>
      <c r="H43" s="44">
        <v>2</v>
      </c>
      <c r="I43" s="44">
        <v>6</v>
      </c>
      <c r="J43" s="44">
        <v>0</v>
      </c>
      <c r="K43" s="44">
        <v>0</v>
      </c>
      <c r="L43" s="44">
        <v>9</v>
      </c>
      <c r="M43" s="43">
        <v>0.625</v>
      </c>
      <c r="N43" s="43">
        <v>0.64583333333333337</v>
      </c>
      <c r="O43" s="43">
        <f>1+18/24/60</f>
        <v>1.0125</v>
      </c>
      <c r="P43" s="43">
        <f>1+48/24/60</f>
        <v>1.0333333333333334</v>
      </c>
      <c r="Q43" s="39"/>
      <c r="R43" s="42"/>
      <c r="S43" s="44">
        <f>MIP[[#This Row],[PT-1]]+MIP[[#This Row],[PT-2]]*2+MIP[[#This Row],[PT-3]]*3+MIP[[#This Row],[PT &gt; 3 Pontos]]</f>
        <v>15</v>
      </c>
      <c r="T4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43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43" s="41">
        <f>MIP[[#This Row],[Eficiência]]</f>
        <v>1.0227298944010903</v>
      </c>
      <c r="W4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3" s="39">
        <f>IF(MIP[[#This Row],[P.S]]-MIP[[#This Row],[P.E]]&lt;0,1+MIP[[#This Row],[P.S]]-MIP[[#This Row],[P.E]]-1/24,MIP[[#This Row],[P.S]]-MIP[[#This Row],[P.E]]-1/24)</f>
        <v>0.36666666666666675</v>
      </c>
      <c r="Y43" s="39">
        <f>MIP[[#This Row],[PT-1]]*$S$3+MIP[[#This Row],[PT-2]]*$T$3+MIP[[#This Row],[PT-3]]*$U$3+MIP[[#This Row],[PT &gt; 3 Pontos]]*$V$3</f>
        <v>0.33238721568035423</v>
      </c>
      <c r="Z43" s="39">
        <f>MIP[[#This Row],[HH disponível]]-MIP[[#This Row],[HH AC TOT]]</f>
        <v>0.3249999999999999</v>
      </c>
      <c r="AA43" s="38">
        <f>MIP[[#This Row],[HH Produtivo
Total]]/MIP[[#This Row],[HH Trabalhado]]</f>
        <v>1.0227298944010903</v>
      </c>
      <c r="AB43" s="38">
        <f>MIP[[#This Row],[HH Produtivo
Total]]/MIP[[#This Row],[HH disponível]]</f>
        <v>0.90651058821914765</v>
      </c>
      <c r="AC43" s="38">
        <f>MIP[[#This Row],[HH Trabalhado]]/MIP[[#This Row],[HH disponível]]</f>
        <v>0.88636363636363591</v>
      </c>
      <c r="AD43" s="37" t="str">
        <f>LEFT(MIP[[#This Row],[Equipe]], SEARCH("/",MIP[[#This Row],[Equipe]],1)-1)</f>
        <v xml:space="preserve">EDILTON </v>
      </c>
      <c r="AE43" s="37" t="str">
        <f>RIGHT(MIP[[#This Row],[Equipe]], LEN(MIP[[#This Row],[Equipe]])-SEARCH("/",MIP[[#This Row],[Equipe]],1))</f>
        <v xml:space="preserve"> CLAUDINEY</v>
      </c>
      <c r="AF43" s="44">
        <f>COUNTIFS('[1]Tempo parado'!H:H,"&gt;="&amp;MIP[[#This Row],[S.B Sitrack]],'[1]Tempo parado'!I:I,"&lt;="&amp;MIP[[#This Row],[C.B Sitrack]],'[1]Tempo parado'!B:B,MIP[[#This Row],[Placa]])</f>
        <v>0</v>
      </c>
      <c r="AG43" s="36"/>
      <c r="AH43" s="35"/>
      <c r="AI43" s="34"/>
      <c r="AJ43" s="34"/>
      <c r="AK4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3" s="32">
        <f>SUMIFS('[1]Tempo parado'!J:J,'[1]Tempo parado'!H:H,"&gt;="&amp;MIP[[#This Row],[S.B Sitrack]],'[1]Tempo parado'!I:I,"&lt;="&amp;MIP[[#This Row],[C.B Sitrack]],'[1]Tempo parado'!B:B,MIP[[#This Row],[Placa]])</f>
        <v>0</v>
      </c>
      <c r="AN43" s="32" t="str">
        <f>IFERROR(MIP[[#This Row],[Tempo parado]]/(MIP[[#This Row],[C.B Sitrack]]-MIP[[#This Row],[S.B Sitrack]]),"")</f>
        <v/>
      </c>
      <c r="AO43" s="30"/>
      <c r="AP43" s="44">
        <f>IF(AND(MIP[Exc]=0,MIP[Previsto / Realizado]="Realizado"),MIP[Sem],0)</f>
        <v>0</v>
      </c>
      <c r="AQ43" s="29">
        <f>IF(AND(MIP[Exc]=0,MIP[Previsto / Realizado]="Realizado",ISBLANK(MIP[[#This Row],[S.B Sitrack]])=FALSE,ISBLANK(MIP[[#This Row],[C.B Sitrack]])=FALSE),MIP[Sem],0)</f>
        <v>0</v>
      </c>
    </row>
    <row r="44" spans="1:43" s="64" customFormat="1" x14ac:dyDescent="0.25">
      <c r="A44" s="11"/>
      <c r="B44" s="44">
        <f>WEEKNUM(MIP[[#This Row],[Data]])</f>
        <v>20</v>
      </c>
      <c r="C44" s="45">
        <v>42873</v>
      </c>
      <c r="D44" s="45"/>
      <c r="E44" s="83" t="s">
        <v>463</v>
      </c>
      <c r="F44" s="35" t="s">
        <v>2</v>
      </c>
      <c r="G44" s="83"/>
      <c r="H44" s="44">
        <v>2</v>
      </c>
      <c r="I44" s="44">
        <v>4</v>
      </c>
      <c r="J44" s="44">
        <v>1</v>
      </c>
      <c r="K44" s="44">
        <v>2</v>
      </c>
      <c r="L44" s="44">
        <v>0</v>
      </c>
      <c r="M44" s="43">
        <v>0.64097222222222217</v>
      </c>
      <c r="N44" s="43">
        <v>0.67361111111111116</v>
      </c>
      <c r="O44" s="43">
        <f>1+20/24/60</f>
        <v>1.0138888888888888</v>
      </c>
      <c r="P44" s="43">
        <f>1+48/24/60</f>
        <v>1.0333333333333334</v>
      </c>
      <c r="Q44" s="39"/>
      <c r="R44" s="42" t="s">
        <v>462</v>
      </c>
      <c r="S44" s="44">
        <f>MIP[[#This Row],[PT-1]]+MIP[[#This Row],[PT-2]]*2+MIP[[#This Row],[PT-3]]*3+MIP[[#This Row],[PT &gt; 3 Pontos]]</f>
        <v>12</v>
      </c>
      <c r="T4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5.2083333333333592E-2</v>
      </c>
      <c r="U44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5.2083333333333592E-2</v>
      </c>
      <c r="V44" s="41">
        <f>MIP[[#This Row],[Eficiência]]</f>
        <v>0.90283156386922836</v>
      </c>
      <c r="W4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4" s="39">
        <f>IF(MIP[[#This Row],[P.S]]-MIP[[#This Row],[P.E]]&lt;0,1+MIP[[#This Row],[P.S]]-MIP[[#This Row],[P.E]]-1/24,MIP[[#This Row],[P.S]]-MIP[[#This Row],[P.E]]-1/24)</f>
        <v>0.35069444444444459</v>
      </c>
      <c r="Y44" s="39">
        <f>MIP[[#This Row],[PT-1]]*$S$3+MIP[[#This Row],[PT-2]]*$T$3+MIP[[#This Row],[PT-3]]*$U$3+MIP[[#This Row],[PT &gt; 3 Pontos]]*$V$3</f>
        <v>0.26959553643317224</v>
      </c>
      <c r="Z44" s="39">
        <f>MIP[[#This Row],[HH disponível]]-MIP[[#This Row],[HH AC TOT]]</f>
        <v>0.29861111111111099</v>
      </c>
      <c r="AA44" s="38">
        <f>MIP[[#This Row],[HH Produtivo
Total]]/MIP[[#This Row],[HH Trabalhado]]</f>
        <v>0.90283156386922836</v>
      </c>
      <c r="AB44" s="38">
        <f>MIP[[#This Row],[HH Produtivo
Total]]/MIP[[#This Row],[HH disponível]]</f>
        <v>0.76874766824508489</v>
      </c>
      <c r="AC44" s="38">
        <f>MIP[[#This Row],[HH Trabalhado]]/MIP[[#This Row],[HH disponível]]</f>
        <v>0.8514851485148508</v>
      </c>
      <c r="AD44" s="37" t="str">
        <f>LEFT(MIP[[#This Row],[Equipe]], SEARCH("/",MIP[[#This Row],[Equipe]],1)-1)</f>
        <v xml:space="preserve">EDILTON </v>
      </c>
      <c r="AE44" s="37" t="str">
        <f>RIGHT(MIP[[#This Row],[Equipe]], LEN(MIP[[#This Row],[Equipe]])-SEARCH("/",MIP[[#This Row],[Equipe]],1))</f>
        <v xml:space="preserve"> CLAUDINEY</v>
      </c>
      <c r="AF44" s="44">
        <f>COUNTIFS('[1]Tempo parado'!H:H,"&gt;="&amp;MIP[[#This Row],[S.B Sitrack]],'[1]Tempo parado'!I:I,"&lt;="&amp;MIP[[#This Row],[C.B Sitrack]],'[1]Tempo parado'!B:B,MIP[[#This Row],[Placa]])</f>
        <v>0</v>
      </c>
      <c r="AG44" s="36"/>
      <c r="AH44" s="35"/>
      <c r="AI44" s="34"/>
      <c r="AJ44" s="34"/>
      <c r="AK4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4" s="32">
        <f>SUMIFS('[1]Tempo parado'!J:J,'[1]Tempo parado'!H:H,"&gt;="&amp;MIP[[#This Row],[S.B Sitrack]],'[1]Tempo parado'!I:I,"&lt;="&amp;MIP[[#This Row],[C.B Sitrack]],'[1]Tempo parado'!B:B,MIP[[#This Row],[Placa]])</f>
        <v>0</v>
      </c>
      <c r="AN44" s="32" t="str">
        <f>IFERROR(MIP[[#This Row],[Tempo parado]]/(MIP[[#This Row],[C.B Sitrack]]-MIP[[#This Row],[S.B Sitrack]]),"")</f>
        <v/>
      </c>
      <c r="AO44" s="30"/>
      <c r="AP44" s="44">
        <f>IF(AND(MIP[Exc]=0,MIP[Previsto / Realizado]="Realizado"),MIP[Sem],0)</f>
        <v>20</v>
      </c>
      <c r="AQ44" s="29">
        <f>IF(AND(MIP[Exc]=0,MIP[Previsto / Realizado]="Realizado",ISBLANK(MIP[[#This Row],[S.B Sitrack]])=FALSE,ISBLANK(MIP[[#This Row],[C.B Sitrack]])=FALSE),MIP[Sem],0)</f>
        <v>0</v>
      </c>
    </row>
    <row r="45" spans="1:43" s="85" customFormat="1" x14ac:dyDescent="0.25">
      <c r="A45" s="11"/>
      <c r="B45" s="44">
        <f>WEEKNUM(MIP[[#This Row],[Data]])</f>
        <v>20</v>
      </c>
      <c r="C45" s="45">
        <v>42873</v>
      </c>
      <c r="D45" s="45"/>
      <c r="E45" s="83" t="s">
        <v>439</v>
      </c>
      <c r="F45" s="35" t="s">
        <v>5</v>
      </c>
      <c r="G45" s="83"/>
      <c r="H45" s="44">
        <v>2</v>
      </c>
      <c r="I45" s="44">
        <v>9</v>
      </c>
      <c r="J45" s="44">
        <v>0</v>
      </c>
      <c r="K45" s="44">
        <v>2</v>
      </c>
      <c r="L45" s="44">
        <v>0</v>
      </c>
      <c r="M45" s="43">
        <v>0.625</v>
      </c>
      <c r="N45" s="43">
        <v>0.64583333333333337</v>
      </c>
      <c r="O45" s="43">
        <f>1+18/24/60</f>
        <v>1.0125</v>
      </c>
      <c r="P45" s="43">
        <f>1+48/24/60</f>
        <v>1.0333333333333334</v>
      </c>
      <c r="Q45" s="39"/>
      <c r="R45" s="42"/>
      <c r="S45" s="44">
        <f>MIP[[#This Row],[PT-1]]+MIP[[#This Row],[PT-2]]*2+MIP[[#This Row],[PT-3]]*3+MIP[[#This Row],[PT &gt; 3 Pontos]]</f>
        <v>15</v>
      </c>
      <c r="T4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45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45" s="41">
        <f>MIP[[#This Row],[Eficiência]]</f>
        <v>1.0794339542301499</v>
      </c>
      <c r="W4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5" s="39">
        <f>IF(MIP[[#This Row],[P.S]]-MIP[[#This Row],[P.E]]&lt;0,1+MIP[[#This Row],[P.S]]-MIP[[#This Row],[P.E]]-1/24,MIP[[#This Row],[P.S]]-MIP[[#This Row],[P.E]]-1/24)</f>
        <v>0.36666666666666675</v>
      </c>
      <c r="Y45" s="39">
        <f>MIP[[#This Row],[PT-1]]*$S$3+MIP[[#This Row],[PT-2]]*$T$3+MIP[[#This Row],[PT-3]]*$U$3+MIP[[#This Row],[PT &gt; 3 Pontos]]*$V$3</f>
        <v>0.35081603512479859</v>
      </c>
      <c r="Z45" s="39">
        <f>MIP[[#This Row],[HH disponível]]-MIP[[#This Row],[HH AC TOT]]</f>
        <v>0.3249999999999999</v>
      </c>
      <c r="AA45" s="38">
        <f>MIP[[#This Row],[HH Produtivo
Total]]/MIP[[#This Row],[HH Trabalhado]]</f>
        <v>1.0794339542301499</v>
      </c>
      <c r="AB45" s="38">
        <f>MIP[[#This Row],[HH Produtivo
Total]]/MIP[[#This Row],[HH disponível]]</f>
        <v>0.95677100488581412</v>
      </c>
      <c r="AC45" s="38">
        <f>MIP[[#This Row],[HH Trabalhado]]/MIP[[#This Row],[HH disponível]]</f>
        <v>0.88636363636363591</v>
      </c>
      <c r="AD45" s="37" t="str">
        <f>LEFT(MIP[[#This Row],[Equipe]], SEARCH("/",MIP[[#This Row],[Equipe]],1)-1)</f>
        <v xml:space="preserve">ADEMÁRIO </v>
      </c>
      <c r="AE45" s="37" t="str">
        <f>RIGHT(MIP[[#This Row],[Equipe]], LEN(MIP[[#This Row],[Equipe]])-SEARCH("/",MIP[[#This Row],[Equipe]],1))</f>
        <v xml:space="preserve"> ANDERSON</v>
      </c>
      <c r="AF45" s="44">
        <f>COUNTIFS('[1]Tempo parado'!H:H,"&gt;="&amp;MIP[[#This Row],[S.B Sitrack]],'[1]Tempo parado'!I:I,"&lt;="&amp;MIP[[#This Row],[C.B Sitrack]],'[1]Tempo parado'!B:B,MIP[[#This Row],[Placa]])</f>
        <v>0</v>
      </c>
      <c r="AG45" s="36"/>
      <c r="AH45" s="35"/>
      <c r="AI45" s="34"/>
      <c r="AJ45" s="34"/>
      <c r="AK4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5" s="32">
        <f>SUMIFS('[1]Tempo parado'!J:J,'[1]Tempo parado'!H:H,"&gt;="&amp;MIP[[#This Row],[S.B Sitrack]],'[1]Tempo parado'!I:I,"&lt;="&amp;MIP[[#This Row],[C.B Sitrack]],'[1]Tempo parado'!B:B,MIP[[#This Row],[Placa]])</f>
        <v>0</v>
      </c>
      <c r="AN45" s="32" t="str">
        <f>IFERROR(MIP[[#This Row],[Tempo parado]]/(MIP[[#This Row],[C.B Sitrack]]-MIP[[#This Row],[S.B Sitrack]]),"")</f>
        <v/>
      </c>
      <c r="AO45" s="30"/>
      <c r="AP45" s="44">
        <f>IF(AND(MIP[Exc]=0,MIP[Previsto / Realizado]="Realizado"),MIP[Sem],0)</f>
        <v>0</v>
      </c>
      <c r="AQ45" s="29">
        <f>IF(AND(MIP[Exc]=0,MIP[Previsto / Realizado]="Realizado",ISBLANK(MIP[[#This Row],[S.B Sitrack]])=FALSE,ISBLANK(MIP[[#This Row],[C.B Sitrack]])=FALSE),MIP[Sem],0)</f>
        <v>0</v>
      </c>
    </row>
    <row r="46" spans="1:43" s="64" customFormat="1" x14ac:dyDescent="0.25">
      <c r="A46" s="11"/>
      <c r="B46" s="44">
        <f>WEEKNUM(MIP[[#This Row],[Data]])</f>
        <v>20</v>
      </c>
      <c r="C46" s="45">
        <v>42873</v>
      </c>
      <c r="D46" s="45"/>
      <c r="E46" s="83" t="s">
        <v>439</v>
      </c>
      <c r="F46" s="35" t="s">
        <v>2</v>
      </c>
      <c r="G46" s="83"/>
      <c r="H46" s="44">
        <v>2</v>
      </c>
      <c r="I46" s="44">
        <v>2</v>
      </c>
      <c r="J46" s="44">
        <v>1</v>
      </c>
      <c r="K46" s="44">
        <v>0</v>
      </c>
      <c r="L46" s="44">
        <v>4</v>
      </c>
      <c r="M46" s="43">
        <v>0.63263888888888886</v>
      </c>
      <c r="N46" s="43">
        <v>0.6791666666666667</v>
      </c>
      <c r="O46" s="43">
        <f>1+26/24/60</f>
        <v>1.0180555555555555</v>
      </c>
      <c r="P46" s="43">
        <f>1+57/24/60</f>
        <v>1.0395833333333333</v>
      </c>
      <c r="Q46" s="39"/>
      <c r="R46" s="42" t="s">
        <v>461</v>
      </c>
      <c r="S46" s="44">
        <f>MIP[[#This Row],[PT-1]]+MIP[[#This Row],[PT-2]]*2+MIP[[#This Row],[PT-3]]*3+MIP[[#This Row],[PT &gt; 3 Pontos]]</f>
        <v>8</v>
      </c>
      <c r="T4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6.8055555555555647E-2</v>
      </c>
      <c r="U46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6.8055555555555647E-2</v>
      </c>
      <c r="V46" s="41">
        <f>MIP[[#This Row],[Eficiência]]</f>
        <v>0.58862528594217978</v>
      </c>
      <c r="W4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6" s="39">
        <f>IF(MIP[[#This Row],[P.S]]-MIP[[#This Row],[P.E]]&lt;0,1+MIP[[#This Row],[P.S]]-MIP[[#This Row],[P.E]]-1/24,MIP[[#This Row],[P.S]]-MIP[[#This Row],[P.E]]-1/24)</f>
        <v>0.36527777777777776</v>
      </c>
      <c r="Y46" s="39">
        <f>MIP[[#This Row],[PT-1]]*$S$3+MIP[[#This Row],[PT-2]]*$T$3+MIP[[#This Row],[PT-3]]*$U$3+MIP[[#This Row],[PT &gt; 3 Pontos]]*$V$3</f>
        <v>0.17495251554392557</v>
      </c>
      <c r="Z46" s="39">
        <f>MIP[[#This Row],[HH disponível]]-MIP[[#This Row],[HH AC TOT]]</f>
        <v>0.29722222222222211</v>
      </c>
      <c r="AA46" s="38">
        <f>MIP[[#This Row],[HH Produtivo
Total]]/MIP[[#This Row],[HH Trabalhado]]</f>
        <v>0.58862528594217978</v>
      </c>
      <c r="AB46" s="38">
        <f>MIP[[#This Row],[HH Produtivo
Total]]/MIP[[#This Row],[HH disponível]]</f>
        <v>0.47895745700238185</v>
      </c>
      <c r="AC46" s="38">
        <f>MIP[[#This Row],[HH Trabalhado]]/MIP[[#This Row],[HH disponível]]</f>
        <v>0.81368821292775639</v>
      </c>
      <c r="AD46" s="37" t="str">
        <f>LEFT(MIP[[#This Row],[Equipe]], SEARCH("/",MIP[[#This Row],[Equipe]],1)-1)</f>
        <v xml:space="preserve">ADEMÁRIO </v>
      </c>
      <c r="AE46" s="37" t="str">
        <f>RIGHT(MIP[[#This Row],[Equipe]], LEN(MIP[[#This Row],[Equipe]])-SEARCH("/",MIP[[#This Row],[Equipe]],1))</f>
        <v xml:space="preserve"> ANDERSON</v>
      </c>
      <c r="AF46" s="44">
        <f>COUNTIFS('[1]Tempo parado'!H:H,"&gt;="&amp;MIP[[#This Row],[S.B Sitrack]],'[1]Tempo parado'!I:I,"&lt;="&amp;MIP[[#This Row],[C.B Sitrack]],'[1]Tempo parado'!B:B,MIP[[#This Row],[Placa]])</f>
        <v>0</v>
      </c>
      <c r="AG46" s="36"/>
      <c r="AH46" s="35"/>
      <c r="AI46" s="34"/>
      <c r="AJ46" s="34"/>
      <c r="AK4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6" s="32">
        <f>SUMIFS('[1]Tempo parado'!J:J,'[1]Tempo parado'!H:H,"&gt;="&amp;MIP[[#This Row],[S.B Sitrack]],'[1]Tempo parado'!I:I,"&lt;="&amp;MIP[[#This Row],[C.B Sitrack]],'[1]Tempo parado'!B:B,MIP[[#This Row],[Placa]])</f>
        <v>0</v>
      </c>
      <c r="AN46" s="32" t="str">
        <f>IFERROR(MIP[[#This Row],[Tempo parado]]/(MIP[[#This Row],[C.B Sitrack]]-MIP[[#This Row],[S.B Sitrack]]),"")</f>
        <v/>
      </c>
      <c r="AO46" s="30"/>
      <c r="AP46" s="44">
        <f>IF(AND(MIP[Exc]=0,MIP[Previsto / Realizado]="Realizado"),MIP[Sem],0)</f>
        <v>20</v>
      </c>
      <c r="AQ46" s="29">
        <f>IF(AND(MIP[Exc]=0,MIP[Previsto / Realizado]="Realizado",ISBLANK(MIP[[#This Row],[S.B Sitrack]])=FALSE,ISBLANK(MIP[[#This Row],[C.B Sitrack]])=FALSE),MIP[Sem],0)</f>
        <v>0</v>
      </c>
    </row>
    <row r="47" spans="1:43" x14ac:dyDescent="0.25">
      <c r="B47" s="44">
        <f>WEEKNUM(MIP[[#This Row],[Data]])</f>
        <v>20</v>
      </c>
      <c r="C47" s="45">
        <v>42874</v>
      </c>
      <c r="D47" s="45"/>
      <c r="E47" s="35" t="s">
        <v>460</v>
      </c>
      <c r="F47" s="35" t="s">
        <v>5</v>
      </c>
      <c r="G47" s="35"/>
      <c r="H47" s="44">
        <v>2</v>
      </c>
      <c r="I47" s="44">
        <v>8</v>
      </c>
      <c r="J47" s="44">
        <v>2</v>
      </c>
      <c r="K47" s="44">
        <v>1</v>
      </c>
      <c r="L47" s="44">
        <v>0</v>
      </c>
      <c r="M47" s="43">
        <v>0.25</v>
      </c>
      <c r="N47" s="43">
        <v>0.27083333333333331</v>
      </c>
      <c r="O47" s="43">
        <v>0.63750000000000007</v>
      </c>
      <c r="P47" s="43">
        <v>0.65833333333333333</v>
      </c>
      <c r="Q47" s="39"/>
      <c r="R47" s="42"/>
      <c r="S47" s="44">
        <f>MIP[[#This Row],[PT-1]]+MIP[[#This Row],[PT-2]]*2+MIP[[#This Row],[PT-3]]*3+MIP[[#This Row],[PT &gt; 3 Pontos]]</f>
        <v>15</v>
      </c>
      <c r="T4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47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47" s="41">
        <f>MIP[[#This Row],[Eficiência]]</f>
        <v>1.0794339542301492</v>
      </c>
      <c r="W4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7" s="39">
        <f>IF(MIP[[#This Row],[P.S]]-MIP[[#This Row],[P.E]]&lt;0,1+MIP[[#This Row],[P.S]]-MIP[[#This Row],[P.E]]-1/24,MIP[[#This Row],[P.S]]-MIP[[#This Row],[P.E]]-1/24)</f>
        <v>0.36666666666666664</v>
      </c>
      <c r="Y47" s="39">
        <f>MIP[[#This Row],[PT-1]]*$S$3+MIP[[#This Row],[PT-2]]*$T$3+MIP[[#This Row],[PT-3]]*$U$3+MIP[[#This Row],[PT &gt; 3 Pontos]]*$V$3</f>
        <v>0.35081603512479859</v>
      </c>
      <c r="Z47" s="39">
        <f>MIP[[#This Row],[HH disponível]]-MIP[[#This Row],[HH AC TOT]]</f>
        <v>0.32500000000000007</v>
      </c>
      <c r="AA47" s="38">
        <f>MIP[[#This Row],[HH Produtivo
Total]]/MIP[[#This Row],[HH Trabalhado]]</f>
        <v>1.0794339542301492</v>
      </c>
      <c r="AB47" s="38">
        <f>MIP[[#This Row],[HH Produtivo
Total]]/MIP[[#This Row],[HH disponível]]</f>
        <v>0.95677100488581435</v>
      </c>
      <c r="AC47" s="38">
        <f>MIP[[#This Row],[HH Trabalhado]]/MIP[[#This Row],[HH disponível]]</f>
        <v>0.88636363636363658</v>
      </c>
      <c r="AD47" s="37" t="str">
        <f>LEFT(MIP[[#This Row],[Equipe]], SEARCH("/",MIP[[#This Row],[Equipe]],1)-1)</f>
        <v xml:space="preserve">Joilson </v>
      </c>
      <c r="AE47" s="37" t="str">
        <f>RIGHT(MIP[[#This Row],[Equipe]], LEN(MIP[[#This Row],[Equipe]])-SEARCH("/",MIP[[#This Row],[Equipe]],1))</f>
        <v xml:space="preserve"> Diego</v>
      </c>
      <c r="AF47" s="44">
        <f>COUNTIFS('[1]Tempo parado'!H:H,"&gt;="&amp;MIP[[#This Row],[S.B Sitrack]],'[1]Tempo parado'!I:I,"&lt;="&amp;MIP[[#This Row],[C.B Sitrack]],'[1]Tempo parado'!B:B,MIP[[#This Row],[Placa]])</f>
        <v>0</v>
      </c>
      <c r="AG47" s="36"/>
      <c r="AH47" s="35"/>
      <c r="AI47" s="34"/>
      <c r="AJ47" s="34"/>
      <c r="AK4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7" s="32">
        <f>SUMIFS('[1]Tempo parado'!J:J,'[1]Tempo parado'!H:H,"&gt;="&amp;MIP[[#This Row],[S.B Sitrack]],'[1]Tempo parado'!I:I,"&lt;="&amp;MIP[[#This Row],[C.B Sitrack]],'[1]Tempo parado'!B:B,MIP[[#This Row],[Placa]])</f>
        <v>0</v>
      </c>
      <c r="AN47" s="32" t="str">
        <f>IFERROR(MIP[[#This Row],[Tempo parado]]/(MIP[[#This Row],[C.B Sitrack]]-MIP[[#This Row],[S.B Sitrack]]),"")</f>
        <v/>
      </c>
      <c r="AO47" s="30"/>
      <c r="AP47" s="44">
        <f>IF(AND(MIP[Exc]=0,MIP[Previsto / Realizado]="Realizado"),MIP[Sem],0)</f>
        <v>0</v>
      </c>
      <c r="AQ47" s="29">
        <f>IF(AND(MIP[Exc]=0,MIP[Previsto / Realizado]="Realizado",ISBLANK(MIP[[#This Row],[S.B Sitrack]])=FALSE,ISBLANK(MIP[[#This Row],[C.B Sitrack]])=FALSE),MIP[Sem],0)</f>
        <v>0</v>
      </c>
    </row>
    <row r="48" spans="1:43" x14ac:dyDescent="0.25">
      <c r="B48" s="44">
        <f>WEEKNUM(MIP[[#This Row],[Data]])</f>
        <v>20</v>
      </c>
      <c r="C48" s="45">
        <v>42874</v>
      </c>
      <c r="D48" s="45"/>
      <c r="E48" s="35" t="s">
        <v>460</v>
      </c>
      <c r="F48" s="35" t="s">
        <v>2</v>
      </c>
      <c r="G48" s="35"/>
      <c r="H48" s="44">
        <v>2</v>
      </c>
      <c r="I48" s="44">
        <v>6</v>
      </c>
      <c r="J48" s="44">
        <v>3</v>
      </c>
      <c r="K48" s="86">
        <v>1</v>
      </c>
      <c r="L48" s="86">
        <v>1</v>
      </c>
      <c r="M48" s="43">
        <v>0.25694444444444448</v>
      </c>
      <c r="N48" s="43">
        <v>0.29722222222222222</v>
      </c>
      <c r="O48" s="43">
        <v>0.63541666666666663</v>
      </c>
      <c r="P48" s="43">
        <v>0.66805555555555562</v>
      </c>
      <c r="Q48" s="39"/>
      <c r="R48" s="42" t="s">
        <v>459</v>
      </c>
      <c r="S48" s="86">
        <f>MIP[[#This Row],[PT-1]]+MIP[[#This Row],[PT-2]]*2+MIP[[#This Row],[PT-3]]*3+MIP[[#This Row],[PT &gt; 3 Pontos]]</f>
        <v>16</v>
      </c>
      <c r="T4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7.2916666666666741E-2</v>
      </c>
      <c r="U48" s="39">
        <f>IF(MIP[[#This Row],[P.S]]-MIP[[#This Row],[U.P]]&gt;=0,MIP[[#This Row],[P.S]]-MIP[[#This Row],[U.P]]+MIP[[#This Row],[S.B]]-MIP[[#This Row],[P.E]],1+MIP[[#This Row],[P.S]]-MIP[[#This Row],[U.P]]+MIP[[#This Row],[S.B]]-MIP[[#This Row],[P.E]])</f>
        <v>7.2916666666666741E-2</v>
      </c>
      <c r="V48" s="41">
        <f>MIP[[#This Row],[Eficiência]]</f>
        <v>1.2306472901982524</v>
      </c>
      <c r="W4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8" s="39">
        <f>IF(MIP[[#This Row],[P.S]]-MIP[[#This Row],[P.E]]&lt;0,1+MIP[[#This Row],[P.S]]-MIP[[#This Row],[P.E]]-1/24,MIP[[#This Row],[P.S]]-MIP[[#This Row],[P.E]]-1/24)</f>
        <v>0.36944444444444446</v>
      </c>
      <c r="Y48" s="39">
        <f>MIP[[#This Row],[PT-1]]*$S$3+MIP[[#This Row],[PT-2]]*$T$3+MIP[[#This Row],[PT-3]]*$U$3+MIP[[#This Row],[PT &gt; 3 Pontos]]*$V$3</f>
        <v>0.3649211061907317</v>
      </c>
      <c r="Z48" s="39">
        <f>MIP[[#This Row],[HH disponível]]-MIP[[#This Row],[HH AC TOT]]</f>
        <v>0.29652777777777772</v>
      </c>
      <c r="AA48" s="38">
        <f>MIP[[#This Row],[HH Produtivo
Total]]/MIP[[#This Row],[HH Trabalhado]]</f>
        <v>1.2306472901982524</v>
      </c>
      <c r="AB48" s="38">
        <f>MIP[[#This Row],[HH Produtivo
Total]]/MIP[[#This Row],[HH disponível]]</f>
        <v>0.98775637765912339</v>
      </c>
      <c r="AC48" s="38">
        <f>MIP[[#This Row],[HH Trabalhado]]/MIP[[#This Row],[HH disponível]]</f>
        <v>0.80263157894736825</v>
      </c>
      <c r="AD48" s="37" t="str">
        <f>LEFT(MIP[[#This Row],[Equipe]], SEARCH("/",MIP[[#This Row],[Equipe]],1)-1)</f>
        <v xml:space="preserve">Joilson </v>
      </c>
      <c r="AE48" s="37" t="str">
        <f>RIGHT(MIP[[#This Row],[Equipe]], LEN(MIP[[#This Row],[Equipe]])-SEARCH("/",MIP[[#This Row],[Equipe]],1))</f>
        <v xml:space="preserve"> Diego</v>
      </c>
      <c r="AF48" s="44">
        <f>COUNTIFS('[1]Tempo parado'!H:H,"&gt;="&amp;MIP[[#This Row],[S.B Sitrack]],'[1]Tempo parado'!I:I,"&lt;="&amp;MIP[[#This Row],[C.B Sitrack]],'[1]Tempo parado'!B:B,MIP[[#This Row],[Placa]])</f>
        <v>0</v>
      </c>
      <c r="AG48" s="36"/>
      <c r="AH48" s="35"/>
      <c r="AI48" s="34"/>
      <c r="AJ48" s="34"/>
      <c r="AK4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8" s="32">
        <f>SUMIFS('[1]Tempo parado'!J:J,'[1]Tempo parado'!H:H,"&gt;="&amp;MIP[[#This Row],[S.B Sitrack]],'[1]Tempo parado'!I:I,"&lt;="&amp;MIP[[#This Row],[C.B Sitrack]],'[1]Tempo parado'!B:B,MIP[[#This Row],[Placa]])</f>
        <v>0</v>
      </c>
      <c r="AN48" s="32" t="str">
        <f>IFERROR(MIP[[#This Row],[Tempo parado]]/(MIP[[#This Row],[C.B Sitrack]]-MIP[[#This Row],[S.B Sitrack]]),"")</f>
        <v/>
      </c>
      <c r="AO48" s="30"/>
      <c r="AP48" s="44">
        <f>IF(AND(MIP[Exc]=0,MIP[Previsto / Realizado]="Realizado"),MIP[Sem],0)</f>
        <v>20</v>
      </c>
      <c r="AQ48" s="29">
        <f>IF(AND(MIP[Exc]=0,MIP[Previsto / Realizado]="Realizado",ISBLANK(MIP[[#This Row],[S.B Sitrack]])=FALSE,ISBLANK(MIP[[#This Row],[C.B Sitrack]])=FALSE),MIP[Sem],0)</f>
        <v>0</v>
      </c>
    </row>
    <row r="49" spans="1:43" x14ac:dyDescent="0.25">
      <c r="B49" s="44">
        <f>WEEKNUM(MIP[[#This Row],[Data]])</f>
        <v>20</v>
      </c>
      <c r="C49" s="45">
        <v>42874</v>
      </c>
      <c r="D49" s="45"/>
      <c r="E49" s="83" t="s">
        <v>439</v>
      </c>
      <c r="F49" s="35" t="s">
        <v>5</v>
      </c>
      <c r="G49" s="83"/>
      <c r="H49" s="44">
        <v>2</v>
      </c>
      <c r="I49" s="44">
        <v>14</v>
      </c>
      <c r="J49" s="44">
        <v>1</v>
      </c>
      <c r="K49" s="44">
        <v>0</v>
      </c>
      <c r="L49" s="44">
        <v>0</v>
      </c>
      <c r="M49" s="43">
        <v>0.625</v>
      </c>
      <c r="N49" s="43">
        <v>0.64583333333333337</v>
      </c>
      <c r="O49" s="43">
        <f>1+18/24/60</f>
        <v>1.0125</v>
      </c>
      <c r="P49" s="43">
        <f>1+48/24/60</f>
        <v>1.0333333333333334</v>
      </c>
      <c r="Q49" s="39"/>
      <c r="R49" s="42"/>
      <c r="S49" s="44">
        <f>MIP[[#This Row],[PT-1]]+MIP[[#This Row],[PT-2]]*2+MIP[[#This Row],[PT-3]]*3+MIP[[#This Row],[PT &gt; 3 Pontos]]</f>
        <v>16</v>
      </c>
      <c r="T4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49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49" s="41">
        <f>MIP[[#This Row],[Eficiência]]</f>
        <v>1.2131406385482471</v>
      </c>
      <c r="W4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9" s="39">
        <f>IF(MIP[[#This Row],[P.S]]-MIP[[#This Row],[P.E]]&lt;0,1+MIP[[#This Row],[P.S]]-MIP[[#This Row],[P.E]]-1/24,MIP[[#This Row],[P.S]]-MIP[[#This Row],[P.E]]-1/24)</f>
        <v>0.36666666666666675</v>
      </c>
      <c r="Y49" s="39">
        <f>MIP[[#This Row],[PT-1]]*$S$3+MIP[[#This Row],[PT-2]]*$T$3+MIP[[#This Row],[PT-3]]*$U$3+MIP[[#This Row],[PT &gt; 3 Pontos]]*$V$3</f>
        <v>0.39427070752818016</v>
      </c>
      <c r="Z49" s="39">
        <f>MIP[[#This Row],[HH disponível]]-MIP[[#This Row],[HH AC TOT]]</f>
        <v>0.3249999999999999</v>
      </c>
      <c r="AA49" s="38">
        <f>MIP[[#This Row],[HH Produtivo
Total]]/MIP[[#This Row],[HH Trabalhado]]</f>
        <v>1.2131406385482471</v>
      </c>
      <c r="AB49" s="38">
        <f>MIP[[#This Row],[HH Produtivo
Total]]/MIP[[#This Row],[HH disponível]]</f>
        <v>1.0752837478041275</v>
      </c>
      <c r="AC49" s="38">
        <f>MIP[[#This Row],[HH Trabalhado]]/MIP[[#This Row],[HH disponível]]</f>
        <v>0.88636363636363591</v>
      </c>
      <c r="AD49" s="37" t="str">
        <f>LEFT(MIP[[#This Row],[Equipe]], SEARCH("/",MIP[[#This Row],[Equipe]],1)-1)</f>
        <v xml:space="preserve">ADEMÁRIO </v>
      </c>
      <c r="AE49" s="37" t="str">
        <f>RIGHT(MIP[[#This Row],[Equipe]], LEN(MIP[[#This Row],[Equipe]])-SEARCH("/",MIP[[#This Row],[Equipe]],1))</f>
        <v xml:space="preserve"> ANDERSON</v>
      </c>
      <c r="AF49" s="44">
        <f>COUNTIFS('[1]Tempo parado'!H:H,"&gt;="&amp;MIP[[#This Row],[S.B Sitrack]],'[1]Tempo parado'!I:I,"&lt;="&amp;MIP[[#This Row],[C.B Sitrack]],'[1]Tempo parado'!B:B,MIP[[#This Row],[Placa]])</f>
        <v>0</v>
      </c>
      <c r="AG49" s="36"/>
      <c r="AH49" s="35"/>
      <c r="AI49" s="34"/>
      <c r="AJ49" s="34"/>
      <c r="AK4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9" s="32">
        <f>SUMIFS('[1]Tempo parado'!J:J,'[1]Tempo parado'!H:H,"&gt;="&amp;MIP[[#This Row],[S.B Sitrack]],'[1]Tempo parado'!I:I,"&lt;="&amp;MIP[[#This Row],[C.B Sitrack]],'[1]Tempo parado'!B:B,MIP[[#This Row],[Placa]])</f>
        <v>0</v>
      </c>
      <c r="AN49" s="32" t="str">
        <f>IFERROR(MIP[[#This Row],[Tempo parado]]/(MIP[[#This Row],[C.B Sitrack]]-MIP[[#This Row],[S.B Sitrack]]),"")</f>
        <v/>
      </c>
      <c r="AO49" s="30"/>
      <c r="AP49" s="44">
        <f>IF(AND(MIP[Exc]=0,MIP[Previsto / Realizado]="Realizado"),MIP[Sem],0)</f>
        <v>0</v>
      </c>
      <c r="AQ49" s="29">
        <f>IF(AND(MIP[Exc]=0,MIP[Previsto / Realizado]="Realizado",ISBLANK(MIP[[#This Row],[S.B Sitrack]])=FALSE,ISBLANK(MIP[[#This Row],[C.B Sitrack]])=FALSE),MIP[Sem],0)</f>
        <v>0</v>
      </c>
    </row>
    <row r="50" spans="1:43" x14ac:dyDescent="0.25">
      <c r="B50" s="44">
        <f>WEEKNUM(MIP[[#This Row],[Data]])</f>
        <v>20</v>
      </c>
      <c r="C50" s="45">
        <v>42874</v>
      </c>
      <c r="D50" s="45"/>
      <c r="E50" s="83" t="s">
        <v>439</v>
      </c>
      <c r="F50" s="35" t="s">
        <v>2</v>
      </c>
      <c r="G50" s="83"/>
      <c r="H50" s="44">
        <v>2</v>
      </c>
      <c r="I50" s="44">
        <v>12</v>
      </c>
      <c r="J50" s="44">
        <v>0</v>
      </c>
      <c r="K50" s="44">
        <v>0</v>
      </c>
      <c r="L50" s="44">
        <v>0</v>
      </c>
      <c r="M50" s="43">
        <v>0.63541666666666663</v>
      </c>
      <c r="N50" s="43">
        <v>0.68611111111111101</v>
      </c>
      <c r="O50" s="43">
        <f>1+35/24/60</f>
        <v>1.0243055555555556</v>
      </c>
      <c r="P50" s="43">
        <f>1+50/24/60</f>
        <v>1.0347222222222223</v>
      </c>
      <c r="Q50" s="39"/>
      <c r="R50" s="42" t="s">
        <v>458</v>
      </c>
      <c r="S50" s="44">
        <f>MIP[[#This Row],[PT-1]]+MIP[[#This Row],[PT-2]]*2+MIP[[#This Row],[PT-3]]*3+MIP[[#This Row],[PT &gt; 3 Pontos]]</f>
        <v>12</v>
      </c>
      <c r="T5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6.1111111111111116E-2</v>
      </c>
      <c r="U50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6.1111111111111116E-2</v>
      </c>
      <c r="V50" s="41">
        <f>MIP[[#This Row],[Eficiência]]</f>
        <v>1.0127558293452794</v>
      </c>
      <c r="W5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0" s="39">
        <f>IF(MIP[[#This Row],[P.S]]-MIP[[#This Row],[P.E]]&lt;0,1+MIP[[#This Row],[P.S]]-MIP[[#This Row],[P.E]]-1/24,MIP[[#This Row],[P.S]]-MIP[[#This Row],[P.E]]-1/24)</f>
        <v>0.35763888888888901</v>
      </c>
      <c r="Y50" s="39">
        <f>MIP[[#This Row],[PT-1]]*$S$3+MIP[[#This Row],[PT-2]]*$T$3+MIP[[#This Row],[PT-3]]*$U$3+MIP[[#This Row],[PT &gt; 3 Pontos]]*$V$3</f>
        <v>0.30031023550724617</v>
      </c>
      <c r="Z50" s="39">
        <f>MIP[[#This Row],[HH disponível]]-MIP[[#This Row],[HH AC TOT]]</f>
        <v>0.29652777777777789</v>
      </c>
      <c r="AA50" s="38">
        <f>MIP[[#This Row],[HH Produtivo
Total]]/MIP[[#This Row],[HH Trabalhado]]</f>
        <v>1.0127558293452794</v>
      </c>
      <c r="AB50" s="38">
        <f>MIP[[#This Row],[HH Produtivo
Total]]/MIP[[#This Row],[HH disponível]]</f>
        <v>0.83970240607851332</v>
      </c>
      <c r="AC50" s="38">
        <f>MIP[[#This Row],[HH Trabalhado]]/MIP[[#This Row],[HH disponível]]</f>
        <v>0.82912621359223304</v>
      </c>
      <c r="AD50" s="37" t="str">
        <f>LEFT(MIP[[#This Row],[Equipe]], SEARCH("/",MIP[[#This Row],[Equipe]],1)-1)</f>
        <v xml:space="preserve">ADEMÁRIO </v>
      </c>
      <c r="AE50" s="37" t="str">
        <f>RIGHT(MIP[[#This Row],[Equipe]], LEN(MIP[[#This Row],[Equipe]])-SEARCH("/",MIP[[#This Row],[Equipe]],1))</f>
        <v xml:space="preserve"> ANDERSON</v>
      </c>
      <c r="AF50" s="44">
        <f>COUNTIFS('[1]Tempo parado'!H:H,"&gt;="&amp;MIP[[#This Row],[S.B Sitrack]],'[1]Tempo parado'!I:I,"&lt;="&amp;MIP[[#This Row],[C.B Sitrack]],'[1]Tempo parado'!B:B,MIP[[#This Row],[Placa]])</f>
        <v>0</v>
      </c>
      <c r="AG50" s="36"/>
      <c r="AH50" s="35"/>
      <c r="AI50" s="34"/>
      <c r="AJ50" s="34"/>
      <c r="AK5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0" s="32">
        <f>SUMIFS('[1]Tempo parado'!J:J,'[1]Tempo parado'!H:H,"&gt;="&amp;MIP[[#This Row],[S.B Sitrack]],'[1]Tempo parado'!I:I,"&lt;="&amp;MIP[[#This Row],[C.B Sitrack]],'[1]Tempo parado'!B:B,MIP[[#This Row],[Placa]])</f>
        <v>0</v>
      </c>
      <c r="AN50" s="32" t="str">
        <f>IFERROR(MIP[[#This Row],[Tempo parado]]/(MIP[[#This Row],[C.B Sitrack]]-MIP[[#This Row],[S.B Sitrack]]),"")</f>
        <v/>
      </c>
      <c r="AO50" s="30"/>
      <c r="AP50" s="44">
        <f>IF(AND(MIP[Exc]=0,MIP[Previsto / Realizado]="Realizado"),MIP[Sem],0)</f>
        <v>20</v>
      </c>
      <c r="AQ50" s="29">
        <f>IF(AND(MIP[Exc]=0,MIP[Previsto / Realizado]="Realizado",ISBLANK(MIP[[#This Row],[S.B Sitrack]])=FALSE,ISBLANK(MIP[[#This Row],[C.B Sitrack]])=FALSE),MIP[Sem],0)</f>
        <v>0</v>
      </c>
    </row>
    <row r="51" spans="1:43" s="85" customFormat="1" x14ac:dyDescent="0.25">
      <c r="A51" s="11"/>
      <c r="B51" s="44">
        <f>WEEKNUM(MIP[[#This Row],[Data]])</f>
        <v>20</v>
      </c>
      <c r="C51" s="45">
        <v>42875</v>
      </c>
      <c r="D51" s="45"/>
      <c r="E51" s="35" t="s">
        <v>457</v>
      </c>
      <c r="F51" s="35" t="s">
        <v>5</v>
      </c>
      <c r="G51" s="35"/>
      <c r="H51" s="44">
        <v>2</v>
      </c>
      <c r="I51" s="44">
        <v>5</v>
      </c>
      <c r="J51" s="44">
        <v>2</v>
      </c>
      <c r="K51" s="44">
        <v>1</v>
      </c>
      <c r="L51" s="44">
        <v>5</v>
      </c>
      <c r="M51" s="43">
        <v>0.625</v>
      </c>
      <c r="N51" s="43">
        <v>0.64583333333333337</v>
      </c>
      <c r="O51" s="43">
        <f>1+18/24/60</f>
        <v>1.0125</v>
      </c>
      <c r="P51" s="43">
        <f>1+48/24/60</f>
        <v>1.0333333333333334</v>
      </c>
      <c r="Q51" s="39"/>
      <c r="R51" s="42"/>
      <c r="S51" s="44">
        <f>MIP[[#This Row],[PT-1]]+MIP[[#This Row],[PT-2]]*2+MIP[[#This Row],[PT-3]]*3+MIP[[#This Row],[PT &gt; 3 Pontos]]</f>
        <v>17</v>
      </c>
      <c r="T5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51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51" s="41">
        <f>MIP[[#This Row],[Eficiência]]</f>
        <v>1.1599339404668514</v>
      </c>
      <c r="W5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1" s="39">
        <f>IF(MIP[[#This Row],[P.S]]-MIP[[#This Row],[P.E]]&lt;0,1+MIP[[#This Row],[P.S]]-MIP[[#This Row],[P.E]]-1/24,MIP[[#This Row],[P.S]]-MIP[[#This Row],[P.E]]-1/24)</f>
        <v>0.36666666666666675</v>
      </c>
      <c r="Y51" s="39">
        <f>MIP[[#This Row],[PT-1]]*$S$3+MIP[[#This Row],[PT-2]]*$T$3+MIP[[#This Row],[PT-3]]*$U$3+MIP[[#This Row],[PT &gt; 3 Pontos]]*$V$3</f>
        <v>0.3769785306517266</v>
      </c>
      <c r="Z51" s="39">
        <f>MIP[[#This Row],[HH disponível]]-MIP[[#This Row],[HH AC TOT]]</f>
        <v>0.3249999999999999</v>
      </c>
      <c r="AA51" s="38">
        <f>MIP[[#This Row],[HH Produtivo
Total]]/MIP[[#This Row],[HH Trabalhado]]</f>
        <v>1.1599339404668514</v>
      </c>
      <c r="AB51" s="38">
        <f>MIP[[#This Row],[HH Produtivo
Total]]/MIP[[#This Row],[HH disponível]]</f>
        <v>1.0281232654137995</v>
      </c>
      <c r="AC51" s="38">
        <f>MIP[[#This Row],[HH Trabalhado]]/MIP[[#This Row],[HH disponível]]</f>
        <v>0.88636363636363591</v>
      </c>
      <c r="AD51" s="37" t="str">
        <f>LEFT(MIP[[#This Row],[Equipe]], SEARCH("/",MIP[[#This Row],[Equipe]],1)-1)</f>
        <v xml:space="preserve">EDILTON </v>
      </c>
      <c r="AE51" s="37" t="str">
        <f>RIGHT(MIP[[#This Row],[Equipe]], LEN(MIP[[#This Row],[Equipe]])-SEARCH("/",MIP[[#This Row],[Equipe]],1))</f>
        <v xml:space="preserve"> ANDERSON</v>
      </c>
      <c r="AF51" s="44">
        <f>COUNTIFS('[1]Tempo parado'!H:H,"&gt;="&amp;MIP[[#This Row],[S.B Sitrack]],'[1]Tempo parado'!I:I,"&lt;="&amp;MIP[[#This Row],[C.B Sitrack]],'[1]Tempo parado'!B:B,MIP[[#This Row],[Placa]])</f>
        <v>0</v>
      </c>
      <c r="AG51" s="36"/>
      <c r="AH51" s="35"/>
      <c r="AI51" s="34"/>
      <c r="AJ51" s="34"/>
      <c r="AK5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1" s="32">
        <f>SUMIFS('[1]Tempo parado'!J:J,'[1]Tempo parado'!H:H,"&gt;="&amp;MIP[[#This Row],[S.B Sitrack]],'[1]Tempo parado'!I:I,"&lt;="&amp;MIP[[#This Row],[C.B Sitrack]],'[1]Tempo parado'!B:B,MIP[[#This Row],[Placa]])</f>
        <v>0</v>
      </c>
      <c r="AN51" s="32" t="str">
        <f>IFERROR(MIP[[#This Row],[Tempo parado]]/(MIP[[#This Row],[C.B Sitrack]]-MIP[[#This Row],[S.B Sitrack]]),"")</f>
        <v/>
      </c>
      <c r="AO51" s="30"/>
      <c r="AP51" s="44">
        <f>IF(AND(MIP[Exc]=0,MIP[Previsto / Realizado]="Realizado"),MIP[Sem],0)</f>
        <v>0</v>
      </c>
      <c r="AQ51" s="29">
        <f>IF(AND(MIP[Exc]=0,MIP[Previsto / Realizado]="Realizado",ISBLANK(MIP[[#This Row],[S.B Sitrack]])=FALSE,ISBLANK(MIP[[#This Row],[C.B Sitrack]])=FALSE),MIP[Sem],0)</f>
        <v>0</v>
      </c>
    </row>
    <row r="52" spans="1:43" s="64" customFormat="1" x14ac:dyDescent="0.25">
      <c r="A52" s="11"/>
      <c r="B52" s="44">
        <f>WEEKNUM(MIP[[#This Row],[Data]])</f>
        <v>20</v>
      </c>
      <c r="C52" s="45">
        <v>42875</v>
      </c>
      <c r="D52" s="45"/>
      <c r="E52" s="35" t="s">
        <v>457</v>
      </c>
      <c r="F52" s="35" t="s">
        <v>2</v>
      </c>
      <c r="G52" s="35"/>
      <c r="H52" s="44">
        <v>2</v>
      </c>
      <c r="I52" s="44">
        <v>5</v>
      </c>
      <c r="J52" s="44">
        <v>2</v>
      </c>
      <c r="K52" s="44">
        <v>0</v>
      </c>
      <c r="L52" s="44">
        <v>3</v>
      </c>
      <c r="M52" s="43">
        <v>0.62847222222222221</v>
      </c>
      <c r="N52" s="43">
        <v>0.66388888888888886</v>
      </c>
      <c r="O52" s="43">
        <f>1+27/24/60</f>
        <v>1.01875</v>
      </c>
      <c r="P52" s="43">
        <f>1+50/24/60</f>
        <v>1.0347222222222223</v>
      </c>
      <c r="Q52" s="39"/>
      <c r="R52" s="42" t="s">
        <v>456</v>
      </c>
      <c r="S52" s="44">
        <f>MIP[[#This Row],[PT-1]]+MIP[[#This Row],[PT-2]]*2+MIP[[#This Row],[PT-3]]*3+MIP[[#This Row],[PT &gt; 3 Pontos]]</f>
        <v>12</v>
      </c>
      <c r="T5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5.1388888888888928E-2</v>
      </c>
      <c r="U52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5.1388888888888928E-2</v>
      </c>
      <c r="V52" s="41">
        <f>MIP[[#This Row],[Eficiência]]</f>
        <v>0.87386872435917995</v>
      </c>
      <c r="W5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2" s="39">
        <f>IF(MIP[[#This Row],[P.S]]-MIP[[#This Row],[P.E]]&lt;0,1+MIP[[#This Row],[P.S]]-MIP[[#This Row],[P.E]]-1/24,MIP[[#This Row],[P.S]]-MIP[[#This Row],[P.E]]-1/24)</f>
        <v>0.36458333333333343</v>
      </c>
      <c r="Y52" s="39">
        <f>MIP[[#This Row],[PT-1]]*$S$3+MIP[[#This Row],[PT-2]]*$T$3+MIP[[#This Row],[PT-3]]*$U$3+MIP[[#This Row],[PT &gt; 3 Pontos]]*$V$3</f>
        <v>0.27369082964304875</v>
      </c>
      <c r="Z52" s="39">
        <f>MIP[[#This Row],[HH disponível]]-MIP[[#This Row],[HH AC TOT]]</f>
        <v>0.3131944444444445</v>
      </c>
      <c r="AA52" s="38">
        <f>MIP[[#This Row],[HH Produtivo
Total]]/MIP[[#This Row],[HH Trabalhado]]</f>
        <v>0.87386872435917995</v>
      </c>
      <c r="AB52" s="38">
        <f>MIP[[#This Row],[HH Produtivo
Total]]/MIP[[#This Row],[HH disponível]]</f>
        <v>0.75069484702093348</v>
      </c>
      <c r="AC52" s="38">
        <f>MIP[[#This Row],[HH Trabalhado]]/MIP[[#This Row],[HH disponível]]</f>
        <v>0.85904761904761895</v>
      </c>
      <c r="AD52" s="37" t="str">
        <f>LEFT(MIP[[#This Row],[Equipe]], SEARCH("/",MIP[[#This Row],[Equipe]],1)-1)</f>
        <v xml:space="preserve">EDILTON </v>
      </c>
      <c r="AE52" s="37" t="str">
        <f>RIGHT(MIP[[#This Row],[Equipe]], LEN(MIP[[#This Row],[Equipe]])-SEARCH("/",MIP[[#This Row],[Equipe]],1))</f>
        <v xml:space="preserve"> ANDERSON</v>
      </c>
      <c r="AF52" s="44">
        <f>COUNTIFS('[1]Tempo parado'!H:H,"&gt;="&amp;MIP[[#This Row],[S.B Sitrack]],'[1]Tempo parado'!I:I,"&lt;="&amp;MIP[[#This Row],[C.B Sitrack]],'[1]Tempo parado'!B:B,MIP[[#This Row],[Placa]])</f>
        <v>0</v>
      </c>
      <c r="AG52" s="36"/>
      <c r="AH52" s="35"/>
      <c r="AI52" s="34"/>
      <c r="AJ52" s="34"/>
      <c r="AK5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2" s="32">
        <f>SUMIFS('[1]Tempo parado'!J:J,'[1]Tempo parado'!H:H,"&gt;="&amp;MIP[[#This Row],[S.B Sitrack]],'[1]Tempo parado'!I:I,"&lt;="&amp;MIP[[#This Row],[C.B Sitrack]],'[1]Tempo parado'!B:B,MIP[[#This Row],[Placa]])</f>
        <v>0</v>
      </c>
      <c r="AN52" s="32" t="str">
        <f>IFERROR(MIP[[#This Row],[Tempo parado]]/(MIP[[#This Row],[C.B Sitrack]]-MIP[[#This Row],[S.B Sitrack]]),"")</f>
        <v/>
      </c>
      <c r="AO52" s="30"/>
      <c r="AP52" s="44">
        <f>IF(AND(MIP[Exc]=0,MIP[Previsto / Realizado]="Realizado"),MIP[Sem],0)</f>
        <v>20</v>
      </c>
      <c r="AQ52" s="29">
        <f>IF(AND(MIP[Exc]=0,MIP[Previsto / Realizado]="Realizado",ISBLANK(MIP[[#This Row],[S.B Sitrack]])=FALSE,ISBLANK(MIP[[#This Row],[C.B Sitrack]])=FALSE),MIP[Sem],0)</f>
        <v>0</v>
      </c>
    </row>
    <row r="53" spans="1:43" s="85" customFormat="1" x14ac:dyDescent="0.25">
      <c r="A53" s="11"/>
      <c r="B53" s="44">
        <f>WEEKNUM(MIP[[#This Row],[Data]])</f>
        <v>21</v>
      </c>
      <c r="C53" s="45">
        <v>42876</v>
      </c>
      <c r="D53" s="45"/>
      <c r="E53" s="35" t="s">
        <v>3</v>
      </c>
      <c r="F53" s="35" t="s">
        <v>5</v>
      </c>
      <c r="G53" s="35"/>
      <c r="H53" s="44">
        <v>2</v>
      </c>
      <c r="I53" s="44">
        <v>10</v>
      </c>
      <c r="J53" s="44">
        <v>2</v>
      </c>
      <c r="K53" s="44">
        <v>0</v>
      </c>
      <c r="L53" s="44">
        <v>5</v>
      </c>
      <c r="M53" s="43">
        <v>0.625</v>
      </c>
      <c r="N53" s="43">
        <v>0.64583333333333337</v>
      </c>
      <c r="O53" s="43">
        <f>1+18/24/60</f>
        <v>1.0125</v>
      </c>
      <c r="P53" s="43">
        <f>1+48/24/60</f>
        <v>1.0333333333333334</v>
      </c>
      <c r="Q53" s="39"/>
      <c r="R53" s="42"/>
      <c r="S53" s="44">
        <f>MIP[[#This Row],[PT-1]]+MIP[[#This Row],[PT-2]]*2+MIP[[#This Row],[PT-3]]*3+MIP[[#This Row],[PT &gt; 3 Pontos]]</f>
        <v>19</v>
      </c>
      <c r="T5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53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53" s="41">
        <f>MIP[[#This Row],[Eficiência]]</f>
        <v>1.3517418959976326</v>
      </c>
      <c r="W5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3" s="39">
        <f>IF(MIP[[#This Row],[P.S]]-MIP[[#This Row],[P.E]]&lt;0,1+MIP[[#This Row],[P.S]]-MIP[[#This Row],[P.E]]-1/24,MIP[[#This Row],[P.S]]-MIP[[#This Row],[P.E]]-1/24)</f>
        <v>0.36666666666666675</v>
      </c>
      <c r="Y53" s="39">
        <f>MIP[[#This Row],[PT-1]]*$S$3+MIP[[#This Row],[PT-2]]*$T$3+MIP[[#This Row],[PT-3]]*$U$3+MIP[[#This Row],[PT &gt; 3 Pontos]]*$V$3</f>
        <v>0.4393161161992305</v>
      </c>
      <c r="Z53" s="39">
        <f>MIP[[#This Row],[HH disponível]]-MIP[[#This Row],[HH AC TOT]]</f>
        <v>0.3249999999999999</v>
      </c>
      <c r="AA53" s="38">
        <f>MIP[[#This Row],[HH Produtivo
Total]]/MIP[[#This Row],[HH Trabalhado]]</f>
        <v>1.3517418959976326</v>
      </c>
      <c r="AB53" s="38">
        <f>MIP[[#This Row],[HH Produtivo
Total]]/MIP[[#This Row],[HH disponível]]</f>
        <v>1.1981348623615375</v>
      </c>
      <c r="AC53" s="38">
        <f>MIP[[#This Row],[HH Trabalhado]]/MIP[[#This Row],[HH disponível]]</f>
        <v>0.88636363636363591</v>
      </c>
      <c r="AD53" s="37" t="str">
        <f>LEFT(MIP[[#This Row],[Equipe]], SEARCH("/",MIP[[#This Row],[Equipe]],1)-1)</f>
        <v xml:space="preserve">EDILTON </v>
      </c>
      <c r="AE53" s="37" t="str">
        <f>RIGHT(MIP[[#This Row],[Equipe]], LEN(MIP[[#This Row],[Equipe]])-SEARCH("/",MIP[[#This Row],[Equipe]],1))</f>
        <v xml:space="preserve"> GECIVALDO</v>
      </c>
      <c r="AF53" s="44">
        <f>COUNTIFS('[1]Tempo parado'!H:H,"&gt;="&amp;MIP[[#This Row],[S.B Sitrack]],'[1]Tempo parado'!I:I,"&lt;="&amp;MIP[[#This Row],[C.B Sitrack]],'[1]Tempo parado'!B:B,MIP[[#This Row],[Placa]])</f>
        <v>0</v>
      </c>
      <c r="AG53" s="36"/>
      <c r="AH53" s="35"/>
      <c r="AI53" s="34"/>
      <c r="AJ53" s="34"/>
      <c r="AK5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3" s="32">
        <f>SUMIFS('[1]Tempo parado'!J:J,'[1]Tempo parado'!H:H,"&gt;="&amp;MIP[[#This Row],[S.B Sitrack]],'[1]Tempo parado'!I:I,"&lt;="&amp;MIP[[#This Row],[C.B Sitrack]],'[1]Tempo parado'!B:B,MIP[[#This Row],[Placa]])</f>
        <v>0</v>
      </c>
      <c r="AN53" s="32" t="str">
        <f>IFERROR(MIP[[#This Row],[Tempo parado]]/(MIP[[#This Row],[C.B Sitrack]]-MIP[[#This Row],[S.B Sitrack]]),"")</f>
        <v/>
      </c>
      <c r="AO53" s="30"/>
      <c r="AP53" s="44">
        <f>IF(AND(MIP[Exc]=0,MIP[Previsto / Realizado]="Realizado"),MIP[Sem],0)</f>
        <v>0</v>
      </c>
      <c r="AQ53" s="29">
        <f>IF(AND(MIP[Exc]=0,MIP[Previsto / Realizado]="Realizado",ISBLANK(MIP[[#This Row],[S.B Sitrack]])=FALSE,ISBLANK(MIP[[#This Row],[C.B Sitrack]])=FALSE),MIP[Sem],0)</f>
        <v>0</v>
      </c>
    </row>
    <row r="54" spans="1:43" s="64" customFormat="1" x14ac:dyDescent="0.25">
      <c r="A54" s="11"/>
      <c r="B54" s="44">
        <f>WEEKNUM(MIP[[#This Row],[Data]])</f>
        <v>21</v>
      </c>
      <c r="C54" s="45">
        <v>42876</v>
      </c>
      <c r="D54" s="45"/>
      <c r="E54" s="35" t="s">
        <v>3</v>
      </c>
      <c r="F54" s="35" t="s">
        <v>2</v>
      </c>
      <c r="G54" s="35"/>
      <c r="H54" s="44">
        <v>2</v>
      </c>
      <c r="I54" s="44">
        <v>7</v>
      </c>
      <c r="J54" s="44">
        <v>2</v>
      </c>
      <c r="K54" s="44">
        <v>0</v>
      </c>
      <c r="L54" s="44">
        <v>0</v>
      </c>
      <c r="M54" s="43">
        <v>0.61388888888888882</v>
      </c>
      <c r="N54" s="43">
        <v>0.63541666666666663</v>
      </c>
      <c r="O54" s="43">
        <f>1+0/24/60</f>
        <v>1</v>
      </c>
      <c r="P54" s="43">
        <f>1+42/24/60</f>
        <v>1.0291666666666666</v>
      </c>
      <c r="Q54" s="39"/>
      <c r="R54" s="42" t="s">
        <v>455</v>
      </c>
      <c r="S54" s="44">
        <f>MIP[[#This Row],[PT-1]]+MIP[[#This Row],[PT-2]]*2+MIP[[#This Row],[PT-3]]*3+MIP[[#This Row],[PT &gt; 3 Pontos]]</f>
        <v>11</v>
      </c>
      <c r="T5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5.0694444444444375E-2</v>
      </c>
      <c r="U54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5.0694444444444375E-2</v>
      </c>
      <c r="V54" s="41">
        <f>MIP[[#This Row],[Eficiência]]</f>
        <v>0.81444697678042655</v>
      </c>
      <c r="W5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4" s="39">
        <f>IF(MIP[[#This Row],[P.S]]-MIP[[#This Row],[P.E]]&lt;0,1+MIP[[#This Row],[P.S]]-MIP[[#This Row],[P.E]]-1/24,MIP[[#This Row],[P.S]]-MIP[[#This Row],[P.E]]-1/24)</f>
        <v>0.37361111111111106</v>
      </c>
      <c r="Y54" s="39">
        <f>MIP[[#This Row],[PT-1]]*$S$3+MIP[[#This Row],[PT-2]]*$T$3+MIP[[#This Row],[PT-3]]*$U$3+MIP[[#This Row],[PT &gt; 3 Pontos]]*$V$3</f>
        <v>0.26299850291867943</v>
      </c>
      <c r="Z54" s="39">
        <f>MIP[[#This Row],[HH disponível]]-MIP[[#This Row],[HH AC TOT]]</f>
        <v>0.32291666666666669</v>
      </c>
      <c r="AA54" s="38">
        <f>MIP[[#This Row],[HH Produtivo
Total]]/MIP[[#This Row],[HH Trabalhado]]</f>
        <v>0.81444697678042655</v>
      </c>
      <c r="AB54" s="38">
        <f>MIP[[#This Row],[HH Produtivo
Total]]/MIP[[#This Row],[HH disponível]]</f>
        <v>0.703936513388287</v>
      </c>
      <c r="AC54" s="38">
        <f>MIP[[#This Row],[HH Trabalhado]]/MIP[[#This Row],[HH disponível]]</f>
        <v>0.86431226765799274</v>
      </c>
      <c r="AD54" s="37" t="str">
        <f>LEFT(MIP[[#This Row],[Equipe]], SEARCH("/",MIP[[#This Row],[Equipe]],1)-1)</f>
        <v xml:space="preserve">EDILTON </v>
      </c>
      <c r="AE54" s="37" t="str">
        <f>RIGHT(MIP[[#This Row],[Equipe]], LEN(MIP[[#This Row],[Equipe]])-SEARCH("/",MIP[[#This Row],[Equipe]],1))</f>
        <v xml:space="preserve"> GECIVALDO</v>
      </c>
      <c r="AF54" s="44">
        <f>COUNTIFS('[1]Tempo parado'!H:H,"&gt;="&amp;MIP[[#This Row],[S.B Sitrack]],'[1]Tempo parado'!I:I,"&lt;="&amp;MIP[[#This Row],[C.B Sitrack]],'[1]Tempo parado'!B:B,MIP[[#This Row],[Placa]])</f>
        <v>0</v>
      </c>
      <c r="AG54" s="36"/>
      <c r="AH54" s="35"/>
      <c r="AI54" s="34"/>
      <c r="AJ54" s="34"/>
      <c r="AK5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4" s="32">
        <f>SUMIFS('[1]Tempo parado'!J:J,'[1]Tempo parado'!H:H,"&gt;="&amp;MIP[[#This Row],[S.B Sitrack]],'[1]Tempo parado'!I:I,"&lt;="&amp;MIP[[#This Row],[C.B Sitrack]],'[1]Tempo parado'!B:B,MIP[[#This Row],[Placa]])</f>
        <v>0</v>
      </c>
      <c r="AN54" s="32" t="str">
        <f>IFERROR(MIP[[#This Row],[Tempo parado]]/(MIP[[#This Row],[C.B Sitrack]]-MIP[[#This Row],[S.B Sitrack]]),"")</f>
        <v/>
      </c>
      <c r="AO54" s="30"/>
      <c r="AP54" s="44">
        <f>IF(AND(MIP[Exc]=0,MIP[Previsto / Realizado]="Realizado"),MIP[Sem],0)</f>
        <v>21</v>
      </c>
      <c r="AQ54" s="29">
        <f>IF(AND(MIP[Exc]=0,MIP[Previsto / Realizado]="Realizado",ISBLANK(MIP[[#This Row],[S.B Sitrack]])=FALSE,ISBLANK(MIP[[#This Row],[C.B Sitrack]])=FALSE),MIP[Sem],0)</f>
        <v>0</v>
      </c>
    </row>
    <row r="55" spans="1:43" s="85" customFormat="1" x14ac:dyDescent="0.25">
      <c r="A55" s="11"/>
      <c r="B55" s="44">
        <f>WEEKNUM(MIP[[#This Row],[Data]])</f>
        <v>21</v>
      </c>
      <c r="C55" s="45">
        <v>42877</v>
      </c>
      <c r="D55" s="45"/>
      <c r="E55" s="83" t="s">
        <v>439</v>
      </c>
      <c r="F55" s="35" t="s">
        <v>5</v>
      </c>
      <c r="G55" s="83"/>
      <c r="H55" s="44">
        <v>2</v>
      </c>
      <c r="I55" s="44">
        <v>3</v>
      </c>
      <c r="J55" s="44">
        <v>2</v>
      </c>
      <c r="K55" s="44">
        <v>1</v>
      </c>
      <c r="L55" s="44">
        <v>5</v>
      </c>
      <c r="M55" s="43">
        <v>0.625</v>
      </c>
      <c r="N55" s="43">
        <v>0.64583333333333337</v>
      </c>
      <c r="O55" s="43">
        <f>1+18/24/60</f>
        <v>1.0125</v>
      </c>
      <c r="P55" s="43">
        <f>1+48/24/60</f>
        <v>1.0333333333333334</v>
      </c>
      <c r="Q55" s="39"/>
      <c r="R55" s="42"/>
      <c r="S55" s="44">
        <f>MIP[[#This Row],[PT-1]]+MIP[[#This Row],[PT-2]]*2+MIP[[#This Row],[PT-3]]*3+MIP[[#This Row],[PT &gt; 3 Pontos]]</f>
        <v>15</v>
      </c>
      <c r="T5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55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55" s="41">
        <f>MIP[[#This Row],[Eficiência]]</f>
        <v>1.0059286914887764</v>
      </c>
      <c r="W5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5" s="39">
        <f>IF(MIP[[#This Row],[P.S]]-MIP[[#This Row],[P.E]]&lt;0,1+MIP[[#This Row],[P.S]]-MIP[[#This Row],[P.E]]-1/24,MIP[[#This Row],[P.S]]-MIP[[#This Row],[P.E]]-1/24)</f>
        <v>0.36666666666666675</v>
      </c>
      <c r="Y55" s="39">
        <f>MIP[[#This Row],[PT-1]]*$S$3+MIP[[#This Row],[PT-2]]*$T$3+MIP[[#This Row],[PT-3]]*$U$3+MIP[[#This Row],[PT &gt; 3 Pontos]]*$V$3</f>
        <v>0.32692682473385226</v>
      </c>
      <c r="Z55" s="39">
        <f>MIP[[#This Row],[HH disponível]]-MIP[[#This Row],[HH AC TOT]]</f>
        <v>0.3249999999999999</v>
      </c>
      <c r="AA55" s="38">
        <f>MIP[[#This Row],[HH Produtivo
Total]]/MIP[[#This Row],[HH Trabalhado]]</f>
        <v>1.0059286914887764</v>
      </c>
      <c r="AB55" s="38">
        <f>MIP[[#This Row],[HH Produtivo
Total]]/MIP[[#This Row],[HH disponível]]</f>
        <v>0.89161861291050593</v>
      </c>
      <c r="AC55" s="38">
        <f>MIP[[#This Row],[HH Trabalhado]]/MIP[[#This Row],[HH disponível]]</f>
        <v>0.88636363636363591</v>
      </c>
      <c r="AD55" s="37" t="str">
        <f>LEFT(MIP[[#This Row],[Equipe]], SEARCH("/",MIP[[#This Row],[Equipe]],1)-1)</f>
        <v xml:space="preserve">ADEMÁRIO </v>
      </c>
      <c r="AE55" s="37" t="str">
        <f>RIGHT(MIP[[#This Row],[Equipe]], LEN(MIP[[#This Row],[Equipe]])-SEARCH("/",MIP[[#This Row],[Equipe]],1))</f>
        <v xml:space="preserve"> ANDERSON</v>
      </c>
      <c r="AF55" s="44">
        <f>COUNTIFS('[1]Tempo parado'!H:H,"&gt;="&amp;MIP[[#This Row],[S.B Sitrack]],'[1]Tempo parado'!I:I,"&lt;="&amp;MIP[[#This Row],[C.B Sitrack]],'[1]Tempo parado'!B:B,MIP[[#This Row],[Placa]])</f>
        <v>0</v>
      </c>
      <c r="AG55" s="36"/>
      <c r="AH55" s="35"/>
      <c r="AI55" s="34"/>
      <c r="AJ55" s="34"/>
      <c r="AK5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5" s="32">
        <f>SUMIFS('[1]Tempo parado'!J:J,'[1]Tempo parado'!H:H,"&gt;="&amp;MIP[[#This Row],[S.B Sitrack]],'[1]Tempo parado'!I:I,"&lt;="&amp;MIP[[#This Row],[C.B Sitrack]],'[1]Tempo parado'!B:B,MIP[[#This Row],[Placa]])</f>
        <v>0</v>
      </c>
      <c r="AN55" s="32" t="str">
        <f>IFERROR(MIP[[#This Row],[Tempo parado]]/(MIP[[#This Row],[C.B Sitrack]]-MIP[[#This Row],[S.B Sitrack]]),"")</f>
        <v/>
      </c>
      <c r="AO55" s="30"/>
      <c r="AP55" s="44">
        <f>IF(AND(MIP[Exc]=0,MIP[Previsto / Realizado]="Realizado"),MIP[Sem],0)</f>
        <v>0</v>
      </c>
      <c r="AQ55" s="29">
        <f>IF(AND(MIP[Exc]=0,MIP[Previsto / Realizado]="Realizado",ISBLANK(MIP[[#This Row],[S.B Sitrack]])=FALSE,ISBLANK(MIP[[#This Row],[C.B Sitrack]])=FALSE),MIP[Sem],0)</f>
        <v>0</v>
      </c>
    </row>
    <row r="56" spans="1:43" s="64" customFormat="1" x14ac:dyDescent="0.25">
      <c r="A56" s="11"/>
      <c r="B56" s="44">
        <f>WEEKNUM(MIP[[#This Row],[Data]])</f>
        <v>21</v>
      </c>
      <c r="C56" s="45">
        <v>42877</v>
      </c>
      <c r="D56" s="45"/>
      <c r="E56" s="83" t="s">
        <v>439</v>
      </c>
      <c r="F56" s="35" t="s">
        <v>2</v>
      </c>
      <c r="G56" s="83"/>
      <c r="H56" s="44">
        <v>2</v>
      </c>
      <c r="I56" s="44">
        <v>2</v>
      </c>
      <c r="J56" s="44">
        <v>0</v>
      </c>
      <c r="K56" s="44">
        <v>1</v>
      </c>
      <c r="L56" s="44">
        <v>0</v>
      </c>
      <c r="M56" s="43">
        <v>0.62777777777777777</v>
      </c>
      <c r="N56" s="43">
        <v>0.67708333333333337</v>
      </c>
      <c r="O56" s="43">
        <f>1+55/24/60</f>
        <v>1.0381944444444444</v>
      </c>
      <c r="P56" s="43">
        <f>1+61/24/60</f>
        <v>1.0423611111111111</v>
      </c>
      <c r="Q56" s="39"/>
      <c r="R56" s="42" t="s">
        <v>454</v>
      </c>
      <c r="S56" s="44">
        <f>MIP[[#This Row],[PT-1]]+MIP[[#This Row],[PT-2]]*2+MIP[[#This Row],[PT-3]]*3+MIP[[#This Row],[PT &gt; 3 Pontos]]</f>
        <v>5</v>
      </c>
      <c r="T5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5.3472222222222254E-2</v>
      </c>
      <c r="U56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5.3472222222222254E-2</v>
      </c>
      <c r="V56" s="41">
        <f>MIP[[#This Row],[Eficiência]]</f>
        <v>0.35324885790800259</v>
      </c>
      <c r="W5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6" s="39">
        <f>IF(MIP[[#This Row],[P.S]]-MIP[[#This Row],[P.E]]&lt;0,1+MIP[[#This Row],[P.S]]-MIP[[#This Row],[P.E]]-1/24,MIP[[#This Row],[P.S]]-MIP[[#This Row],[P.E]]-1/24)</f>
        <v>0.37291666666666662</v>
      </c>
      <c r="Y56" s="39">
        <f>MIP[[#This Row],[PT-1]]*$S$3+MIP[[#This Row],[PT-2]]*$T$3+MIP[[#This Row],[PT-3]]*$U$3+MIP[[#This Row],[PT &gt; 3 Pontos]]*$V$3</f>
        <v>0.11284338516505635</v>
      </c>
      <c r="Z56" s="39">
        <f>MIP[[#This Row],[HH disponível]]-MIP[[#This Row],[HH AC TOT]]</f>
        <v>0.31944444444444436</v>
      </c>
      <c r="AA56" s="38">
        <f>MIP[[#This Row],[HH Produtivo
Total]]/MIP[[#This Row],[HH Trabalhado]]</f>
        <v>0.35324885790800259</v>
      </c>
      <c r="AB56" s="38">
        <f>MIP[[#This Row],[HH Produtivo
Total]]/MIP[[#This Row],[HH disponível]]</f>
        <v>0.30259678703478798</v>
      </c>
      <c r="AC56" s="38">
        <f>MIP[[#This Row],[HH Trabalhado]]/MIP[[#This Row],[HH disponível]]</f>
        <v>0.85661080074487883</v>
      </c>
      <c r="AD56" s="37" t="str">
        <f>LEFT(MIP[[#This Row],[Equipe]], SEARCH("/",MIP[[#This Row],[Equipe]],1)-1)</f>
        <v xml:space="preserve">ADEMÁRIO </v>
      </c>
      <c r="AE56" s="37" t="str">
        <f>RIGHT(MIP[[#This Row],[Equipe]], LEN(MIP[[#This Row],[Equipe]])-SEARCH("/",MIP[[#This Row],[Equipe]],1))</f>
        <v xml:space="preserve"> ANDERSON</v>
      </c>
      <c r="AF56" s="44">
        <f>COUNTIFS('[1]Tempo parado'!H:H,"&gt;="&amp;MIP[[#This Row],[S.B Sitrack]],'[1]Tempo parado'!I:I,"&lt;="&amp;MIP[[#This Row],[C.B Sitrack]],'[1]Tempo parado'!B:B,MIP[[#This Row],[Placa]])</f>
        <v>0</v>
      </c>
      <c r="AG56" s="36"/>
      <c r="AH56" s="35"/>
      <c r="AI56" s="34"/>
      <c r="AJ56" s="34"/>
      <c r="AK5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6" s="32">
        <f>SUMIFS('[1]Tempo parado'!J:J,'[1]Tempo parado'!H:H,"&gt;="&amp;MIP[[#This Row],[S.B Sitrack]],'[1]Tempo parado'!I:I,"&lt;="&amp;MIP[[#This Row],[C.B Sitrack]],'[1]Tempo parado'!B:B,MIP[[#This Row],[Placa]])</f>
        <v>0</v>
      </c>
      <c r="AN56" s="32" t="str">
        <f>IFERROR(MIP[[#This Row],[Tempo parado]]/(MIP[[#This Row],[C.B Sitrack]]-MIP[[#This Row],[S.B Sitrack]]),"")</f>
        <v/>
      </c>
      <c r="AO56" s="30"/>
      <c r="AP56" s="44">
        <f>IF(AND(MIP[Exc]=0,MIP[Previsto / Realizado]="Realizado"),MIP[Sem],0)</f>
        <v>21</v>
      </c>
      <c r="AQ56" s="29">
        <f>IF(AND(MIP[Exc]=0,MIP[Previsto / Realizado]="Realizado",ISBLANK(MIP[[#This Row],[S.B Sitrack]])=FALSE,ISBLANK(MIP[[#This Row],[C.B Sitrack]])=FALSE),MIP[Sem],0)</f>
        <v>0</v>
      </c>
    </row>
    <row r="57" spans="1:43" s="47" customFormat="1" x14ac:dyDescent="0.25">
      <c r="A57" s="11"/>
      <c r="B57" s="44">
        <f>WEEKNUM(MIP[[#This Row],[Data]])</f>
        <v>21</v>
      </c>
      <c r="C57" s="45">
        <v>42878</v>
      </c>
      <c r="D57" s="45"/>
      <c r="E57" s="35" t="s">
        <v>10</v>
      </c>
      <c r="F57" s="35" t="s">
        <v>5</v>
      </c>
      <c r="G57" s="35"/>
      <c r="H57" s="44">
        <v>2</v>
      </c>
      <c r="I57" s="44">
        <v>13</v>
      </c>
      <c r="J57" s="44">
        <v>2</v>
      </c>
      <c r="K57" s="44">
        <v>1</v>
      </c>
      <c r="L57" s="44">
        <v>0</v>
      </c>
      <c r="M57" s="43">
        <v>0.25</v>
      </c>
      <c r="N57" s="43">
        <v>0.27083333333333331</v>
      </c>
      <c r="O57" s="43">
        <v>0.63750000000000007</v>
      </c>
      <c r="P57" s="43">
        <v>0.65833333333333333</v>
      </c>
      <c r="Q57" s="39"/>
      <c r="R57" s="42"/>
      <c r="S57" s="44">
        <f>MIP[[#This Row],[PT-1]]+MIP[[#This Row],[PT-2]]*2+MIP[[#This Row],[PT-3]]*3+MIP[[#This Row],[PT &gt; 3 Pontos]]</f>
        <v>20</v>
      </c>
      <c r="T5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57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57" s="41">
        <f>MIP[[#This Row],[Eficiência]]</f>
        <v>1.4644470766753366</v>
      </c>
      <c r="W5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7" s="39">
        <f>IF(MIP[[#This Row],[P.S]]-MIP[[#This Row],[P.E]]&lt;0,1+MIP[[#This Row],[P.S]]-MIP[[#This Row],[P.E]]-1/24,MIP[[#This Row],[P.S]]-MIP[[#This Row],[P.E]]-1/24)</f>
        <v>0.36666666666666664</v>
      </c>
      <c r="Y57" s="39">
        <f>MIP[[#This Row],[PT-1]]*$S$3+MIP[[#This Row],[PT-2]]*$T$3+MIP[[#This Row],[PT-3]]*$U$3+MIP[[#This Row],[PT &gt; 3 Pontos]]*$V$3</f>
        <v>0.47594529991948448</v>
      </c>
      <c r="Z57" s="39">
        <f>MIP[[#This Row],[HH disponível]]-MIP[[#This Row],[HH AC TOT]]</f>
        <v>0.32500000000000007</v>
      </c>
      <c r="AA57" s="38">
        <f>MIP[[#This Row],[HH Produtivo
Total]]/MIP[[#This Row],[HH Trabalhado]]</f>
        <v>1.4644470766753366</v>
      </c>
      <c r="AB57" s="38">
        <f>MIP[[#This Row],[HH Produtivo
Total]]/MIP[[#This Row],[HH disponível]]</f>
        <v>1.2980326361440486</v>
      </c>
      <c r="AC57" s="38">
        <f>MIP[[#This Row],[HH Trabalhado]]/MIP[[#This Row],[HH disponível]]</f>
        <v>0.88636363636363658</v>
      </c>
      <c r="AD57" s="37" t="str">
        <f>LEFT(MIP[[#This Row],[Equipe]], SEARCH("/",MIP[[#This Row],[Equipe]],1)-1)</f>
        <v xml:space="preserve">JOILSON </v>
      </c>
      <c r="AE57" s="37" t="str">
        <f>RIGHT(MIP[[#This Row],[Equipe]], LEN(MIP[[#This Row],[Equipe]])-SEARCH("/",MIP[[#This Row],[Equipe]],1))</f>
        <v xml:space="preserve"> VALDEI</v>
      </c>
      <c r="AF57" s="44">
        <f>COUNTIFS('[1]Tempo parado'!H:H,"&gt;="&amp;MIP[[#This Row],[S.B Sitrack]],'[1]Tempo parado'!I:I,"&lt;="&amp;MIP[[#This Row],[C.B Sitrack]],'[1]Tempo parado'!B:B,MIP[[#This Row],[Placa]])</f>
        <v>0</v>
      </c>
      <c r="AG57" s="36"/>
      <c r="AH57" s="35"/>
      <c r="AI57" s="34"/>
      <c r="AJ57" s="34"/>
      <c r="AK5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7" s="32">
        <f>SUMIFS('[1]Tempo parado'!J:J,'[1]Tempo parado'!H:H,"&gt;="&amp;MIP[[#This Row],[S.B Sitrack]],'[1]Tempo parado'!I:I,"&lt;="&amp;MIP[[#This Row],[C.B Sitrack]],'[1]Tempo parado'!B:B,MIP[[#This Row],[Placa]])</f>
        <v>0</v>
      </c>
      <c r="AN57" s="32" t="str">
        <f>IFERROR(MIP[[#This Row],[Tempo parado]]/(MIP[[#This Row],[C.B Sitrack]]-MIP[[#This Row],[S.B Sitrack]]),"")</f>
        <v/>
      </c>
      <c r="AO57" s="30"/>
      <c r="AP57" s="44">
        <f>IF(AND(MIP[Exc]=0,MIP[Previsto / Realizado]="Realizado"),MIP[Sem],0)</f>
        <v>0</v>
      </c>
      <c r="AQ57" s="29">
        <f>IF(AND(MIP[Exc]=0,MIP[Previsto / Realizado]="Realizado",ISBLANK(MIP[[#This Row],[S.B Sitrack]])=FALSE,ISBLANK(MIP[[#This Row],[C.B Sitrack]])=FALSE),MIP[Sem],0)</f>
        <v>0</v>
      </c>
    </row>
    <row r="58" spans="1:43" s="64" customFormat="1" x14ac:dyDescent="0.25">
      <c r="A58" s="11"/>
      <c r="B58" s="44">
        <f>WEEKNUM(MIP[[#This Row],[Data]])</f>
        <v>21</v>
      </c>
      <c r="C58" s="45">
        <v>42878</v>
      </c>
      <c r="D58" s="45"/>
      <c r="E58" s="35" t="s">
        <v>10</v>
      </c>
      <c r="F58" s="35" t="s">
        <v>2</v>
      </c>
      <c r="G58" s="35"/>
      <c r="H58" s="44">
        <v>2</v>
      </c>
      <c r="I58" s="44">
        <v>8</v>
      </c>
      <c r="J58" s="44">
        <v>2</v>
      </c>
      <c r="K58" s="44">
        <v>1</v>
      </c>
      <c r="L58" s="44">
        <v>0</v>
      </c>
      <c r="M58" s="43">
        <v>0.24930555555555556</v>
      </c>
      <c r="N58" s="43">
        <v>0.27777777777777779</v>
      </c>
      <c r="O58" s="43">
        <v>0.63541666666666663</v>
      </c>
      <c r="P58" s="43">
        <v>0.66041666666666665</v>
      </c>
      <c r="Q58" s="39"/>
      <c r="R58" s="42"/>
      <c r="S58" s="44">
        <f>MIP[[#This Row],[PT-1]]+MIP[[#This Row],[PT-2]]*2+MIP[[#This Row],[PT-3]]*3+MIP[[#This Row],[PT &gt; 3 Pontos]]</f>
        <v>15</v>
      </c>
      <c r="T5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5.3472222222222254E-2</v>
      </c>
      <c r="U58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5.3472222222222254E-2</v>
      </c>
      <c r="V58" s="41">
        <f>MIP[[#This Row],[Eficiência]]</f>
        <v>1.110274924351011</v>
      </c>
      <c r="W5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8" s="39">
        <f>IF(MIP[[#This Row],[P.S]]-MIP[[#This Row],[P.E]]&lt;0,1+MIP[[#This Row],[P.S]]-MIP[[#This Row],[P.E]]-1/24,MIP[[#This Row],[P.S]]-MIP[[#This Row],[P.E]]-1/24)</f>
        <v>0.36944444444444441</v>
      </c>
      <c r="Y58" s="39">
        <f>MIP[[#This Row],[PT-1]]*$S$3+MIP[[#This Row],[PT-2]]*$T$3+MIP[[#This Row],[PT-3]]*$U$3+MIP[[#This Row],[PT &gt; 3 Pontos]]*$V$3</f>
        <v>0.35081603512479859</v>
      </c>
      <c r="Z58" s="39">
        <f>MIP[[#This Row],[HH disponível]]-MIP[[#This Row],[HH AC TOT]]</f>
        <v>0.31597222222222215</v>
      </c>
      <c r="AA58" s="38">
        <f>MIP[[#This Row],[HH Produtivo
Total]]/MIP[[#This Row],[HH Trabalhado]]</f>
        <v>1.110274924351011</v>
      </c>
      <c r="AB58" s="38">
        <f>MIP[[#This Row],[HH Produtivo
Total]]/MIP[[#This Row],[HH disponível]]</f>
        <v>0.94957723793178572</v>
      </c>
      <c r="AC58" s="38">
        <f>MIP[[#This Row],[HH Trabalhado]]/MIP[[#This Row],[HH disponível]]</f>
        <v>0.85526315789473673</v>
      </c>
      <c r="AD58" s="37" t="str">
        <f>LEFT(MIP[[#This Row],[Equipe]], SEARCH("/",MIP[[#This Row],[Equipe]],1)-1)</f>
        <v xml:space="preserve">JOILSON </v>
      </c>
      <c r="AE58" s="37" t="str">
        <f>RIGHT(MIP[[#This Row],[Equipe]], LEN(MIP[[#This Row],[Equipe]])-SEARCH("/",MIP[[#This Row],[Equipe]],1))</f>
        <v xml:space="preserve"> VALDEI</v>
      </c>
      <c r="AF58" s="44">
        <f>COUNTIFS('[1]Tempo parado'!H:H,"&gt;="&amp;MIP[[#This Row],[S.B Sitrack]],'[1]Tempo parado'!I:I,"&lt;="&amp;MIP[[#This Row],[C.B Sitrack]],'[1]Tempo parado'!B:B,MIP[[#This Row],[Placa]])</f>
        <v>0</v>
      </c>
      <c r="AG58" s="36"/>
      <c r="AH58" s="35"/>
      <c r="AI58" s="34"/>
      <c r="AJ58" s="34"/>
      <c r="AK5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8" s="32">
        <f>SUMIFS('[1]Tempo parado'!J:J,'[1]Tempo parado'!H:H,"&gt;="&amp;MIP[[#This Row],[S.B Sitrack]],'[1]Tempo parado'!I:I,"&lt;="&amp;MIP[[#This Row],[C.B Sitrack]],'[1]Tempo parado'!B:B,MIP[[#This Row],[Placa]])</f>
        <v>0</v>
      </c>
      <c r="AN58" s="32" t="str">
        <f>IFERROR(MIP[[#This Row],[Tempo parado]]/(MIP[[#This Row],[C.B Sitrack]]-MIP[[#This Row],[S.B Sitrack]]),"")</f>
        <v/>
      </c>
      <c r="AO58" s="30"/>
      <c r="AP58" s="44">
        <f>IF(AND(MIP[Exc]=0,MIP[Previsto / Realizado]="Realizado"),MIP[Sem],0)</f>
        <v>21</v>
      </c>
      <c r="AQ58" s="29">
        <f>IF(AND(MIP[Exc]=0,MIP[Previsto / Realizado]="Realizado",ISBLANK(MIP[[#This Row],[S.B Sitrack]])=FALSE,ISBLANK(MIP[[#This Row],[C.B Sitrack]])=FALSE),MIP[Sem],0)</f>
        <v>0</v>
      </c>
    </row>
    <row r="59" spans="1:43" s="47" customFormat="1" x14ac:dyDescent="0.25">
      <c r="A59" s="11"/>
      <c r="B59" s="44">
        <f>WEEKNUM(MIP[[#This Row],[Data]])</f>
        <v>21</v>
      </c>
      <c r="C59" s="45">
        <v>42878</v>
      </c>
      <c r="D59" s="45"/>
      <c r="E59" s="83" t="s">
        <v>439</v>
      </c>
      <c r="F59" s="35" t="s">
        <v>5</v>
      </c>
      <c r="G59" s="83"/>
      <c r="H59" s="44">
        <v>2</v>
      </c>
      <c r="I59" s="44">
        <v>8</v>
      </c>
      <c r="J59" s="44">
        <v>3</v>
      </c>
      <c r="K59" s="44">
        <v>1</v>
      </c>
      <c r="L59" s="44">
        <v>0</v>
      </c>
      <c r="M59" s="43">
        <v>0.625</v>
      </c>
      <c r="N59" s="43">
        <v>0.64583333333333337</v>
      </c>
      <c r="O59" s="43">
        <f>1+18/24/60</f>
        <v>1.0125</v>
      </c>
      <c r="P59" s="43">
        <f>1+48/24/60</f>
        <v>1.0333333333333334</v>
      </c>
      <c r="Q59" s="39"/>
      <c r="R59" s="42"/>
      <c r="S59" s="44">
        <f>MIP[[#This Row],[PT-1]]+MIP[[#This Row],[PT-2]]*2+MIP[[#This Row],[PT-3]]*3+MIP[[#This Row],[PT &gt; 3 Pontos]]</f>
        <v>17</v>
      </c>
      <c r="T5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59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59" s="41">
        <f>MIP[[#This Row],[Eficiência]]</f>
        <v>1.2145378499318717</v>
      </c>
      <c r="W5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9" s="39">
        <f>IF(MIP[[#This Row],[P.S]]-MIP[[#This Row],[P.E]]&lt;0,1+MIP[[#This Row],[P.S]]-MIP[[#This Row],[P.E]]-1/24,MIP[[#This Row],[P.S]]-MIP[[#This Row],[P.E]]-1/24)</f>
        <v>0.36666666666666675</v>
      </c>
      <c r="Y59" s="39">
        <f>MIP[[#This Row],[PT-1]]*$S$3+MIP[[#This Row],[PT-2]]*$T$3+MIP[[#This Row],[PT-3]]*$U$3+MIP[[#This Row],[PT &gt; 3 Pontos]]*$V$3</f>
        <v>0.39472480122785819</v>
      </c>
      <c r="Z59" s="39">
        <f>MIP[[#This Row],[HH disponível]]-MIP[[#This Row],[HH AC TOT]]</f>
        <v>0.3249999999999999</v>
      </c>
      <c r="AA59" s="38">
        <f>MIP[[#This Row],[HH Produtivo
Total]]/MIP[[#This Row],[HH Trabalhado]]</f>
        <v>1.2145378499318717</v>
      </c>
      <c r="AB59" s="38">
        <f>MIP[[#This Row],[HH Produtivo
Total]]/MIP[[#This Row],[HH disponível]]</f>
        <v>1.0765221851668858</v>
      </c>
      <c r="AC59" s="38">
        <f>MIP[[#This Row],[HH Trabalhado]]/MIP[[#This Row],[HH disponível]]</f>
        <v>0.88636363636363591</v>
      </c>
      <c r="AD59" s="37" t="str">
        <f>LEFT(MIP[[#This Row],[Equipe]], SEARCH("/",MIP[[#This Row],[Equipe]],1)-1)</f>
        <v xml:space="preserve">ADEMÁRIO </v>
      </c>
      <c r="AE59" s="37" t="str">
        <f>RIGHT(MIP[[#This Row],[Equipe]], LEN(MIP[[#This Row],[Equipe]])-SEARCH("/",MIP[[#This Row],[Equipe]],1))</f>
        <v xml:space="preserve"> ANDERSON</v>
      </c>
      <c r="AF59" s="44">
        <f>COUNTIFS('[1]Tempo parado'!H:H,"&gt;="&amp;MIP[[#This Row],[S.B Sitrack]],'[1]Tempo parado'!I:I,"&lt;="&amp;MIP[[#This Row],[C.B Sitrack]],'[1]Tempo parado'!B:B,MIP[[#This Row],[Placa]])</f>
        <v>0</v>
      </c>
      <c r="AG59" s="36"/>
      <c r="AH59" s="35"/>
      <c r="AI59" s="34"/>
      <c r="AJ59" s="34"/>
      <c r="AK5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9" s="32">
        <f>SUMIFS('[1]Tempo parado'!J:J,'[1]Tempo parado'!H:H,"&gt;="&amp;MIP[[#This Row],[S.B Sitrack]],'[1]Tempo parado'!I:I,"&lt;="&amp;MIP[[#This Row],[C.B Sitrack]],'[1]Tempo parado'!B:B,MIP[[#This Row],[Placa]])</f>
        <v>0</v>
      </c>
      <c r="AN59" s="32" t="str">
        <f>IFERROR(MIP[[#This Row],[Tempo parado]]/(MIP[[#This Row],[C.B Sitrack]]-MIP[[#This Row],[S.B Sitrack]]),"")</f>
        <v/>
      </c>
      <c r="AO59" s="30"/>
      <c r="AP59" s="44">
        <f>IF(AND(MIP[Exc]=0,MIP[Previsto / Realizado]="Realizado"),MIP[Sem],0)</f>
        <v>0</v>
      </c>
      <c r="AQ59" s="29">
        <f>IF(AND(MIP[Exc]=0,MIP[Previsto / Realizado]="Realizado",ISBLANK(MIP[[#This Row],[S.B Sitrack]])=FALSE,ISBLANK(MIP[[#This Row],[C.B Sitrack]])=FALSE),MIP[Sem],0)</f>
        <v>0</v>
      </c>
    </row>
    <row r="60" spans="1:43" s="64" customFormat="1" x14ac:dyDescent="0.25">
      <c r="A60" s="11"/>
      <c r="B60" s="44">
        <f>WEEKNUM(MIP[[#This Row],[Data]])</f>
        <v>21</v>
      </c>
      <c r="C60" s="45">
        <v>42878</v>
      </c>
      <c r="D60" s="45"/>
      <c r="E60" s="83" t="s">
        <v>439</v>
      </c>
      <c r="F60" s="35" t="s">
        <v>2</v>
      </c>
      <c r="G60" s="83"/>
      <c r="H60" s="44">
        <v>2</v>
      </c>
      <c r="I60" s="44">
        <v>7</v>
      </c>
      <c r="J60" s="44">
        <v>1</v>
      </c>
      <c r="K60" s="44">
        <v>0</v>
      </c>
      <c r="L60" s="44">
        <v>0</v>
      </c>
      <c r="M60" s="43">
        <v>0.64444444444444449</v>
      </c>
      <c r="N60" s="43">
        <v>0.66805555555555562</v>
      </c>
      <c r="O60" s="43">
        <f>1+42/24/60</f>
        <v>1.0291666666666666</v>
      </c>
      <c r="P60" s="43">
        <f>1+54/24/60</f>
        <v>1.0375000000000001</v>
      </c>
      <c r="Q60" s="39"/>
      <c r="R60" s="42"/>
      <c r="S60" s="44">
        <f>MIP[[#This Row],[PT-1]]+MIP[[#This Row],[PT-2]]*2+MIP[[#This Row],[PT-3]]*3+MIP[[#This Row],[PT &gt; 3 Pontos]]</f>
        <v>9</v>
      </c>
      <c r="T6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3.1944444444444664E-2</v>
      </c>
      <c r="U60" s="39">
        <f>IF(MIP[[#This Row],[P.S]]-MIP[[#This Row],[U.P]]&gt;=0,MIP[[#This Row],[P.S]]-MIP[[#This Row],[U.P]]+MIP[[#This Row],[S.B]]-MIP[[#This Row],[P.E]],1+MIP[[#This Row],[P.S]]-MIP[[#This Row],[U.P]]+MIP[[#This Row],[S.B]]-MIP[[#This Row],[P.E]])</f>
        <v>3.1944444444444664E-2</v>
      </c>
      <c r="V60" s="41">
        <f>MIP[[#This Row],[Eficiência]]</f>
        <v>0.68584613264020167</v>
      </c>
      <c r="W6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0" s="39">
        <f>IF(MIP[[#This Row],[P.S]]-MIP[[#This Row],[P.E]]&lt;0,1+MIP[[#This Row],[P.S]]-MIP[[#This Row],[P.E]]-1/24,MIP[[#This Row],[P.S]]-MIP[[#This Row],[P.E]]-1/24)</f>
        <v>0.35138888888888892</v>
      </c>
      <c r="Y60" s="39">
        <f>MIP[[#This Row],[PT-1]]*$S$3+MIP[[#This Row],[PT-2]]*$T$3+MIP[[#This Row],[PT-3]]*$U$3+MIP[[#This Row],[PT &gt; 3 Pontos]]*$V$3</f>
        <v>0.21908973681561986</v>
      </c>
      <c r="Z60" s="39">
        <f>MIP[[#This Row],[HH disponível]]-MIP[[#This Row],[HH AC TOT]]</f>
        <v>0.31944444444444425</v>
      </c>
      <c r="AA60" s="38">
        <f>MIP[[#This Row],[HH Produtivo
Total]]/MIP[[#This Row],[HH Trabalhado]]</f>
        <v>0.68584613264020167</v>
      </c>
      <c r="AB60" s="38">
        <f>MIP[[#This Row],[HH Produtivo
Total]]/MIP[[#This Row],[HH disponível]]</f>
        <v>0.62349648421836479</v>
      </c>
      <c r="AC60" s="38">
        <f>MIP[[#This Row],[HH Trabalhado]]/MIP[[#This Row],[HH disponível]]</f>
        <v>0.90909090909090851</v>
      </c>
      <c r="AD60" s="37" t="str">
        <f>LEFT(MIP[[#This Row],[Equipe]], SEARCH("/",MIP[[#This Row],[Equipe]],1)-1)</f>
        <v xml:space="preserve">ADEMÁRIO </v>
      </c>
      <c r="AE60" s="37" t="str">
        <f>RIGHT(MIP[[#This Row],[Equipe]], LEN(MIP[[#This Row],[Equipe]])-SEARCH("/",MIP[[#This Row],[Equipe]],1))</f>
        <v xml:space="preserve"> ANDERSON</v>
      </c>
      <c r="AF60" s="44">
        <f>COUNTIFS('[1]Tempo parado'!H:H,"&gt;="&amp;MIP[[#This Row],[S.B Sitrack]],'[1]Tempo parado'!I:I,"&lt;="&amp;MIP[[#This Row],[C.B Sitrack]],'[1]Tempo parado'!B:B,MIP[[#This Row],[Placa]])</f>
        <v>0</v>
      </c>
      <c r="AG60" s="36"/>
      <c r="AH60" s="35"/>
      <c r="AI60" s="34"/>
      <c r="AJ60" s="34"/>
      <c r="AK6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0" s="32">
        <f>SUMIFS('[1]Tempo parado'!J:J,'[1]Tempo parado'!H:H,"&gt;="&amp;MIP[[#This Row],[S.B Sitrack]],'[1]Tempo parado'!I:I,"&lt;="&amp;MIP[[#This Row],[C.B Sitrack]],'[1]Tempo parado'!B:B,MIP[[#This Row],[Placa]])</f>
        <v>0</v>
      </c>
      <c r="AN60" s="32" t="str">
        <f>IFERROR(MIP[[#This Row],[Tempo parado]]/(MIP[[#This Row],[C.B Sitrack]]-MIP[[#This Row],[S.B Sitrack]]),"")</f>
        <v/>
      </c>
      <c r="AO60" s="30"/>
      <c r="AP60" s="44">
        <f>IF(AND(MIP[Exc]=0,MIP[Previsto / Realizado]="Realizado"),MIP[Sem],0)</f>
        <v>21</v>
      </c>
      <c r="AQ60" s="29">
        <f>IF(AND(MIP[Exc]=0,MIP[Previsto / Realizado]="Realizado",ISBLANK(MIP[[#This Row],[S.B Sitrack]])=FALSE,ISBLANK(MIP[[#This Row],[C.B Sitrack]])=FALSE),MIP[Sem],0)</f>
        <v>0</v>
      </c>
    </row>
    <row r="61" spans="1:43" s="85" customFormat="1" x14ac:dyDescent="0.25">
      <c r="A61" s="11"/>
      <c r="B61" s="44">
        <f>WEEKNUM(MIP[[#This Row],[Data]])</f>
        <v>21</v>
      </c>
      <c r="C61" s="45">
        <v>42878</v>
      </c>
      <c r="D61" s="45"/>
      <c r="E61" s="35" t="s">
        <v>3</v>
      </c>
      <c r="F61" s="35" t="s">
        <v>5</v>
      </c>
      <c r="G61" s="35"/>
      <c r="H61" s="44">
        <v>2</v>
      </c>
      <c r="I61" s="44">
        <v>2</v>
      </c>
      <c r="J61" s="44">
        <v>0</v>
      </c>
      <c r="K61" s="44">
        <v>1</v>
      </c>
      <c r="L61" s="44">
        <v>11</v>
      </c>
      <c r="M61" s="43">
        <v>0.625</v>
      </c>
      <c r="N61" s="43">
        <v>0.64583333333333337</v>
      </c>
      <c r="O61" s="43">
        <f>1+18/24/60</f>
        <v>1.0125</v>
      </c>
      <c r="P61" s="43">
        <f>1+48/24/60</f>
        <v>1.0333333333333334</v>
      </c>
      <c r="Q61" s="39"/>
      <c r="R61" s="42"/>
      <c r="S61" s="44">
        <f>MIP[[#This Row],[PT-1]]+MIP[[#This Row],[PT-2]]*2+MIP[[#This Row],[PT-3]]*3+MIP[[#This Row],[PT &gt; 3 Pontos]]</f>
        <v>16</v>
      </c>
      <c r="T6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61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61" s="41">
        <f>MIP[[#This Row],[Eficiência]]</f>
        <v>1.0325277072408723</v>
      </c>
      <c r="W6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1" s="39">
        <f>IF(MIP[[#This Row],[P.S]]-MIP[[#This Row],[P.E]]&lt;0,1+MIP[[#This Row],[P.S]]-MIP[[#This Row],[P.E]]-1/24,MIP[[#This Row],[P.S]]-MIP[[#This Row],[P.E]]-1/24)</f>
        <v>0.36666666666666675</v>
      </c>
      <c r="Y61" s="39">
        <f>MIP[[#This Row],[PT-1]]*$S$3+MIP[[#This Row],[PT-2]]*$T$3+MIP[[#This Row],[PT-3]]*$U$3+MIP[[#This Row],[PT &gt; 3 Pontos]]*$V$3</f>
        <v>0.33557150485328335</v>
      </c>
      <c r="Z61" s="39">
        <f>MIP[[#This Row],[HH disponível]]-MIP[[#This Row],[HH AC TOT]]</f>
        <v>0.3249999999999999</v>
      </c>
      <c r="AA61" s="38">
        <f>MIP[[#This Row],[HH Produtivo
Total]]/MIP[[#This Row],[HH Trabalhado]]</f>
        <v>1.0325277072408723</v>
      </c>
      <c r="AB61" s="38">
        <f>MIP[[#This Row],[HH Produtivo
Total]]/MIP[[#This Row],[HH disponível]]</f>
        <v>0.9151950132362271</v>
      </c>
      <c r="AC61" s="38">
        <f>MIP[[#This Row],[HH Trabalhado]]/MIP[[#This Row],[HH disponível]]</f>
        <v>0.88636363636363591</v>
      </c>
      <c r="AD61" s="37" t="str">
        <f>LEFT(MIP[[#This Row],[Equipe]], SEARCH("/",MIP[[#This Row],[Equipe]],1)-1)</f>
        <v xml:space="preserve">EDILTON </v>
      </c>
      <c r="AE61" s="37" t="str">
        <f>RIGHT(MIP[[#This Row],[Equipe]], LEN(MIP[[#This Row],[Equipe]])-SEARCH("/",MIP[[#This Row],[Equipe]],1))</f>
        <v xml:space="preserve"> GECIVALDO</v>
      </c>
      <c r="AF61" s="44">
        <f>COUNTIFS('[1]Tempo parado'!H:H,"&gt;="&amp;MIP[[#This Row],[S.B Sitrack]],'[1]Tempo parado'!I:I,"&lt;="&amp;MIP[[#This Row],[C.B Sitrack]],'[1]Tempo parado'!B:B,MIP[[#This Row],[Placa]])</f>
        <v>0</v>
      </c>
      <c r="AG61" s="36"/>
      <c r="AH61" s="35"/>
      <c r="AI61" s="34"/>
      <c r="AJ61" s="34"/>
      <c r="AK6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1" s="32">
        <f>SUMIFS('[1]Tempo parado'!J:J,'[1]Tempo parado'!H:H,"&gt;="&amp;MIP[[#This Row],[S.B Sitrack]],'[1]Tempo parado'!I:I,"&lt;="&amp;MIP[[#This Row],[C.B Sitrack]],'[1]Tempo parado'!B:B,MIP[[#This Row],[Placa]])</f>
        <v>0</v>
      </c>
      <c r="AN61" s="32" t="str">
        <f>IFERROR(MIP[[#This Row],[Tempo parado]]/(MIP[[#This Row],[C.B Sitrack]]-MIP[[#This Row],[S.B Sitrack]]),"")</f>
        <v/>
      </c>
      <c r="AO61" s="30"/>
      <c r="AP61" s="44">
        <f>IF(AND(MIP[Exc]=0,MIP[Previsto / Realizado]="Realizado"),MIP[Sem],0)</f>
        <v>0</v>
      </c>
      <c r="AQ61" s="29">
        <f>IF(AND(MIP[Exc]=0,MIP[Previsto / Realizado]="Realizado",ISBLANK(MIP[[#This Row],[S.B Sitrack]])=FALSE,ISBLANK(MIP[[#This Row],[C.B Sitrack]])=FALSE),MIP[Sem],0)</f>
        <v>0</v>
      </c>
    </row>
    <row r="62" spans="1:43" s="64" customFormat="1" x14ac:dyDescent="0.25">
      <c r="A62" s="11"/>
      <c r="B62" s="44">
        <f>WEEKNUM(MIP[[#This Row],[Data]])</f>
        <v>21</v>
      </c>
      <c r="C62" s="45">
        <v>42878</v>
      </c>
      <c r="D62" s="45"/>
      <c r="E62" s="35" t="s">
        <v>3</v>
      </c>
      <c r="F62" s="35" t="s">
        <v>2</v>
      </c>
      <c r="G62" s="35"/>
      <c r="H62" s="44">
        <v>2</v>
      </c>
      <c r="I62" s="44">
        <v>2</v>
      </c>
      <c r="J62" s="44">
        <v>0</v>
      </c>
      <c r="K62" s="44">
        <v>0</v>
      </c>
      <c r="L62" s="44">
        <v>4</v>
      </c>
      <c r="M62" s="43">
        <v>0.62083333333333335</v>
      </c>
      <c r="N62" s="43">
        <v>0.66805555555555562</v>
      </c>
      <c r="O62" s="43">
        <v>0.9916666666666667</v>
      </c>
      <c r="P62" s="43">
        <f>1+55/24/60</f>
        <v>1.0381944444444444</v>
      </c>
      <c r="Q62" s="39"/>
      <c r="R62" s="42" t="s">
        <v>453</v>
      </c>
      <c r="S62" s="44">
        <f>MIP[[#This Row],[PT-1]]+MIP[[#This Row],[PT-2]]*2+MIP[[#This Row],[PT-3]]*3+MIP[[#This Row],[PT &gt; 3 Pontos]]</f>
        <v>6</v>
      </c>
      <c r="T6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9.375E-2</v>
      </c>
      <c r="U62" s="39">
        <f>IF(MIP[[#This Row],[P.S]]-MIP[[#This Row],[U.P]]&gt;=0,MIP[[#This Row],[P.S]]-MIP[[#This Row],[U.P]]+MIP[[#This Row],[S.B]]-MIP[[#This Row],[P.E]],1+MIP[[#This Row],[P.S]]-MIP[[#This Row],[U.P]]+MIP[[#This Row],[S.B]]-MIP[[#This Row],[P.E]])</f>
        <v>9.375E-2</v>
      </c>
      <c r="V62" s="41">
        <f>MIP[[#This Row],[Eficiência]]</f>
        <v>0.46478571230257898</v>
      </c>
      <c r="W6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2" s="39">
        <f>IF(MIP[[#This Row],[P.S]]-MIP[[#This Row],[P.E]]&lt;0,1+MIP[[#This Row],[P.S]]-MIP[[#This Row],[P.E]]-1/24,MIP[[#This Row],[P.S]]-MIP[[#This Row],[P.E]]-1/24)</f>
        <v>0.37569444444444439</v>
      </c>
      <c r="Y62" s="39">
        <f>MIP[[#This Row],[PT-1]]*$S$3+MIP[[#This Row],[PT-2]]*$T$3+MIP[[#This Row],[PT-3]]*$U$3+MIP[[#This Row],[PT &gt; 3 Pontos]]*$V$3</f>
        <v>0.131043749440866</v>
      </c>
      <c r="Z62" s="39">
        <f>MIP[[#This Row],[HH disponível]]-MIP[[#This Row],[HH AC TOT]]</f>
        <v>0.28194444444444439</v>
      </c>
      <c r="AA62" s="38">
        <f>MIP[[#This Row],[HH Produtivo
Total]]/MIP[[#This Row],[HH Trabalhado]]</f>
        <v>0.46478571230257898</v>
      </c>
      <c r="AB62" s="38">
        <f>MIP[[#This Row],[HH Produtivo
Total]]/MIP[[#This Row],[HH disponível]]</f>
        <v>0.3488040650551702</v>
      </c>
      <c r="AC62" s="38">
        <f>MIP[[#This Row],[HH Trabalhado]]/MIP[[#This Row],[HH disponível]]</f>
        <v>0.75046210720887241</v>
      </c>
      <c r="AD62" s="37" t="str">
        <f>LEFT(MIP[[#This Row],[Equipe]], SEARCH("/",MIP[[#This Row],[Equipe]],1)-1)</f>
        <v xml:space="preserve">EDILTON </v>
      </c>
      <c r="AE62" s="37" t="str">
        <f>RIGHT(MIP[[#This Row],[Equipe]], LEN(MIP[[#This Row],[Equipe]])-SEARCH("/",MIP[[#This Row],[Equipe]],1))</f>
        <v xml:space="preserve"> GECIVALDO</v>
      </c>
      <c r="AF62" s="44">
        <f>COUNTIFS('[1]Tempo parado'!H:H,"&gt;="&amp;MIP[[#This Row],[S.B Sitrack]],'[1]Tempo parado'!I:I,"&lt;="&amp;MIP[[#This Row],[C.B Sitrack]],'[1]Tempo parado'!B:B,MIP[[#This Row],[Placa]])</f>
        <v>0</v>
      </c>
      <c r="AG62" s="36"/>
      <c r="AH62" s="35"/>
      <c r="AI62" s="34"/>
      <c r="AJ62" s="34"/>
      <c r="AK6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2" s="32">
        <f>SUMIFS('[1]Tempo parado'!J:J,'[1]Tempo parado'!H:H,"&gt;="&amp;MIP[[#This Row],[S.B Sitrack]],'[1]Tempo parado'!I:I,"&lt;="&amp;MIP[[#This Row],[C.B Sitrack]],'[1]Tempo parado'!B:B,MIP[[#This Row],[Placa]])</f>
        <v>0</v>
      </c>
      <c r="AN62" s="32" t="str">
        <f>IFERROR(MIP[[#This Row],[Tempo parado]]/(MIP[[#This Row],[C.B Sitrack]]-MIP[[#This Row],[S.B Sitrack]]),"")</f>
        <v/>
      </c>
      <c r="AO62" s="30"/>
      <c r="AP62" s="44">
        <f>IF(AND(MIP[Exc]=0,MIP[Previsto / Realizado]="Realizado"),MIP[Sem],0)</f>
        <v>21</v>
      </c>
      <c r="AQ62" s="29">
        <f>IF(AND(MIP[Exc]=0,MIP[Previsto / Realizado]="Realizado",ISBLANK(MIP[[#This Row],[S.B Sitrack]])=FALSE,ISBLANK(MIP[[#This Row],[C.B Sitrack]])=FALSE),MIP[Sem],0)</f>
        <v>0</v>
      </c>
    </row>
    <row r="63" spans="1:43" s="47" customFormat="1" x14ac:dyDescent="0.25">
      <c r="A63" s="11"/>
      <c r="B63" s="44">
        <f>WEEKNUM(MIP[[#This Row],[Data]])</f>
        <v>21</v>
      </c>
      <c r="C63" s="45">
        <v>42878</v>
      </c>
      <c r="D63" s="45"/>
      <c r="E63" s="35" t="s">
        <v>452</v>
      </c>
      <c r="F63" s="35" t="s">
        <v>5</v>
      </c>
      <c r="G63" s="35"/>
      <c r="H63" s="44">
        <v>2</v>
      </c>
      <c r="I63" s="44">
        <v>12</v>
      </c>
      <c r="J63" s="44">
        <v>1</v>
      </c>
      <c r="K63" s="44">
        <v>0</v>
      </c>
      <c r="L63" s="44">
        <v>0</v>
      </c>
      <c r="M63" s="43">
        <v>0.625</v>
      </c>
      <c r="N63" s="43">
        <v>0.64583333333333337</v>
      </c>
      <c r="O63" s="43">
        <f>1+18/24/60</f>
        <v>1.0125</v>
      </c>
      <c r="P63" s="43">
        <f>1+48/24/60</f>
        <v>1.0333333333333334</v>
      </c>
      <c r="Q63" s="39"/>
      <c r="R63" s="42"/>
      <c r="S63" s="44">
        <f>MIP[[#This Row],[PT-1]]+MIP[[#This Row],[PT-2]]*2+MIP[[#This Row],[PT-3]]*3+MIP[[#This Row],[PT &gt; 3 Pontos]]</f>
        <v>14</v>
      </c>
      <c r="T6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63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63" s="41">
        <f>MIP[[#This Row],[Eficiência]]</f>
        <v>1.0591353895701718</v>
      </c>
      <c r="W6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3" s="39">
        <f>IF(MIP[[#This Row],[P.S]]-MIP[[#This Row],[P.E]]&lt;0,1+MIP[[#This Row],[P.S]]-MIP[[#This Row],[P.E]]-1/24,MIP[[#This Row],[P.S]]-MIP[[#This Row],[P.E]]-1/24)</f>
        <v>0.36666666666666675</v>
      </c>
      <c r="Y63" s="39">
        <f>MIP[[#This Row],[PT-1]]*$S$3+MIP[[#This Row],[PT-2]]*$T$3+MIP[[#This Row],[PT-3]]*$U$3+MIP[[#This Row],[PT &gt; 3 Pontos]]*$V$3</f>
        <v>0.34421900161030577</v>
      </c>
      <c r="Z63" s="39">
        <f>MIP[[#This Row],[HH disponível]]-MIP[[#This Row],[HH AC TOT]]</f>
        <v>0.3249999999999999</v>
      </c>
      <c r="AA63" s="38">
        <f>MIP[[#This Row],[HH Produtivo
Total]]/MIP[[#This Row],[HH Trabalhado]]</f>
        <v>1.0591353895701718</v>
      </c>
      <c r="AB63" s="38">
        <f>MIP[[#This Row],[HH Produtivo
Total]]/MIP[[#This Row],[HH disponível]]</f>
        <v>0.9387790953008337</v>
      </c>
      <c r="AC63" s="38">
        <f>MIP[[#This Row],[HH Trabalhado]]/MIP[[#This Row],[HH disponível]]</f>
        <v>0.88636363636363591</v>
      </c>
      <c r="AD63" s="37" t="str">
        <f>LEFT(MIP[[#This Row],[Equipe]], SEARCH("/",MIP[[#This Row],[Equipe]],1)-1)</f>
        <v xml:space="preserve">CLAUDINEY </v>
      </c>
      <c r="AE63" s="37" t="str">
        <f>RIGHT(MIP[[#This Row],[Equipe]], LEN(MIP[[#This Row],[Equipe]])-SEARCH("/",MIP[[#This Row],[Equipe]],1))</f>
        <v xml:space="preserve"> CLEBER</v>
      </c>
      <c r="AF63" s="44">
        <f>COUNTIFS('[1]Tempo parado'!H:H,"&gt;="&amp;MIP[[#This Row],[S.B Sitrack]],'[1]Tempo parado'!I:I,"&lt;="&amp;MIP[[#This Row],[C.B Sitrack]],'[1]Tempo parado'!B:B,MIP[[#This Row],[Placa]])</f>
        <v>0</v>
      </c>
      <c r="AG63" s="36"/>
      <c r="AH63" s="35"/>
      <c r="AI63" s="34"/>
      <c r="AJ63" s="34"/>
      <c r="AK6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3" s="32">
        <f>SUMIFS('[1]Tempo parado'!J:J,'[1]Tempo parado'!H:H,"&gt;="&amp;MIP[[#This Row],[S.B Sitrack]],'[1]Tempo parado'!I:I,"&lt;="&amp;MIP[[#This Row],[C.B Sitrack]],'[1]Tempo parado'!B:B,MIP[[#This Row],[Placa]])</f>
        <v>0</v>
      </c>
      <c r="AN63" s="32" t="str">
        <f>IFERROR(MIP[[#This Row],[Tempo parado]]/(MIP[[#This Row],[C.B Sitrack]]-MIP[[#This Row],[S.B Sitrack]]),"")</f>
        <v/>
      </c>
      <c r="AO63" s="30"/>
      <c r="AP63" s="44">
        <f>IF(AND(MIP[Exc]=0,MIP[Previsto / Realizado]="Realizado"),MIP[Sem],0)</f>
        <v>0</v>
      </c>
      <c r="AQ63" s="29">
        <f>IF(AND(MIP[Exc]=0,MIP[Previsto / Realizado]="Realizado",ISBLANK(MIP[[#This Row],[S.B Sitrack]])=FALSE,ISBLANK(MIP[[#This Row],[C.B Sitrack]])=FALSE),MIP[Sem],0)</f>
        <v>0</v>
      </c>
    </row>
    <row r="64" spans="1:43" s="64" customFormat="1" x14ac:dyDescent="0.25">
      <c r="A64" s="11"/>
      <c r="B64" s="44">
        <f>WEEKNUM(MIP[[#This Row],[Data]])</f>
        <v>21</v>
      </c>
      <c r="C64" s="45">
        <v>42878</v>
      </c>
      <c r="D64" s="45"/>
      <c r="E64" s="35" t="s">
        <v>452</v>
      </c>
      <c r="F64" s="35" t="s">
        <v>2</v>
      </c>
      <c r="G64" s="35"/>
      <c r="H64" s="44">
        <v>2</v>
      </c>
      <c r="I64" s="44">
        <v>12</v>
      </c>
      <c r="J64" s="44">
        <v>1</v>
      </c>
      <c r="K64" s="44">
        <v>0</v>
      </c>
      <c r="L64" s="44">
        <v>0</v>
      </c>
      <c r="M64" s="43">
        <v>0.6166666666666667</v>
      </c>
      <c r="N64" s="43">
        <v>0.67361111111111116</v>
      </c>
      <c r="O64" s="43">
        <f>1+20/24/60</f>
        <v>1.0138888888888888</v>
      </c>
      <c r="P64" s="43">
        <f>1+55/24/60</f>
        <v>1.0381944444444444</v>
      </c>
      <c r="Q64" s="39"/>
      <c r="R64" s="42"/>
      <c r="S64" s="44">
        <f>MIP[[#This Row],[PT-1]]+MIP[[#This Row],[PT-2]]*2+MIP[[#This Row],[PT-3]]*3+MIP[[#This Row],[PT &gt; 3 Pontos]]</f>
        <v>14</v>
      </c>
      <c r="T6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8.1250000000000044E-2</v>
      </c>
      <c r="U64" s="39">
        <f>IF(MIP[[#This Row],[P.S]]-MIP[[#This Row],[U.P]]&gt;=0,MIP[[#This Row],[P.S]]-MIP[[#This Row],[U.P]]+MIP[[#This Row],[S.B]]-MIP[[#This Row],[P.E]],1+MIP[[#This Row],[P.S]]-MIP[[#This Row],[U.P]]+MIP[[#This Row],[S.B]]-MIP[[#This Row],[P.E]])</f>
        <v>8.1250000000000044E-2</v>
      </c>
      <c r="V64" s="41">
        <f>MIP[[#This Row],[Eficiência]]</f>
        <v>1.1527334007414896</v>
      </c>
      <c r="W6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4" s="39">
        <f>IF(MIP[[#This Row],[P.S]]-MIP[[#This Row],[P.E]]&lt;0,1+MIP[[#This Row],[P.S]]-MIP[[#This Row],[P.E]]-1/24,MIP[[#This Row],[P.S]]-MIP[[#This Row],[P.E]]-1/24)</f>
        <v>0.37986111111111104</v>
      </c>
      <c r="Y64" s="39">
        <f>MIP[[#This Row],[PT-1]]*$S$3+MIP[[#This Row],[PT-2]]*$T$3+MIP[[#This Row],[PT-3]]*$U$3+MIP[[#This Row],[PT &gt; 3 Pontos]]*$V$3</f>
        <v>0.34421900161030577</v>
      </c>
      <c r="Z64" s="39">
        <f>MIP[[#This Row],[HH disponível]]-MIP[[#This Row],[HH AC TOT]]</f>
        <v>0.29861111111111099</v>
      </c>
      <c r="AA64" s="38">
        <f>MIP[[#This Row],[HH Produtivo
Total]]/MIP[[#This Row],[HH Trabalhado]]</f>
        <v>1.1527334007414896</v>
      </c>
      <c r="AB64" s="38">
        <f>MIP[[#This Row],[HH Produtivo
Total]]/MIP[[#This Row],[HH disponível]]</f>
        <v>0.90617068065601536</v>
      </c>
      <c r="AC64" s="38">
        <f>MIP[[#This Row],[HH Trabalhado]]/MIP[[#This Row],[HH disponível]]</f>
        <v>0.78610603290676406</v>
      </c>
      <c r="AD64" s="37" t="str">
        <f>LEFT(MIP[[#This Row],[Equipe]], SEARCH("/",MIP[[#This Row],[Equipe]],1)-1)</f>
        <v xml:space="preserve">CLAUDINEY </v>
      </c>
      <c r="AE64" s="37" t="str">
        <f>RIGHT(MIP[[#This Row],[Equipe]], LEN(MIP[[#This Row],[Equipe]])-SEARCH("/",MIP[[#This Row],[Equipe]],1))</f>
        <v xml:space="preserve"> CLEBER</v>
      </c>
      <c r="AF64" s="44">
        <f>COUNTIFS('[1]Tempo parado'!H:H,"&gt;="&amp;MIP[[#This Row],[S.B Sitrack]],'[1]Tempo parado'!I:I,"&lt;="&amp;MIP[[#This Row],[C.B Sitrack]],'[1]Tempo parado'!B:B,MIP[[#This Row],[Placa]])</f>
        <v>0</v>
      </c>
      <c r="AG64" s="36"/>
      <c r="AH64" s="35"/>
      <c r="AI64" s="34"/>
      <c r="AJ64" s="34"/>
      <c r="AK6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4" s="32">
        <f>SUMIFS('[1]Tempo parado'!J:J,'[1]Tempo parado'!H:H,"&gt;="&amp;MIP[[#This Row],[S.B Sitrack]],'[1]Tempo parado'!I:I,"&lt;="&amp;MIP[[#This Row],[C.B Sitrack]],'[1]Tempo parado'!B:B,MIP[[#This Row],[Placa]])</f>
        <v>0</v>
      </c>
      <c r="AN64" s="32" t="str">
        <f>IFERROR(MIP[[#This Row],[Tempo parado]]/(MIP[[#This Row],[C.B Sitrack]]-MIP[[#This Row],[S.B Sitrack]]),"")</f>
        <v/>
      </c>
      <c r="AO64" s="30"/>
      <c r="AP64" s="44">
        <f>IF(AND(MIP[Exc]=0,MIP[Previsto / Realizado]="Realizado"),MIP[Sem],0)</f>
        <v>21</v>
      </c>
      <c r="AQ64" s="29">
        <f>IF(AND(MIP[Exc]=0,MIP[Previsto / Realizado]="Realizado",ISBLANK(MIP[[#This Row],[S.B Sitrack]])=FALSE,ISBLANK(MIP[[#This Row],[C.B Sitrack]])=FALSE),MIP[Sem],0)</f>
        <v>0</v>
      </c>
    </row>
    <row r="65" spans="1:43" s="85" customFormat="1" x14ac:dyDescent="0.25">
      <c r="A65" s="11"/>
      <c r="B65" s="44">
        <f>WEEKNUM(MIP[[#This Row],[Data]])</f>
        <v>21</v>
      </c>
      <c r="C65" s="45">
        <v>42879</v>
      </c>
      <c r="D65" s="45"/>
      <c r="E65" s="83" t="s">
        <v>439</v>
      </c>
      <c r="F65" s="35" t="s">
        <v>5</v>
      </c>
      <c r="G65" s="83"/>
      <c r="H65" s="44">
        <v>2</v>
      </c>
      <c r="I65" s="44">
        <v>0</v>
      </c>
      <c r="J65" s="44">
        <v>1</v>
      </c>
      <c r="K65" s="44">
        <v>0</v>
      </c>
      <c r="L65" s="44">
        <v>15</v>
      </c>
      <c r="M65" s="43">
        <v>0.625</v>
      </c>
      <c r="N65" s="43">
        <v>0.64583333333333337</v>
      </c>
      <c r="O65" s="43">
        <f>1+18/24/60</f>
        <v>1.0125</v>
      </c>
      <c r="P65" s="43">
        <f>1+48/24/60</f>
        <v>1.0333333333333334</v>
      </c>
      <c r="Q65" s="39"/>
      <c r="R65" s="42"/>
      <c r="S65" s="44">
        <f>MIP[[#This Row],[PT-1]]+MIP[[#This Row],[PT-2]]*2+MIP[[#This Row],[PT-3]]*3+MIP[[#This Row],[PT &gt; 3 Pontos]]</f>
        <v>17</v>
      </c>
      <c r="T6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65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65" s="41">
        <f>MIP[[#This Row],[Eficiência]]</f>
        <v>1.0696274748131642</v>
      </c>
      <c r="W6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5" s="39">
        <f>IF(MIP[[#This Row],[P.S]]-MIP[[#This Row],[P.E]]&lt;0,1+MIP[[#This Row],[P.S]]-MIP[[#This Row],[P.E]]-1/24,MIP[[#This Row],[P.S]]-MIP[[#This Row],[P.E]]-1/24)</f>
        <v>0.36666666666666675</v>
      </c>
      <c r="Y65" s="39">
        <f>MIP[[#This Row],[PT-1]]*$S$3+MIP[[#This Row],[PT-2]]*$T$3+MIP[[#This Row],[PT-3]]*$U$3+MIP[[#This Row],[PT &gt; 3 Pontos]]*$V$3</f>
        <v>0.34762892931427825</v>
      </c>
      <c r="Z65" s="39">
        <f>MIP[[#This Row],[HH disponível]]-MIP[[#This Row],[HH AC TOT]]</f>
        <v>0.3249999999999999</v>
      </c>
      <c r="AA65" s="38">
        <f>MIP[[#This Row],[HH Produtivo
Total]]/MIP[[#This Row],[HH Trabalhado]]</f>
        <v>1.0696274748131642</v>
      </c>
      <c r="AB65" s="38">
        <f>MIP[[#This Row],[HH Produtivo
Total]]/MIP[[#This Row],[HH disponível]]</f>
        <v>0.94807889812984958</v>
      </c>
      <c r="AC65" s="38">
        <f>MIP[[#This Row],[HH Trabalhado]]/MIP[[#This Row],[HH disponível]]</f>
        <v>0.88636363636363591</v>
      </c>
      <c r="AD65" s="37" t="str">
        <f>LEFT(MIP[[#This Row],[Equipe]], SEARCH("/",MIP[[#This Row],[Equipe]],1)-1)</f>
        <v xml:space="preserve">ADEMÁRIO </v>
      </c>
      <c r="AE65" s="37" t="str">
        <f>RIGHT(MIP[[#This Row],[Equipe]], LEN(MIP[[#This Row],[Equipe]])-SEARCH("/",MIP[[#This Row],[Equipe]],1))</f>
        <v xml:space="preserve"> ANDERSON</v>
      </c>
      <c r="AF65" s="44">
        <f>COUNTIFS('[1]Tempo parado'!H:H,"&gt;="&amp;MIP[[#This Row],[S.B Sitrack]],'[1]Tempo parado'!I:I,"&lt;="&amp;MIP[[#This Row],[C.B Sitrack]],'[1]Tempo parado'!B:B,MIP[[#This Row],[Placa]])</f>
        <v>0</v>
      </c>
      <c r="AG65" s="36"/>
      <c r="AH65" s="35"/>
      <c r="AI65" s="34"/>
      <c r="AJ65" s="34"/>
      <c r="AK6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5" s="32">
        <f>SUMIFS('[1]Tempo parado'!J:J,'[1]Tempo parado'!H:H,"&gt;="&amp;MIP[[#This Row],[S.B Sitrack]],'[1]Tempo parado'!I:I,"&lt;="&amp;MIP[[#This Row],[C.B Sitrack]],'[1]Tempo parado'!B:B,MIP[[#This Row],[Placa]])</f>
        <v>0</v>
      </c>
      <c r="AN65" s="32" t="str">
        <f>IFERROR(MIP[[#This Row],[Tempo parado]]/(MIP[[#This Row],[C.B Sitrack]]-MIP[[#This Row],[S.B Sitrack]]),"")</f>
        <v/>
      </c>
      <c r="AO65" s="30"/>
      <c r="AP65" s="44">
        <f>IF(AND(MIP[Exc]=0,MIP[Previsto / Realizado]="Realizado"),MIP[Sem],0)</f>
        <v>0</v>
      </c>
      <c r="AQ65" s="29">
        <f>IF(AND(MIP[Exc]=0,MIP[Previsto / Realizado]="Realizado",ISBLANK(MIP[[#This Row],[S.B Sitrack]])=FALSE,ISBLANK(MIP[[#This Row],[C.B Sitrack]])=FALSE),MIP[Sem],0)</f>
        <v>0</v>
      </c>
    </row>
    <row r="66" spans="1:43" s="64" customFormat="1" x14ac:dyDescent="0.25">
      <c r="A66" s="11"/>
      <c r="B66" s="44">
        <f>WEEKNUM(MIP[[#This Row],[Data]])</f>
        <v>21</v>
      </c>
      <c r="C66" s="45">
        <v>42879</v>
      </c>
      <c r="D66" s="45"/>
      <c r="E66" s="83" t="s">
        <v>439</v>
      </c>
      <c r="F66" s="35" t="s">
        <v>2</v>
      </c>
      <c r="G66" s="83"/>
      <c r="H66" s="44">
        <v>2</v>
      </c>
      <c r="I66" s="44">
        <v>0</v>
      </c>
      <c r="J66" s="44">
        <v>1</v>
      </c>
      <c r="K66" s="44">
        <v>0</v>
      </c>
      <c r="L66" s="44">
        <v>14</v>
      </c>
      <c r="M66" s="43">
        <v>0.64444444444444449</v>
      </c>
      <c r="N66" s="43">
        <v>0.67013888888888884</v>
      </c>
      <c r="O66" s="43">
        <f>1+32/24/60</f>
        <v>1.0222222222222221</v>
      </c>
      <c r="P66" s="43">
        <f>1+48/24/60</f>
        <v>1.0333333333333334</v>
      </c>
      <c r="Q66" s="39"/>
      <c r="R66" s="42"/>
      <c r="S66" s="44">
        <f>MIP[[#This Row],[PT-1]]+MIP[[#This Row],[PT-2]]*2+MIP[[#This Row],[PT-3]]*3+MIP[[#This Row],[PT &gt; 3 Pontos]]</f>
        <v>16</v>
      </c>
      <c r="T6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3.6805555555555647E-2</v>
      </c>
      <c r="U66" s="39">
        <f>IF(MIP[[#This Row],[P.S]]-MIP[[#This Row],[U.P]]&gt;=0,MIP[[#This Row],[P.S]]-MIP[[#This Row],[U.P]]+MIP[[#This Row],[S.B]]-MIP[[#This Row],[P.E]],1+MIP[[#This Row],[P.S]]-MIP[[#This Row],[U.P]]+MIP[[#This Row],[S.B]]-MIP[[#This Row],[P.E]])</f>
        <v>3.6805555555555647E-2</v>
      </c>
      <c r="V66" s="41">
        <f>MIP[[#This Row],[Eficiência]]</f>
        <v>1.0546499385778161</v>
      </c>
      <c r="W6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6" s="39">
        <f>IF(MIP[[#This Row],[P.S]]-MIP[[#This Row],[P.E]]&lt;0,1+MIP[[#This Row],[P.S]]-MIP[[#This Row],[P.E]]-1/24,MIP[[#This Row],[P.S]]-MIP[[#This Row],[P.E]]-1/24)</f>
        <v>0.34722222222222227</v>
      </c>
      <c r="Y66" s="39">
        <f>MIP[[#This Row],[PT-1]]*$S$3+MIP[[#This Row],[PT-2]]*$T$3+MIP[[#This Row],[PT-3]]*$U$3+MIP[[#This Row],[PT &gt; 3 Pontos]]*$V$3</f>
        <v>0.32738091843353034</v>
      </c>
      <c r="Z66" s="39">
        <f>MIP[[#This Row],[HH disponível]]-MIP[[#This Row],[HH AC TOT]]</f>
        <v>0.31041666666666662</v>
      </c>
      <c r="AA66" s="38">
        <f>MIP[[#This Row],[HH Produtivo
Total]]/MIP[[#This Row],[HH Trabalhado]]</f>
        <v>1.0546499385778161</v>
      </c>
      <c r="AB66" s="38">
        <f>MIP[[#This Row],[HH Produtivo
Total]]/MIP[[#This Row],[HH disponível]]</f>
        <v>0.94285704508856727</v>
      </c>
      <c r="AC66" s="38">
        <f>MIP[[#This Row],[HH Trabalhado]]/MIP[[#This Row],[HH disponível]]</f>
        <v>0.89399999999999979</v>
      </c>
      <c r="AD66" s="37" t="str">
        <f>LEFT(MIP[[#This Row],[Equipe]], SEARCH("/",MIP[[#This Row],[Equipe]],1)-1)</f>
        <v xml:space="preserve">ADEMÁRIO </v>
      </c>
      <c r="AE66" s="37" t="str">
        <f>RIGHT(MIP[[#This Row],[Equipe]], LEN(MIP[[#This Row],[Equipe]])-SEARCH("/",MIP[[#This Row],[Equipe]],1))</f>
        <v xml:space="preserve"> ANDERSON</v>
      </c>
      <c r="AF66" s="44">
        <f>COUNTIFS('[1]Tempo parado'!H:H,"&gt;="&amp;MIP[[#This Row],[S.B Sitrack]],'[1]Tempo parado'!I:I,"&lt;="&amp;MIP[[#This Row],[C.B Sitrack]],'[1]Tempo parado'!B:B,MIP[[#This Row],[Placa]])</f>
        <v>0</v>
      </c>
      <c r="AG66" s="36"/>
      <c r="AH66" s="35"/>
      <c r="AI66" s="34"/>
      <c r="AJ66" s="34"/>
      <c r="AK6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6" s="32">
        <f>SUMIFS('[1]Tempo parado'!J:J,'[1]Tempo parado'!H:H,"&gt;="&amp;MIP[[#This Row],[S.B Sitrack]],'[1]Tempo parado'!I:I,"&lt;="&amp;MIP[[#This Row],[C.B Sitrack]],'[1]Tempo parado'!B:B,MIP[[#This Row],[Placa]])</f>
        <v>0</v>
      </c>
      <c r="AN66" s="32" t="str">
        <f>IFERROR(MIP[[#This Row],[Tempo parado]]/(MIP[[#This Row],[C.B Sitrack]]-MIP[[#This Row],[S.B Sitrack]]),"")</f>
        <v/>
      </c>
      <c r="AO66" s="30"/>
      <c r="AP66" s="44">
        <f>IF(AND(MIP[Exc]=0,MIP[Previsto / Realizado]="Realizado"),MIP[Sem],0)</f>
        <v>21</v>
      </c>
      <c r="AQ66" s="29">
        <f>IF(AND(MIP[Exc]=0,MIP[Previsto / Realizado]="Realizado",ISBLANK(MIP[[#This Row],[S.B Sitrack]])=FALSE,ISBLANK(MIP[[#This Row],[C.B Sitrack]])=FALSE),MIP[Sem],0)</f>
        <v>0</v>
      </c>
    </row>
    <row r="67" spans="1:43" s="85" customFormat="1" x14ac:dyDescent="0.25">
      <c r="A67" s="11"/>
      <c r="B67" s="44">
        <f>WEEKNUM(MIP[[#This Row],[Data]])</f>
        <v>21</v>
      </c>
      <c r="C67" s="45">
        <v>42879</v>
      </c>
      <c r="D67" s="45"/>
      <c r="E67" s="35" t="s">
        <v>3</v>
      </c>
      <c r="F67" s="35" t="s">
        <v>5</v>
      </c>
      <c r="G67" s="35"/>
      <c r="H67" s="44">
        <v>2</v>
      </c>
      <c r="I67" s="44">
        <v>9</v>
      </c>
      <c r="J67" s="44">
        <v>0</v>
      </c>
      <c r="K67" s="44">
        <v>2</v>
      </c>
      <c r="L67" s="44">
        <v>0</v>
      </c>
      <c r="M67" s="43">
        <v>0.625</v>
      </c>
      <c r="N67" s="43">
        <v>0.64583333333333337</v>
      </c>
      <c r="O67" s="43">
        <f>1+18/24/60</f>
        <v>1.0125</v>
      </c>
      <c r="P67" s="43">
        <f>1+48/24/60</f>
        <v>1.0333333333333334</v>
      </c>
      <c r="Q67" s="39"/>
      <c r="R67" s="42"/>
      <c r="S67" s="44">
        <f>MIP[[#This Row],[PT-1]]+MIP[[#This Row],[PT-2]]*2+MIP[[#This Row],[PT-3]]*3+MIP[[#This Row],[PT &gt; 3 Pontos]]</f>
        <v>15</v>
      </c>
      <c r="T6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67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67" s="41">
        <f>MIP[[#This Row],[Eficiência]]</f>
        <v>1.0794339542301499</v>
      </c>
      <c r="W6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7" s="39">
        <f>IF(MIP[[#This Row],[P.S]]-MIP[[#This Row],[P.E]]&lt;0,1+MIP[[#This Row],[P.S]]-MIP[[#This Row],[P.E]]-1/24,MIP[[#This Row],[P.S]]-MIP[[#This Row],[P.E]]-1/24)</f>
        <v>0.36666666666666675</v>
      </c>
      <c r="Y67" s="39">
        <f>MIP[[#This Row],[PT-1]]*$S$3+MIP[[#This Row],[PT-2]]*$T$3+MIP[[#This Row],[PT-3]]*$U$3+MIP[[#This Row],[PT &gt; 3 Pontos]]*$V$3</f>
        <v>0.35081603512479859</v>
      </c>
      <c r="Z67" s="39">
        <f>MIP[[#This Row],[HH disponível]]-MIP[[#This Row],[HH AC TOT]]</f>
        <v>0.3249999999999999</v>
      </c>
      <c r="AA67" s="38">
        <f>MIP[[#This Row],[HH Produtivo
Total]]/MIP[[#This Row],[HH Trabalhado]]</f>
        <v>1.0794339542301499</v>
      </c>
      <c r="AB67" s="38">
        <f>MIP[[#This Row],[HH Produtivo
Total]]/MIP[[#This Row],[HH disponível]]</f>
        <v>0.95677100488581412</v>
      </c>
      <c r="AC67" s="38">
        <f>MIP[[#This Row],[HH Trabalhado]]/MIP[[#This Row],[HH disponível]]</f>
        <v>0.88636363636363591</v>
      </c>
      <c r="AD67" s="37" t="str">
        <f>LEFT(MIP[[#This Row],[Equipe]], SEARCH("/",MIP[[#This Row],[Equipe]],1)-1)</f>
        <v xml:space="preserve">EDILTON </v>
      </c>
      <c r="AE67" s="37" t="str">
        <f>RIGHT(MIP[[#This Row],[Equipe]], LEN(MIP[[#This Row],[Equipe]])-SEARCH("/",MIP[[#This Row],[Equipe]],1))</f>
        <v xml:space="preserve"> GECIVALDO</v>
      </c>
      <c r="AF67" s="44">
        <f>COUNTIFS('[1]Tempo parado'!H:H,"&gt;="&amp;MIP[[#This Row],[S.B Sitrack]],'[1]Tempo parado'!I:I,"&lt;="&amp;MIP[[#This Row],[C.B Sitrack]],'[1]Tempo parado'!B:B,MIP[[#This Row],[Placa]])</f>
        <v>0</v>
      </c>
      <c r="AG67" s="36"/>
      <c r="AH67" s="35"/>
      <c r="AI67" s="34"/>
      <c r="AJ67" s="34"/>
      <c r="AK6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7" s="32">
        <f>SUMIFS('[1]Tempo parado'!J:J,'[1]Tempo parado'!H:H,"&gt;="&amp;MIP[[#This Row],[S.B Sitrack]],'[1]Tempo parado'!I:I,"&lt;="&amp;MIP[[#This Row],[C.B Sitrack]],'[1]Tempo parado'!B:B,MIP[[#This Row],[Placa]])</f>
        <v>0</v>
      </c>
      <c r="AN67" s="32" t="str">
        <f>IFERROR(MIP[[#This Row],[Tempo parado]]/(MIP[[#This Row],[C.B Sitrack]]-MIP[[#This Row],[S.B Sitrack]]),"")</f>
        <v/>
      </c>
      <c r="AO67" s="30"/>
      <c r="AP67" s="44">
        <f>IF(AND(MIP[Exc]=0,MIP[Previsto / Realizado]="Realizado"),MIP[Sem],0)</f>
        <v>0</v>
      </c>
      <c r="AQ67" s="29">
        <f>IF(AND(MIP[Exc]=0,MIP[Previsto / Realizado]="Realizado",ISBLANK(MIP[[#This Row],[S.B Sitrack]])=FALSE,ISBLANK(MIP[[#This Row],[C.B Sitrack]])=FALSE),MIP[Sem],0)</f>
        <v>0</v>
      </c>
    </row>
    <row r="68" spans="1:43" s="64" customFormat="1" x14ac:dyDescent="0.25">
      <c r="A68" s="11"/>
      <c r="B68" s="44">
        <f>WEEKNUM(MIP[[#This Row],[Data]])</f>
        <v>21</v>
      </c>
      <c r="C68" s="45">
        <v>42879</v>
      </c>
      <c r="D68" s="45"/>
      <c r="E68" s="35" t="s">
        <v>3</v>
      </c>
      <c r="F68" s="35" t="s">
        <v>2</v>
      </c>
      <c r="G68" s="35"/>
      <c r="H68" s="44">
        <v>2</v>
      </c>
      <c r="I68" s="44">
        <v>9</v>
      </c>
      <c r="J68" s="44">
        <v>0</v>
      </c>
      <c r="K68" s="44">
        <v>1</v>
      </c>
      <c r="L68" s="44">
        <v>0</v>
      </c>
      <c r="M68" s="43">
        <v>0.62222222222222223</v>
      </c>
      <c r="N68" s="43">
        <v>0.6645833333333333</v>
      </c>
      <c r="O68" s="43">
        <f>1+3/24/60</f>
        <v>1.0020833333333334</v>
      </c>
      <c r="P68" s="43">
        <f>1+48/24/60</f>
        <v>1.0333333333333334</v>
      </c>
      <c r="Q68" s="39"/>
      <c r="R68" s="42"/>
      <c r="S68" s="44">
        <f>MIP[[#This Row],[PT-1]]+MIP[[#This Row],[PT-2]]*2+MIP[[#This Row],[PT-3]]*3+MIP[[#This Row],[PT &gt; 3 Pontos]]</f>
        <v>12</v>
      </c>
      <c r="T6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7.3611111111111072E-2</v>
      </c>
      <c r="U68" s="39">
        <f>IF(MIP[[#This Row],[P.S]]-MIP[[#This Row],[U.P]]&gt;=0,MIP[[#This Row],[P.S]]-MIP[[#This Row],[U.P]]+MIP[[#This Row],[S.B]]-MIP[[#This Row],[P.E]],1+MIP[[#This Row],[P.S]]-MIP[[#This Row],[U.P]]+MIP[[#This Row],[S.B]]-MIP[[#This Row],[P.E]])</f>
        <v>7.3611111111111072E-2</v>
      </c>
      <c r="V68" s="41">
        <f>MIP[[#This Row],[Eficiência]]</f>
        <v>0.97360345648771773</v>
      </c>
      <c r="W6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8" s="39">
        <f>IF(MIP[[#This Row],[P.S]]-MIP[[#This Row],[P.E]]&lt;0,1+MIP[[#This Row],[P.S]]-MIP[[#This Row],[P.E]]-1/24,MIP[[#This Row],[P.S]]-MIP[[#This Row],[P.E]]-1/24)</f>
        <v>0.36944444444444452</v>
      </c>
      <c r="Y68" s="39">
        <f>MIP[[#This Row],[PT-1]]*$S$3+MIP[[#This Row],[PT-2]]*$T$3+MIP[[#This Row],[PT-3]]*$U$3+MIP[[#This Row],[PT &gt; 3 Pontos]]*$V$3</f>
        <v>0.2880243558776166</v>
      </c>
      <c r="Z68" s="39">
        <f>MIP[[#This Row],[HH disponível]]-MIP[[#This Row],[HH AC TOT]]</f>
        <v>0.29583333333333345</v>
      </c>
      <c r="AA68" s="38">
        <f>MIP[[#This Row],[HH Produtivo
Total]]/MIP[[#This Row],[HH Trabalhado]]</f>
        <v>0.97360345648771773</v>
      </c>
      <c r="AB68" s="38">
        <f>MIP[[#This Row],[HH Produtivo
Total]]/MIP[[#This Row],[HH disponível]]</f>
        <v>0.77961479786422527</v>
      </c>
      <c r="AC68" s="38">
        <f>MIP[[#This Row],[HH Trabalhado]]/MIP[[#This Row],[HH disponível]]</f>
        <v>0.80075187969924821</v>
      </c>
      <c r="AD68" s="37" t="str">
        <f>LEFT(MIP[[#This Row],[Equipe]], SEARCH("/",MIP[[#This Row],[Equipe]],1)-1)</f>
        <v xml:space="preserve">EDILTON </v>
      </c>
      <c r="AE68" s="37" t="str">
        <f>RIGHT(MIP[[#This Row],[Equipe]], LEN(MIP[[#This Row],[Equipe]])-SEARCH("/",MIP[[#This Row],[Equipe]],1))</f>
        <v xml:space="preserve"> GECIVALDO</v>
      </c>
      <c r="AF68" s="44">
        <f>COUNTIFS('[1]Tempo parado'!H:H,"&gt;="&amp;MIP[[#This Row],[S.B Sitrack]],'[1]Tempo parado'!I:I,"&lt;="&amp;MIP[[#This Row],[C.B Sitrack]],'[1]Tempo parado'!B:B,MIP[[#This Row],[Placa]])</f>
        <v>0</v>
      </c>
      <c r="AG68" s="36"/>
      <c r="AH68" s="35"/>
      <c r="AI68" s="34"/>
      <c r="AJ68" s="34"/>
      <c r="AK6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8" s="32">
        <f>SUMIFS('[1]Tempo parado'!J:J,'[1]Tempo parado'!H:H,"&gt;="&amp;MIP[[#This Row],[S.B Sitrack]],'[1]Tempo parado'!I:I,"&lt;="&amp;MIP[[#This Row],[C.B Sitrack]],'[1]Tempo parado'!B:B,MIP[[#This Row],[Placa]])</f>
        <v>0</v>
      </c>
      <c r="AN68" s="32" t="str">
        <f>IFERROR(MIP[[#This Row],[Tempo parado]]/(MIP[[#This Row],[C.B Sitrack]]-MIP[[#This Row],[S.B Sitrack]]),"")</f>
        <v/>
      </c>
      <c r="AO68" s="30"/>
      <c r="AP68" s="44">
        <f>IF(AND(MIP[Exc]=0,MIP[Previsto / Realizado]="Realizado"),MIP[Sem],0)</f>
        <v>21</v>
      </c>
      <c r="AQ68" s="29">
        <f>IF(AND(MIP[Exc]=0,MIP[Previsto / Realizado]="Realizado",ISBLANK(MIP[[#This Row],[S.B Sitrack]])=FALSE,ISBLANK(MIP[[#This Row],[C.B Sitrack]])=FALSE),MIP[Sem],0)</f>
        <v>0</v>
      </c>
    </row>
    <row r="69" spans="1:43" x14ac:dyDescent="0.25">
      <c r="B69" s="44">
        <f>WEEKNUM(MIP[[#This Row],[Data]])</f>
        <v>21</v>
      </c>
      <c r="C69" s="45">
        <v>42880</v>
      </c>
      <c r="D69" s="45"/>
      <c r="E69" s="35" t="s">
        <v>10</v>
      </c>
      <c r="F69" s="35" t="s">
        <v>5</v>
      </c>
      <c r="G69" s="35"/>
      <c r="H69" s="44">
        <v>2</v>
      </c>
      <c r="I69" s="44">
        <v>10</v>
      </c>
      <c r="J69" s="44">
        <v>0</v>
      </c>
      <c r="K69" s="44">
        <v>1</v>
      </c>
      <c r="L69" s="44">
        <v>6</v>
      </c>
      <c r="M69" s="43">
        <v>0.25</v>
      </c>
      <c r="N69" s="43">
        <v>0.27083333333333331</v>
      </c>
      <c r="O69" s="43">
        <v>0.63750000000000007</v>
      </c>
      <c r="P69" s="43">
        <v>0.65833333333333333</v>
      </c>
      <c r="Q69" s="39"/>
      <c r="R69" s="42"/>
      <c r="S69" s="44">
        <f>MIP[[#This Row],[PT-1]]+MIP[[#This Row],[PT-2]]*2+MIP[[#This Row],[PT-3]]*3+MIP[[#This Row],[PT &gt; 3 Pontos]]</f>
        <v>19</v>
      </c>
      <c r="T6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69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69" s="41">
        <f>MIP[[#This Row],[Eficiência]]</f>
        <v>1.3370408434493575</v>
      </c>
      <c r="W6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9" s="39">
        <f>IF(MIP[[#This Row],[P.S]]-MIP[[#This Row],[P.E]]&lt;0,1+MIP[[#This Row],[P.S]]-MIP[[#This Row],[P.E]]-1/24,MIP[[#This Row],[P.S]]-MIP[[#This Row],[P.E]]-1/24)</f>
        <v>0.36666666666666664</v>
      </c>
      <c r="Y69" s="39">
        <f>MIP[[#This Row],[PT-1]]*$S$3+MIP[[#This Row],[PT-2]]*$T$3+MIP[[#This Row],[PT-3]]*$U$3+MIP[[#This Row],[PT &gt; 3 Pontos]]*$V$3</f>
        <v>0.43453827412104123</v>
      </c>
      <c r="Z69" s="39">
        <f>MIP[[#This Row],[HH disponível]]-MIP[[#This Row],[HH AC TOT]]</f>
        <v>0.32500000000000007</v>
      </c>
      <c r="AA69" s="38">
        <f>MIP[[#This Row],[HH Produtivo
Total]]/MIP[[#This Row],[HH Trabalhado]]</f>
        <v>1.3370408434493575</v>
      </c>
      <c r="AB69" s="38">
        <f>MIP[[#This Row],[HH Produtivo
Total]]/MIP[[#This Row],[HH disponível]]</f>
        <v>1.1851043839664761</v>
      </c>
      <c r="AC69" s="38">
        <f>MIP[[#This Row],[HH Trabalhado]]/MIP[[#This Row],[HH disponível]]</f>
        <v>0.88636363636363658</v>
      </c>
      <c r="AD69" s="37" t="str">
        <f>LEFT(MIP[[#This Row],[Equipe]], SEARCH("/",MIP[[#This Row],[Equipe]],1)-1)</f>
        <v xml:space="preserve">JOILSON </v>
      </c>
      <c r="AE69" s="37" t="str">
        <f>RIGHT(MIP[[#This Row],[Equipe]], LEN(MIP[[#This Row],[Equipe]])-SEARCH("/",MIP[[#This Row],[Equipe]],1))</f>
        <v xml:space="preserve"> VALDEI</v>
      </c>
      <c r="AF69" s="44">
        <f>COUNTIFS('[1]Tempo parado'!H:H,"&gt;="&amp;MIP[[#This Row],[S.B Sitrack]],'[1]Tempo parado'!I:I,"&lt;="&amp;MIP[[#This Row],[C.B Sitrack]],'[1]Tempo parado'!B:B,MIP[[#This Row],[Placa]])</f>
        <v>0</v>
      </c>
      <c r="AG69" s="36"/>
      <c r="AH69" s="35"/>
      <c r="AI69" s="34"/>
      <c r="AJ69" s="34"/>
      <c r="AK6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9" s="32">
        <f>SUMIFS('[1]Tempo parado'!J:J,'[1]Tempo parado'!H:H,"&gt;="&amp;MIP[[#This Row],[S.B Sitrack]],'[1]Tempo parado'!I:I,"&lt;="&amp;MIP[[#This Row],[C.B Sitrack]],'[1]Tempo parado'!B:B,MIP[[#This Row],[Placa]])</f>
        <v>0</v>
      </c>
      <c r="AN69" s="32" t="str">
        <f>IFERROR(MIP[[#This Row],[Tempo parado]]/(MIP[[#This Row],[C.B Sitrack]]-MIP[[#This Row],[S.B Sitrack]]),"")</f>
        <v/>
      </c>
      <c r="AO69" s="30"/>
      <c r="AP69" s="44">
        <f>IF(AND(MIP[Exc]=0,MIP[Previsto / Realizado]="Realizado"),MIP[Sem],0)</f>
        <v>0</v>
      </c>
      <c r="AQ69" s="29">
        <f>IF(AND(MIP[Exc]=0,MIP[Previsto / Realizado]="Realizado",ISBLANK(MIP[[#This Row],[S.B Sitrack]])=FALSE,ISBLANK(MIP[[#This Row],[C.B Sitrack]])=FALSE),MIP[Sem],0)</f>
        <v>0</v>
      </c>
    </row>
    <row r="70" spans="1:43" x14ac:dyDescent="0.25">
      <c r="B70" s="44">
        <f>WEEKNUM(MIP[[#This Row],[Data]])</f>
        <v>21</v>
      </c>
      <c r="C70" s="45">
        <v>42880</v>
      </c>
      <c r="D70" s="45"/>
      <c r="E70" s="35" t="s">
        <v>10</v>
      </c>
      <c r="F70" s="35" t="s">
        <v>2</v>
      </c>
      <c r="G70" s="35"/>
      <c r="H70" s="44">
        <v>2</v>
      </c>
      <c r="I70" s="44">
        <v>4</v>
      </c>
      <c r="J70" s="44">
        <v>0</v>
      </c>
      <c r="K70" s="44">
        <v>1</v>
      </c>
      <c r="L70" s="44">
        <v>7</v>
      </c>
      <c r="M70" s="43">
        <v>0.25277777777777777</v>
      </c>
      <c r="N70" s="43">
        <v>0.28819444444444448</v>
      </c>
      <c r="O70" s="43">
        <v>0.625</v>
      </c>
      <c r="P70" s="43">
        <v>0.65902777777777777</v>
      </c>
      <c r="Q70" s="39"/>
      <c r="R70" s="42" t="s">
        <v>451</v>
      </c>
      <c r="S70" s="44">
        <f>MIP[[#This Row],[PT-1]]+MIP[[#This Row],[PT-2]]*2+MIP[[#This Row],[PT-3]]*3+MIP[[#This Row],[PT &gt; 3 Pontos]]</f>
        <v>14</v>
      </c>
      <c r="T7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6.9444444444444475E-2</v>
      </c>
      <c r="U70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6.9444444444444475E-2</v>
      </c>
      <c r="V70" s="41">
        <f>MIP[[#This Row],[Eficiência]]</f>
        <v>1.0321620725584923</v>
      </c>
      <c r="W7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0" s="39">
        <f>IF(MIP[[#This Row],[P.S]]-MIP[[#This Row],[P.E]]&lt;0,1+MIP[[#This Row],[P.S]]-MIP[[#This Row],[P.E]]-1/24,MIP[[#This Row],[P.S]]-MIP[[#This Row],[P.E]]-1/24)</f>
        <v>0.36458333333333331</v>
      </c>
      <c r="Y70" s="39">
        <f>MIP[[#This Row],[PT-1]]*$S$3+MIP[[#This Row],[PT-2]]*$T$3+MIP[[#This Row],[PT-3]]*$U$3+MIP[[#This Row],[PT &gt; 3 Pontos]]*$V$3</f>
        <v>0.30463116724816608</v>
      </c>
      <c r="Z70" s="39">
        <f>MIP[[#This Row],[HH disponível]]-MIP[[#This Row],[HH AC TOT]]</f>
        <v>0.29513888888888884</v>
      </c>
      <c r="AA70" s="38">
        <f>MIP[[#This Row],[HH Produtivo
Total]]/MIP[[#This Row],[HH Trabalhado]]</f>
        <v>1.0321620725584923</v>
      </c>
      <c r="AB70" s="38">
        <f>MIP[[#This Row],[HH Produtivo
Total]]/MIP[[#This Row],[HH disponível]]</f>
        <v>0.83555977302354134</v>
      </c>
      <c r="AC70" s="38">
        <f>MIP[[#This Row],[HH Trabalhado]]/MIP[[#This Row],[HH disponível]]</f>
        <v>0.80952380952380942</v>
      </c>
      <c r="AD70" s="37" t="str">
        <f>LEFT(MIP[[#This Row],[Equipe]], SEARCH("/",MIP[[#This Row],[Equipe]],1)-1)</f>
        <v xml:space="preserve">JOILSON </v>
      </c>
      <c r="AE70" s="37" t="str">
        <f>RIGHT(MIP[[#This Row],[Equipe]], LEN(MIP[[#This Row],[Equipe]])-SEARCH("/",MIP[[#This Row],[Equipe]],1))</f>
        <v xml:space="preserve"> VALDEI</v>
      </c>
      <c r="AF70" s="44">
        <f>COUNTIFS('[1]Tempo parado'!H:H,"&gt;="&amp;MIP[[#This Row],[S.B Sitrack]],'[1]Tempo parado'!I:I,"&lt;="&amp;MIP[[#This Row],[C.B Sitrack]],'[1]Tempo parado'!B:B,MIP[[#This Row],[Placa]])</f>
        <v>0</v>
      </c>
      <c r="AG70" s="36"/>
      <c r="AH70" s="35"/>
      <c r="AI70" s="34"/>
      <c r="AJ70" s="34"/>
      <c r="AK7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0" s="32">
        <f>SUMIFS('[1]Tempo parado'!J:J,'[1]Tempo parado'!H:H,"&gt;="&amp;MIP[[#This Row],[S.B Sitrack]],'[1]Tempo parado'!I:I,"&lt;="&amp;MIP[[#This Row],[C.B Sitrack]],'[1]Tempo parado'!B:B,MIP[[#This Row],[Placa]])</f>
        <v>0</v>
      </c>
      <c r="AN70" s="32" t="str">
        <f>IFERROR(MIP[[#This Row],[Tempo parado]]/(MIP[[#This Row],[C.B Sitrack]]-MIP[[#This Row],[S.B Sitrack]]),"")</f>
        <v/>
      </c>
      <c r="AO70" s="30"/>
      <c r="AP70" s="44">
        <f>IF(AND(MIP[Exc]=0,MIP[Previsto / Realizado]="Realizado"),MIP[Sem],0)</f>
        <v>21</v>
      </c>
      <c r="AQ70" s="29">
        <f>IF(AND(MIP[Exc]=0,MIP[Previsto / Realizado]="Realizado",ISBLANK(MIP[[#This Row],[S.B Sitrack]])=FALSE,ISBLANK(MIP[[#This Row],[C.B Sitrack]])=FALSE),MIP[Sem],0)</f>
        <v>0</v>
      </c>
    </row>
    <row r="71" spans="1:43" s="85" customFormat="1" x14ac:dyDescent="0.25">
      <c r="A71" s="11"/>
      <c r="B71" s="44">
        <f>WEEKNUM(MIP[[#This Row],[Data]])</f>
        <v>21</v>
      </c>
      <c r="C71" s="45">
        <v>42881</v>
      </c>
      <c r="D71" s="45"/>
      <c r="E71" s="35" t="s">
        <v>3</v>
      </c>
      <c r="F71" s="35" t="s">
        <v>5</v>
      </c>
      <c r="G71" s="35"/>
      <c r="H71" s="44">
        <v>2</v>
      </c>
      <c r="I71" s="44">
        <v>8</v>
      </c>
      <c r="J71" s="44">
        <v>4</v>
      </c>
      <c r="K71" s="44">
        <v>0</v>
      </c>
      <c r="L71" s="44">
        <v>13</v>
      </c>
      <c r="M71" s="43">
        <v>0.625</v>
      </c>
      <c r="N71" s="43">
        <v>0.64583333333333337</v>
      </c>
      <c r="O71" s="43">
        <f>1+18/24/60</f>
        <v>1.0125</v>
      </c>
      <c r="P71" s="43">
        <f>1+48/24/60</f>
        <v>1.0333333333333334</v>
      </c>
      <c r="Q71" s="39"/>
      <c r="R71" s="42"/>
      <c r="S71" s="44">
        <f>MIP[[#This Row],[PT-1]]+MIP[[#This Row],[PT-2]]*2+MIP[[#This Row],[PT-3]]*3+MIP[[#This Row],[PT &gt; 3 Pontos]]</f>
        <v>29</v>
      </c>
      <c r="T7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71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71" s="41">
        <f>MIP[[#This Row],[Eficiência]]</f>
        <v>1.966357013949104</v>
      </c>
      <c r="W7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1" s="39">
        <f>IF(MIP[[#This Row],[P.S]]-MIP[[#This Row],[P.E]]&lt;0,1+MIP[[#This Row],[P.S]]-MIP[[#This Row],[P.E]]-1/24,MIP[[#This Row],[P.S]]-MIP[[#This Row],[P.E]]-1/24)</f>
        <v>0.36666666666666675</v>
      </c>
      <c r="Y71" s="39">
        <f>MIP[[#This Row],[PT-1]]*$S$3+MIP[[#This Row],[PT-2]]*$T$3+MIP[[#This Row],[PT-3]]*$U$3+MIP[[#This Row],[PT &gt; 3 Pontos]]*$V$3</f>
        <v>0.63906602953345859</v>
      </c>
      <c r="Z71" s="39">
        <f>MIP[[#This Row],[HH disponível]]-MIP[[#This Row],[HH AC TOT]]</f>
        <v>0.3249999999999999</v>
      </c>
      <c r="AA71" s="38">
        <f>MIP[[#This Row],[HH Produtivo
Total]]/MIP[[#This Row],[HH Trabalhado]]</f>
        <v>1.966357013949104</v>
      </c>
      <c r="AB71" s="38">
        <f>MIP[[#This Row],[HH Produtivo
Total]]/MIP[[#This Row],[HH disponível]]</f>
        <v>1.7429073532730686</v>
      </c>
      <c r="AC71" s="38">
        <f>MIP[[#This Row],[HH Trabalhado]]/MIP[[#This Row],[HH disponível]]</f>
        <v>0.88636363636363591</v>
      </c>
      <c r="AD71" s="37" t="str">
        <f>LEFT(MIP[[#This Row],[Equipe]], SEARCH("/",MIP[[#This Row],[Equipe]],1)-1)</f>
        <v xml:space="preserve">EDILTON </v>
      </c>
      <c r="AE71" s="37" t="str">
        <f>RIGHT(MIP[[#This Row],[Equipe]], LEN(MIP[[#This Row],[Equipe]])-SEARCH("/",MIP[[#This Row],[Equipe]],1))</f>
        <v xml:space="preserve"> GECIVALDO</v>
      </c>
      <c r="AF71" s="44">
        <f>COUNTIFS('[1]Tempo parado'!H:H,"&gt;="&amp;MIP[[#This Row],[S.B Sitrack]],'[1]Tempo parado'!I:I,"&lt;="&amp;MIP[[#This Row],[C.B Sitrack]],'[1]Tempo parado'!B:B,MIP[[#This Row],[Placa]])</f>
        <v>0</v>
      </c>
      <c r="AG71" s="36"/>
      <c r="AH71" s="35"/>
      <c r="AI71" s="34"/>
      <c r="AJ71" s="34"/>
      <c r="AK7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1" s="32">
        <f>SUMIFS('[1]Tempo parado'!J:J,'[1]Tempo parado'!H:H,"&gt;="&amp;MIP[[#This Row],[S.B Sitrack]],'[1]Tempo parado'!I:I,"&lt;="&amp;MIP[[#This Row],[C.B Sitrack]],'[1]Tempo parado'!B:B,MIP[[#This Row],[Placa]])</f>
        <v>0</v>
      </c>
      <c r="AN71" s="32" t="str">
        <f>IFERROR(MIP[[#This Row],[Tempo parado]]/(MIP[[#This Row],[C.B Sitrack]]-MIP[[#This Row],[S.B Sitrack]]),"")</f>
        <v/>
      </c>
      <c r="AO71" s="30"/>
      <c r="AP71" s="44">
        <f>IF(AND(MIP[Exc]=0,MIP[Previsto / Realizado]="Realizado"),MIP[Sem],0)</f>
        <v>0</v>
      </c>
      <c r="AQ71" s="29">
        <f>IF(AND(MIP[Exc]=0,MIP[Previsto / Realizado]="Realizado",ISBLANK(MIP[[#This Row],[S.B Sitrack]])=FALSE,ISBLANK(MIP[[#This Row],[C.B Sitrack]])=FALSE),MIP[Sem],0)</f>
        <v>0</v>
      </c>
    </row>
    <row r="72" spans="1:43" s="64" customFormat="1" x14ac:dyDescent="0.25">
      <c r="A72" s="11"/>
      <c r="B72" s="44">
        <f>WEEKNUM(MIP[[#This Row],[Data]])</f>
        <v>21</v>
      </c>
      <c r="C72" s="45">
        <v>42881</v>
      </c>
      <c r="D72" s="45"/>
      <c r="E72" s="35" t="s">
        <v>3</v>
      </c>
      <c r="F72" s="35" t="s">
        <v>2</v>
      </c>
      <c r="G72" s="35"/>
      <c r="H72" s="44">
        <v>2</v>
      </c>
      <c r="I72" s="44">
        <v>5</v>
      </c>
      <c r="J72" s="44">
        <v>2</v>
      </c>
      <c r="K72" s="44">
        <v>0</v>
      </c>
      <c r="L72" s="44">
        <v>8</v>
      </c>
      <c r="M72" s="43">
        <v>0.62222222222222223</v>
      </c>
      <c r="N72" s="43">
        <v>0.66666666666666663</v>
      </c>
      <c r="O72" s="43">
        <f>1+40/24/60</f>
        <v>1.0277777777777777</v>
      </c>
      <c r="P72" s="43">
        <f>1+54/24/60</f>
        <v>1.0375000000000001</v>
      </c>
      <c r="Q72" s="39"/>
      <c r="R72" s="42"/>
      <c r="S72" s="44">
        <f>MIP[[#This Row],[PT-1]]+MIP[[#This Row],[PT-2]]*2+MIP[[#This Row],[PT-3]]*3+MIP[[#This Row],[PT &gt; 3 Pontos]]</f>
        <v>17</v>
      </c>
      <c r="T7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5.4166666666666807E-2</v>
      </c>
      <c r="U72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5.4166666666666807E-2</v>
      </c>
      <c r="V72" s="41">
        <f>MIP[[#This Row],[Eficiência]]</f>
        <v>1.1736966804942941</v>
      </c>
      <c r="W7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2" s="39">
        <f>IF(MIP[[#This Row],[P.S]]-MIP[[#This Row],[P.E]]&lt;0,1+MIP[[#This Row],[P.S]]-MIP[[#This Row],[P.E]]-1/24,MIP[[#This Row],[P.S]]-MIP[[#This Row],[P.E]]-1/24)</f>
        <v>0.37361111111111117</v>
      </c>
      <c r="Y72" s="39">
        <f>MIP[[#This Row],[PT-1]]*$S$3+MIP[[#This Row],[PT-2]]*$T$3+MIP[[#This Row],[PT-3]]*$U$3+MIP[[#This Row],[PT &gt; 3 Pontos]]*$V$3</f>
        <v>0.37493088404678832</v>
      </c>
      <c r="Z72" s="39">
        <f>MIP[[#This Row],[HH disponível]]-MIP[[#This Row],[HH AC TOT]]</f>
        <v>0.31944444444444436</v>
      </c>
      <c r="AA72" s="38">
        <f>MIP[[#This Row],[HH Produtivo
Total]]/MIP[[#This Row],[HH Trabalhado]]</f>
        <v>1.1736966804942941</v>
      </c>
      <c r="AB72" s="38">
        <f>MIP[[#This Row],[HH Produtivo
Total]]/MIP[[#This Row],[HH disponível]]</f>
        <v>1.0035324777460504</v>
      </c>
      <c r="AC72" s="38">
        <f>MIP[[#This Row],[HH Trabalhado]]/MIP[[#This Row],[HH disponível]]</f>
        <v>0.85501858736059444</v>
      </c>
      <c r="AD72" s="37" t="str">
        <f>LEFT(MIP[[#This Row],[Equipe]], SEARCH("/",MIP[[#This Row],[Equipe]],1)-1)</f>
        <v xml:space="preserve">EDILTON </v>
      </c>
      <c r="AE72" s="37" t="str">
        <f>RIGHT(MIP[[#This Row],[Equipe]], LEN(MIP[[#This Row],[Equipe]])-SEARCH("/",MIP[[#This Row],[Equipe]],1))</f>
        <v xml:space="preserve"> GECIVALDO</v>
      </c>
      <c r="AF72" s="44">
        <f>COUNTIFS('[1]Tempo parado'!H:H,"&gt;="&amp;MIP[[#This Row],[S.B Sitrack]],'[1]Tempo parado'!I:I,"&lt;="&amp;MIP[[#This Row],[C.B Sitrack]],'[1]Tempo parado'!B:B,MIP[[#This Row],[Placa]])</f>
        <v>0</v>
      </c>
      <c r="AG72" s="36"/>
      <c r="AH72" s="35"/>
      <c r="AI72" s="34"/>
      <c r="AJ72" s="34"/>
      <c r="AK7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2" s="32">
        <f>SUMIFS('[1]Tempo parado'!J:J,'[1]Tempo parado'!H:H,"&gt;="&amp;MIP[[#This Row],[S.B Sitrack]],'[1]Tempo parado'!I:I,"&lt;="&amp;MIP[[#This Row],[C.B Sitrack]],'[1]Tempo parado'!B:B,MIP[[#This Row],[Placa]])</f>
        <v>0</v>
      </c>
      <c r="AN72" s="32" t="str">
        <f>IFERROR(MIP[[#This Row],[Tempo parado]]/(MIP[[#This Row],[C.B Sitrack]]-MIP[[#This Row],[S.B Sitrack]]),"")</f>
        <v/>
      </c>
      <c r="AO72" s="30"/>
      <c r="AP72" s="44">
        <f>IF(AND(MIP[Exc]=0,MIP[Previsto / Realizado]="Realizado"),MIP[Sem],0)</f>
        <v>21</v>
      </c>
      <c r="AQ72" s="29">
        <f>IF(AND(MIP[Exc]=0,MIP[Previsto / Realizado]="Realizado",ISBLANK(MIP[[#This Row],[S.B Sitrack]])=FALSE,ISBLANK(MIP[[#This Row],[C.B Sitrack]])=FALSE),MIP[Sem],0)</f>
        <v>0</v>
      </c>
    </row>
    <row r="73" spans="1:43" x14ac:dyDescent="0.25">
      <c r="B73" s="44">
        <f>WEEKNUM(MIP[[#This Row],[Data]])</f>
        <v>21</v>
      </c>
      <c r="C73" s="45">
        <v>42881</v>
      </c>
      <c r="D73" s="45"/>
      <c r="E73" s="35" t="s">
        <v>10</v>
      </c>
      <c r="F73" s="35" t="s">
        <v>5</v>
      </c>
      <c r="G73" s="35"/>
      <c r="H73" s="44">
        <v>2</v>
      </c>
      <c r="I73" s="44">
        <v>19</v>
      </c>
      <c r="J73" s="44">
        <v>2</v>
      </c>
      <c r="K73" s="44">
        <v>0</v>
      </c>
      <c r="L73" s="44">
        <v>0</v>
      </c>
      <c r="M73" s="43">
        <v>0.25</v>
      </c>
      <c r="N73" s="43">
        <v>0.27083333333333331</v>
      </c>
      <c r="O73" s="43">
        <v>0.63750000000000007</v>
      </c>
      <c r="P73" s="43">
        <v>0.65833333333333333</v>
      </c>
      <c r="Q73" s="39"/>
      <c r="R73" s="42"/>
      <c r="S73" s="44">
        <f>MIP[[#This Row],[PT-1]]+MIP[[#This Row],[PT-2]]*2+MIP[[#This Row],[PT-3]]*3+MIP[[#This Row],[PT &gt; 3 Pontos]]</f>
        <v>23</v>
      </c>
      <c r="T7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73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73" s="41">
        <f>MIP[[#This Row],[Eficiência]]</f>
        <v>1.7332576566951554</v>
      </c>
      <c r="W7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3" s="39">
        <f>IF(MIP[[#This Row],[P.S]]-MIP[[#This Row],[P.E]]&lt;0,1+MIP[[#This Row],[P.S]]-MIP[[#This Row],[P.E]]-1/24,MIP[[#This Row],[P.S]]-MIP[[#This Row],[P.E]]-1/24)</f>
        <v>0.36666666666666664</v>
      </c>
      <c r="Y73" s="39">
        <f>MIP[[#This Row],[PT-1]]*$S$3+MIP[[#This Row],[PT-2]]*$T$3+MIP[[#This Row],[PT-3]]*$U$3+MIP[[#This Row],[PT &gt; 3 Pontos]]*$V$3</f>
        <v>0.56330873842592566</v>
      </c>
      <c r="Z73" s="39">
        <f>MIP[[#This Row],[HH disponível]]-MIP[[#This Row],[HH AC TOT]]</f>
        <v>0.32500000000000007</v>
      </c>
      <c r="AA73" s="38">
        <f>MIP[[#This Row],[HH Produtivo
Total]]/MIP[[#This Row],[HH Trabalhado]]</f>
        <v>1.7332576566951554</v>
      </c>
      <c r="AB73" s="38">
        <f>MIP[[#This Row],[HH Produtivo
Total]]/MIP[[#This Row],[HH disponível]]</f>
        <v>1.5362965593434337</v>
      </c>
      <c r="AC73" s="38">
        <f>MIP[[#This Row],[HH Trabalhado]]/MIP[[#This Row],[HH disponível]]</f>
        <v>0.88636363636363658</v>
      </c>
      <c r="AD73" s="37" t="str">
        <f>LEFT(MIP[[#This Row],[Equipe]], SEARCH("/",MIP[[#This Row],[Equipe]],1)-1)</f>
        <v xml:space="preserve">JOILSON </v>
      </c>
      <c r="AE73" s="37" t="str">
        <f>RIGHT(MIP[[#This Row],[Equipe]], LEN(MIP[[#This Row],[Equipe]])-SEARCH("/",MIP[[#This Row],[Equipe]],1))</f>
        <v xml:space="preserve"> VALDEI</v>
      </c>
      <c r="AF73" s="44">
        <f>COUNTIFS('[1]Tempo parado'!H:H,"&gt;="&amp;MIP[[#This Row],[S.B Sitrack]],'[1]Tempo parado'!I:I,"&lt;="&amp;MIP[[#This Row],[C.B Sitrack]],'[1]Tempo parado'!B:B,MIP[[#This Row],[Placa]])</f>
        <v>0</v>
      </c>
      <c r="AG73" s="36"/>
      <c r="AH73" s="35"/>
      <c r="AI73" s="34"/>
      <c r="AJ73" s="34"/>
      <c r="AK7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3" s="32">
        <f>SUMIFS('[1]Tempo parado'!J:J,'[1]Tempo parado'!H:H,"&gt;="&amp;MIP[[#This Row],[S.B Sitrack]],'[1]Tempo parado'!I:I,"&lt;="&amp;MIP[[#This Row],[C.B Sitrack]],'[1]Tempo parado'!B:B,MIP[[#This Row],[Placa]])</f>
        <v>0</v>
      </c>
      <c r="AN73" s="32" t="str">
        <f>IFERROR(MIP[[#This Row],[Tempo parado]]/(MIP[[#This Row],[C.B Sitrack]]-MIP[[#This Row],[S.B Sitrack]]),"")</f>
        <v/>
      </c>
      <c r="AO73" s="30"/>
      <c r="AP73" s="44">
        <f>IF(AND(MIP[Exc]=0,MIP[Previsto / Realizado]="Realizado"),MIP[Sem],0)</f>
        <v>0</v>
      </c>
      <c r="AQ73" s="29">
        <f>IF(AND(MIP[Exc]=0,MIP[Previsto / Realizado]="Realizado",ISBLANK(MIP[[#This Row],[S.B Sitrack]])=FALSE,ISBLANK(MIP[[#This Row],[C.B Sitrack]])=FALSE),MIP[Sem],0)</f>
        <v>0</v>
      </c>
    </row>
    <row r="74" spans="1:43" s="64" customFormat="1" x14ac:dyDescent="0.25">
      <c r="A74" s="11"/>
      <c r="B74" s="44">
        <f>WEEKNUM(MIP[[#This Row],[Data]])</f>
        <v>21</v>
      </c>
      <c r="C74" s="45">
        <v>42881</v>
      </c>
      <c r="D74" s="45"/>
      <c r="E74" s="35" t="s">
        <v>10</v>
      </c>
      <c r="F74" s="35" t="s">
        <v>2</v>
      </c>
      <c r="G74" s="35"/>
      <c r="H74" s="44">
        <v>2</v>
      </c>
      <c r="I74" s="44">
        <v>11</v>
      </c>
      <c r="J74" s="44">
        <v>1</v>
      </c>
      <c r="K74" s="44">
        <v>0</v>
      </c>
      <c r="L74" s="44">
        <v>0</v>
      </c>
      <c r="M74" s="43">
        <v>0.24652777777777779</v>
      </c>
      <c r="N74" s="43">
        <v>0.28819444444444448</v>
      </c>
      <c r="O74" s="43">
        <v>0.63194444444444442</v>
      </c>
      <c r="P74" s="43">
        <v>0.65972222222222221</v>
      </c>
      <c r="Q74" s="39"/>
      <c r="R74" s="42" t="s">
        <v>450</v>
      </c>
      <c r="S74" s="44">
        <f>MIP[[#This Row],[PT-1]]+MIP[[#This Row],[PT-2]]*2+MIP[[#This Row],[PT-3]]*3+MIP[[#This Row],[PT &gt; 3 Pontos]]</f>
        <v>13</v>
      </c>
      <c r="T7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6.9444444444444475E-2</v>
      </c>
      <c r="U74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6.9444444444444475E-2</v>
      </c>
      <c r="V74" s="41">
        <f>MIP[[#This Row],[Eficiência]]</f>
        <v>1.0566393886390135</v>
      </c>
      <c r="W7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4" s="39">
        <f>IF(MIP[[#This Row],[P.S]]-MIP[[#This Row],[P.E]]&lt;0,1+MIP[[#This Row],[P.S]]-MIP[[#This Row],[P.E]]-1/24,MIP[[#This Row],[P.S]]-MIP[[#This Row],[P.E]]-1/24)</f>
        <v>0.37152777777777773</v>
      </c>
      <c r="Y74" s="39">
        <f>MIP[[#This Row],[PT-1]]*$S$3+MIP[[#This Row],[PT-2]]*$T$3+MIP[[#This Row],[PT-3]]*$U$3+MIP[[#This Row],[PT &gt; 3 Pontos]]*$V$3</f>
        <v>0.31919314865136861</v>
      </c>
      <c r="Z74" s="39">
        <f>MIP[[#This Row],[HH disponível]]-MIP[[#This Row],[HH AC TOT]]</f>
        <v>0.30208333333333326</v>
      </c>
      <c r="AA74" s="38">
        <f>MIP[[#This Row],[HH Produtivo
Total]]/MIP[[#This Row],[HH Trabalhado]]</f>
        <v>1.0566393886390135</v>
      </c>
      <c r="AB74" s="38">
        <f>MIP[[#This Row],[HH Produtivo
Total]]/MIP[[#This Row],[HH disponível]]</f>
        <v>0.85913669917377733</v>
      </c>
      <c r="AC74" s="38">
        <f>MIP[[#This Row],[HH Trabalhado]]/MIP[[#This Row],[HH disponível]]</f>
        <v>0.81308411214953258</v>
      </c>
      <c r="AD74" s="37" t="str">
        <f>LEFT(MIP[[#This Row],[Equipe]], SEARCH("/",MIP[[#This Row],[Equipe]],1)-1)</f>
        <v xml:space="preserve">JOILSON </v>
      </c>
      <c r="AE74" s="37" t="str">
        <f>RIGHT(MIP[[#This Row],[Equipe]], LEN(MIP[[#This Row],[Equipe]])-SEARCH("/",MIP[[#This Row],[Equipe]],1))</f>
        <v xml:space="preserve"> VALDEI</v>
      </c>
      <c r="AF74" s="44">
        <f>COUNTIFS('[1]Tempo parado'!H:H,"&gt;="&amp;MIP[[#This Row],[S.B Sitrack]],'[1]Tempo parado'!I:I,"&lt;="&amp;MIP[[#This Row],[C.B Sitrack]],'[1]Tempo parado'!B:B,MIP[[#This Row],[Placa]])</f>
        <v>0</v>
      </c>
      <c r="AG74" s="36"/>
      <c r="AH74" s="35"/>
      <c r="AI74" s="34"/>
      <c r="AJ74" s="34"/>
      <c r="AK7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4" s="32">
        <f>SUMIFS('[1]Tempo parado'!J:J,'[1]Tempo parado'!H:H,"&gt;="&amp;MIP[[#This Row],[S.B Sitrack]],'[1]Tempo parado'!I:I,"&lt;="&amp;MIP[[#This Row],[C.B Sitrack]],'[1]Tempo parado'!B:B,MIP[[#This Row],[Placa]])</f>
        <v>0</v>
      </c>
      <c r="AN74" s="32" t="str">
        <f>IFERROR(MIP[[#This Row],[Tempo parado]]/(MIP[[#This Row],[C.B Sitrack]]-MIP[[#This Row],[S.B Sitrack]]),"")</f>
        <v/>
      </c>
      <c r="AO74" s="30"/>
      <c r="AP74" s="44">
        <f>IF(AND(MIP[Exc]=0,MIP[Previsto / Realizado]="Realizado"),MIP[Sem],0)</f>
        <v>21</v>
      </c>
      <c r="AQ74" s="29">
        <f>IF(AND(MIP[Exc]=0,MIP[Previsto / Realizado]="Realizado",ISBLANK(MIP[[#This Row],[S.B Sitrack]])=FALSE,ISBLANK(MIP[[#This Row],[C.B Sitrack]])=FALSE),MIP[Sem],0)</f>
        <v>0</v>
      </c>
    </row>
    <row r="75" spans="1:43" x14ac:dyDescent="0.25">
      <c r="B75" s="44">
        <f>WEEKNUM(MIP[[#This Row],[Data]])</f>
        <v>21</v>
      </c>
      <c r="C75" s="45">
        <v>42882</v>
      </c>
      <c r="D75" s="45"/>
      <c r="E75" s="35" t="s">
        <v>449</v>
      </c>
      <c r="F75" s="35" t="s">
        <v>5</v>
      </c>
      <c r="G75" s="35"/>
      <c r="H75" s="44">
        <v>2</v>
      </c>
      <c r="I75" s="44">
        <v>9</v>
      </c>
      <c r="J75" s="44">
        <v>2</v>
      </c>
      <c r="K75" s="44">
        <v>0</v>
      </c>
      <c r="L75" s="44">
        <v>0</v>
      </c>
      <c r="M75" s="43">
        <v>0.625</v>
      </c>
      <c r="N75" s="43">
        <v>0.64583333333333337</v>
      </c>
      <c r="O75" s="43">
        <f>1+18/24/60</f>
        <v>1.0125</v>
      </c>
      <c r="P75" s="43">
        <f>1+48/24/60</f>
        <v>1.0333333333333334</v>
      </c>
      <c r="Q75" s="39"/>
      <c r="R75" s="42"/>
      <c r="S75" s="44">
        <f>MIP[[#This Row],[PT-1]]+MIP[[#This Row],[PT-2]]*2+MIP[[#This Row],[PT-3]]*3+MIP[[#This Row],[PT &gt; 3 Pontos]]</f>
        <v>13</v>
      </c>
      <c r="T7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75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75" s="41">
        <f>MIP[[#This Row],[Eficiência]]</f>
        <v>0.96323141180478111</v>
      </c>
      <c r="W7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5" s="39">
        <f>IF(MIP[[#This Row],[P.S]]-MIP[[#This Row],[P.E]]&lt;0,1+MIP[[#This Row],[P.S]]-MIP[[#This Row],[P.E]]-1/24,MIP[[#This Row],[P.S]]-MIP[[#This Row],[P.E]]-1/24)</f>
        <v>0.36666666666666675</v>
      </c>
      <c r="Y75" s="39">
        <f>MIP[[#This Row],[PT-1]]*$S$3+MIP[[#This Row],[PT-2]]*$T$3+MIP[[#This Row],[PT-3]]*$U$3+MIP[[#This Row],[PT &gt; 3 Pontos]]*$V$3</f>
        <v>0.31305020883655377</v>
      </c>
      <c r="Z75" s="39">
        <f>MIP[[#This Row],[HH disponível]]-MIP[[#This Row],[HH AC TOT]]</f>
        <v>0.3249999999999999</v>
      </c>
      <c r="AA75" s="38">
        <f>MIP[[#This Row],[HH Produtivo
Total]]/MIP[[#This Row],[HH Trabalhado]]</f>
        <v>0.96323141180478111</v>
      </c>
      <c r="AB75" s="38">
        <f>MIP[[#This Row],[HH Produtivo
Total]]/MIP[[#This Row],[HH disponível]]</f>
        <v>0.85377329682696457</v>
      </c>
      <c r="AC75" s="38">
        <f>MIP[[#This Row],[HH Trabalhado]]/MIP[[#This Row],[HH disponível]]</f>
        <v>0.88636363636363591</v>
      </c>
      <c r="AD75" s="37" t="str">
        <f>LEFT(MIP[[#This Row],[Equipe]], SEARCH("/",MIP[[#This Row],[Equipe]],1)-1)</f>
        <v xml:space="preserve">Edilton </v>
      </c>
      <c r="AE75" s="37" t="str">
        <f>RIGHT(MIP[[#This Row],[Equipe]], LEN(MIP[[#This Row],[Equipe]])-SEARCH("/",MIP[[#This Row],[Equipe]],1))</f>
        <v xml:space="preserve"> Ronaldo</v>
      </c>
      <c r="AF75" s="44">
        <f>COUNTIFS('[1]Tempo parado'!H:H,"&gt;="&amp;MIP[[#This Row],[S.B Sitrack]],'[1]Tempo parado'!I:I,"&lt;="&amp;MIP[[#This Row],[C.B Sitrack]],'[1]Tempo parado'!B:B,MIP[[#This Row],[Placa]])</f>
        <v>0</v>
      </c>
      <c r="AG75" s="36"/>
      <c r="AH75" s="35"/>
      <c r="AI75" s="34"/>
      <c r="AJ75" s="34"/>
      <c r="AK7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5" s="32">
        <f>SUMIFS('[1]Tempo parado'!J:J,'[1]Tempo parado'!H:H,"&gt;="&amp;MIP[[#This Row],[S.B Sitrack]],'[1]Tempo parado'!I:I,"&lt;="&amp;MIP[[#This Row],[C.B Sitrack]],'[1]Tempo parado'!B:B,MIP[[#This Row],[Placa]])</f>
        <v>0</v>
      </c>
      <c r="AN75" s="32" t="str">
        <f>IFERROR(MIP[[#This Row],[Tempo parado]]/(MIP[[#This Row],[C.B Sitrack]]-MIP[[#This Row],[S.B Sitrack]]),"")</f>
        <v/>
      </c>
      <c r="AO75" s="30"/>
      <c r="AP75" s="44">
        <f>IF(AND(MIP[Exc]=0,MIP[Previsto / Realizado]="Realizado"),MIP[Sem],0)</f>
        <v>0</v>
      </c>
      <c r="AQ75" s="29">
        <f>IF(AND(MIP[Exc]=0,MIP[Previsto / Realizado]="Realizado",ISBLANK(MIP[[#This Row],[S.B Sitrack]])=FALSE,ISBLANK(MIP[[#This Row],[C.B Sitrack]])=FALSE),MIP[Sem],0)</f>
        <v>0</v>
      </c>
    </row>
    <row r="76" spans="1:43" x14ac:dyDescent="0.25">
      <c r="B76" s="44">
        <f>WEEKNUM(MIP[[#This Row],[Data]])</f>
        <v>21</v>
      </c>
      <c r="C76" s="45">
        <v>42882</v>
      </c>
      <c r="D76" s="45"/>
      <c r="E76" s="35" t="s">
        <v>449</v>
      </c>
      <c r="F76" s="35" t="s">
        <v>2</v>
      </c>
      <c r="G76" s="35"/>
      <c r="H76" s="44">
        <v>2</v>
      </c>
      <c r="I76" s="44">
        <v>8</v>
      </c>
      <c r="J76" s="44">
        <v>1</v>
      </c>
      <c r="K76" s="44">
        <v>0</v>
      </c>
      <c r="L76" s="44">
        <v>0</v>
      </c>
      <c r="M76" s="43">
        <v>0.6118055555555556</v>
      </c>
      <c r="N76" s="43">
        <v>0.65625</v>
      </c>
      <c r="O76" s="43">
        <v>0.99444444444444446</v>
      </c>
      <c r="P76" s="84">
        <f>1+48/24/60</f>
        <v>1.0333333333333334</v>
      </c>
      <c r="Q76" s="39"/>
      <c r="R76" s="42"/>
      <c r="S76" s="44">
        <f>MIP[[#This Row],[PT-1]]+MIP[[#This Row],[PT-2]]*2+MIP[[#This Row],[PT-3]]*3+MIP[[#This Row],[PT &gt; 3 Pontos]]</f>
        <v>10</v>
      </c>
      <c r="T7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8.333333333333337E-2</v>
      </c>
      <c r="U76" s="39">
        <f>IF(MIP[[#This Row],[P.S]]-MIP[[#This Row],[U.P]]&gt;=0,MIP[[#This Row],[P.S]]-MIP[[#This Row],[U.P]]+MIP[[#This Row],[S.B]]-MIP[[#This Row],[P.E]],1+MIP[[#This Row],[P.S]]-MIP[[#This Row],[U.P]]+MIP[[#This Row],[S.B]]-MIP[[#This Row],[P.E]])</f>
        <v>8.333333333333337E-2</v>
      </c>
      <c r="V76" s="41">
        <f>MIP[[#This Row],[Eficiência]]</f>
        <v>0.82324695380646862</v>
      </c>
      <c r="W7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6" s="39">
        <f>IF(MIP[[#This Row],[P.S]]-MIP[[#This Row],[P.E]]&lt;0,1+MIP[[#This Row],[P.S]]-MIP[[#This Row],[P.E]]-1/24,MIP[[#This Row],[P.S]]-MIP[[#This Row],[P.E]]-1/24)</f>
        <v>0.37986111111111115</v>
      </c>
      <c r="Y76" s="39">
        <f>MIP[[#This Row],[PT-1]]*$S$3+MIP[[#This Row],[PT-2]]*$T$3+MIP[[#This Row],[PT-3]]*$U$3+MIP[[#This Row],[PT &gt; 3 Pontos]]*$V$3</f>
        <v>0.24411558977455702</v>
      </c>
      <c r="Z76" s="39">
        <f>MIP[[#This Row],[HH disponível]]-MIP[[#This Row],[HH AC TOT]]</f>
        <v>0.29652777777777778</v>
      </c>
      <c r="AA76" s="38">
        <f>MIP[[#This Row],[HH Produtivo
Total]]/MIP[[#This Row],[HH Trabalhado]]</f>
        <v>0.82324695380646862</v>
      </c>
      <c r="AB76" s="38">
        <f>MIP[[#This Row],[HH Produtivo
Total]]/MIP[[#This Row],[HH disponível]]</f>
        <v>0.64264433139919941</v>
      </c>
      <c r="AC76" s="38">
        <f>MIP[[#This Row],[HH Trabalhado]]/MIP[[#This Row],[HH disponível]]</f>
        <v>0.78062157221206574</v>
      </c>
      <c r="AD76" s="37" t="str">
        <f>LEFT(MIP[[#This Row],[Equipe]], SEARCH("/",MIP[[#This Row],[Equipe]],1)-1)</f>
        <v xml:space="preserve">Edilton </v>
      </c>
      <c r="AE76" s="37" t="str">
        <f>RIGHT(MIP[[#This Row],[Equipe]], LEN(MIP[[#This Row],[Equipe]])-SEARCH("/",MIP[[#This Row],[Equipe]],1))</f>
        <v xml:space="preserve"> Ronaldo</v>
      </c>
      <c r="AF76" s="44">
        <f>COUNTIFS('[1]Tempo parado'!H:H,"&gt;="&amp;MIP[[#This Row],[S.B Sitrack]],'[1]Tempo parado'!I:I,"&lt;="&amp;MIP[[#This Row],[C.B Sitrack]],'[1]Tempo parado'!B:B,MIP[[#This Row],[Placa]])</f>
        <v>0</v>
      </c>
      <c r="AG76" s="36"/>
      <c r="AH76" s="35"/>
      <c r="AI76" s="34"/>
      <c r="AJ76" s="34"/>
      <c r="AK7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6" s="32">
        <f>SUMIFS('[1]Tempo parado'!J:J,'[1]Tempo parado'!H:H,"&gt;="&amp;MIP[[#This Row],[S.B Sitrack]],'[1]Tempo parado'!I:I,"&lt;="&amp;MIP[[#This Row],[C.B Sitrack]],'[1]Tempo parado'!B:B,MIP[[#This Row],[Placa]])</f>
        <v>0</v>
      </c>
      <c r="AN76" s="32" t="str">
        <f>IFERROR(MIP[[#This Row],[Tempo parado]]/(MIP[[#This Row],[C.B Sitrack]]-MIP[[#This Row],[S.B Sitrack]]),"")</f>
        <v/>
      </c>
      <c r="AO76" s="30"/>
      <c r="AP76" s="44">
        <f>IF(AND(MIP[Exc]=0,MIP[Previsto / Realizado]="Realizado"),MIP[Sem],0)</f>
        <v>21</v>
      </c>
      <c r="AQ76" s="29">
        <f>IF(AND(MIP[Exc]=0,MIP[Previsto / Realizado]="Realizado",ISBLANK(MIP[[#This Row],[S.B Sitrack]])=FALSE,ISBLANK(MIP[[#This Row],[C.B Sitrack]])=FALSE),MIP[Sem],0)</f>
        <v>0</v>
      </c>
    </row>
    <row r="77" spans="1:43" x14ac:dyDescent="0.25">
      <c r="B77" s="44">
        <f>WEEKNUM(MIP[[#This Row],[Data]])</f>
        <v>21</v>
      </c>
      <c r="C77" s="45">
        <v>42882</v>
      </c>
      <c r="D77" s="45"/>
      <c r="E77" s="35" t="s">
        <v>10</v>
      </c>
      <c r="F77" s="35" t="s">
        <v>5</v>
      </c>
      <c r="G77" s="35"/>
      <c r="H77" s="44">
        <v>2</v>
      </c>
      <c r="I77" s="44">
        <v>11</v>
      </c>
      <c r="J77" s="44">
        <v>2</v>
      </c>
      <c r="K77" s="44">
        <v>0</v>
      </c>
      <c r="L77" s="44">
        <v>4</v>
      </c>
      <c r="M77" s="43">
        <v>0.25</v>
      </c>
      <c r="N77" s="43">
        <v>0.27083333333333331</v>
      </c>
      <c r="O77" s="43">
        <v>0.63750000000000007</v>
      </c>
      <c r="P77" s="43">
        <v>0.65833333333333333</v>
      </c>
      <c r="Q77" s="39"/>
      <c r="R77" s="42"/>
      <c r="S77" s="44">
        <f>MIP[[#This Row],[PT-1]]+MIP[[#This Row],[PT-2]]*2+MIP[[#This Row],[PT-3]]*3+MIP[[#This Row],[PT &gt; 3 Pontos]]</f>
        <v>19</v>
      </c>
      <c r="T7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77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77" s="41">
        <f>MIP[[#This Row],[Eficiência]]</f>
        <v>1.3664429485459069</v>
      </c>
      <c r="W7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7" s="39">
        <f>IF(MIP[[#This Row],[P.S]]-MIP[[#This Row],[P.E]]&lt;0,1+MIP[[#This Row],[P.S]]-MIP[[#This Row],[P.E]]-1/24,MIP[[#This Row],[P.S]]-MIP[[#This Row],[P.E]]-1/24)</f>
        <v>0.36666666666666664</v>
      </c>
      <c r="Y77" s="39">
        <f>MIP[[#This Row],[PT-1]]*$S$3+MIP[[#This Row],[PT-2]]*$T$3+MIP[[#This Row],[PT-3]]*$U$3+MIP[[#This Row],[PT &gt; 3 Pontos]]*$V$3</f>
        <v>0.44409395827741982</v>
      </c>
      <c r="Z77" s="39">
        <f>MIP[[#This Row],[HH disponível]]-MIP[[#This Row],[HH AC TOT]]</f>
        <v>0.32500000000000007</v>
      </c>
      <c r="AA77" s="38">
        <f>MIP[[#This Row],[HH Produtivo
Total]]/MIP[[#This Row],[HH Trabalhado]]</f>
        <v>1.3664429485459069</v>
      </c>
      <c r="AB77" s="38">
        <f>MIP[[#This Row],[HH Produtivo
Total]]/MIP[[#This Row],[HH disponível]]</f>
        <v>1.2111653407565997</v>
      </c>
      <c r="AC77" s="38">
        <f>MIP[[#This Row],[HH Trabalhado]]/MIP[[#This Row],[HH disponível]]</f>
        <v>0.88636363636363658</v>
      </c>
      <c r="AD77" s="37" t="str">
        <f>LEFT(MIP[[#This Row],[Equipe]], SEARCH("/",MIP[[#This Row],[Equipe]],1)-1)</f>
        <v xml:space="preserve">JOILSON </v>
      </c>
      <c r="AE77" s="37" t="str">
        <f>RIGHT(MIP[[#This Row],[Equipe]], LEN(MIP[[#This Row],[Equipe]])-SEARCH("/",MIP[[#This Row],[Equipe]],1))</f>
        <v xml:space="preserve"> VALDEI</v>
      </c>
      <c r="AF77" s="44">
        <f>COUNTIFS('[1]Tempo parado'!H:H,"&gt;="&amp;MIP[[#This Row],[S.B Sitrack]],'[1]Tempo parado'!I:I,"&lt;="&amp;MIP[[#This Row],[C.B Sitrack]],'[1]Tempo parado'!B:B,MIP[[#This Row],[Placa]])</f>
        <v>0</v>
      </c>
      <c r="AG77" s="36"/>
      <c r="AH77" s="35"/>
      <c r="AI77" s="34"/>
      <c r="AJ77" s="34"/>
      <c r="AK7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7" s="32">
        <f>SUMIFS('[1]Tempo parado'!J:J,'[1]Tempo parado'!H:H,"&gt;="&amp;MIP[[#This Row],[S.B Sitrack]],'[1]Tempo parado'!I:I,"&lt;="&amp;MIP[[#This Row],[C.B Sitrack]],'[1]Tempo parado'!B:B,MIP[[#This Row],[Placa]])</f>
        <v>0</v>
      </c>
      <c r="AN77" s="32" t="str">
        <f>IFERROR(MIP[[#This Row],[Tempo parado]]/(MIP[[#This Row],[C.B Sitrack]]-MIP[[#This Row],[S.B Sitrack]]),"")</f>
        <v/>
      </c>
      <c r="AO77" s="30"/>
      <c r="AP77" s="44">
        <f>IF(AND(MIP[Exc]=0,MIP[Previsto / Realizado]="Realizado"),MIP[Sem],0)</f>
        <v>0</v>
      </c>
      <c r="AQ77" s="29">
        <f>IF(AND(MIP[Exc]=0,MIP[Previsto / Realizado]="Realizado",ISBLANK(MIP[[#This Row],[S.B Sitrack]])=FALSE,ISBLANK(MIP[[#This Row],[C.B Sitrack]])=FALSE),MIP[Sem],0)</f>
        <v>0</v>
      </c>
    </row>
    <row r="78" spans="1:43" x14ac:dyDescent="0.25">
      <c r="B78" s="44">
        <f>WEEKNUM(MIP[[#This Row],[Data]])</f>
        <v>21</v>
      </c>
      <c r="C78" s="45">
        <v>42882</v>
      </c>
      <c r="D78" s="45"/>
      <c r="E78" s="35" t="s">
        <v>10</v>
      </c>
      <c r="F78" s="35" t="s">
        <v>2</v>
      </c>
      <c r="G78" s="35"/>
      <c r="H78" s="44">
        <v>2</v>
      </c>
      <c r="I78" s="44">
        <v>1</v>
      </c>
      <c r="J78" s="44">
        <v>0</v>
      </c>
      <c r="K78" s="44">
        <v>0</v>
      </c>
      <c r="L78" s="44">
        <v>0</v>
      </c>
      <c r="M78" s="43">
        <v>0.24791666666666667</v>
      </c>
      <c r="N78" s="43">
        <v>0.29652777777777778</v>
      </c>
      <c r="O78" s="43">
        <v>0.42708333333333331</v>
      </c>
      <c r="P78" s="43">
        <v>0.44722222222222219</v>
      </c>
      <c r="Q78" s="39"/>
      <c r="R78" s="42" t="s">
        <v>448</v>
      </c>
      <c r="S78" s="44">
        <f>MIP[[#This Row],[PT-1]]+MIP[[#This Row],[PT-2]]*2+MIP[[#This Row],[PT-3]]*3+MIP[[#This Row],[PT &gt; 3 Pontos]]</f>
        <v>1</v>
      </c>
      <c r="T7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6.8749999999999978E-2</v>
      </c>
      <c r="U78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6.8749999999999978E-2</v>
      </c>
      <c r="V78" s="41">
        <f>MIP[[#This Row],[Eficiência]]</f>
        <v>0.28154084578804334</v>
      </c>
      <c r="W7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8" s="39">
        <f>IF(MIP[[#This Row],[P.S]]-MIP[[#This Row],[P.E]]&lt;0,1+MIP[[#This Row],[P.S]]-MIP[[#This Row],[P.E]]-1/24,MIP[[#This Row],[P.S]]-MIP[[#This Row],[P.E]]-1/24)</f>
        <v>0.15763888888888886</v>
      </c>
      <c r="Y78" s="39">
        <f>MIP[[#This Row],[PT-1]]*$S$3+MIP[[#This Row],[PT-2]]*$T$3+MIP[[#This Row],[PT-3]]*$U$3+MIP[[#This Row],[PT &gt; 3 Pontos]]*$V$3</f>
        <v>2.5025852958937181E-2</v>
      </c>
      <c r="Z78" s="39">
        <f>MIP[[#This Row],[HH disponível]]-MIP[[#This Row],[HH AC TOT]]</f>
        <v>8.8888888888888878E-2</v>
      </c>
      <c r="AA78" s="38">
        <f>MIP[[#This Row],[HH Produtivo
Total]]/MIP[[#This Row],[HH Trabalhado]]</f>
        <v>0.28154084578804334</v>
      </c>
      <c r="AB78" s="38">
        <f>MIP[[#This Row],[HH Produtivo
Total]]/MIP[[#This Row],[HH disponível]]</f>
        <v>0.1587543095192491</v>
      </c>
      <c r="AC78" s="38">
        <f>MIP[[#This Row],[HH Trabalhado]]/MIP[[#This Row],[HH disponível]]</f>
        <v>0.56387665198237891</v>
      </c>
      <c r="AD78" s="37" t="str">
        <f>LEFT(MIP[[#This Row],[Equipe]], SEARCH("/",MIP[[#This Row],[Equipe]],1)-1)</f>
        <v xml:space="preserve">JOILSON </v>
      </c>
      <c r="AE78" s="37" t="str">
        <f>RIGHT(MIP[[#This Row],[Equipe]], LEN(MIP[[#This Row],[Equipe]])-SEARCH("/",MIP[[#This Row],[Equipe]],1))</f>
        <v xml:space="preserve"> VALDEI</v>
      </c>
      <c r="AF78" s="44">
        <f>COUNTIFS('[1]Tempo parado'!H:H,"&gt;="&amp;MIP[[#This Row],[S.B Sitrack]],'[1]Tempo parado'!I:I,"&lt;="&amp;MIP[[#This Row],[C.B Sitrack]],'[1]Tempo parado'!B:B,MIP[[#This Row],[Placa]])</f>
        <v>0</v>
      </c>
      <c r="AG78" s="36"/>
      <c r="AH78" s="35"/>
      <c r="AI78" s="34"/>
      <c r="AJ78" s="34"/>
      <c r="AK7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8" s="32">
        <f>SUMIFS('[1]Tempo parado'!J:J,'[1]Tempo parado'!H:H,"&gt;="&amp;MIP[[#This Row],[S.B Sitrack]],'[1]Tempo parado'!I:I,"&lt;="&amp;MIP[[#This Row],[C.B Sitrack]],'[1]Tempo parado'!B:B,MIP[[#This Row],[Placa]])</f>
        <v>0</v>
      </c>
      <c r="AN78" s="32" t="str">
        <f>IFERROR(MIP[[#This Row],[Tempo parado]]/(MIP[[#This Row],[C.B Sitrack]]-MIP[[#This Row],[S.B Sitrack]]),"")</f>
        <v/>
      </c>
      <c r="AO78" s="30"/>
      <c r="AP78" s="44">
        <f>IF(AND(MIP[Exc]=0,MIP[Previsto / Realizado]="Realizado"),MIP[Sem],0)</f>
        <v>21</v>
      </c>
      <c r="AQ78" s="29">
        <f>IF(AND(MIP[Exc]=0,MIP[Previsto / Realizado]="Realizado",ISBLANK(MIP[[#This Row],[S.B Sitrack]])=FALSE,ISBLANK(MIP[[#This Row],[C.B Sitrack]])=FALSE),MIP[Sem],0)</f>
        <v>0</v>
      </c>
    </row>
    <row r="79" spans="1:43" x14ac:dyDescent="0.25">
      <c r="B79" s="44">
        <f>WEEKNUM(MIP[[#This Row],[Data]])</f>
        <v>22</v>
      </c>
      <c r="C79" s="45">
        <v>42883</v>
      </c>
      <c r="D79" s="45"/>
      <c r="E79" s="35" t="s">
        <v>10</v>
      </c>
      <c r="F79" s="35" t="s">
        <v>5</v>
      </c>
      <c r="G79" s="35"/>
      <c r="H79" s="44">
        <v>2</v>
      </c>
      <c r="I79" s="44">
        <v>9</v>
      </c>
      <c r="J79" s="44">
        <v>0</v>
      </c>
      <c r="K79" s="44">
        <v>0</v>
      </c>
      <c r="L79" s="44">
        <v>9</v>
      </c>
      <c r="M79" s="43">
        <v>0.25</v>
      </c>
      <c r="N79" s="43">
        <v>0.27083333333333331</v>
      </c>
      <c r="O79" s="43">
        <v>0.63750000000000007</v>
      </c>
      <c r="P79" s="43">
        <v>0.65833333333333333</v>
      </c>
      <c r="Q79" s="39"/>
      <c r="R79" s="42"/>
      <c r="S79" s="44">
        <f>MIP[[#This Row],[PT-1]]+MIP[[#This Row],[PT-2]]*2+MIP[[#This Row],[PT-3]]*3+MIP[[#This Row],[PT &gt; 3 Pontos]]</f>
        <v>18</v>
      </c>
      <c r="T7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79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79" s="41">
        <f>MIP[[#This Row],[Eficiência]]</f>
        <v>1.2537377678682022</v>
      </c>
      <c r="W7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9" s="39">
        <f>IF(MIP[[#This Row],[P.S]]-MIP[[#This Row],[P.E]]&lt;0,1+MIP[[#This Row],[P.S]]-MIP[[#This Row],[P.E]]-1/24,MIP[[#This Row],[P.S]]-MIP[[#This Row],[P.E]]-1/24)</f>
        <v>0.36666666666666664</v>
      </c>
      <c r="Y79" s="39">
        <f>MIP[[#This Row],[PT-1]]*$S$3+MIP[[#This Row],[PT-2]]*$T$3+MIP[[#This Row],[PT-3]]*$U$3+MIP[[#This Row],[PT &gt; 3 Pontos]]*$V$3</f>
        <v>0.40746477455716579</v>
      </c>
      <c r="Z79" s="39">
        <f>MIP[[#This Row],[HH disponível]]-MIP[[#This Row],[HH AC TOT]]</f>
        <v>0.32500000000000007</v>
      </c>
      <c r="AA79" s="38">
        <f>MIP[[#This Row],[HH Produtivo
Total]]/MIP[[#This Row],[HH Trabalhado]]</f>
        <v>1.2537377678682022</v>
      </c>
      <c r="AB79" s="38">
        <f>MIP[[#This Row],[HH Produtivo
Total]]/MIP[[#This Row],[HH disponível]]</f>
        <v>1.1112675669740886</v>
      </c>
      <c r="AC79" s="38">
        <f>MIP[[#This Row],[HH Trabalhado]]/MIP[[#This Row],[HH disponível]]</f>
        <v>0.88636363636363658</v>
      </c>
      <c r="AD79" s="37" t="str">
        <f>LEFT(MIP[[#This Row],[Equipe]], SEARCH("/",MIP[[#This Row],[Equipe]],1)-1)</f>
        <v xml:space="preserve">JOILSON </v>
      </c>
      <c r="AE79" s="37" t="str">
        <f>RIGHT(MIP[[#This Row],[Equipe]], LEN(MIP[[#This Row],[Equipe]])-SEARCH("/",MIP[[#This Row],[Equipe]],1))</f>
        <v xml:space="preserve"> VALDEI</v>
      </c>
      <c r="AF79" s="44">
        <f>COUNTIFS('[1]Tempo parado'!H:H,"&gt;="&amp;MIP[[#This Row],[S.B Sitrack]],'[1]Tempo parado'!I:I,"&lt;="&amp;MIP[[#This Row],[C.B Sitrack]],'[1]Tempo parado'!B:B,MIP[[#This Row],[Placa]])</f>
        <v>0</v>
      </c>
      <c r="AG79" s="36"/>
      <c r="AH79" s="35"/>
      <c r="AI79" s="34"/>
      <c r="AJ79" s="34"/>
      <c r="AK7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9" s="32">
        <f>SUMIFS('[1]Tempo parado'!J:J,'[1]Tempo parado'!H:H,"&gt;="&amp;MIP[[#This Row],[S.B Sitrack]],'[1]Tempo parado'!I:I,"&lt;="&amp;MIP[[#This Row],[C.B Sitrack]],'[1]Tempo parado'!B:B,MIP[[#This Row],[Placa]])</f>
        <v>0</v>
      </c>
      <c r="AN79" s="32" t="str">
        <f>IFERROR(MIP[[#This Row],[Tempo parado]]/(MIP[[#This Row],[C.B Sitrack]]-MIP[[#This Row],[S.B Sitrack]]),"")</f>
        <v/>
      </c>
      <c r="AO79" s="30"/>
      <c r="AP79" s="44">
        <f>IF(AND(MIP[Exc]=0,MIP[Previsto / Realizado]="Realizado"),MIP[Sem],0)</f>
        <v>0</v>
      </c>
      <c r="AQ79" s="29">
        <f>IF(AND(MIP[Exc]=0,MIP[Previsto / Realizado]="Realizado",ISBLANK(MIP[[#This Row],[S.B Sitrack]])=FALSE,ISBLANK(MIP[[#This Row],[C.B Sitrack]])=FALSE),MIP[Sem],0)</f>
        <v>0</v>
      </c>
    </row>
    <row r="80" spans="1:43" x14ac:dyDescent="0.25">
      <c r="B80" s="44">
        <f>WEEKNUM(MIP[[#This Row],[Data]])</f>
        <v>22</v>
      </c>
      <c r="C80" s="45">
        <v>42883</v>
      </c>
      <c r="D80" s="45"/>
      <c r="E80" s="35" t="s">
        <v>10</v>
      </c>
      <c r="F80" s="35" t="s">
        <v>2</v>
      </c>
      <c r="G80" s="35"/>
      <c r="H80" s="44">
        <v>2</v>
      </c>
      <c r="I80" s="44">
        <v>0</v>
      </c>
      <c r="J80" s="44">
        <v>0</v>
      </c>
      <c r="K80" s="44">
        <v>0</v>
      </c>
      <c r="L80" s="44">
        <v>0</v>
      </c>
      <c r="M80" s="43">
        <v>0</v>
      </c>
      <c r="N80" s="43">
        <v>0</v>
      </c>
      <c r="O80" s="43">
        <v>0</v>
      </c>
      <c r="P80" s="43">
        <v>0</v>
      </c>
      <c r="Q80" s="39"/>
      <c r="R80" s="42" t="s">
        <v>447</v>
      </c>
      <c r="S80" s="44">
        <f>MIP[[#This Row],[PT-1]]+MIP[[#This Row],[PT-2]]*2+MIP[[#This Row],[PT-3]]*3+MIP[[#This Row],[PT &gt; 3 Pontos]]</f>
        <v>0</v>
      </c>
      <c r="T8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</v>
      </c>
      <c r="U80" s="39">
        <f>IF(MIP[[#This Row],[P.S]]-MIP[[#This Row],[U.P]]&gt;=0,MIP[[#This Row],[P.S]]-MIP[[#This Row],[U.P]]+MIP[[#This Row],[S.B]]-MIP[[#This Row],[P.E]],1+MIP[[#This Row],[P.S]]-MIP[[#This Row],[U.P]]+MIP[[#This Row],[S.B]]-MIP[[#This Row],[P.E]])</f>
        <v>0</v>
      </c>
      <c r="V80" s="41">
        <f>MIP[[#This Row],[Eficiência]]</f>
        <v>0</v>
      </c>
      <c r="W8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0" s="39">
        <f>IF(MIP[[#This Row],[P.S]]-MIP[[#This Row],[P.E]]&lt;0,1+MIP[[#This Row],[P.S]]-MIP[[#This Row],[P.E]]-1/24,MIP[[#This Row],[P.S]]-MIP[[#This Row],[P.E]]-1/24)</f>
        <v>-4.1666666666666664E-2</v>
      </c>
      <c r="Y80" s="39">
        <f>MIP[[#This Row],[PT-1]]*$S$3+MIP[[#This Row],[PT-2]]*$T$3+MIP[[#This Row],[PT-3]]*$U$3+MIP[[#This Row],[PT &gt; 3 Pontos]]*$V$3</f>
        <v>0</v>
      </c>
      <c r="Z80" s="39">
        <f>MIP[[#This Row],[HH disponível]]-MIP[[#This Row],[HH AC TOT]]</f>
        <v>-4.1666666666666664E-2</v>
      </c>
      <c r="AA80" s="38">
        <f>MIP[[#This Row],[HH Produtivo
Total]]/MIP[[#This Row],[HH Trabalhado]]</f>
        <v>0</v>
      </c>
      <c r="AB80" s="38">
        <f>MIP[[#This Row],[HH Produtivo
Total]]/MIP[[#This Row],[HH disponível]]</f>
        <v>0</v>
      </c>
      <c r="AC80" s="38">
        <f>MIP[[#This Row],[HH Trabalhado]]/MIP[[#This Row],[HH disponível]]</f>
        <v>1</v>
      </c>
      <c r="AD80" s="37" t="str">
        <f>LEFT(MIP[[#This Row],[Equipe]], SEARCH("/",MIP[[#This Row],[Equipe]],1)-1)</f>
        <v xml:space="preserve">JOILSON </v>
      </c>
      <c r="AE80" s="37" t="str">
        <f>RIGHT(MIP[[#This Row],[Equipe]], LEN(MIP[[#This Row],[Equipe]])-SEARCH("/",MIP[[#This Row],[Equipe]],1))</f>
        <v xml:space="preserve"> VALDEI</v>
      </c>
      <c r="AF80" s="44">
        <f>COUNTIFS('[1]Tempo parado'!H:H,"&gt;="&amp;MIP[[#This Row],[S.B Sitrack]],'[1]Tempo parado'!I:I,"&lt;="&amp;MIP[[#This Row],[C.B Sitrack]],'[1]Tempo parado'!B:B,MIP[[#This Row],[Placa]])</f>
        <v>0</v>
      </c>
      <c r="AG80" s="36"/>
      <c r="AH80" s="35"/>
      <c r="AI80" s="34"/>
      <c r="AJ80" s="34"/>
      <c r="AK8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0" s="32">
        <f>SUMIFS('[1]Tempo parado'!J:J,'[1]Tempo parado'!H:H,"&gt;="&amp;MIP[[#This Row],[S.B Sitrack]],'[1]Tempo parado'!I:I,"&lt;="&amp;MIP[[#This Row],[C.B Sitrack]],'[1]Tempo parado'!B:B,MIP[[#This Row],[Placa]])</f>
        <v>0</v>
      </c>
      <c r="AN80" s="32" t="str">
        <f>IFERROR(MIP[[#This Row],[Tempo parado]]/(MIP[[#This Row],[C.B Sitrack]]-MIP[[#This Row],[S.B Sitrack]]),"")</f>
        <v/>
      </c>
      <c r="AO80" s="30"/>
      <c r="AP80" s="44">
        <f>IF(AND(MIP[Exc]=0,MIP[Previsto / Realizado]="Realizado"),MIP[Sem],0)</f>
        <v>22</v>
      </c>
      <c r="AQ80" s="29">
        <f>IF(AND(MIP[Exc]=0,MIP[Previsto / Realizado]="Realizado",ISBLANK(MIP[[#This Row],[S.B Sitrack]])=FALSE,ISBLANK(MIP[[#This Row],[C.B Sitrack]])=FALSE),MIP[Sem],0)</f>
        <v>0</v>
      </c>
    </row>
    <row r="81" spans="2:43" x14ac:dyDescent="0.25">
      <c r="B81" s="44">
        <f>WEEKNUM(MIP[[#This Row],[Data]])</f>
        <v>22</v>
      </c>
      <c r="C81" s="45">
        <v>42883</v>
      </c>
      <c r="D81" s="45"/>
      <c r="E81" s="83" t="s">
        <v>439</v>
      </c>
      <c r="F81" s="35" t="s">
        <v>5</v>
      </c>
      <c r="G81" s="83"/>
      <c r="H81" s="44">
        <v>2</v>
      </c>
      <c r="I81" s="44">
        <v>7</v>
      </c>
      <c r="J81" s="44">
        <v>4</v>
      </c>
      <c r="K81" s="44">
        <v>0</v>
      </c>
      <c r="L81" s="44">
        <v>0</v>
      </c>
      <c r="M81" s="43">
        <v>0.625</v>
      </c>
      <c r="N81" s="43">
        <v>0.64583333333333337</v>
      </c>
      <c r="O81" s="43">
        <f>1+18/24/60</f>
        <v>1.0125</v>
      </c>
      <c r="P81" s="43">
        <f>1+48/24/60</f>
        <v>1.0333333333333334</v>
      </c>
      <c r="Q81" s="39"/>
      <c r="R81" s="42"/>
      <c r="S81" s="44">
        <f>MIP[[#This Row],[PT-1]]+MIP[[#This Row],[PT-2]]*2+MIP[[#This Row],[PT-3]]*3+MIP[[#This Row],[PT &gt; 3 Pontos]]</f>
        <v>15</v>
      </c>
      <c r="T8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81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81" s="41">
        <f>MIP[[#This Row],[Eficiência]]</f>
        <v>1.0794339542301501</v>
      </c>
      <c r="W8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1" s="39">
        <f>IF(MIP[[#This Row],[P.S]]-MIP[[#This Row],[P.E]]&lt;0,1+MIP[[#This Row],[P.S]]-MIP[[#This Row],[P.E]]-1/24,MIP[[#This Row],[P.S]]-MIP[[#This Row],[P.E]]-1/24)</f>
        <v>0.36666666666666675</v>
      </c>
      <c r="Y81" s="39">
        <f>MIP[[#This Row],[PT-1]]*$S$3+MIP[[#This Row],[PT-2]]*$T$3+MIP[[#This Row],[PT-3]]*$U$3+MIP[[#This Row],[PT &gt; 3 Pontos]]*$V$3</f>
        <v>0.35081603512479864</v>
      </c>
      <c r="Z81" s="39">
        <f>MIP[[#This Row],[HH disponível]]-MIP[[#This Row],[HH AC TOT]]</f>
        <v>0.3249999999999999</v>
      </c>
      <c r="AA81" s="38">
        <f>MIP[[#This Row],[HH Produtivo
Total]]/MIP[[#This Row],[HH Trabalhado]]</f>
        <v>1.0794339542301501</v>
      </c>
      <c r="AB81" s="38">
        <f>MIP[[#This Row],[HH Produtivo
Total]]/MIP[[#This Row],[HH disponível]]</f>
        <v>0.95677100488581424</v>
      </c>
      <c r="AC81" s="38">
        <f>MIP[[#This Row],[HH Trabalhado]]/MIP[[#This Row],[HH disponível]]</f>
        <v>0.88636363636363591</v>
      </c>
      <c r="AD81" s="37" t="str">
        <f>LEFT(MIP[[#This Row],[Equipe]], SEARCH("/",MIP[[#This Row],[Equipe]],1)-1)</f>
        <v xml:space="preserve">ADEMÁRIO </v>
      </c>
      <c r="AE81" s="37" t="str">
        <f>RIGHT(MIP[[#This Row],[Equipe]], LEN(MIP[[#This Row],[Equipe]])-SEARCH("/",MIP[[#This Row],[Equipe]],1))</f>
        <v xml:space="preserve"> ANDERSON</v>
      </c>
      <c r="AF81" s="44">
        <f>COUNTIFS('[1]Tempo parado'!H:H,"&gt;="&amp;MIP[[#This Row],[S.B Sitrack]],'[1]Tempo parado'!I:I,"&lt;="&amp;MIP[[#This Row],[C.B Sitrack]],'[1]Tempo parado'!B:B,MIP[[#This Row],[Placa]])</f>
        <v>0</v>
      </c>
      <c r="AG81" s="36"/>
      <c r="AH81" s="35"/>
      <c r="AI81" s="34"/>
      <c r="AJ81" s="34"/>
      <c r="AK8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1" s="32">
        <f>SUMIFS('[1]Tempo parado'!J:J,'[1]Tempo parado'!H:H,"&gt;="&amp;MIP[[#This Row],[S.B Sitrack]],'[1]Tempo parado'!I:I,"&lt;="&amp;MIP[[#This Row],[C.B Sitrack]],'[1]Tempo parado'!B:B,MIP[[#This Row],[Placa]])</f>
        <v>0</v>
      </c>
      <c r="AN81" s="32" t="str">
        <f>IFERROR(MIP[[#This Row],[Tempo parado]]/(MIP[[#This Row],[C.B Sitrack]]-MIP[[#This Row],[S.B Sitrack]]),"")</f>
        <v/>
      </c>
      <c r="AO81" s="30"/>
      <c r="AP81" s="44">
        <f>IF(AND(MIP[Exc]=0,MIP[Previsto / Realizado]="Realizado"),MIP[Sem],0)</f>
        <v>0</v>
      </c>
      <c r="AQ81" s="29">
        <f>IF(AND(MIP[Exc]=0,MIP[Previsto / Realizado]="Realizado",ISBLANK(MIP[[#This Row],[S.B Sitrack]])=FALSE,ISBLANK(MIP[[#This Row],[C.B Sitrack]])=FALSE),MIP[Sem],0)</f>
        <v>0</v>
      </c>
    </row>
    <row r="82" spans="2:43" x14ac:dyDescent="0.25">
      <c r="B82" s="44">
        <f>WEEKNUM(MIP[[#This Row],[Data]])</f>
        <v>22</v>
      </c>
      <c r="C82" s="45">
        <v>42883</v>
      </c>
      <c r="D82" s="45"/>
      <c r="E82" s="83" t="s">
        <v>439</v>
      </c>
      <c r="F82" s="35" t="s">
        <v>2</v>
      </c>
      <c r="G82" s="83"/>
      <c r="H82" s="44">
        <v>2</v>
      </c>
      <c r="I82" s="44">
        <v>5</v>
      </c>
      <c r="J82" s="44">
        <v>2</v>
      </c>
      <c r="K82" s="44">
        <v>0</v>
      </c>
      <c r="L82" s="44">
        <v>0</v>
      </c>
      <c r="M82" s="43">
        <v>0.66111111111111109</v>
      </c>
      <c r="N82" s="43">
        <v>0.67847222222222225</v>
      </c>
      <c r="O82" s="43">
        <f>1+30/24/60</f>
        <v>1.0208333333333333</v>
      </c>
      <c r="P82" s="43">
        <f>1+50/24/60</f>
        <v>1.0347222222222223</v>
      </c>
      <c r="Q82" s="39"/>
      <c r="R82" s="42" t="s">
        <v>446</v>
      </c>
      <c r="S82" s="44">
        <f>MIP[[#This Row],[PT-1]]+MIP[[#This Row],[PT-2]]*2+MIP[[#This Row],[PT-3]]*3+MIP[[#This Row],[PT &gt; 3 Pontos]]</f>
        <v>9</v>
      </c>
      <c r="T8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3.1250000000000222E-2</v>
      </c>
      <c r="U82" s="39">
        <f>IF(MIP[[#This Row],[P.S]]-MIP[[#This Row],[U.P]]&gt;=0,MIP[[#This Row],[P.S]]-MIP[[#This Row],[U.P]]+MIP[[#This Row],[S.B]]-MIP[[#This Row],[P.E]],1+MIP[[#This Row],[P.S]]-MIP[[#This Row],[U.P]]+MIP[[#This Row],[S.B]]-MIP[[#This Row],[P.E]])</f>
        <v>3.1250000000000222E-2</v>
      </c>
      <c r="V82" s="41">
        <f>MIP[[#This Row],[Eficiência]]</f>
        <v>0.70818334337450206</v>
      </c>
      <c r="W8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2" s="39">
        <f>IF(MIP[[#This Row],[P.S]]-MIP[[#This Row],[P.E]]&lt;0,1+MIP[[#This Row],[P.S]]-MIP[[#This Row],[P.E]]-1/24,MIP[[#This Row],[P.S]]-MIP[[#This Row],[P.E]]-1/24)</f>
        <v>0.33194444444444454</v>
      </c>
      <c r="Y82" s="39">
        <f>MIP[[#This Row],[PT-1]]*$S$3+MIP[[#This Row],[PT-2]]*$T$3+MIP[[#This Row],[PT-3]]*$U$3+MIP[[#This Row],[PT &gt; 3 Pontos]]*$V$3</f>
        <v>0.21294679700080504</v>
      </c>
      <c r="Z82" s="39">
        <f>MIP[[#This Row],[HH disponível]]-MIP[[#This Row],[HH AC TOT]]</f>
        <v>0.30069444444444432</v>
      </c>
      <c r="AA82" s="38">
        <f>MIP[[#This Row],[HH Produtivo
Total]]/MIP[[#This Row],[HH Trabalhado]]</f>
        <v>0.70818334337450206</v>
      </c>
      <c r="AB82" s="38">
        <f>MIP[[#This Row],[HH Produtivo
Total]]/MIP[[#This Row],[HH disponível]]</f>
        <v>0.64151336334970543</v>
      </c>
      <c r="AC82" s="38">
        <f>MIP[[#This Row],[HH Trabalhado]]/MIP[[#This Row],[HH disponível]]</f>
        <v>0.9058577405857734</v>
      </c>
      <c r="AD82" s="37" t="str">
        <f>LEFT(MIP[[#This Row],[Equipe]], SEARCH("/",MIP[[#This Row],[Equipe]],1)-1)</f>
        <v xml:space="preserve">ADEMÁRIO </v>
      </c>
      <c r="AE82" s="37" t="str">
        <f>RIGHT(MIP[[#This Row],[Equipe]], LEN(MIP[[#This Row],[Equipe]])-SEARCH("/",MIP[[#This Row],[Equipe]],1))</f>
        <v xml:space="preserve"> ANDERSON</v>
      </c>
      <c r="AF82" s="44">
        <f>COUNTIFS('[1]Tempo parado'!H:H,"&gt;="&amp;MIP[[#This Row],[S.B Sitrack]],'[1]Tempo parado'!I:I,"&lt;="&amp;MIP[[#This Row],[C.B Sitrack]],'[1]Tempo parado'!B:B,MIP[[#This Row],[Placa]])</f>
        <v>0</v>
      </c>
      <c r="AG82" s="36"/>
      <c r="AH82" s="35"/>
      <c r="AI82" s="34"/>
      <c r="AJ82" s="34"/>
      <c r="AK8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2" s="32">
        <f>SUMIFS('[1]Tempo parado'!J:J,'[1]Tempo parado'!H:H,"&gt;="&amp;MIP[[#This Row],[S.B Sitrack]],'[1]Tempo parado'!I:I,"&lt;="&amp;MIP[[#This Row],[C.B Sitrack]],'[1]Tempo parado'!B:B,MIP[[#This Row],[Placa]])</f>
        <v>0</v>
      </c>
      <c r="AN82" s="32" t="str">
        <f>IFERROR(MIP[[#This Row],[Tempo parado]]/(MIP[[#This Row],[C.B Sitrack]]-MIP[[#This Row],[S.B Sitrack]]),"")</f>
        <v/>
      </c>
      <c r="AO82" s="30"/>
      <c r="AP82" s="44">
        <f>IF(AND(MIP[Exc]=0,MIP[Previsto / Realizado]="Realizado"),MIP[Sem],0)</f>
        <v>22</v>
      </c>
      <c r="AQ82" s="29">
        <f>IF(AND(MIP[Exc]=0,MIP[Previsto / Realizado]="Realizado",ISBLANK(MIP[[#This Row],[S.B Sitrack]])=FALSE,ISBLANK(MIP[[#This Row],[C.B Sitrack]])=FALSE),MIP[Sem],0)</f>
        <v>0</v>
      </c>
    </row>
    <row r="83" spans="2:43" x14ac:dyDescent="0.25">
      <c r="B83" s="44">
        <f>WEEKNUM(MIP[[#This Row],[Data]])</f>
        <v>22</v>
      </c>
      <c r="C83" s="45">
        <v>42884</v>
      </c>
      <c r="D83" s="45"/>
      <c r="E83" s="35" t="s">
        <v>3</v>
      </c>
      <c r="F83" s="35" t="s">
        <v>5</v>
      </c>
      <c r="G83" s="35"/>
      <c r="H83" s="44">
        <v>2</v>
      </c>
      <c r="I83" s="44">
        <v>7</v>
      </c>
      <c r="J83" s="44">
        <v>5</v>
      </c>
      <c r="K83" s="44">
        <v>0</v>
      </c>
      <c r="L83" s="44">
        <v>4</v>
      </c>
      <c r="M83" s="43">
        <v>0.625</v>
      </c>
      <c r="N83" s="43">
        <v>0.64583333333333337</v>
      </c>
      <c r="O83" s="43">
        <f>1+18/24/60</f>
        <v>1.0125</v>
      </c>
      <c r="P83" s="43">
        <f>1+48/24/60</f>
        <v>1.0333333333333334</v>
      </c>
      <c r="Q83" s="39"/>
      <c r="R83" s="42"/>
      <c r="S83" s="44">
        <f>MIP[[#This Row],[PT-1]]+MIP[[#This Row],[PT-2]]*2+MIP[[#This Row],[PT-3]]*3+MIP[[#This Row],[PT &gt; 3 Pontos]]</f>
        <v>21</v>
      </c>
      <c r="T8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83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83" s="41">
        <f>MIP[[#This Row],[Eficiência]]</f>
        <v>1.4637441376949232</v>
      </c>
      <c r="W8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3" s="39">
        <f>IF(MIP[[#This Row],[P.S]]-MIP[[#This Row],[P.E]]&lt;0,1+MIP[[#This Row],[P.S]]-MIP[[#This Row],[P.E]]-1/24,MIP[[#This Row],[P.S]]-MIP[[#This Row],[P.E]]-1/24)</f>
        <v>0.36666666666666675</v>
      </c>
      <c r="Y83" s="39">
        <f>MIP[[#This Row],[PT-1]]*$S$3+MIP[[#This Row],[PT-2]]*$T$3+MIP[[#This Row],[PT-3]]*$U$3+MIP[[#This Row],[PT &gt; 3 Pontos]]*$V$3</f>
        <v>0.47571684475084985</v>
      </c>
      <c r="Z83" s="39">
        <f>MIP[[#This Row],[HH disponível]]-MIP[[#This Row],[HH AC TOT]]</f>
        <v>0.3249999999999999</v>
      </c>
      <c r="AA83" s="38">
        <f>MIP[[#This Row],[HH Produtivo
Total]]/MIP[[#This Row],[HH Trabalhado]]</f>
        <v>1.4637441376949232</v>
      </c>
      <c r="AB83" s="38">
        <f>MIP[[#This Row],[HH Produtivo
Total]]/MIP[[#This Row],[HH disponível]]</f>
        <v>1.2974095765932265</v>
      </c>
      <c r="AC83" s="38">
        <f>MIP[[#This Row],[HH Trabalhado]]/MIP[[#This Row],[HH disponível]]</f>
        <v>0.88636363636363591</v>
      </c>
      <c r="AD83" s="37" t="str">
        <f>LEFT(MIP[[#This Row],[Equipe]], SEARCH("/",MIP[[#This Row],[Equipe]],1)-1)</f>
        <v xml:space="preserve">EDILTON </v>
      </c>
      <c r="AE83" s="37" t="str">
        <f>RIGHT(MIP[[#This Row],[Equipe]], LEN(MIP[[#This Row],[Equipe]])-SEARCH("/",MIP[[#This Row],[Equipe]],1))</f>
        <v xml:space="preserve"> GECIVALDO</v>
      </c>
      <c r="AF83" s="44">
        <f>COUNTIFS('[1]Tempo parado'!H:H,"&gt;="&amp;MIP[[#This Row],[S.B Sitrack]],'[1]Tempo parado'!I:I,"&lt;="&amp;MIP[[#This Row],[C.B Sitrack]],'[1]Tempo parado'!B:B,MIP[[#This Row],[Placa]])</f>
        <v>0</v>
      </c>
      <c r="AG83" s="36"/>
      <c r="AH83" s="35"/>
      <c r="AI83" s="34"/>
      <c r="AJ83" s="34"/>
      <c r="AK8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3" s="32">
        <f>SUMIFS('[1]Tempo parado'!J:J,'[1]Tempo parado'!H:H,"&gt;="&amp;MIP[[#This Row],[S.B Sitrack]],'[1]Tempo parado'!I:I,"&lt;="&amp;MIP[[#This Row],[C.B Sitrack]],'[1]Tempo parado'!B:B,MIP[[#This Row],[Placa]])</f>
        <v>0</v>
      </c>
      <c r="AN83" s="32" t="str">
        <f>IFERROR(MIP[[#This Row],[Tempo parado]]/(MIP[[#This Row],[C.B Sitrack]]-MIP[[#This Row],[S.B Sitrack]]),"")</f>
        <v/>
      </c>
      <c r="AO83" s="30"/>
      <c r="AP83" s="44">
        <f>IF(AND(MIP[Exc]=0,MIP[Previsto / Realizado]="Realizado"),MIP[Sem],0)</f>
        <v>0</v>
      </c>
      <c r="AQ83" s="29">
        <f>IF(AND(MIP[Exc]=0,MIP[Previsto / Realizado]="Realizado",ISBLANK(MIP[[#This Row],[S.B Sitrack]])=FALSE,ISBLANK(MIP[[#This Row],[C.B Sitrack]])=FALSE),MIP[Sem],0)</f>
        <v>0</v>
      </c>
    </row>
    <row r="84" spans="2:43" x14ac:dyDescent="0.25">
      <c r="B84" s="44">
        <f>WEEKNUM(MIP[[#This Row],[Data]])</f>
        <v>22</v>
      </c>
      <c r="C84" s="45">
        <v>42884</v>
      </c>
      <c r="D84" s="45"/>
      <c r="E84" s="35" t="s">
        <v>3</v>
      </c>
      <c r="F84" s="35" t="s">
        <v>2</v>
      </c>
      <c r="G84" s="35"/>
      <c r="H84" s="44">
        <v>2</v>
      </c>
      <c r="I84" s="44">
        <v>3</v>
      </c>
      <c r="J84" s="44">
        <v>3</v>
      </c>
      <c r="K84" s="44">
        <v>0</v>
      </c>
      <c r="L84" s="44">
        <v>5</v>
      </c>
      <c r="M84" s="43">
        <v>0.63750000000000007</v>
      </c>
      <c r="N84" s="43">
        <v>0.65277777777777779</v>
      </c>
      <c r="O84" s="43">
        <f>1+5/24/60</f>
        <v>1.0034722222222223</v>
      </c>
      <c r="P84" s="43">
        <f>1+48/24/60</f>
        <v>1.0333333333333334</v>
      </c>
      <c r="Q84" s="39"/>
      <c r="R84" s="42" t="s">
        <v>445</v>
      </c>
      <c r="S84" s="44">
        <f>MIP[[#This Row],[PT-1]]+MIP[[#This Row],[PT-2]]*2+MIP[[#This Row],[PT-3]]*3+MIP[[#This Row],[PT &gt; 3 Pontos]]</f>
        <v>14</v>
      </c>
      <c r="T8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4.513888888888884E-2</v>
      </c>
      <c r="U84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4.513888888888884E-2</v>
      </c>
      <c r="V84" s="41">
        <f>MIP[[#This Row],[Eficiência]]</f>
        <v>0.99681625323418188</v>
      </c>
      <c r="W8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4" s="39">
        <f>IF(MIP[[#This Row],[P.S]]-MIP[[#This Row],[P.E]]&lt;0,1+MIP[[#This Row],[P.S]]-MIP[[#This Row],[P.E]]-1/24,MIP[[#This Row],[P.S]]-MIP[[#This Row],[P.E]]-1/24)</f>
        <v>0.35416666666666669</v>
      </c>
      <c r="Y84" s="39">
        <f>MIP[[#This Row],[PT-1]]*$S$3+MIP[[#This Row],[PT-2]]*$T$3+MIP[[#This Row],[PT-3]]*$U$3+MIP[[#This Row],[PT &gt; 3 Pontos]]*$V$3</f>
        <v>0.30804391158972988</v>
      </c>
      <c r="Z84" s="39">
        <f>MIP[[#This Row],[HH disponível]]-MIP[[#This Row],[HH AC TOT]]</f>
        <v>0.30902777777777785</v>
      </c>
      <c r="AA84" s="38">
        <f>MIP[[#This Row],[HH Produtivo
Total]]/MIP[[#This Row],[HH Trabalhado]]</f>
        <v>0.99681625323418188</v>
      </c>
      <c r="AB84" s="38">
        <f>MIP[[#This Row],[HH Produtivo
Total]]/MIP[[#This Row],[HH disponível]]</f>
        <v>0.86977104448864906</v>
      </c>
      <c r="AC84" s="38">
        <f>MIP[[#This Row],[HH Trabalhado]]/MIP[[#This Row],[HH disponível]]</f>
        <v>0.87254901960784326</v>
      </c>
      <c r="AD84" s="37" t="str">
        <f>LEFT(MIP[[#This Row],[Equipe]], SEARCH("/",MIP[[#This Row],[Equipe]],1)-1)</f>
        <v xml:space="preserve">EDILTON </v>
      </c>
      <c r="AE84" s="37" t="str">
        <f>RIGHT(MIP[[#This Row],[Equipe]], LEN(MIP[[#This Row],[Equipe]])-SEARCH("/",MIP[[#This Row],[Equipe]],1))</f>
        <v xml:space="preserve"> GECIVALDO</v>
      </c>
      <c r="AF84" s="44">
        <f>COUNTIFS('[1]Tempo parado'!H:H,"&gt;="&amp;MIP[[#This Row],[S.B Sitrack]],'[1]Tempo parado'!I:I,"&lt;="&amp;MIP[[#This Row],[C.B Sitrack]],'[1]Tempo parado'!B:B,MIP[[#This Row],[Placa]])</f>
        <v>0</v>
      </c>
      <c r="AG84" s="36"/>
      <c r="AH84" s="35"/>
      <c r="AI84" s="34"/>
      <c r="AJ84" s="34"/>
      <c r="AK8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4" s="32">
        <f>SUMIFS('[1]Tempo parado'!J:J,'[1]Tempo parado'!H:H,"&gt;="&amp;MIP[[#This Row],[S.B Sitrack]],'[1]Tempo parado'!I:I,"&lt;="&amp;MIP[[#This Row],[C.B Sitrack]],'[1]Tempo parado'!B:B,MIP[[#This Row],[Placa]])</f>
        <v>0</v>
      </c>
      <c r="AN84" s="32" t="str">
        <f>IFERROR(MIP[[#This Row],[Tempo parado]]/(MIP[[#This Row],[C.B Sitrack]]-MIP[[#This Row],[S.B Sitrack]]),"")</f>
        <v/>
      </c>
      <c r="AO84" s="30"/>
      <c r="AP84" s="44">
        <f>IF(AND(MIP[Exc]=0,MIP[Previsto / Realizado]="Realizado"),MIP[Sem],0)</f>
        <v>22</v>
      </c>
      <c r="AQ84" s="29">
        <f>IF(AND(MIP[Exc]=0,MIP[Previsto / Realizado]="Realizado",ISBLANK(MIP[[#This Row],[S.B Sitrack]])=FALSE,ISBLANK(MIP[[#This Row],[C.B Sitrack]])=FALSE),MIP[Sem],0)</f>
        <v>0</v>
      </c>
    </row>
    <row r="85" spans="2:43" x14ac:dyDescent="0.25">
      <c r="B85" s="44">
        <f>WEEKNUM(MIP[[#This Row],[Data]])</f>
        <v>22</v>
      </c>
      <c r="C85" s="45">
        <v>42885</v>
      </c>
      <c r="D85" s="45"/>
      <c r="E85" s="35" t="s">
        <v>10</v>
      </c>
      <c r="F85" s="35" t="s">
        <v>5</v>
      </c>
      <c r="G85" s="35"/>
      <c r="H85" s="44">
        <v>2</v>
      </c>
      <c r="I85" s="44">
        <v>3</v>
      </c>
      <c r="J85" s="44">
        <v>2</v>
      </c>
      <c r="K85" s="44">
        <v>0</v>
      </c>
      <c r="L85" s="44">
        <v>0</v>
      </c>
      <c r="M85" s="43">
        <v>0.25</v>
      </c>
      <c r="N85" s="43">
        <v>0.27083333333333331</v>
      </c>
      <c r="O85" s="43">
        <v>0.63750000000000007</v>
      </c>
      <c r="P85" s="43">
        <v>0.65833333333333333</v>
      </c>
      <c r="Q85" s="39"/>
      <c r="R85" s="42" t="s">
        <v>444</v>
      </c>
      <c r="S85" s="44">
        <f>MIP[[#This Row],[PT-1]]+MIP[[#This Row],[PT-2]]*2+MIP[[#This Row],[PT-3]]*3+MIP[[#This Row],[PT &gt; 3 Pontos]]</f>
        <v>7</v>
      </c>
      <c r="T8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85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85" s="41">
        <f>MIP[[#This Row],[Eficiência]]</f>
        <v>0.50121566487055591</v>
      </c>
      <c r="W8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5" s="39">
        <f>IF(MIP[[#This Row],[P.S]]-MIP[[#This Row],[P.E]]&lt;0,1+MIP[[#This Row],[P.S]]-MIP[[#This Row],[P.E]]-1/24,MIP[[#This Row],[P.S]]-MIP[[#This Row],[P.E]]-1/24)</f>
        <v>0.36666666666666664</v>
      </c>
      <c r="Y85" s="39">
        <f>MIP[[#This Row],[PT-1]]*$S$3+MIP[[#This Row],[PT-2]]*$T$3+MIP[[#This Row],[PT-3]]*$U$3+MIP[[#This Row],[PT &gt; 3 Pontos]]*$V$3</f>
        <v>0.16289509108293071</v>
      </c>
      <c r="Z85" s="39">
        <f>MIP[[#This Row],[HH disponível]]-MIP[[#This Row],[HH AC TOT]]</f>
        <v>0.32500000000000007</v>
      </c>
      <c r="AA85" s="38">
        <f>MIP[[#This Row],[HH Produtivo
Total]]/MIP[[#This Row],[HH Trabalhado]]</f>
        <v>0.50121566487055591</v>
      </c>
      <c r="AB85" s="38">
        <f>MIP[[#This Row],[HH Produtivo
Total]]/MIP[[#This Row],[HH disponível]]</f>
        <v>0.44425933931708378</v>
      </c>
      <c r="AC85" s="38">
        <f>MIP[[#This Row],[HH Trabalhado]]/MIP[[#This Row],[HH disponível]]</f>
        <v>0.88636363636363658</v>
      </c>
      <c r="AD85" s="37" t="str">
        <f>LEFT(MIP[[#This Row],[Equipe]], SEARCH("/",MIP[[#This Row],[Equipe]],1)-1)</f>
        <v xml:space="preserve">JOILSON </v>
      </c>
      <c r="AE85" s="37" t="str">
        <f>RIGHT(MIP[[#This Row],[Equipe]], LEN(MIP[[#This Row],[Equipe]])-SEARCH("/",MIP[[#This Row],[Equipe]],1))</f>
        <v xml:space="preserve"> VALDEI</v>
      </c>
      <c r="AF85" s="44">
        <f>COUNTIFS('[1]Tempo parado'!H:H,"&gt;="&amp;MIP[[#This Row],[S.B Sitrack]],'[1]Tempo parado'!I:I,"&lt;="&amp;MIP[[#This Row],[C.B Sitrack]],'[1]Tempo parado'!B:B,MIP[[#This Row],[Placa]])</f>
        <v>0</v>
      </c>
      <c r="AG85" s="36"/>
      <c r="AH85" s="35"/>
      <c r="AI85" s="34"/>
      <c r="AJ85" s="34"/>
      <c r="AK8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5" s="32">
        <f>SUMIFS('[1]Tempo parado'!J:J,'[1]Tempo parado'!H:H,"&gt;="&amp;MIP[[#This Row],[S.B Sitrack]],'[1]Tempo parado'!I:I,"&lt;="&amp;MIP[[#This Row],[C.B Sitrack]],'[1]Tempo parado'!B:B,MIP[[#This Row],[Placa]])</f>
        <v>0</v>
      </c>
      <c r="AN85" s="32" t="str">
        <f>IFERROR(MIP[[#This Row],[Tempo parado]]/(MIP[[#This Row],[C.B Sitrack]]-MIP[[#This Row],[S.B Sitrack]]),"")</f>
        <v/>
      </c>
      <c r="AO85" s="30"/>
      <c r="AP85" s="44">
        <f>IF(AND(MIP[Exc]=0,MIP[Previsto / Realizado]="Realizado"),MIP[Sem],0)</f>
        <v>0</v>
      </c>
      <c r="AQ85" s="29">
        <f>IF(AND(MIP[Exc]=0,MIP[Previsto / Realizado]="Realizado",ISBLANK(MIP[[#This Row],[S.B Sitrack]])=FALSE,ISBLANK(MIP[[#This Row],[C.B Sitrack]])=FALSE),MIP[Sem],0)</f>
        <v>0</v>
      </c>
    </row>
    <row r="86" spans="2:43" x14ac:dyDescent="0.25">
      <c r="B86" s="44">
        <f>WEEKNUM(MIP[[#This Row],[Data]])</f>
        <v>22</v>
      </c>
      <c r="C86" s="45">
        <v>42885</v>
      </c>
      <c r="D86" s="45"/>
      <c r="E86" s="35" t="s">
        <v>10</v>
      </c>
      <c r="F86" s="35" t="s">
        <v>2</v>
      </c>
      <c r="G86" s="35"/>
      <c r="H86" s="44">
        <v>2</v>
      </c>
      <c r="I86" s="44">
        <v>3</v>
      </c>
      <c r="J86" s="44">
        <v>2</v>
      </c>
      <c r="K86" s="44">
        <v>0</v>
      </c>
      <c r="L86" s="44">
        <v>0</v>
      </c>
      <c r="M86" s="43">
        <v>0.25069444444444444</v>
      </c>
      <c r="N86" s="43">
        <v>0.28055555555555556</v>
      </c>
      <c r="O86" s="43">
        <v>0.63611111111111118</v>
      </c>
      <c r="P86" s="43">
        <v>0.65833333333333333</v>
      </c>
      <c r="Q86" s="39"/>
      <c r="R86" s="42"/>
      <c r="S86" s="44">
        <f>MIP[[#This Row],[PT-1]]+MIP[[#This Row],[PT-2]]*2+MIP[[#This Row],[PT-3]]*3+MIP[[#This Row],[PT &gt; 3 Pontos]]</f>
        <v>7</v>
      </c>
      <c r="T8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5.2083333333333259E-2</v>
      </c>
      <c r="U86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5.2083333333333259E-2</v>
      </c>
      <c r="V86" s="41">
        <f>MIP[[#This Row],[Eficiência]]</f>
        <v>0.51895781229960214</v>
      </c>
      <c r="W8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6" s="39">
        <f>IF(MIP[[#This Row],[P.S]]-MIP[[#This Row],[P.E]]&lt;0,1+MIP[[#This Row],[P.S]]-MIP[[#This Row],[P.E]]-1/24,MIP[[#This Row],[P.S]]-MIP[[#This Row],[P.E]]-1/24)</f>
        <v>0.3659722222222222</v>
      </c>
      <c r="Y86" s="39">
        <f>MIP[[#This Row],[PT-1]]*$S$3+MIP[[#This Row],[PT-2]]*$T$3+MIP[[#This Row],[PT-3]]*$U$3+MIP[[#This Row],[PT &gt; 3 Pontos]]*$V$3</f>
        <v>0.16289509108293071</v>
      </c>
      <c r="Z86" s="39">
        <f>MIP[[#This Row],[HH disponível]]-MIP[[#This Row],[HH AC TOT]]</f>
        <v>0.31388888888888894</v>
      </c>
      <c r="AA86" s="38">
        <f>MIP[[#This Row],[HH Produtivo
Total]]/MIP[[#This Row],[HH Trabalhado]]</f>
        <v>0.51895781229960214</v>
      </c>
      <c r="AB86" s="38">
        <f>MIP[[#This Row],[HH Produtivo
Total]]/MIP[[#This Row],[HH disponível]]</f>
        <v>0.44510233616588279</v>
      </c>
      <c r="AC86" s="38">
        <f>MIP[[#This Row],[HH Trabalhado]]/MIP[[#This Row],[HH disponível]]</f>
        <v>0.85768500948766624</v>
      </c>
      <c r="AD86" s="37" t="str">
        <f>LEFT(MIP[[#This Row],[Equipe]], SEARCH("/",MIP[[#This Row],[Equipe]],1)-1)</f>
        <v xml:space="preserve">JOILSON </v>
      </c>
      <c r="AE86" s="37" t="str">
        <f>RIGHT(MIP[[#This Row],[Equipe]], LEN(MIP[[#This Row],[Equipe]])-SEARCH("/",MIP[[#This Row],[Equipe]],1))</f>
        <v xml:space="preserve"> VALDEI</v>
      </c>
      <c r="AF86" s="44">
        <f>COUNTIFS('[1]Tempo parado'!H:H,"&gt;="&amp;MIP[[#This Row],[S.B Sitrack]],'[1]Tempo parado'!I:I,"&lt;="&amp;MIP[[#This Row],[C.B Sitrack]],'[1]Tempo parado'!B:B,MIP[[#This Row],[Placa]])</f>
        <v>0</v>
      </c>
      <c r="AG86" s="36"/>
      <c r="AH86" s="35"/>
      <c r="AI86" s="34"/>
      <c r="AJ86" s="34"/>
      <c r="AK8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6" s="32">
        <f>SUMIFS('[1]Tempo parado'!J:J,'[1]Tempo parado'!H:H,"&gt;="&amp;MIP[[#This Row],[S.B Sitrack]],'[1]Tempo parado'!I:I,"&lt;="&amp;MIP[[#This Row],[C.B Sitrack]],'[1]Tempo parado'!B:B,MIP[[#This Row],[Placa]])</f>
        <v>0</v>
      </c>
      <c r="AN86" s="32" t="str">
        <f>IFERROR(MIP[[#This Row],[Tempo parado]]/(MIP[[#This Row],[C.B Sitrack]]-MIP[[#This Row],[S.B Sitrack]]),"")</f>
        <v/>
      </c>
      <c r="AO86" s="30"/>
      <c r="AP86" s="44">
        <f>IF(AND(MIP[Exc]=0,MIP[Previsto / Realizado]="Realizado"),MIP[Sem],0)</f>
        <v>22</v>
      </c>
      <c r="AQ86" s="29">
        <f>IF(AND(MIP[Exc]=0,MIP[Previsto / Realizado]="Realizado",ISBLANK(MIP[[#This Row],[S.B Sitrack]])=FALSE,ISBLANK(MIP[[#This Row],[C.B Sitrack]])=FALSE),MIP[Sem],0)</f>
        <v>0</v>
      </c>
    </row>
    <row r="87" spans="2:43" x14ac:dyDescent="0.25">
      <c r="B87" s="44">
        <f>WEEKNUM(MIP[[#This Row],[Data]])</f>
        <v>22</v>
      </c>
      <c r="C87" s="45">
        <v>42885</v>
      </c>
      <c r="D87" s="45"/>
      <c r="E87" s="83" t="s">
        <v>439</v>
      </c>
      <c r="F87" s="35" t="s">
        <v>5</v>
      </c>
      <c r="G87" s="83"/>
      <c r="H87" s="44">
        <v>2</v>
      </c>
      <c r="I87" s="44">
        <v>5</v>
      </c>
      <c r="J87" s="44">
        <v>0</v>
      </c>
      <c r="K87" s="44">
        <v>0</v>
      </c>
      <c r="L87" s="44">
        <v>8</v>
      </c>
      <c r="M87" s="43">
        <v>0.625</v>
      </c>
      <c r="N87" s="43">
        <v>0.64583333333333337</v>
      </c>
      <c r="O87" s="43">
        <f>1+18/24/60</f>
        <v>1.0125</v>
      </c>
      <c r="P87" s="43">
        <f>1+48/24/60</f>
        <v>1.0333333333333334</v>
      </c>
      <c r="Q87" s="39"/>
      <c r="R87" s="42" t="s">
        <v>443</v>
      </c>
      <c r="S87" s="44">
        <f>MIP[[#This Row],[PT-1]]+MIP[[#This Row],[PT-2]]*2+MIP[[#This Row],[PT-3]]*3+MIP[[#This Row],[PT &gt; 3 Pontos]]</f>
        <v>13</v>
      </c>
      <c r="T8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87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87" s="41">
        <f>MIP[[#This Row],[Eficiência]]</f>
        <v>0.88342569797129</v>
      </c>
      <c r="W8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7" s="39">
        <f>IF(MIP[[#This Row],[P.S]]-MIP[[#This Row],[P.E]]&lt;0,1+MIP[[#This Row],[P.S]]-MIP[[#This Row],[P.E]]-1/24,MIP[[#This Row],[P.S]]-MIP[[#This Row],[P.E]]-1/24)</f>
        <v>0.36666666666666675</v>
      </c>
      <c r="Y87" s="39">
        <f>MIP[[#This Row],[PT-1]]*$S$3+MIP[[#This Row],[PT-2]]*$T$3+MIP[[#This Row],[PT-3]]*$U$3+MIP[[#This Row],[PT &gt; 3 Pontos]]*$V$3</f>
        <v>0.28711335184066916</v>
      </c>
      <c r="Z87" s="39">
        <f>MIP[[#This Row],[HH disponível]]-MIP[[#This Row],[HH AC TOT]]</f>
        <v>0.3249999999999999</v>
      </c>
      <c r="AA87" s="38">
        <f>MIP[[#This Row],[HH Produtivo
Total]]/MIP[[#This Row],[HH Trabalhado]]</f>
        <v>0.88342569797129</v>
      </c>
      <c r="AB87" s="38">
        <f>MIP[[#This Row],[HH Produtivo
Total]]/MIP[[#This Row],[HH disponível]]</f>
        <v>0.78303641411091573</v>
      </c>
      <c r="AC87" s="38">
        <f>MIP[[#This Row],[HH Trabalhado]]/MIP[[#This Row],[HH disponível]]</f>
        <v>0.88636363636363591</v>
      </c>
      <c r="AD87" s="37" t="str">
        <f>LEFT(MIP[[#This Row],[Equipe]], SEARCH("/",MIP[[#This Row],[Equipe]],1)-1)</f>
        <v xml:space="preserve">ADEMÁRIO </v>
      </c>
      <c r="AE87" s="37" t="str">
        <f>RIGHT(MIP[[#This Row],[Equipe]], LEN(MIP[[#This Row],[Equipe]])-SEARCH("/",MIP[[#This Row],[Equipe]],1))</f>
        <v xml:space="preserve"> ANDERSON</v>
      </c>
      <c r="AF87" s="44">
        <f>COUNTIFS('[1]Tempo parado'!H:H,"&gt;="&amp;MIP[[#This Row],[S.B Sitrack]],'[1]Tempo parado'!I:I,"&lt;="&amp;MIP[[#This Row],[C.B Sitrack]],'[1]Tempo parado'!B:B,MIP[[#This Row],[Placa]])</f>
        <v>0</v>
      </c>
      <c r="AG87" s="36"/>
      <c r="AH87" s="35"/>
      <c r="AI87" s="34"/>
      <c r="AJ87" s="34"/>
      <c r="AK8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7" s="32">
        <f>SUMIFS('[1]Tempo parado'!J:J,'[1]Tempo parado'!H:H,"&gt;="&amp;MIP[[#This Row],[S.B Sitrack]],'[1]Tempo parado'!I:I,"&lt;="&amp;MIP[[#This Row],[C.B Sitrack]],'[1]Tempo parado'!B:B,MIP[[#This Row],[Placa]])</f>
        <v>0</v>
      </c>
      <c r="AN87" s="32" t="str">
        <f>IFERROR(MIP[[#This Row],[Tempo parado]]/(MIP[[#This Row],[C.B Sitrack]]-MIP[[#This Row],[S.B Sitrack]]),"")</f>
        <v/>
      </c>
      <c r="AO87" s="30"/>
      <c r="AP87" s="44">
        <f>IF(AND(MIP[Exc]=0,MIP[Previsto / Realizado]="Realizado"),MIP[Sem],0)</f>
        <v>0</v>
      </c>
      <c r="AQ87" s="29">
        <f>IF(AND(MIP[Exc]=0,MIP[Previsto / Realizado]="Realizado",ISBLANK(MIP[[#This Row],[S.B Sitrack]])=FALSE,ISBLANK(MIP[[#This Row],[C.B Sitrack]])=FALSE),MIP[Sem],0)</f>
        <v>0</v>
      </c>
    </row>
    <row r="88" spans="2:43" x14ac:dyDescent="0.25">
      <c r="B88" s="44">
        <f>WEEKNUM(MIP[[#This Row],[Data]])</f>
        <v>22</v>
      </c>
      <c r="C88" s="45">
        <v>42885</v>
      </c>
      <c r="D88" s="45"/>
      <c r="E88" s="83" t="s">
        <v>439</v>
      </c>
      <c r="F88" s="35" t="s">
        <v>2</v>
      </c>
      <c r="G88" s="83"/>
      <c r="H88" s="44">
        <v>2</v>
      </c>
      <c r="I88" s="44">
        <v>5</v>
      </c>
      <c r="J88" s="44">
        <v>0</v>
      </c>
      <c r="K88" s="44">
        <v>0</v>
      </c>
      <c r="L88" s="44">
        <v>8</v>
      </c>
      <c r="M88" s="43">
        <v>0.65486111111111112</v>
      </c>
      <c r="N88" s="43">
        <v>0.66597222222222219</v>
      </c>
      <c r="O88" s="43">
        <f>1+15/24/60</f>
        <v>1.0104166666666667</v>
      </c>
      <c r="P88" s="43">
        <f>1+39/24/60</f>
        <v>1.0270833333333333</v>
      </c>
      <c r="Q88" s="39"/>
      <c r="R88" s="42" t="s">
        <v>442</v>
      </c>
      <c r="S88" s="44">
        <f>MIP[[#This Row],[PT-1]]+MIP[[#This Row],[PT-2]]*2+MIP[[#This Row],[PT-3]]*3+MIP[[#This Row],[PT &gt; 3 Pontos]]</f>
        <v>13</v>
      </c>
      <c r="T8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2.7777777777777679E-2</v>
      </c>
      <c r="U88" s="39">
        <f>IF(MIP[[#This Row],[P.S]]-MIP[[#This Row],[U.P]]&gt;=0,MIP[[#This Row],[P.S]]-MIP[[#This Row],[U.P]]+MIP[[#This Row],[S.B]]-MIP[[#This Row],[P.E]],1+MIP[[#This Row],[P.S]]-MIP[[#This Row],[U.P]]+MIP[[#This Row],[S.B]]-MIP[[#This Row],[P.E]])</f>
        <v>2.7777777777777679E-2</v>
      </c>
      <c r="V88" s="41">
        <f>MIP[[#This Row],[Eficiência]]</f>
        <v>0.94826428130863183</v>
      </c>
      <c r="W8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8" s="39">
        <f>IF(MIP[[#This Row],[P.S]]-MIP[[#This Row],[P.E]]&lt;0,1+MIP[[#This Row],[P.S]]-MIP[[#This Row],[P.E]]-1/24,MIP[[#This Row],[P.S]]-MIP[[#This Row],[P.E]]-1/24)</f>
        <v>0.33055555555555555</v>
      </c>
      <c r="Y88" s="39">
        <f>MIP[[#This Row],[PT-1]]*$S$3+MIP[[#This Row],[PT-2]]*$T$3+MIP[[#This Row],[PT-3]]*$U$3+MIP[[#This Row],[PT &gt; 3 Pontos]]*$V$3</f>
        <v>0.28711335184066916</v>
      </c>
      <c r="Z88" s="39">
        <f>MIP[[#This Row],[HH disponível]]-MIP[[#This Row],[HH AC TOT]]</f>
        <v>0.30277777777777787</v>
      </c>
      <c r="AA88" s="38">
        <f>MIP[[#This Row],[HH Produtivo
Total]]/MIP[[#This Row],[HH Trabalhado]]</f>
        <v>0.94826428130863183</v>
      </c>
      <c r="AB88" s="38">
        <f>MIP[[#This Row],[HH Produtivo
Total]]/MIP[[#This Row],[HH disponível]]</f>
        <v>0.86857820724908319</v>
      </c>
      <c r="AC88" s="38">
        <f>MIP[[#This Row],[HH Trabalhado]]/MIP[[#This Row],[HH disponível]]</f>
        <v>0.91596638655462215</v>
      </c>
      <c r="AD88" s="37" t="str">
        <f>LEFT(MIP[[#This Row],[Equipe]], SEARCH("/",MIP[[#This Row],[Equipe]],1)-1)</f>
        <v xml:space="preserve">ADEMÁRIO </v>
      </c>
      <c r="AE88" s="37" t="str">
        <f>RIGHT(MIP[[#This Row],[Equipe]], LEN(MIP[[#This Row],[Equipe]])-SEARCH("/",MIP[[#This Row],[Equipe]],1))</f>
        <v xml:space="preserve"> ANDERSON</v>
      </c>
      <c r="AF88" s="44">
        <f>COUNTIFS('[1]Tempo parado'!H:H,"&gt;="&amp;MIP[[#This Row],[S.B Sitrack]],'[1]Tempo parado'!I:I,"&lt;="&amp;MIP[[#This Row],[C.B Sitrack]],'[1]Tempo parado'!B:B,MIP[[#This Row],[Placa]])</f>
        <v>0</v>
      </c>
      <c r="AG88" s="36"/>
      <c r="AH88" s="35"/>
      <c r="AI88" s="34"/>
      <c r="AJ88" s="34"/>
      <c r="AK8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8" s="32">
        <f>SUMIFS('[1]Tempo parado'!J:J,'[1]Tempo parado'!H:H,"&gt;="&amp;MIP[[#This Row],[S.B Sitrack]],'[1]Tempo parado'!I:I,"&lt;="&amp;MIP[[#This Row],[C.B Sitrack]],'[1]Tempo parado'!B:B,MIP[[#This Row],[Placa]])</f>
        <v>0</v>
      </c>
      <c r="AN88" s="32" t="str">
        <f>IFERROR(MIP[[#This Row],[Tempo parado]]/(MIP[[#This Row],[C.B Sitrack]]-MIP[[#This Row],[S.B Sitrack]]),"")</f>
        <v/>
      </c>
      <c r="AO88" s="30"/>
      <c r="AP88" s="44">
        <f>IF(AND(MIP[Exc]=0,MIP[Previsto / Realizado]="Realizado"),MIP[Sem],0)</f>
        <v>22</v>
      </c>
      <c r="AQ88" s="29">
        <f>IF(AND(MIP[Exc]=0,MIP[Previsto / Realizado]="Realizado",ISBLANK(MIP[[#This Row],[S.B Sitrack]])=FALSE,ISBLANK(MIP[[#This Row],[C.B Sitrack]])=FALSE),MIP[Sem],0)</f>
        <v>0</v>
      </c>
    </row>
    <row r="89" spans="2:43" x14ac:dyDescent="0.25">
      <c r="B89" s="44">
        <f>WEEKNUM(MIP[[#This Row],[Data]])</f>
        <v>22</v>
      </c>
      <c r="C89" s="45">
        <v>42885</v>
      </c>
      <c r="D89" s="45"/>
      <c r="E89" s="35" t="s">
        <v>3</v>
      </c>
      <c r="F89" s="35" t="s">
        <v>5</v>
      </c>
      <c r="G89" s="35"/>
      <c r="H89" s="44">
        <v>2</v>
      </c>
      <c r="I89" s="44">
        <v>7</v>
      </c>
      <c r="J89" s="44">
        <v>2</v>
      </c>
      <c r="K89" s="44">
        <v>1</v>
      </c>
      <c r="L89" s="44">
        <v>0</v>
      </c>
      <c r="M89" s="43">
        <v>0.625</v>
      </c>
      <c r="N89" s="43">
        <v>0.64583333333333337</v>
      </c>
      <c r="O89" s="43">
        <f>1+18/24/60</f>
        <v>1.0125</v>
      </c>
      <c r="P89" s="43">
        <f>1+48/24/60</f>
        <v>1.0333333333333334</v>
      </c>
      <c r="Q89" s="39"/>
      <c r="R89" s="42"/>
      <c r="S89" s="44">
        <f>MIP[[#This Row],[PT-1]]+MIP[[#This Row],[PT-2]]*2+MIP[[#This Row],[PT-3]]*3+MIP[[#This Row],[PT &gt; 3 Pontos]]</f>
        <v>14</v>
      </c>
      <c r="T8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89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89" s="41">
        <f>MIP[[#This Row],[Eficiência]]</f>
        <v>1.0024313297411123</v>
      </c>
      <c r="W8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9" s="39">
        <f>IF(MIP[[#This Row],[P.S]]-MIP[[#This Row],[P.E]]&lt;0,1+MIP[[#This Row],[P.S]]-MIP[[#This Row],[P.E]]-1/24,MIP[[#This Row],[P.S]]-MIP[[#This Row],[P.E]]-1/24)</f>
        <v>0.36666666666666675</v>
      </c>
      <c r="Y89" s="39">
        <f>MIP[[#This Row],[PT-1]]*$S$3+MIP[[#This Row],[PT-2]]*$T$3+MIP[[#This Row],[PT-3]]*$U$3+MIP[[#This Row],[PT &gt; 3 Pontos]]*$V$3</f>
        <v>0.32579018216586142</v>
      </c>
      <c r="Z89" s="39">
        <f>MIP[[#This Row],[HH disponível]]-MIP[[#This Row],[HH AC TOT]]</f>
        <v>0.3249999999999999</v>
      </c>
      <c r="AA89" s="38">
        <f>MIP[[#This Row],[HH Produtivo
Total]]/MIP[[#This Row],[HH Trabalhado]]</f>
        <v>1.0024313297411123</v>
      </c>
      <c r="AB89" s="38">
        <f>MIP[[#This Row],[HH Produtivo
Total]]/MIP[[#This Row],[HH disponível]]</f>
        <v>0.88851867863416734</v>
      </c>
      <c r="AC89" s="38">
        <f>MIP[[#This Row],[HH Trabalhado]]/MIP[[#This Row],[HH disponível]]</f>
        <v>0.88636363636363591</v>
      </c>
      <c r="AD89" s="37" t="str">
        <f>LEFT(MIP[[#This Row],[Equipe]], SEARCH("/",MIP[[#This Row],[Equipe]],1)-1)</f>
        <v xml:space="preserve">EDILTON </v>
      </c>
      <c r="AE89" s="37" t="str">
        <f>RIGHT(MIP[[#This Row],[Equipe]], LEN(MIP[[#This Row],[Equipe]])-SEARCH("/",MIP[[#This Row],[Equipe]],1))</f>
        <v xml:space="preserve"> GECIVALDO</v>
      </c>
      <c r="AF89" s="44">
        <f>COUNTIFS('[1]Tempo parado'!H:H,"&gt;="&amp;MIP[[#This Row],[S.B Sitrack]],'[1]Tempo parado'!I:I,"&lt;="&amp;MIP[[#This Row],[C.B Sitrack]],'[1]Tempo parado'!B:B,MIP[[#This Row],[Placa]])</f>
        <v>0</v>
      </c>
      <c r="AG89" s="36"/>
      <c r="AH89" s="35"/>
      <c r="AI89" s="34"/>
      <c r="AJ89" s="34"/>
      <c r="AK8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9" s="32">
        <f>SUMIFS('[1]Tempo parado'!J:J,'[1]Tempo parado'!H:H,"&gt;="&amp;MIP[[#This Row],[S.B Sitrack]],'[1]Tempo parado'!I:I,"&lt;="&amp;MIP[[#This Row],[C.B Sitrack]],'[1]Tempo parado'!B:B,MIP[[#This Row],[Placa]])</f>
        <v>0</v>
      </c>
      <c r="AN89" s="32" t="str">
        <f>IFERROR(MIP[[#This Row],[Tempo parado]]/(MIP[[#This Row],[C.B Sitrack]]-MIP[[#This Row],[S.B Sitrack]]),"")</f>
        <v/>
      </c>
      <c r="AO89" s="30"/>
      <c r="AP89" s="44">
        <f>IF(AND(MIP[Exc]=0,MIP[Previsto / Realizado]="Realizado"),MIP[Sem],0)</f>
        <v>0</v>
      </c>
      <c r="AQ89" s="29">
        <f>IF(AND(MIP[Exc]=0,MIP[Previsto / Realizado]="Realizado",ISBLANK(MIP[[#This Row],[S.B Sitrack]])=FALSE,ISBLANK(MIP[[#This Row],[C.B Sitrack]])=FALSE),MIP[Sem],0)</f>
        <v>0</v>
      </c>
    </row>
    <row r="90" spans="2:43" x14ac:dyDescent="0.25">
      <c r="B90" s="44">
        <f>WEEKNUM(MIP[[#This Row],[Data]])</f>
        <v>22</v>
      </c>
      <c r="C90" s="45">
        <v>42885</v>
      </c>
      <c r="D90" s="45"/>
      <c r="E90" s="35" t="s">
        <v>3</v>
      </c>
      <c r="F90" s="35" t="s">
        <v>2</v>
      </c>
      <c r="G90" s="35"/>
      <c r="H90" s="44">
        <v>2</v>
      </c>
      <c r="I90" s="44">
        <v>7</v>
      </c>
      <c r="J90" s="44">
        <v>0</v>
      </c>
      <c r="K90" s="44">
        <v>0</v>
      </c>
      <c r="L90" s="44">
        <v>5</v>
      </c>
      <c r="M90" s="43">
        <v>0.61944444444444446</v>
      </c>
      <c r="N90" s="43">
        <v>0.65277777777777779</v>
      </c>
      <c r="O90" s="43">
        <f>1</f>
        <v>1</v>
      </c>
      <c r="P90" s="43">
        <f>1+48/24/60</f>
        <v>1.0333333333333334</v>
      </c>
      <c r="Q90" s="39"/>
      <c r="R90" s="42"/>
      <c r="S90" s="44">
        <f>MIP[[#This Row],[PT-1]]+MIP[[#This Row],[PT-2]]*2+MIP[[#This Row],[PT-3]]*3+MIP[[#This Row],[PT &gt; 3 Pontos]]</f>
        <v>12</v>
      </c>
      <c r="T9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6.6666666666666763E-2</v>
      </c>
      <c r="U90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6.6666666666666763E-2</v>
      </c>
      <c r="V90" s="41">
        <f>MIP[[#This Row],[Eficiência]]</f>
        <v>0.90465062765334503</v>
      </c>
      <c r="W9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90" s="39">
        <f>IF(MIP[[#This Row],[P.S]]-MIP[[#This Row],[P.E]]&lt;0,1+MIP[[#This Row],[P.S]]-MIP[[#This Row],[P.E]]-1/24,MIP[[#This Row],[P.S]]-MIP[[#This Row],[P.E]]-1/24)</f>
        <v>0.37222222222222229</v>
      </c>
      <c r="Y90" s="39">
        <f>MIP[[#This Row],[PT-1]]*$S$3+MIP[[#This Row],[PT-2]]*$T$3+MIP[[#This Row],[PT-3]]*$U$3+MIP[[#This Row],[PT &gt; 3 Pontos]]*$V$3</f>
        <v>0.27642102511629985</v>
      </c>
      <c r="Z90" s="39">
        <f>MIP[[#This Row],[HH disponível]]-MIP[[#This Row],[HH AC TOT]]</f>
        <v>0.30555555555555552</v>
      </c>
      <c r="AA90" s="38">
        <f>MIP[[#This Row],[HH Produtivo
Total]]/MIP[[#This Row],[HH Trabalhado]]</f>
        <v>0.90465062765334503</v>
      </c>
      <c r="AB90" s="38">
        <f>MIP[[#This Row],[HH Produtivo
Total]]/MIP[[#This Row],[HH disponível]]</f>
        <v>0.74262364956617855</v>
      </c>
      <c r="AC90" s="38">
        <f>MIP[[#This Row],[HH Trabalhado]]/MIP[[#This Row],[HH disponível]]</f>
        <v>0.82089552238805952</v>
      </c>
      <c r="AD90" s="37" t="str">
        <f>LEFT(MIP[[#This Row],[Equipe]], SEARCH("/",MIP[[#This Row],[Equipe]],1)-1)</f>
        <v xml:space="preserve">EDILTON </v>
      </c>
      <c r="AE90" s="37" t="str">
        <f>RIGHT(MIP[[#This Row],[Equipe]], LEN(MIP[[#This Row],[Equipe]])-SEARCH("/",MIP[[#This Row],[Equipe]],1))</f>
        <v xml:space="preserve"> GECIVALDO</v>
      </c>
      <c r="AF90" s="44">
        <f>COUNTIFS('[1]Tempo parado'!H:H,"&gt;="&amp;MIP[[#This Row],[S.B Sitrack]],'[1]Tempo parado'!I:I,"&lt;="&amp;MIP[[#This Row],[C.B Sitrack]],'[1]Tempo parado'!B:B,MIP[[#This Row],[Placa]])</f>
        <v>0</v>
      </c>
      <c r="AG90" s="36"/>
      <c r="AH90" s="35"/>
      <c r="AI90" s="34"/>
      <c r="AJ90" s="34"/>
      <c r="AK9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9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90" s="32">
        <f>SUMIFS('[1]Tempo parado'!J:J,'[1]Tempo parado'!H:H,"&gt;="&amp;MIP[[#This Row],[S.B Sitrack]],'[1]Tempo parado'!I:I,"&lt;="&amp;MIP[[#This Row],[C.B Sitrack]],'[1]Tempo parado'!B:B,MIP[[#This Row],[Placa]])</f>
        <v>0</v>
      </c>
      <c r="AN90" s="32" t="str">
        <f>IFERROR(MIP[[#This Row],[Tempo parado]]/(MIP[[#This Row],[C.B Sitrack]]-MIP[[#This Row],[S.B Sitrack]]),"")</f>
        <v/>
      </c>
      <c r="AO90" s="30"/>
      <c r="AP90" s="44">
        <f>IF(AND(MIP[Exc]=0,MIP[Previsto / Realizado]="Realizado"),MIP[Sem],0)</f>
        <v>22</v>
      </c>
      <c r="AQ90" s="29">
        <f>IF(AND(MIP[Exc]=0,MIP[Previsto / Realizado]="Realizado",ISBLANK(MIP[[#This Row],[S.B Sitrack]])=FALSE,ISBLANK(MIP[[#This Row],[C.B Sitrack]])=FALSE),MIP[Sem],0)</f>
        <v>0</v>
      </c>
    </row>
    <row r="91" spans="2:43" x14ac:dyDescent="0.25">
      <c r="B91" s="44">
        <f>WEEKNUM(MIP[[#This Row],[Data]])</f>
        <v>22</v>
      </c>
      <c r="C91" s="45">
        <v>42886</v>
      </c>
      <c r="D91" s="45"/>
      <c r="E91" s="35" t="s">
        <v>10</v>
      </c>
      <c r="F91" s="35" t="s">
        <v>5</v>
      </c>
      <c r="G91" s="35"/>
      <c r="H91" s="44">
        <v>2</v>
      </c>
      <c r="I91" s="44">
        <v>0</v>
      </c>
      <c r="J91" s="44">
        <v>1</v>
      </c>
      <c r="K91" s="44">
        <v>0</v>
      </c>
      <c r="L91" s="44">
        <v>4</v>
      </c>
      <c r="M91" s="43">
        <v>0.25</v>
      </c>
      <c r="N91" s="43">
        <v>0.27083333333333331</v>
      </c>
      <c r="O91" s="43">
        <v>0.63750000000000007</v>
      </c>
      <c r="P91" s="43">
        <v>0.65833333333333333</v>
      </c>
      <c r="Q91" s="39"/>
      <c r="R91" s="42"/>
      <c r="S91" s="44">
        <f>MIP[[#This Row],[PT-1]]+MIP[[#This Row],[PT-2]]*2+MIP[[#This Row],[PT-3]]*3+MIP[[#This Row],[PT &gt; 3 Pontos]]</f>
        <v>6</v>
      </c>
      <c r="T9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91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91" s="41">
        <f>MIP[[#This Row],[Eficiência]]</f>
        <v>0.38431018346477286</v>
      </c>
      <c r="W9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91" s="39">
        <f>IF(MIP[[#This Row],[P.S]]-MIP[[#This Row],[P.E]]&lt;0,1+MIP[[#This Row],[P.S]]-MIP[[#This Row],[P.E]]-1/24,MIP[[#This Row],[P.S]]-MIP[[#This Row],[P.E]]-1/24)</f>
        <v>0.36666666666666664</v>
      </c>
      <c r="Y91" s="39">
        <f>MIP[[#This Row],[PT-1]]*$S$3+MIP[[#This Row],[PT-2]]*$T$3+MIP[[#This Row],[PT-3]]*$U$3+MIP[[#This Row],[PT &gt; 3 Pontos]]*$V$3</f>
        <v>0.12490080962605121</v>
      </c>
      <c r="Z91" s="39">
        <f>MIP[[#This Row],[HH disponível]]-MIP[[#This Row],[HH AC TOT]]</f>
        <v>0.32500000000000007</v>
      </c>
      <c r="AA91" s="38">
        <f>MIP[[#This Row],[HH Produtivo
Total]]/MIP[[#This Row],[HH Trabalhado]]</f>
        <v>0.38431018346477286</v>
      </c>
      <c r="AB91" s="38">
        <f>MIP[[#This Row],[HH Produtivo
Total]]/MIP[[#This Row],[HH disponível]]</f>
        <v>0.34063857170741241</v>
      </c>
      <c r="AC91" s="38">
        <f>MIP[[#This Row],[HH Trabalhado]]/MIP[[#This Row],[HH disponível]]</f>
        <v>0.88636363636363658</v>
      </c>
      <c r="AD91" s="37" t="str">
        <f>LEFT(MIP[[#This Row],[Equipe]], SEARCH("/",MIP[[#This Row],[Equipe]],1)-1)</f>
        <v xml:space="preserve">JOILSON </v>
      </c>
      <c r="AE91" s="37" t="str">
        <f>RIGHT(MIP[[#This Row],[Equipe]], LEN(MIP[[#This Row],[Equipe]])-SEARCH("/",MIP[[#This Row],[Equipe]],1))</f>
        <v xml:space="preserve"> VALDEI</v>
      </c>
      <c r="AF91" s="44">
        <f>COUNTIFS('[1]Tempo parado'!H:H,"&gt;="&amp;MIP[[#This Row],[S.B Sitrack]],'[1]Tempo parado'!I:I,"&lt;="&amp;MIP[[#This Row],[C.B Sitrack]],'[1]Tempo parado'!B:B,MIP[[#This Row],[Placa]])</f>
        <v>0</v>
      </c>
      <c r="AG91" s="36"/>
      <c r="AH91" s="35"/>
      <c r="AI91" s="34"/>
      <c r="AJ91" s="34"/>
      <c r="AK9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9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91" s="32">
        <f>SUMIFS('[1]Tempo parado'!J:J,'[1]Tempo parado'!H:H,"&gt;="&amp;MIP[[#This Row],[S.B Sitrack]],'[1]Tempo parado'!I:I,"&lt;="&amp;MIP[[#This Row],[C.B Sitrack]],'[1]Tempo parado'!B:B,MIP[[#This Row],[Placa]])</f>
        <v>0</v>
      </c>
      <c r="AN91" s="32" t="str">
        <f>IFERROR(MIP[[#This Row],[Tempo parado]]/(MIP[[#This Row],[C.B Sitrack]]-MIP[[#This Row],[S.B Sitrack]]),"")</f>
        <v/>
      </c>
      <c r="AO91" s="30"/>
      <c r="AP91" s="44">
        <f>IF(AND(MIP[Exc]=0,MIP[Previsto / Realizado]="Realizado"),MIP[Sem],0)</f>
        <v>0</v>
      </c>
      <c r="AQ91" s="29">
        <f>IF(AND(MIP[Exc]=0,MIP[Previsto / Realizado]="Realizado",ISBLANK(MIP[[#This Row],[S.B Sitrack]])=FALSE,ISBLANK(MIP[[#This Row],[C.B Sitrack]])=FALSE),MIP[Sem],0)</f>
        <v>0</v>
      </c>
    </row>
    <row r="92" spans="2:43" x14ac:dyDescent="0.25">
      <c r="B92" s="44">
        <f>WEEKNUM(MIP[[#This Row],[Data]])</f>
        <v>22</v>
      </c>
      <c r="C92" s="45">
        <v>42886</v>
      </c>
      <c r="D92" s="45"/>
      <c r="E92" s="35" t="s">
        <v>10</v>
      </c>
      <c r="F92" s="35" t="s">
        <v>2</v>
      </c>
      <c r="G92" s="35"/>
      <c r="H92" s="44">
        <v>2</v>
      </c>
      <c r="I92" s="44">
        <v>0</v>
      </c>
      <c r="J92" s="44">
        <v>0</v>
      </c>
      <c r="K92" s="44">
        <v>0</v>
      </c>
      <c r="L92" s="44">
        <v>6</v>
      </c>
      <c r="M92" s="43">
        <v>0.26111111111111113</v>
      </c>
      <c r="N92" s="43">
        <v>0.29166666666666669</v>
      </c>
      <c r="O92" s="43">
        <v>0.63541666666666663</v>
      </c>
      <c r="P92" s="43">
        <v>0.66388888888888886</v>
      </c>
      <c r="Q92" s="39"/>
      <c r="R92" s="42" t="s">
        <v>441</v>
      </c>
      <c r="S92" s="44">
        <f>MIP[[#This Row],[PT-1]]+MIP[[#This Row],[PT-2]]*2+MIP[[#This Row],[PT-3]]*3+MIP[[#This Row],[PT &gt; 3 Pontos]]</f>
        <v>6</v>
      </c>
      <c r="T9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5.902777777777779E-2</v>
      </c>
      <c r="U92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5.902777777777779E-2</v>
      </c>
      <c r="V92" s="41">
        <f>MIP[[#This Row],[Eficiência]]</f>
        <v>0.40216738852795858</v>
      </c>
      <c r="W9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92" s="39">
        <f>IF(MIP[[#This Row],[P.S]]-MIP[[#This Row],[P.E]]&lt;0,1+MIP[[#This Row],[P.S]]-MIP[[#This Row],[P.E]]-1/24,MIP[[#This Row],[P.S]]-MIP[[#This Row],[P.E]]-1/24)</f>
        <v>0.36111111111111105</v>
      </c>
      <c r="Y92" s="39">
        <f>MIP[[#This Row],[PT-1]]*$S$3+MIP[[#This Row],[PT-2]]*$T$3+MIP[[#This Row],[PT-3]]*$U$3+MIP[[#This Row],[PT &gt; 3 Pontos]]*$V$3</f>
        <v>0.12148806528448745</v>
      </c>
      <c r="Z92" s="39">
        <f>MIP[[#This Row],[HH disponível]]-MIP[[#This Row],[HH AC TOT]]</f>
        <v>0.30208333333333326</v>
      </c>
      <c r="AA92" s="38">
        <f>MIP[[#This Row],[HH Produtivo
Total]]/MIP[[#This Row],[HH Trabalhado]]</f>
        <v>0.40216738852795858</v>
      </c>
      <c r="AB92" s="38">
        <f>MIP[[#This Row],[HH Produtivo
Total]]/MIP[[#This Row],[HH disponível]]</f>
        <v>0.33642848848011914</v>
      </c>
      <c r="AC92" s="38">
        <f>MIP[[#This Row],[HH Trabalhado]]/MIP[[#This Row],[HH disponível]]</f>
        <v>0.83653846153846145</v>
      </c>
      <c r="AD92" s="37" t="str">
        <f>LEFT(MIP[[#This Row],[Equipe]], SEARCH("/",MIP[[#This Row],[Equipe]],1)-1)</f>
        <v xml:space="preserve">JOILSON </v>
      </c>
      <c r="AE92" s="37" t="str">
        <f>RIGHT(MIP[[#This Row],[Equipe]], LEN(MIP[[#This Row],[Equipe]])-SEARCH("/",MIP[[#This Row],[Equipe]],1))</f>
        <v xml:space="preserve"> VALDEI</v>
      </c>
      <c r="AF92" s="44">
        <f>COUNTIFS('[1]Tempo parado'!H:H,"&gt;="&amp;MIP[[#This Row],[S.B Sitrack]],'[1]Tempo parado'!I:I,"&lt;="&amp;MIP[[#This Row],[C.B Sitrack]],'[1]Tempo parado'!B:B,MIP[[#This Row],[Placa]])</f>
        <v>0</v>
      </c>
      <c r="AG92" s="36"/>
      <c r="AH92" s="35"/>
      <c r="AI92" s="34"/>
      <c r="AJ92" s="34"/>
      <c r="AK9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9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92" s="32">
        <f>SUMIFS('[1]Tempo parado'!J:J,'[1]Tempo parado'!H:H,"&gt;="&amp;MIP[[#This Row],[S.B Sitrack]],'[1]Tempo parado'!I:I,"&lt;="&amp;MIP[[#This Row],[C.B Sitrack]],'[1]Tempo parado'!B:B,MIP[[#This Row],[Placa]])</f>
        <v>0</v>
      </c>
      <c r="AN92" s="32" t="str">
        <f>IFERROR(MIP[[#This Row],[Tempo parado]]/(MIP[[#This Row],[C.B Sitrack]]-MIP[[#This Row],[S.B Sitrack]]),"")</f>
        <v/>
      </c>
      <c r="AO92" s="30"/>
      <c r="AP92" s="44">
        <f>IF(AND(MIP[Exc]=0,MIP[Previsto / Realizado]="Realizado"),MIP[Sem],0)</f>
        <v>22</v>
      </c>
      <c r="AQ92" s="29">
        <f>IF(AND(MIP[Exc]=0,MIP[Previsto / Realizado]="Realizado",ISBLANK(MIP[[#This Row],[S.B Sitrack]])=FALSE,ISBLANK(MIP[[#This Row],[C.B Sitrack]])=FALSE),MIP[Sem],0)</f>
        <v>0</v>
      </c>
    </row>
    <row r="93" spans="2:43" x14ac:dyDescent="0.25">
      <c r="B93" s="44">
        <f>WEEKNUM(MIP[[#This Row],[Data]])</f>
        <v>22</v>
      </c>
      <c r="C93" s="45">
        <v>42886</v>
      </c>
      <c r="D93" s="45"/>
      <c r="E93" s="35" t="s">
        <v>3</v>
      </c>
      <c r="F93" s="35" t="s">
        <v>5</v>
      </c>
      <c r="G93" s="35"/>
      <c r="H93" s="44">
        <v>2</v>
      </c>
      <c r="I93" s="44">
        <v>10</v>
      </c>
      <c r="J93" s="44">
        <v>1</v>
      </c>
      <c r="K93" s="44">
        <v>0</v>
      </c>
      <c r="L93" s="44">
        <v>4</v>
      </c>
      <c r="M93" s="43">
        <v>0.625</v>
      </c>
      <c r="N93" s="43">
        <v>0.64583333333333337</v>
      </c>
      <c r="O93" s="43">
        <f>1+18/24/60</f>
        <v>1.0125</v>
      </c>
      <c r="P93" s="43">
        <f>1+48/24/60</f>
        <v>1.0333333333333334</v>
      </c>
      <c r="Q93" s="39"/>
      <c r="R93" s="42"/>
      <c r="S93" s="44">
        <f>MIP[[#This Row],[PT-1]]+MIP[[#This Row],[PT-2]]*2+MIP[[#This Row],[PT-3]]*3+MIP[[#This Row],[PT &gt; 3 Pontos]]</f>
        <v>16</v>
      </c>
      <c r="T9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93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93" s="41">
        <f>MIP[[#This Row],[Eficiência]]</f>
        <v>1.154336428355148</v>
      </c>
      <c r="W9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93" s="39">
        <f>IF(MIP[[#This Row],[P.S]]-MIP[[#This Row],[P.E]]&lt;0,1+MIP[[#This Row],[P.S]]-MIP[[#This Row],[P.E]]-1/24,MIP[[#This Row],[P.S]]-MIP[[#This Row],[P.E]]-1/24)</f>
        <v>0.36666666666666675</v>
      </c>
      <c r="Y93" s="39">
        <f>MIP[[#This Row],[PT-1]]*$S$3+MIP[[#This Row],[PT-2]]*$T$3+MIP[[#This Row],[PT-3]]*$U$3+MIP[[#This Row],[PT &gt; 3 Pontos]]*$V$3</f>
        <v>0.37515933921542299</v>
      </c>
      <c r="Z93" s="39">
        <f>MIP[[#This Row],[HH disponível]]-MIP[[#This Row],[HH AC TOT]]</f>
        <v>0.3249999999999999</v>
      </c>
      <c r="AA93" s="38">
        <f>MIP[[#This Row],[HH Produtivo
Total]]/MIP[[#This Row],[HH Trabalhado]]</f>
        <v>1.154336428355148</v>
      </c>
      <c r="AB93" s="38">
        <f>MIP[[#This Row],[HH Produtivo
Total]]/MIP[[#This Row],[HH disponível]]</f>
        <v>1.0231618342238806</v>
      </c>
      <c r="AC93" s="38">
        <f>MIP[[#This Row],[HH Trabalhado]]/MIP[[#This Row],[HH disponível]]</f>
        <v>0.88636363636363591</v>
      </c>
      <c r="AD93" s="37" t="str">
        <f>LEFT(MIP[[#This Row],[Equipe]], SEARCH("/",MIP[[#This Row],[Equipe]],1)-1)</f>
        <v xml:space="preserve">EDILTON </v>
      </c>
      <c r="AE93" s="37" t="str">
        <f>RIGHT(MIP[[#This Row],[Equipe]], LEN(MIP[[#This Row],[Equipe]])-SEARCH("/",MIP[[#This Row],[Equipe]],1))</f>
        <v xml:space="preserve"> GECIVALDO</v>
      </c>
      <c r="AF93" s="44">
        <f>COUNTIFS('[1]Tempo parado'!H:H,"&gt;="&amp;MIP[[#This Row],[S.B Sitrack]],'[1]Tempo parado'!I:I,"&lt;="&amp;MIP[[#This Row],[C.B Sitrack]],'[1]Tempo parado'!B:B,MIP[[#This Row],[Placa]])</f>
        <v>0</v>
      </c>
      <c r="AG93" s="36"/>
      <c r="AH93" s="35"/>
      <c r="AI93" s="34"/>
      <c r="AJ93" s="34"/>
      <c r="AK9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9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93" s="32">
        <f>SUMIFS('[1]Tempo parado'!J:J,'[1]Tempo parado'!H:H,"&gt;="&amp;MIP[[#This Row],[S.B Sitrack]],'[1]Tempo parado'!I:I,"&lt;="&amp;MIP[[#This Row],[C.B Sitrack]],'[1]Tempo parado'!B:B,MIP[[#This Row],[Placa]])</f>
        <v>0</v>
      </c>
      <c r="AN93" s="32" t="str">
        <f>IFERROR(MIP[[#This Row],[Tempo parado]]/(MIP[[#This Row],[C.B Sitrack]]-MIP[[#This Row],[S.B Sitrack]]),"")</f>
        <v/>
      </c>
      <c r="AO93" s="30"/>
      <c r="AP93" s="44">
        <f>IF(AND(MIP[Exc]=0,MIP[Previsto / Realizado]="Realizado"),MIP[Sem],0)</f>
        <v>0</v>
      </c>
      <c r="AQ93" s="29">
        <f>IF(AND(MIP[Exc]=0,MIP[Previsto / Realizado]="Realizado",ISBLANK(MIP[[#This Row],[S.B Sitrack]])=FALSE,ISBLANK(MIP[[#This Row],[C.B Sitrack]])=FALSE),MIP[Sem],0)</f>
        <v>0</v>
      </c>
    </row>
    <row r="94" spans="2:43" x14ac:dyDescent="0.25">
      <c r="B94" s="44">
        <f>WEEKNUM(MIP[[#This Row],[Data]])</f>
        <v>22</v>
      </c>
      <c r="C94" s="45">
        <v>42886</v>
      </c>
      <c r="D94" s="45"/>
      <c r="E94" s="35" t="s">
        <v>3</v>
      </c>
      <c r="F94" s="35" t="s">
        <v>2</v>
      </c>
      <c r="G94" s="35"/>
      <c r="H94" s="44">
        <v>2</v>
      </c>
      <c r="I94" s="44">
        <v>8</v>
      </c>
      <c r="J94" s="44">
        <v>0</v>
      </c>
      <c r="K94" s="44">
        <v>0</v>
      </c>
      <c r="L94" s="44">
        <v>4</v>
      </c>
      <c r="M94" s="43">
        <v>0.62013888888888891</v>
      </c>
      <c r="N94" s="43">
        <v>0.67361111111111116</v>
      </c>
      <c r="O94" s="43">
        <f>1+15/24/60</f>
        <v>1.0104166666666667</v>
      </c>
      <c r="P94" s="43">
        <f>1+43/24/60</f>
        <v>1.0298611111111111</v>
      </c>
      <c r="Q94" s="39"/>
      <c r="R94" s="42" t="s">
        <v>440</v>
      </c>
      <c r="S94" s="44">
        <f>MIP[[#This Row],[PT-1]]+MIP[[#This Row],[PT-2]]*2+MIP[[#This Row],[PT-3]]*3+MIP[[#This Row],[PT &gt; 3 Pontos]]</f>
        <v>12</v>
      </c>
      <c r="T9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7.291666666666663E-2</v>
      </c>
      <c r="U94" s="39">
        <f>IF(MIP[[#This Row],[P.S]]-MIP[[#This Row],[U.P]]&gt;=0,MIP[[#This Row],[P.S]]-MIP[[#This Row],[U.P]]+MIP[[#This Row],[S.B]]-MIP[[#This Row],[P.E]],1+MIP[[#This Row],[P.S]]-MIP[[#This Row],[U.P]]+MIP[[#This Row],[S.B]]-MIP[[#This Row],[P.E]])</f>
        <v>7.291666666666663E-2</v>
      </c>
      <c r="V94" s="41">
        <f>MIP[[#This Row],[Eficiência]]</f>
        <v>0.95276792649426878</v>
      </c>
      <c r="W9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94" s="39">
        <f>IF(MIP[[#This Row],[P.S]]-MIP[[#This Row],[P.E]]&lt;0,1+MIP[[#This Row],[P.S]]-MIP[[#This Row],[P.E]]-1/24,MIP[[#This Row],[P.S]]-MIP[[#This Row],[P.E]]-1/24)</f>
        <v>0.36805555555555552</v>
      </c>
      <c r="Y94" s="39">
        <f>MIP[[#This Row],[PT-1]]*$S$3+MIP[[#This Row],[PT-2]]*$T$3+MIP[[#This Row],[PT-3]]*$U$3+MIP[[#This Row],[PT &gt; 3 Pontos]]*$V$3</f>
        <v>0.28119886719448905</v>
      </c>
      <c r="Z94" s="39">
        <f>MIP[[#This Row],[HH disponível]]-MIP[[#This Row],[HH AC TOT]]</f>
        <v>0.2951388888888889</v>
      </c>
      <c r="AA94" s="38">
        <f>MIP[[#This Row],[HH Produtivo
Total]]/MIP[[#This Row],[HH Trabalhado]]</f>
        <v>0.95276792649426878</v>
      </c>
      <c r="AB94" s="38">
        <f>MIP[[#This Row],[HH Produtivo
Total]]/MIP[[#This Row],[HH disponível]]</f>
        <v>0.76401201652842321</v>
      </c>
      <c r="AC94" s="38">
        <f>MIP[[#This Row],[HH Trabalhado]]/MIP[[#This Row],[HH disponível]]</f>
        <v>0.80188679245283023</v>
      </c>
      <c r="AD94" s="37" t="str">
        <f>LEFT(MIP[[#This Row],[Equipe]], SEARCH("/",MIP[[#This Row],[Equipe]],1)-1)</f>
        <v xml:space="preserve">EDILTON </v>
      </c>
      <c r="AE94" s="37" t="str">
        <f>RIGHT(MIP[[#This Row],[Equipe]], LEN(MIP[[#This Row],[Equipe]])-SEARCH("/",MIP[[#This Row],[Equipe]],1))</f>
        <v xml:space="preserve"> GECIVALDO</v>
      </c>
      <c r="AF94" s="44">
        <f>COUNTIFS('[1]Tempo parado'!H:H,"&gt;="&amp;MIP[[#This Row],[S.B Sitrack]],'[1]Tempo parado'!I:I,"&lt;="&amp;MIP[[#This Row],[C.B Sitrack]],'[1]Tempo parado'!B:B,MIP[[#This Row],[Placa]])</f>
        <v>0</v>
      </c>
      <c r="AG94" s="36"/>
      <c r="AH94" s="35"/>
      <c r="AI94" s="34"/>
      <c r="AJ94" s="34"/>
      <c r="AK9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9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94" s="32">
        <f>SUMIFS('[1]Tempo parado'!J:J,'[1]Tempo parado'!H:H,"&gt;="&amp;MIP[[#This Row],[S.B Sitrack]],'[1]Tempo parado'!I:I,"&lt;="&amp;MIP[[#This Row],[C.B Sitrack]],'[1]Tempo parado'!B:B,MIP[[#This Row],[Placa]])</f>
        <v>0</v>
      </c>
      <c r="AN94" s="32" t="str">
        <f>IFERROR(MIP[[#This Row],[Tempo parado]]/(MIP[[#This Row],[C.B Sitrack]]-MIP[[#This Row],[S.B Sitrack]]),"")</f>
        <v/>
      </c>
      <c r="AO94" s="30"/>
      <c r="AP94" s="44">
        <f>IF(AND(MIP[Exc]=0,MIP[Previsto / Realizado]="Realizado"),MIP[Sem],0)</f>
        <v>22</v>
      </c>
      <c r="AQ94" s="29">
        <f>IF(AND(MIP[Exc]=0,MIP[Previsto / Realizado]="Realizado",ISBLANK(MIP[[#This Row],[S.B Sitrack]])=FALSE,ISBLANK(MIP[[#This Row],[C.B Sitrack]])=FALSE),MIP[Sem],0)</f>
        <v>0</v>
      </c>
    </row>
    <row r="95" spans="2:43" x14ac:dyDescent="0.25">
      <c r="B95" s="44">
        <f>WEEKNUM(MIP[[#This Row],[Data]])</f>
        <v>22</v>
      </c>
      <c r="C95" s="45">
        <v>42886</v>
      </c>
      <c r="D95" s="45"/>
      <c r="E95" s="83" t="s">
        <v>439</v>
      </c>
      <c r="F95" s="35" t="s">
        <v>5</v>
      </c>
      <c r="G95" s="83"/>
      <c r="H95" s="44">
        <v>2</v>
      </c>
      <c r="I95" s="44">
        <v>11</v>
      </c>
      <c r="J95" s="44">
        <v>1</v>
      </c>
      <c r="K95" s="44">
        <v>0</v>
      </c>
      <c r="L95" s="44">
        <v>0</v>
      </c>
      <c r="M95" s="43">
        <v>0.625</v>
      </c>
      <c r="N95" s="43">
        <v>0.64583333333333337</v>
      </c>
      <c r="O95" s="43">
        <f>1+18/24/60</f>
        <v>1.0125</v>
      </c>
      <c r="P95" s="43">
        <f>1+48/24/60</f>
        <v>1.0333333333333334</v>
      </c>
      <c r="Q95" s="39"/>
      <c r="R95" s="42"/>
      <c r="S95" s="44">
        <f>MIP[[#This Row],[PT-1]]+MIP[[#This Row],[PT-2]]*2+MIP[[#This Row],[PT-3]]*3+MIP[[#This Row],[PT &gt; 3 Pontos]]</f>
        <v>13</v>
      </c>
      <c r="T9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95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95" s="41">
        <f>MIP[[#This Row],[Eficiência]]</f>
        <v>0.98213276508113445</v>
      </c>
      <c r="W9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95" s="39">
        <f>IF(MIP[[#This Row],[P.S]]-MIP[[#This Row],[P.E]]&lt;0,1+MIP[[#This Row],[P.S]]-MIP[[#This Row],[P.E]]-1/24,MIP[[#This Row],[P.S]]-MIP[[#This Row],[P.E]]-1/24)</f>
        <v>0.36666666666666675</v>
      </c>
      <c r="Y95" s="39">
        <f>MIP[[#This Row],[PT-1]]*$S$3+MIP[[#This Row],[PT-2]]*$T$3+MIP[[#This Row],[PT-3]]*$U$3+MIP[[#This Row],[PT &gt; 3 Pontos]]*$V$3</f>
        <v>0.31919314865136861</v>
      </c>
      <c r="Z95" s="39">
        <f>MIP[[#This Row],[HH disponível]]-MIP[[#This Row],[HH AC TOT]]</f>
        <v>0.3249999999999999</v>
      </c>
      <c r="AA95" s="38">
        <f>MIP[[#This Row],[HH Produtivo
Total]]/MIP[[#This Row],[HH Trabalhado]]</f>
        <v>0.98213276508113445</v>
      </c>
      <c r="AB95" s="38">
        <f>MIP[[#This Row],[HH Produtivo
Total]]/MIP[[#This Row],[HH disponível]]</f>
        <v>0.87052676904918691</v>
      </c>
      <c r="AC95" s="38">
        <f>MIP[[#This Row],[HH Trabalhado]]/MIP[[#This Row],[HH disponível]]</f>
        <v>0.88636363636363591</v>
      </c>
      <c r="AD95" s="37" t="str">
        <f>LEFT(MIP[[#This Row],[Equipe]], SEARCH("/",MIP[[#This Row],[Equipe]],1)-1)</f>
        <v xml:space="preserve">ADEMÁRIO </v>
      </c>
      <c r="AE95" s="37" t="str">
        <f>RIGHT(MIP[[#This Row],[Equipe]], LEN(MIP[[#This Row],[Equipe]])-SEARCH("/",MIP[[#This Row],[Equipe]],1))</f>
        <v xml:space="preserve"> ANDERSON</v>
      </c>
      <c r="AF95" s="44">
        <f>COUNTIFS('[1]Tempo parado'!H:H,"&gt;="&amp;MIP[[#This Row],[S.B Sitrack]],'[1]Tempo parado'!I:I,"&lt;="&amp;MIP[[#This Row],[C.B Sitrack]],'[1]Tempo parado'!B:B,MIP[[#This Row],[Placa]])</f>
        <v>0</v>
      </c>
      <c r="AG95" s="36"/>
      <c r="AH95" s="35"/>
      <c r="AI95" s="34"/>
      <c r="AJ95" s="34"/>
      <c r="AK9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9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95" s="32">
        <f>SUMIFS('[1]Tempo parado'!J:J,'[1]Tempo parado'!H:H,"&gt;="&amp;MIP[[#This Row],[S.B Sitrack]],'[1]Tempo parado'!I:I,"&lt;="&amp;MIP[[#This Row],[C.B Sitrack]],'[1]Tempo parado'!B:B,MIP[[#This Row],[Placa]])</f>
        <v>0</v>
      </c>
      <c r="AN95" s="32" t="str">
        <f>IFERROR(MIP[[#This Row],[Tempo parado]]/(MIP[[#This Row],[C.B Sitrack]]-MIP[[#This Row],[S.B Sitrack]]),"")</f>
        <v/>
      </c>
      <c r="AO95" s="30"/>
      <c r="AP95" s="44">
        <f>IF(AND(MIP[Exc]=0,MIP[Previsto / Realizado]="Realizado"),MIP[Sem],0)</f>
        <v>0</v>
      </c>
      <c r="AQ95" s="29">
        <f>IF(AND(MIP[Exc]=0,MIP[Previsto / Realizado]="Realizado",ISBLANK(MIP[[#This Row],[S.B Sitrack]])=FALSE,ISBLANK(MIP[[#This Row],[C.B Sitrack]])=FALSE),MIP[Sem],0)</f>
        <v>0</v>
      </c>
    </row>
    <row r="96" spans="2:43" x14ac:dyDescent="0.25">
      <c r="B96" s="44">
        <f>WEEKNUM(MIP[[#This Row],[Data]])</f>
        <v>22</v>
      </c>
      <c r="C96" s="45">
        <v>42886</v>
      </c>
      <c r="D96" s="45"/>
      <c r="E96" s="83" t="s">
        <v>439</v>
      </c>
      <c r="F96" s="35" t="s">
        <v>2</v>
      </c>
      <c r="G96" s="83"/>
      <c r="H96" s="44">
        <v>2</v>
      </c>
      <c r="I96" s="44">
        <v>7</v>
      </c>
      <c r="J96" s="44">
        <v>1</v>
      </c>
      <c r="K96" s="44">
        <v>0</v>
      </c>
      <c r="L96" s="44">
        <v>0</v>
      </c>
      <c r="M96" s="43">
        <v>0.63750000000000007</v>
      </c>
      <c r="N96" s="43">
        <v>0.69444444444444453</v>
      </c>
      <c r="O96" s="43">
        <f>1+30/24/60</f>
        <v>1.0208333333333333</v>
      </c>
      <c r="P96" s="43">
        <f>1+61/24/60</f>
        <v>1.0423611111111111</v>
      </c>
      <c r="Q96" s="39"/>
      <c r="R96" s="42" t="s">
        <v>438</v>
      </c>
      <c r="S96" s="44">
        <f>MIP[[#This Row],[PT-1]]+MIP[[#This Row],[PT-2]]*2+MIP[[#This Row],[PT-3]]*3+MIP[[#This Row],[PT &gt; 3 Pontos]]</f>
        <v>9</v>
      </c>
      <c r="T9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7.8472222222222276E-2</v>
      </c>
      <c r="U96" s="39">
        <f>IF(MIP[[#This Row],[P.S]]-MIP[[#This Row],[U.P]]&gt;=0,MIP[[#This Row],[P.S]]-MIP[[#This Row],[U.P]]+MIP[[#This Row],[S.B]]-MIP[[#This Row],[P.E]],1+MIP[[#This Row],[P.S]]-MIP[[#This Row],[U.P]]+MIP[[#This Row],[S.B]]-MIP[[#This Row],[P.E]])</f>
        <v>7.8472222222222276E-2</v>
      </c>
      <c r="V96" s="41">
        <f>MIP[[#This Row],[Eficiência]]</f>
        <v>0.76948590491339708</v>
      </c>
      <c r="W9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96" s="39">
        <f>IF(MIP[[#This Row],[P.S]]-MIP[[#This Row],[P.E]]&lt;0,1+MIP[[#This Row],[P.S]]-MIP[[#This Row],[P.E]]-1/24,MIP[[#This Row],[P.S]]-MIP[[#This Row],[P.E]]-1/24)</f>
        <v>0.36319444444444432</v>
      </c>
      <c r="Y96" s="39">
        <f>MIP[[#This Row],[PT-1]]*$S$3+MIP[[#This Row],[PT-2]]*$T$3+MIP[[#This Row],[PT-3]]*$U$3+MIP[[#This Row],[PT &gt; 3 Pontos]]*$V$3</f>
        <v>0.21908973681561986</v>
      </c>
      <c r="Z96" s="39">
        <f>MIP[[#This Row],[HH disponível]]-MIP[[#This Row],[HH AC TOT]]</f>
        <v>0.28472222222222204</v>
      </c>
      <c r="AA96" s="38">
        <f>MIP[[#This Row],[HH Produtivo
Total]]/MIP[[#This Row],[HH Trabalhado]]</f>
        <v>0.76948590491339708</v>
      </c>
      <c r="AB96" s="38">
        <f>MIP[[#This Row],[HH Produtivo
Total]]/MIP[[#This Row],[HH disponível]]</f>
        <v>0.60322986809654433</v>
      </c>
      <c r="AC96" s="38">
        <f>MIP[[#This Row],[HH Trabalhado]]/MIP[[#This Row],[HH disponível]]</f>
        <v>0.78393881453154857</v>
      </c>
      <c r="AD96" s="37" t="str">
        <f>LEFT(MIP[[#This Row],[Equipe]], SEARCH("/",MIP[[#This Row],[Equipe]],1)-1)</f>
        <v xml:space="preserve">ADEMÁRIO </v>
      </c>
      <c r="AE96" s="37" t="str">
        <f>RIGHT(MIP[[#This Row],[Equipe]], LEN(MIP[[#This Row],[Equipe]])-SEARCH("/",MIP[[#This Row],[Equipe]],1))</f>
        <v xml:space="preserve"> ANDERSON</v>
      </c>
      <c r="AF96" s="44">
        <f>COUNTIFS('[1]Tempo parado'!H:H,"&gt;="&amp;MIP[[#This Row],[S.B Sitrack]],'[1]Tempo parado'!I:I,"&lt;="&amp;MIP[[#This Row],[C.B Sitrack]],'[1]Tempo parado'!B:B,MIP[[#This Row],[Placa]])</f>
        <v>0</v>
      </c>
      <c r="AG96" s="36"/>
      <c r="AH96" s="35"/>
      <c r="AI96" s="34"/>
      <c r="AJ96" s="34"/>
      <c r="AK9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9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96" s="32">
        <f>SUMIFS('[1]Tempo parado'!J:J,'[1]Tempo parado'!H:H,"&gt;="&amp;MIP[[#This Row],[S.B Sitrack]],'[1]Tempo parado'!I:I,"&lt;="&amp;MIP[[#This Row],[C.B Sitrack]],'[1]Tempo parado'!B:B,MIP[[#This Row],[Placa]])</f>
        <v>0</v>
      </c>
      <c r="AN96" s="32" t="str">
        <f>IFERROR(MIP[[#This Row],[Tempo parado]]/(MIP[[#This Row],[C.B Sitrack]]-MIP[[#This Row],[S.B Sitrack]]),"")</f>
        <v/>
      </c>
      <c r="AO96" s="30"/>
      <c r="AP96" s="44">
        <f>IF(AND(MIP[Exc]=0,MIP[Previsto / Realizado]="Realizado"),MIP[Sem],0)</f>
        <v>22</v>
      </c>
      <c r="AQ96" s="29">
        <f>IF(AND(MIP[Exc]=0,MIP[Previsto / Realizado]="Realizado",ISBLANK(MIP[[#This Row],[S.B Sitrack]])=FALSE,ISBLANK(MIP[[#This Row],[C.B Sitrack]])=FALSE),MIP[Sem],0)</f>
        <v>0</v>
      </c>
    </row>
    <row r="97" spans="1:43" x14ac:dyDescent="0.25">
      <c r="B97" s="44">
        <f>WEEKNUM(MIP[[#This Row],[Data]])</f>
        <v>22</v>
      </c>
      <c r="C97" s="45">
        <v>42887</v>
      </c>
      <c r="D97" s="45"/>
      <c r="E97" s="35" t="s">
        <v>10</v>
      </c>
      <c r="F97" s="35" t="s">
        <v>5</v>
      </c>
      <c r="G97" s="35"/>
      <c r="H97" s="44">
        <v>2</v>
      </c>
      <c r="I97" s="44">
        <v>9</v>
      </c>
      <c r="J97" s="44">
        <v>2</v>
      </c>
      <c r="K97" s="44">
        <v>1</v>
      </c>
      <c r="L97" s="44">
        <v>0</v>
      </c>
      <c r="M97" s="43">
        <v>0.25</v>
      </c>
      <c r="N97" s="43">
        <v>0.27083333333333331</v>
      </c>
      <c r="O97" s="43">
        <v>0.63750000000000007</v>
      </c>
      <c r="P97" s="43">
        <v>0.65833333333333333</v>
      </c>
      <c r="Q97" s="39"/>
      <c r="R97" s="42"/>
      <c r="S97" s="44">
        <f>MIP[[#This Row],[PT-1]]+MIP[[#This Row],[PT-2]]*2+MIP[[#This Row],[PT-3]]*3+MIP[[#This Row],[PT &gt; 3 Pontos]]</f>
        <v>16</v>
      </c>
      <c r="T9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97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97" s="41">
        <f>MIP[[#This Row],[Eficiência]]</f>
        <v>1.1564365787191866</v>
      </c>
      <c r="W9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97" s="39">
        <f>IF(MIP[[#This Row],[P.S]]-MIP[[#This Row],[P.E]]&lt;0,1+MIP[[#This Row],[P.S]]-MIP[[#This Row],[P.E]]-1/24,MIP[[#This Row],[P.S]]-MIP[[#This Row],[P.E]]-1/24)</f>
        <v>0.36666666666666664</v>
      </c>
      <c r="Y97" s="39">
        <f>MIP[[#This Row],[PT-1]]*$S$3+MIP[[#This Row],[PT-2]]*$T$3+MIP[[#This Row],[PT-3]]*$U$3+MIP[[#This Row],[PT &gt; 3 Pontos]]*$V$3</f>
        <v>0.37584188808373575</v>
      </c>
      <c r="Z97" s="39">
        <f>MIP[[#This Row],[HH disponível]]-MIP[[#This Row],[HH AC TOT]]</f>
        <v>0.32500000000000007</v>
      </c>
      <c r="AA97" s="38">
        <f>MIP[[#This Row],[HH Produtivo
Total]]/MIP[[#This Row],[HH Trabalhado]]</f>
        <v>1.1564365787191866</v>
      </c>
      <c r="AB97" s="38">
        <f>MIP[[#This Row],[HH Produtivo
Total]]/MIP[[#This Row],[HH disponível]]</f>
        <v>1.0250233311374612</v>
      </c>
      <c r="AC97" s="38">
        <f>MIP[[#This Row],[HH Trabalhado]]/MIP[[#This Row],[HH disponível]]</f>
        <v>0.88636363636363658</v>
      </c>
      <c r="AD97" s="37" t="str">
        <f>LEFT(MIP[[#This Row],[Equipe]], SEARCH("/",MIP[[#This Row],[Equipe]],1)-1)</f>
        <v xml:space="preserve">JOILSON </v>
      </c>
      <c r="AE97" s="37" t="str">
        <f>RIGHT(MIP[[#This Row],[Equipe]], LEN(MIP[[#This Row],[Equipe]])-SEARCH("/",MIP[[#This Row],[Equipe]],1))</f>
        <v xml:space="preserve"> VALDEI</v>
      </c>
      <c r="AF97" s="44">
        <f>COUNTIFS('[1]Tempo parado'!H:H,"&gt;="&amp;MIP[[#This Row],[S.B Sitrack]],'[1]Tempo parado'!I:I,"&lt;="&amp;MIP[[#This Row],[C.B Sitrack]],'[1]Tempo parado'!B:B,MIP[[#This Row],[Placa]])</f>
        <v>0</v>
      </c>
      <c r="AG97" s="36"/>
      <c r="AH97" s="35"/>
      <c r="AI97" s="34"/>
      <c r="AJ97" s="34"/>
      <c r="AK9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9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97" s="32">
        <f>SUMIFS('[1]Tempo parado'!J:J,'[1]Tempo parado'!H:H,"&gt;="&amp;MIP[[#This Row],[S.B Sitrack]],'[1]Tempo parado'!I:I,"&lt;="&amp;MIP[[#This Row],[C.B Sitrack]],'[1]Tempo parado'!B:B,MIP[[#This Row],[Placa]])</f>
        <v>0</v>
      </c>
      <c r="AN97" s="32" t="str">
        <f>IFERROR(MIP[[#This Row],[Tempo parado]]/(MIP[[#This Row],[C.B Sitrack]]-MIP[[#This Row],[S.B Sitrack]]),"")</f>
        <v/>
      </c>
      <c r="AO97" s="30"/>
      <c r="AP97" s="44">
        <f>IF(AND(MIP[Exc]=0,MIP[Previsto / Realizado]="Realizado"),MIP[Sem],0)</f>
        <v>0</v>
      </c>
      <c r="AQ97" s="29">
        <f>IF(AND(MIP[Exc]=0,MIP[Previsto / Realizado]="Realizado",ISBLANK(MIP[[#This Row],[S.B Sitrack]])=FALSE,ISBLANK(MIP[[#This Row],[C.B Sitrack]])=FALSE),MIP[Sem],0)</f>
        <v>0</v>
      </c>
    </row>
    <row r="98" spans="1:43" x14ac:dyDescent="0.25">
      <c r="B98" s="44">
        <f>WEEKNUM(MIP[[#This Row],[Data]])</f>
        <v>22</v>
      </c>
      <c r="C98" s="45">
        <v>42887</v>
      </c>
      <c r="D98" s="45"/>
      <c r="E98" s="35" t="s">
        <v>10</v>
      </c>
      <c r="F98" s="35" t="s">
        <v>2</v>
      </c>
      <c r="G98" s="35"/>
      <c r="H98" s="44">
        <v>2</v>
      </c>
      <c r="I98" s="44">
        <v>5</v>
      </c>
      <c r="J98" s="44">
        <v>0</v>
      </c>
      <c r="K98" s="44">
        <v>1</v>
      </c>
      <c r="L98" s="44">
        <v>0</v>
      </c>
      <c r="M98" s="43">
        <v>0.24583333333333335</v>
      </c>
      <c r="N98" s="43">
        <v>0.28125</v>
      </c>
      <c r="O98" s="43">
        <v>0.65277777777777779</v>
      </c>
      <c r="P98" s="43">
        <v>0.66666666666666663</v>
      </c>
      <c r="Q98" s="39"/>
      <c r="R98" s="42" t="s">
        <v>437</v>
      </c>
      <c r="S98" s="44">
        <f>MIP[[#This Row],[PT-1]]+MIP[[#This Row],[PT-2]]*2+MIP[[#This Row],[PT-3]]*3+MIP[[#This Row],[PT &gt; 3 Pontos]]</f>
        <v>8</v>
      </c>
      <c r="T9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4.9305555555555491E-2</v>
      </c>
      <c r="U98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4.9305555555555491E-2</v>
      </c>
      <c r="V98" s="41">
        <f>MIP[[#This Row],[Eficiência]]</f>
        <v>0.56969717772692574</v>
      </c>
      <c r="W9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98" s="39">
        <f>IF(MIP[[#This Row],[P.S]]-MIP[[#This Row],[P.E]]&lt;0,1+MIP[[#This Row],[P.S]]-MIP[[#This Row],[P.E]]-1/24,MIP[[#This Row],[P.S]]-MIP[[#This Row],[P.E]]-1/24)</f>
        <v>0.3791666666666666</v>
      </c>
      <c r="Y98" s="39">
        <f>MIP[[#This Row],[PT-1]]*$S$3+MIP[[#This Row],[PT-2]]*$T$3+MIP[[#This Row],[PT-3]]*$U$3+MIP[[#This Row],[PT &gt; 3 Pontos]]*$V$3</f>
        <v>0.18792094404186788</v>
      </c>
      <c r="Z98" s="39">
        <f>MIP[[#This Row],[HH disponível]]-MIP[[#This Row],[HH AC TOT]]</f>
        <v>0.3298611111111111</v>
      </c>
      <c r="AA98" s="38">
        <f>MIP[[#This Row],[HH Produtivo
Total]]/MIP[[#This Row],[HH Trabalhado]]</f>
        <v>0.56969717772692574</v>
      </c>
      <c r="AB98" s="38">
        <f>MIP[[#This Row],[HH Produtivo
Total]]/MIP[[#This Row],[HH disponível]]</f>
        <v>0.49561567659393735</v>
      </c>
      <c r="AC98" s="38">
        <f>MIP[[#This Row],[HH Trabalhado]]/MIP[[#This Row],[HH disponível]]</f>
        <v>0.86996336996337009</v>
      </c>
      <c r="AD98" s="37" t="str">
        <f>LEFT(MIP[[#This Row],[Equipe]], SEARCH("/",MIP[[#This Row],[Equipe]],1)-1)</f>
        <v xml:space="preserve">JOILSON </v>
      </c>
      <c r="AE98" s="37" t="str">
        <f>RIGHT(MIP[[#This Row],[Equipe]], LEN(MIP[[#This Row],[Equipe]])-SEARCH("/",MIP[[#This Row],[Equipe]],1))</f>
        <v xml:space="preserve"> VALDEI</v>
      </c>
      <c r="AF98" s="44">
        <f>COUNTIFS('[1]Tempo parado'!H:H,"&gt;="&amp;MIP[[#This Row],[S.B Sitrack]],'[1]Tempo parado'!I:I,"&lt;="&amp;MIP[[#This Row],[C.B Sitrack]],'[1]Tempo parado'!B:B,MIP[[#This Row],[Placa]])</f>
        <v>0</v>
      </c>
      <c r="AG98" s="36"/>
      <c r="AH98" s="35"/>
      <c r="AI98" s="34"/>
      <c r="AJ98" s="34"/>
      <c r="AK9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9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98" s="32">
        <f>SUMIFS('[1]Tempo parado'!J:J,'[1]Tempo parado'!H:H,"&gt;="&amp;MIP[[#This Row],[S.B Sitrack]],'[1]Tempo parado'!I:I,"&lt;="&amp;MIP[[#This Row],[C.B Sitrack]],'[1]Tempo parado'!B:B,MIP[[#This Row],[Placa]])</f>
        <v>0</v>
      </c>
      <c r="AN98" s="32" t="str">
        <f>IFERROR(MIP[[#This Row],[Tempo parado]]/(MIP[[#This Row],[C.B Sitrack]]-MIP[[#This Row],[S.B Sitrack]]),"")</f>
        <v/>
      </c>
      <c r="AO98" s="30"/>
      <c r="AP98" s="44">
        <f>IF(AND(MIP[Exc]=0,MIP[Previsto / Realizado]="Realizado"),MIP[Sem],0)</f>
        <v>22</v>
      </c>
      <c r="AQ98" s="29">
        <f>IF(AND(MIP[Exc]=0,MIP[Previsto / Realizado]="Realizado",ISBLANK(MIP[[#This Row],[S.B Sitrack]])=FALSE,ISBLANK(MIP[[#This Row],[C.B Sitrack]])=FALSE),MIP[Sem],0)</f>
        <v>0</v>
      </c>
    </row>
    <row r="99" spans="1:43" x14ac:dyDescent="0.25">
      <c r="B99" s="44">
        <f>WEEKNUM(MIP[[#This Row],[Data]])</f>
        <v>22</v>
      </c>
      <c r="C99" s="45">
        <v>42888</v>
      </c>
      <c r="D99" s="45"/>
      <c r="E99" s="35" t="s">
        <v>3</v>
      </c>
      <c r="F99" s="35" t="s">
        <v>5</v>
      </c>
      <c r="G99" s="35"/>
      <c r="H99" s="44">
        <v>2</v>
      </c>
      <c r="I99" s="44">
        <v>5</v>
      </c>
      <c r="J99" s="44">
        <v>6</v>
      </c>
      <c r="K99" s="44">
        <v>0</v>
      </c>
      <c r="L99" s="44">
        <v>0</v>
      </c>
      <c r="M99" s="43">
        <v>0.625</v>
      </c>
      <c r="N99" s="43">
        <v>0.64583333333333337</v>
      </c>
      <c r="O99" s="43">
        <f>1+18/24/60</f>
        <v>1.0125</v>
      </c>
      <c r="P99" s="43">
        <f>1+48/24/60</f>
        <v>1.0333333333333334</v>
      </c>
      <c r="Q99" s="39"/>
      <c r="R99" s="42"/>
      <c r="S99" s="44">
        <f>MIP[[#This Row],[PT-1]]+MIP[[#This Row],[PT-2]]*2+MIP[[#This Row],[PT-3]]*3+MIP[[#This Row],[PT &gt; 3 Pontos]]</f>
        <v>17</v>
      </c>
      <c r="T9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99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99" s="41">
        <f>MIP[[#This Row],[Eficiência]]</f>
        <v>1.1956364966555186</v>
      </c>
      <c r="W9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99" s="39">
        <f>IF(MIP[[#This Row],[P.S]]-MIP[[#This Row],[P.E]]&lt;0,1+MIP[[#This Row],[P.S]]-MIP[[#This Row],[P.E]]-1/24,MIP[[#This Row],[P.S]]-MIP[[#This Row],[P.E]]-1/24)</f>
        <v>0.36666666666666675</v>
      </c>
      <c r="Y99" s="39">
        <f>MIP[[#This Row],[PT-1]]*$S$3+MIP[[#This Row],[PT-2]]*$T$3+MIP[[#This Row],[PT-3]]*$U$3+MIP[[#This Row],[PT &gt; 3 Pontos]]*$V$3</f>
        <v>0.38858186141304341</v>
      </c>
      <c r="Z99" s="39">
        <f>MIP[[#This Row],[HH disponível]]-MIP[[#This Row],[HH AC TOT]]</f>
        <v>0.3249999999999999</v>
      </c>
      <c r="AA99" s="38">
        <f>MIP[[#This Row],[HH Produtivo
Total]]/MIP[[#This Row],[HH Trabalhado]]</f>
        <v>1.1956364966555186</v>
      </c>
      <c r="AB99" s="38">
        <f>MIP[[#This Row],[HH Produtivo
Total]]/MIP[[#This Row],[HH disponível]]</f>
        <v>1.0597687129446636</v>
      </c>
      <c r="AC99" s="38">
        <f>MIP[[#This Row],[HH Trabalhado]]/MIP[[#This Row],[HH disponível]]</f>
        <v>0.88636363636363591</v>
      </c>
      <c r="AD99" s="37" t="str">
        <f>LEFT(MIP[[#This Row],[Equipe]], SEARCH("/",MIP[[#This Row],[Equipe]],1)-1)</f>
        <v xml:space="preserve">EDILTON </v>
      </c>
      <c r="AE99" s="37" t="str">
        <f>RIGHT(MIP[[#This Row],[Equipe]], LEN(MIP[[#This Row],[Equipe]])-SEARCH("/",MIP[[#This Row],[Equipe]],1))</f>
        <v xml:space="preserve"> GECIVALDO</v>
      </c>
      <c r="AF99" s="44">
        <f>COUNTIFS('[1]Tempo parado'!H:H,"&gt;="&amp;MIP[[#This Row],[S.B Sitrack]],'[1]Tempo parado'!I:I,"&lt;="&amp;MIP[[#This Row],[C.B Sitrack]],'[1]Tempo parado'!B:B,MIP[[#This Row],[Placa]])</f>
        <v>0</v>
      </c>
      <c r="AG99" s="36"/>
      <c r="AH99" s="35"/>
      <c r="AI99" s="34"/>
      <c r="AJ99" s="34"/>
      <c r="AK9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9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99" s="32">
        <f>SUMIFS('[1]Tempo parado'!J:J,'[1]Tempo parado'!H:H,"&gt;="&amp;MIP[[#This Row],[S.B Sitrack]],'[1]Tempo parado'!I:I,"&lt;="&amp;MIP[[#This Row],[C.B Sitrack]],'[1]Tempo parado'!B:B,MIP[[#This Row],[Placa]])</f>
        <v>0</v>
      </c>
      <c r="AN99" s="32" t="str">
        <f>IFERROR(MIP[[#This Row],[Tempo parado]]/(MIP[[#This Row],[C.B Sitrack]]-MIP[[#This Row],[S.B Sitrack]]),"")</f>
        <v/>
      </c>
      <c r="AO99" s="30"/>
      <c r="AP99" s="44">
        <f>IF(AND(MIP[Exc]=0,MIP[Previsto / Realizado]="Realizado"),MIP[Sem],0)</f>
        <v>0</v>
      </c>
      <c r="AQ99" s="29">
        <f>IF(AND(MIP[Exc]=0,MIP[Previsto / Realizado]="Realizado",ISBLANK(MIP[[#This Row],[S.B Sitrack]])=FALSE,ISBLANK(MIP[[#This Row],[C.B Sitrack]])=FALSE),MIP[Sem],0)</f>
        <v>0</v>
      </c>
    </row>
    <row r="100" spans="1:43" x14ac:dyDescent="0.25">
      <c r="B100" s="44">
        <f>WEEKNUM(MIP[[#This Row],[Data]])</f>
        <v>22</v>
      </c>
      <c r="C100" s="45">
        <v>42888</v>
      </c>
      <c r="D100" s="45"/>
      <c r="E100" s="35" t="s">
        <v>3</v>
      </c>
      <c r="F100" s="35" t="s">
        <v>2</v>
      </c>
      <c r="G100" s="35"/>
      <c r="H100" s="44">
        <v>2</v>
      </c>
      <c r="I100" s="44">
        <v>4</v>
      </c>
      <c r="J100" s="44">
        <v>4</v>
      </c>
      <c r="K100" s="44">
        <v>0</v>
      </c>
      <c r="L100" s="44">
        <v>0</v>
      </c>
      <c r="M100" s="43">
        <v>0.625</v>
      </c>
      <c r="N100" s="43">
        <v>0.65138888888888891</v>
      </c>
      <c r="O100" s="43">
        <f>1+0/24/60</f>
        <v>1</v>
      </c>
      <c r="P100" s="43">
        <f>1+48/24/60</f>
        <v>1.0333333333333334</v>
      </c>
      <c r="Q100" s="39"/>
      <c r="R100" s="42" t="s">
        <v>436</v>
      </c>
      <c r="S100" s="44">
        <f>MIP[[#This Row],[PT-1]]+MIP[[#This Row],[PT-2]]*2+MIP[[#This Row],[PT-3]]*3+MIP[[#This Row],[PT &gt; 3 Pontos]]</f>
        <v>12</v>
      </c>
      <c r="T10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5.9722222222222343E-2</v>
      </c>
      <c r="U100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5.9722222222222343E-2</v>
      </c>
      <c r="V100" s="41">
        <f>MIP[[#This Row],[Eficiência]]</f>
        <v>0.89833349727851008</v>
      </c>
      <c r="W10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00" s="39">
        <f>IF(MIP[[#This Row],[P.S]]-MIP[[#This Row],[P.E]]&lt;0,1+MIP[[#This Row],[P.S]]-MIP[[#This Row],[P.E]]-1/24,MIP[[#This Row],[P.S]]-MIP[[#This Row],[P.E]]-1/24)</f>
        <v>0.36666666666666675</v>
      </c>
      <c r="Y100" s="39">
        <f>MIP[[#This Row],[PT-1]]*$S$3+MIP[[#This Row],[PT-2]]*$T$3+MIP[[#This Row],[PT-3]]*$U$3+MIP[[#This Row],[PT &gt; 3 Pontos]]*$V$3</f>
        <v>0.27573847624798709</v>
      </c>
      <c r="Z100" s="39">
        <f>MIP[[#This Row],[HH disponível]]-MIP[[#This Row],[HH AC TOT]]</f>
        <v>0.30694444444444441</v>
      </c>
      <c r="AA100" s="38">
        <f>MIP[[#This Row],[HH Produtivo
Total]]/MIP[[#This Row],[HH Trabalhado]]</f>
        <v>0.89833349727851008</v>
      </c>
      <c r="AB100" s="38">
        <f>MIP[[#This Row],[HH Produtivo
Total]]/MIP[[#This Row],[HH disponível]]</f>
        <v>0.75201402613087365</v>
      </c>
      <c r="AC100" s="38">
        <f>MIP[[#This Row],[HH Trabalhado]]/MIP[[#This Row],[HH disponível]]</f>
        <v>0.83712121212121182</v>
      </c>
      <c r="AD100" s="37" t="str">
        <f>LEFT(MIP[[#This Row],[Equipe]], SEARCH("/",MIP[[#This Row],[Equipe]],1)-1)</f>
        <v xml:space="preserve">EDILTON </v>
      </c>
      <c r="AE100" s="37" t="str">
        <f>RIGHT(MIP[[#This Row],[Equipe]], LEN(MIP[[#This Row],[Equipe]])-SEARCH("/",MIP[[#This Row],[Equipe]],1))</f>
        <v xml:space="preserve"> GECIVALDO</v>
      </c>
      <c r="AF100" s="44">
        <f>COUNTIFS('[1]Tempo parado'!H:H,"&gt;="&amp;MIP[[#This Row],[S.B Sitrack]],'[1]Tempo parado'!I:I,"&lt;="&amp;MIP[[#This Row],[C.B Sitrack]],'[1]Tempo parado'!B:B,MIP[[#This Row],[Placa]])</f>
        <v>0</v>
      </c>
      <c r="AG100" s="36"/>
      <c r="AH100" s="35"/>
      <c r="AI100" s="34"/>
      <c r="AJ100" s="34"/>
      <c r="AK10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0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00" s="32">
        <f>SUMIFS('[1]Tempo parado'!J:J,'[1]Tempo parado'!H:H,"&gt;="&amp;MIP[[#This Row],[S.B Sitrack]],'[1]Tempo parado'!I:I,"&lt;="&amp;MIP[[#This Row],[C.B Sitrack]],'[1]Tempo parado'!B:B,MIP[[#This Row],[Placa]])</f>
        <v>0</v>
      </c>
      <c r="AN100" s="32" t="str">
        <f>IFERROR(MIP[[#This Row],[Tempo parado]]/(MIP[[#This Row],[C.B Sitrack]]-MIP[[#This Row],[S.B Sitrack]]),"")</f>
        <v/>
      </c>
      <c r="AO100" s="30"/>
      <c r="AP100" s="44">
        <f>IF(AND(MIP[Exc]=0,MIP[Previsto / Realizado]="Realizado"),MIP[Sem],0)</f>
        <v>22</v>
      </c>
      <c r="AQ100" s="29">
        <f>IF(AND(MIP[Exc]=0,MIP[Previsto / Realizado]="Realizado",ISBLANK(MIP[[#This Row],[S.B Sitrack]])=FALSE,ISBLANK(MIP[[#This Row],[C.B Sitrack]])=FALSE),MIP[Sem],0)</f>
        <v>0</v>
      </c>
    </row>
    <row r="101" spans="1:43" x14ac:dyDescent="0.25">
      <c r="B101" s="44">
        <f>WEEKNUM(MIP[[#This Row],[Data]])</f>
        <v>22</v>
      </c>
      <c r="C101" s="45">
        <v>42889</v>
      </c>
      <c r="D101" s="45"/>
      <c r="E101" s="35" t="s">
        <v>434</v>
      </c>
      <c r="F101" s="35" t="s">
        <v>5</v>
      </c>
      <c r="G101" s="35"/>
      <c r="H101" s="44">
        <v>2</v>
      </c>
      <c r="I101" s="44">
        <v>10</v>
      </c>
      <c r="J101" s="44">
        <v>0</v>
      </c>
      <c r="K101" s="44">
        <v>0</v>
      </c>
      <c r="L101" s="44">
        <v>7</v>
      </c>
      <c r="M101" s="43">
        <v>0.625</v>
      </c>
      <c r="N101" s="43">
        <v>0.64583333333333337</v>
      </c>
      <c r="O101" s="43">
        <f>1+18/24/60</f>
        <v>1.0125</v>
      </c>
      <c r="P101" s="43">
        <f>1+48/24/60</f>
        <v>1.0333333333333334</v>
      </c>
      <c r="Q101" s="39"/>
      <c r="R101" s="42" t="s">
        <v>435</v>
      </c>
      <c r="S101" s="44">
        <f>MIP[[#This Row],[PT-1]]+MIP[[#This Row],[PT-2]]*2+MIP[[#This Row],[PT-3]]*3+MIP[[#This Row],[PT &gt; 3 Pontos]]</f>
        <v>17</v>
      </c>
      <c r="T10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101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101" s="41">
        <f>MIP[[#This Row],[Eficiência]]</f>
        <v>1.2061372484757147</v>
      </c>
      <c r="W10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01" s="39">
        <f>IF(MIP[[#This Row],[P.S]]-MIP[[#This Row],[P.E]]&lt;0,1+MIP[[#This Row],[P.S]]-MIP[[#This Row],[P.E]]-1/24,MIP[[#This Row],[P.S]]-MIP[[#This Row],[P.E]]-1/24)</f>
        <v>0.36666666666666675</v>
      </c>
      <c r="Y101" s="39">
        <f>MIP[[#This Row],[PT-1]]*$S$3+MIP[[#This Row],[PT-2]]*$T$3+MIP[[#This Row],[PT-3]]*$U$3+MIP[[#This Row],[PT &gt; 3 Pontos]]*$V$3</f>
        <v>0.39199460575460715</v>
      </c>
      <c r="Z101" s="39">
        <f>MIP[[#This Row],[HH disponível]]-MIP[[#This Row],[HH AC TOT]]</f>
        <v>0.3249999999999999</v>
      </c>
      <c r="AA101" s="38">
        <f>MIP[[#This Row],[HH Produtivo
Total]]/MIP[[#This Row],[HH Trabalhado]]</f>
        <v>1.2061372484757147</v>
      </c>
      <c r="AB101" s="38">
        <f>MIP[[#This Row],[HH Produtivo
Total]]/MIP[[#This Row],[HH disponível]]</f>
        <v>1.0690761975125647</v>
      </c>
      <c r="AC101" s="38">
        <f>MIP[[#This Row],[HH Trabalhado]]/MIP[[#This Row],[HH disponível]]</f>
        <v>0.88636363636363591</v>
      </c>
      <c r="AD101" s="37" t="str">
        <f>LEFT(MIP[[#This Row],[Equipe]], SEARCH("/",MIP[[#This Row],[Equipe]],1)-1)</f>
        <v xml:space="preserve">ANTONIO </v>
      </c>
      <c r="AE101" s="37" t="str">
        <f>RIGHT(MIP[[#This Row],[Equipe]], LEN(MIP[[#This Row],[Equipe]])-SEARCH("/",MIP[[#This Row],[Equipe]],1))</f>
        <v xml:space="preserve"> MARCO</v>
      </c>
      <c r="AF101" s="44">
        <f>COUNTIFS('[1]Tempo parado'!H:H,"&gt;="&amp;MIP[[#This Row],[S.B Sitrack]],'[1]Tempo parado'!I:I,"&lt;="&amp;MIP[[#This Row],[C.B Sitrack]],'[1]Tempo parado'!B:B,MIP[[#This Row],[Placa]])</f>
        <v>0</v>
      </c>
      <c r="AG101" s="36"/>
      <c r="AH101" s="35"/>
      <c r="AI101" s="34"/>
      <c r="AJ101" s="34"/>
      <c r="AK10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0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01" s="32">
        <f>SUMIFS('[1]Tempo parado'!J:J,'[1]Tempo parado'!H:H,"&gt;="&amp;MIP[[#This Row],[S.B Sitrack]],'[1]Tempo parado'!I:I,"&lt;="&amp;MIP[[#This Row],[C.B Sitrack]],'[1]Tempo parado'!B:B,MIP[[#This Row],[Placa]])</f>
        <v>0</v>
      </c>
      <c r="AN101" s="32" t="str">
        <f>IFERROR(MIP[[#This Row],[Tempo parado]]/(MIP[[#This Row],[C.B Sitrack]]-MIP[[#This Row],[S.B Sitrack]]),"")</f>
        <v/>
      </c>
      <c r="AO101" s="30"/>
      <c r="AP101" s="44">
        <f>IF(AND(MIP[Exc]=0,MIP[Previsto / Realizado]="Realizado"),MIP[Sem],0)</f>
        <v>0</v>
      </c>
      <c r="AQ101" s="29">
        <f>IF(AND(MIP[Exc]=0,MIP[Previsto / Realizado]="Realizado",ISBLANK(MIP[[#This Row],[S.B Sitrack]])=FALSE,ISBLANK(MIP[[#This Row],[C.B Sitrack]])=FALSE),MIP[Sem],0)</f>
        <v>0</v>
      </c>
    </row>
    <row r="102" spans="1:43" x14ac:dyDescent="0.25">
      <c r="B102" s="44">
        <f>WEEKNUM(MIP[[#This Row],[Data]])</f>
        <v>22</v>
      </c>
      <c r="C102" s="45">
        <v>42889</v>
      </c>
      <c r="D102" s="45"/>
      <c r="E102" s="35" t="s">
        <v>434</v>
      </c>
      <c r="F102" s="35" t="s">
        <v>2</v>
      </c>
      <c r="G102" s="35"/>
      <c r="H102" s="44">
        <v>2</v>
      </c>
      <c r="I102" s="44">
        <v>2</v>
      </c>
      <c r="J102" s="44">
        <v>0</v>
      </c>
      <c r="K102" s="44">
        <v>0</v>
      </c>
      <c r="L102" s="44">
        <v>3</v>
      </c>
      <c r="M102" s="43">
        <v>0.63124999999999998</v>
      </c>
      <c r="N102" s="43">
        <v>0.66319444444444442</v>
      </c>
      <c r="O102" s="43">
        <v>0.95138888888888884</v>
      </c>
      <c r="P102" s="43">
        <v>0.96388888888888891</v>
      </c>
      <c r="Q102" s="39"/>
      <c r="R102" s="42" t="s">
        <v>433</v>
      </c>
      <c r="S102" s="44">
        <f>MIP[[#This Row],[PT-1]]+MIP[[#This Row],[PT-2]]*2+MIP[[#This Row],[PT-3]]*3+MIP[[#This Row],[PT &gt; 3 Pontos]]</f>
        <v>5</v>
      </c>
      <c r="T10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4.4444444444444509E-2</v>
      </c>
      <c r="U102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4.4444444444444509E-2</v>
      </c>
      <c r="V102" s="41">
        <f>MIP[[#This Row],[Eficiência]]</f>
        <v>0.44942496768047913</v>
      </c>
      <c r="W10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02" s="39">
        <f>IF(MIP[[#This Row],[P.S]]-MIP[[#This Row],[P.E]]&lt;0,1+MIP[[#This Row],[P.S]]-MIP[[#This Row],[P.E]]-1/24,MIP[[#This Row],[P.S]]-MIP[[#This Row],[P.E]]-1/24)</f>
        <v>0.29097222222222224</v>
      </c>
      <c r="Y102" s="39">
        <f>MIP[[#This Row],[PT-1]]*$S$3+MIP[[#This Row],[PT-2]]*$T$3+MIP[[#This Row],[PT-3]]*$U$3+MIP[[#This Row],[PT &gt; 3 Pontos]]*$V$3</f>
        <v>0.1107957385601181</v>
      </c>
      <c r="Z102" s="39">
        <f>MIP[[#This Row],[HH disponível]]-MIP[[#This Row],[HH AC TOT]]</f>
        <v>0.24652777777777773</v>
      </c>
      <c r="AA102" s="38">
        <f>MIP[[#This Row],[HH Produtivo
Total]]/MIP[[#This Row],[HH Trabalhado]]</f>
        <v>0.44942496768047913</v>
      </c>
      <c r="AB102" s="38">
        <f>MIP[[#This Row],[HH Produtivo
Total]]/MIP[[#This Row],[HH disponível]]</f>
        <v>0.3807777172471839</v>
      </c>
      <c r="AC102" s="38">
        <f>MIP[[#This Row],[HH Trabalhado]]/MIP[[#This Row],[HH disponível]]</f>
        <v>0.84725536992840078</v>
      </c>
      <c r="AD102" s="37" t="str">
        <f>LEFT(MIP[[#This Row],[Equipe]], SEARCH("/",MIP[[#This Row],[Equipe]],1)-1)</f>
        <v xml:space="preserve">ANTONIO </v>
      </c>
      <c r="AE102" s="37" t="str">
        <f>RIGHT(MIP[[#This Row],[Equipe]], LEN(MIP[[#This Row],[Equipe]])-SEARCH("/",MIP[[#This Row],[Equipe]],1))</f>
        <v xml:space="preserve"> MARCO</v>
      </c>
      <c r="AF102" s="44">
        <f>COUNTIFS('[1]Tempo parado'!H:H,"&gt;="&amp;MIP[[#This Row],[S.B Sitrack]],'[1]Tempo parado'!I:I,"&lt;="&amp;MIP[[#This Row],[C.B Sitrack]],'[1]Tempo parado'!B:B,MIP[[#This Row],[Placa]])</f>
        <v>0</v>
      </c>
      <c r="AG102" s="36"/>
      <c r="AH102" s="35"/>
      <c r="AI102" s="34"/>
      <c r="AJ102" s="34"/>
      <c r="AK10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0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02" s="32">
        <f>SUMIFS('[1]Tempo parado'!J:J,'[1]Tempo parado'!H:H,"&gt;="&amp;MIP[[#This Row],[S.B Sitrack]],'[1]Tempo parado'!I:I,"&lt;="&amp;MIP[[#This Row],[C.B Sitrack]],'[1]Tempo parado'!B:B,MIP[[#This Row],[Placa]])</f>
        <v>0</v>
      </c>
      <c r="AN102" s="32" t="str">
        <f>IFERROR(MIP[[#This Row],[Tempo parado]]/(MIP[[#This Row],[C.B Sitrack]]-MIP[[#This Row],[S.B Sitrack]]),"")</f>
        <v/>
      </c>
      <c r="AO102" s="30"/>
      <c r="AP102" s="44">
        <f>IF(AND(MIP[Exc]=0,MIP[Previsto / Realizado]="Realizado"),MIP[Sem],0)</f>
        <v>22</v>
      </c>
      <c r="AQ102" s="29">
        <f>IF(AND(MIP[Exc]=0,MIP[Previsto / Realizado]="Realizado",ISBLANK(MIP[[#This Row],[S.B Sitrack]])=FALSE,ISBLANK(MIP[[#This Row],[C.B Sitrack]])=FALSE),MIP[Sem],0)</f>
        <v>0</v>
      </c>
    </row>
    <row r="103" spans="1:43" s="47" customFormat="1" x14ac:dyDescent="0.25">
      <c r="A103" s="11"/>
      <c r="B103" s="44">
        <f>WEEKNUM(MIP[[#This Row],[Data]])</f>
        <v>22</v>
      </c>
      <c r="C103" s="45">
        <v>42889</v>
      </c>
      <c r="D103" s="45"/>
      <c r="E103" s="35" t="s">
        <v>326</v>
      </c>
      <c r="F103" s="35" t="s">
        <v>5</v>
      </c>
      <c r="G103" s="35"/>
      <c r="H103" s="44">
        <v>2</v>
      </c>
      <c r="I103" s="44">
        <v>15</v>
      </c>
      <c r="J103" s="44">
        <v>0</v>
      </c>
      <c r="K103" s="44">
        <v>0</v>
      </c>
      <c r="L103" s="44">
        <v>0</v>
      </c>
      <c r="M103" s="43">
        <v>0.625</v>
      </c>
      <c r="N103" s="43">
        <v>0.64583333333333337</v>
      </c>
      <c r="O103" s="43">
        <f>1+18/24/60</f>
        <v>1.0125</v>
      </c>
      <c r="P103" s="43">
        <f>1+48/24/60</f>
        <v>1.0333333333333334</v>
      </c>
      <c r="Q103" s="39"/>
      <c r="R103" s="42"/>
      <c r="S103" s="44">
        <f>MIP[[#This Row],[PT-1]]+MIP[[#This Row],[PT-2]]*2+MIP[[#This Row],[PT-3]]*3+MIP[[#This Row],[PT &gt; 3 Pontos]]</f>
        <v>15</v>
      </c>
      <c r="T10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103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103" s="41">
        <f>MIP[[#This Row],[Eficiência]]</f>
        <v>1.1550393673355626</v>
      </c>
      <c r="W10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03" s="39">
        <f>IF(MIP[[#This Row],[P.S]]-MIP[[#This Row],[P.E]]&lt;0,1+MIP[[#This Row],[P.S]]-MIP[[#This Row],[P.E]]-1/24,MIP[[#This Row],[P.S]]-MIP[[#This Row],[P.E]]-1/24)</f>
        <v>0.36666666666666675</v>
      </c>
      <c r="Y103" s="39">
        <f>MIP[[#This Row],[PT-1]]*$S$3+MIP[[#This Row],[PT-2]]*$T$3+MIP[[#This Row],[PT-3]]*$U$3+MIP[[#This Row],[PT &gt; 3 Pontos]]*$V$3</f>
        <v>0.37538779438405773</v>
      </c>
      <c r="Z103" s="39">
        <f>MIP[[#This Row],[HH disponível]]-MIP[[#This Row],[HH AC TOT]]</f>
        <v>0.3249999999999999</v>
      </c>
      <c r="AA103" s="38">
        <f>MIP[[#This Row],[HH Produtivo
Total]]/MIP[[#This Row],[HH Trabalhado]]</f>
        <v>1.1550393673355626</v>
      </c>
      <c r="AB103" s="38">
        <f>MIP[[#This Row],[HH Produtivo
Total]]/MIP[[#This Row],[HH disponível]]</f>
        <v>1.0237848937747027</v>
      </c>
      <c r="AC103" s="38">
        <f>MIP[[#This Row],[HH Trabalhado]]/MIP[[#This Row],[HH disponível]]</f>
        <v>0.88636363636363591</v>
      </c>
      <c r="AD103" s="37" t="str">
        <f>LEFT(MIP[[#This Row],[Equipe]], SEARCH("/",MIP[[#This Row],[Equipe]],1)-1)</f>
        <v xml:space="preserve">ANDERSON </v>
      </c>
      <c r="AE103" s="37" t="str">
        <f>RIGHT(MIP[[#This Row],[Equipe]], LEN(MIP[[#This Row],[Equipe]])-SEARCH("/",MIP[[#This Row],[Equipe]],1))</f>
        <v xml:space="preserve"> GECIVALDO</v>
      </c>
      <c r="AF103" s="44">
        <f>COUNTIFS('[1]Tempo parado'!H:H,"&gt;="&amp;MIP[[#This Row],[S.B Sitrack]],'[1]Tempo parado'!I:I,"&lt;="&amp;MIP[[#This Row],[C.B Sitrack]],'[1]Tempo parado'!B:B,MIP[[#This Row],[Placa]])</f>
        <v>0</v>
      </c>
      <c r="AG103" s="36"/>
      <c r="AH103" s="35"/>
      <c r="AI103" s="34"/>
      <c r="AJ103" s="34"/>
      <c r="AK10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0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03" s="32">
        <f>SUMIFS('[1]Tempo parado'!J:J,'[1]Tempo parado'!H:H,"&gt;="&amp;MIP[[#This Row],[S.B Sitrack]],'[1]Tempo parado'!I:I,"&lt;="&amp;MIP[[#This Row],[C.B Sitrack]],'[1]Tempo parado'!B:B,MIP[[#This Row],[Placa]])</f>
        <v>0</v>
      </c>
      <c r="AN103" s="32" t="str">
        <f>IFERROR(MIP[[#This Row],[Tempo parado]]/(MIP[[#This Row],[C.B Sitrack]]-MIP[[#This Row],[S.B Sitrack]]),"")</f>
        <v/>
      </c>
      <c r="AO103" s="30"/>
      <c r="AP103" s="44">
        <f>IF(AND(MIP[Exc]=0,MIP[Previsto / Realizado]="Realizado"),MIP[Sem],0)</f>
        <v>0</v>
      </c>
      <c r="AQ103" s="29">
        <f>IF(AND(MIP[Exc]=0,MIP[Previsto / Realizado]="Realizado",ISBLANK(MIP[[#This Row],[S.B Sitrack]])=FALSE,ISBLANK(MIP[[#This Row],[C.B Sitrack]])=FALSE),MIP[Sem],0)</f>
        <v>0</v>
      </c>
    </row>
    <row r="104" spans="1:43" s="64" customFormat="1" x14ac:dyDescent="0.25">
      <c r="A104" s="11"/>
      <c r="B104" s="44">
        <f>WEEKNUM(MIP[[#This Row],[Data]])</f>
        <v>22</v>
      </c>
      <c r="C104" s="45">
        <v>42889</v>
      </c>
      <c r="D104" s="45"/>
      <c r="E104" s="35" t="s">
        <v>326</v>
      </c>
      <c r="F104" s="35" t="s">
        <v>2</v>
      </c>
      <c r="G104" s="35"/>
      <c r="H104" s="44">
        <v>2</v>
      </c>
      <c r="I104" s="44">
        <v>6</v>
      </c>
      <c r="J104" s="44">
        <v>0</v>
      </c>
      <c r="K104" s="44">
        <v>0</v>
      </c>
      <c r="L104" s="44">
        <v>0</v>
      </c>
      <c r="M104" s="43">
        <v>0.62847222222222221</v>
      </c>
      <c r="N104" s="43">
        <v>0.64583333333333337</v>
      </c>
      <c r="O104" s="43">
        <f>1+11/24/60</f>
        <v>1.007638888888889</v>
      </c>
      <c r="P104" s="43">
        <f>1+40/60/24</f>
        <v>1.0277777777777777</v>
      </c>
      <c r="Q104" s="39"/>
      <c r="R104" s="42" t="s">
        <v>432</v>
      </c>
      <c r="S104" s="44">
        <f>MIP[[#This Row],[PT-1]]+MIP[[#This Row],[PT-2]]*2+MIP[[#This Row],[PT-3]]*3+MIP[[#This Row],[PT &gt; 3 Pontos]]</f>
        <v>6</v>
      </c>
      <c r="T10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3.7499999999999867E-2</v>
      </c>
      <c r="U104" s="39">
        <f>IF(MIP[[#This Row],[P.S]]-MIP[[#This Row],[U.P]]&gt;=0,MIP[[#This Row],[P.S]]-MIP[[#This Row],[U.P]]+MIP[[#This Row],[S.B]]-MIP[[#This Row],[P.E]],1+MIP[[#This Row],[P.S]]-MIP[[#This Row],[U.P]]+MIP[[#This Row],[S.B]]-MIP[[#This Row],[P.E]])</f>
        <v>3.7499999999999867E-2</v>
      </c>
      <c r="V104" s="41">
        <f>MIP[[#This Row],[Eficiência]]</f>
        <v>0.4690311704234647</v>
      </c>
      <c r="W10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04" s="39">
        <f>IF(MIP[[#This Row],[P.S]]-MIP[[#This Row],[P.E]]&lt;0,1+MIP[[#This Row],[P.S]]-MIP[[#This Row],[P.E]]-1/24,MIP[[#This Row],[P.S]]-MIP[[#This Row],[P.E]]-1/24)</f>
        <v>0.35763888888888878</v>
      </c>
      <c r="Y104" s="39">
        <f>MIP[[#This Row],[PT-1]]*$S$3+MIP[[#This Row],[PT-2]]*$T$3+MIP[[#This Row],[PT-3]]*$U$3+MIP[[#This Row],[PT &gt; 3 Pontos]]*$V$3</f>
        <v>0.15015511775362309</v>
      </c>
      <c r="Z104" s="39">
        <f>MIP[[#This Row],[HH disponível]]-MIP[[#This Row],[HH AC TOT]]</f>
        <v>0.32013888888888892</v>
      </c>
      <c r="AA104" s="38">
        <f>MIP[[#This Row],[HH Produtivo
Total]]/MIP[[#This Row],[HH Trabalhado]]</f>
        <v>0.4690311704234647</v>
      </c>
      <c r="AB104" s="38">
        <f>MIP[[#This Row],[HH Produtivo
Total]]/MIP[[#This Row],[HH disponível]]</f>
        <v>0.41985120303925688</v>
      </c>
      <c r="AC104" s="38">
        <f>MIP[[#This Row],[HH Trabalhado]]/MIP[[#This Row],[HH disponível]]</f>
        <v>0.89514563106796152</v>
      </c>
      <c r="AD104" s="37" t="str">
        <f>LEFT(MIP[[#This Row],[Equipe]], SEARCH("/",MIP[[#This Row],[Equipe]],1)-1)</f>
        <v xml:space="preserve">ANDERSON </v>
      </c>
      <c r="AE104" s="37" t="str">
        <f>RIGHT(MIP[[#This Row],[Equipe]], LEN(MIP[[#This Row],[Equipe]])-SEARCH("/",MIP[[#This Row],[Equipe]],1))</f>
        <v xml:space="preserve"> GECIVALDO</v>
      </c>
      <c r="AF104" s="44">
        <f>COUNTIFS('[1]Tempo parado'!H:H,"&gt;="&amp;MIP[[#This Row],[S.B Sitrack]],'[1]Tempo parado'!I:I,"&lt;="&amp;MIP[[#This Row],[C.B Sitrack]],'[1]Tempo parado'!B:B,MIP[[#This Row],[Placa]])</f>
        <v>0</v>
      </c>
      <c r="AG104" s="36"/>
      <c r="AH104" s="35"/>
      <c r="AI104" s="34"/>
      <c r="AJ104" s="34"/>
      <c r="AK10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0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04" s="32">
        <f>SUMIFS('[1]Tempo parado'!J:J,'[1]Tempo parado'!H:H,"&gt;="&amp;MIP[[#This Row],[S.B Sitrack]],'[1]Tempo parado'!I:I,"&lt;="&amp;MIP[[#This Row],[C.B Sitrack]],'[1]Tempo parado'!B:B,MIP[[#This Row],[Placa]])</f>
        <v>0</v>
      </c>
      <c r="AN104" s="32" t="str">
        <f>IFERROR(MIP[[#This Row],[Tempo parado]]/(MIP[[#This Row],[C.B Sitrack]]-MIP[[#This Row],[S.B Sitrack]]),"")</f>
        <v/>
      </c>
      <c r="AO104" s="30"/>
      <c r="AP104" s="44">
        <f>IF(AND(MIP[Exc]=0,MIP[Previsto / Realizado]="Realizado"),MIP[Sem],0)</f>
        <v>22</v>
      </c>
      <c r="AQ104" s="29">
        <f>IF(AND(MIP[Exc]=0,MIP[Previsto / Realizado]="Realizado",ISBLANK(MIP[[#This Row],[S.B Sitrack]])=FALSE,ISBLANK(MIP[[#This Row],[C.B Sitrack]])=FALSE),MIP[Sem],0)</f>
        <v>0</v>
      </c>
    </row>
    <row r="105" spans="1:43" s="47" customFormat="1" x14ac:dyDescent="0.25">
      <c r="A105" s="11"/>
      <c r="B105" s="44">
        <f>WEEKNUM(MIP[[#This Row],[Data]])</f>
        <v>23</v>
      </c>
      <c r="C105" s="45">
        <v>42890</v>
      </c>
      <c r="D105" s="45"/>
      <c r="E105" s="35" t="s">
        <v>10</v>
      </c>
      <c r="F105" s="35" t="s">
        <v>5</v>
      </c>
      <c r="G105" s="35"/>
      <c r="H105" s="44">
        <v>2</v>
      </c>
      <c r="I105" s="44">
        <v>0</v>
      </c>
      <c r="J105" s="44">
        <v>0</v>
      </c>
      <c r="K105" s="44">
        <v>3</v>
      </c>
      <c r="L105" s="44">
        <v>9</v>
      </c>
      <c r="M105" s="43">
        <v>0.25</v>
      </c>
      <c r="N105" s="43">
        <v>0.27083333333333331</v>
      </c>
      <c r="O105" s="43">
        <v>0.63750000000000007</v>
      </c>
      <c r="P105" s="43">
        <v>0.65833333333333333</v>
      </c>
      <c r="Q105" s="39"/>
      <c r="R105" s="42"/>
      <c r="S105" s="44">
        <f>MIP[[#This Row],[PT-1]]+MIP[[#This Row],[PT-2]]*2+MIP[[#This Row],[PT-3]]*3+MIP[[#This Row],[PT &gt; 3 Pontos]]</f>
        <v>18</v>
      </c>
      <c r="T10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105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105" s="41">
        <f>MIP[[#This Row],[Eficiência]]</f>
        <v>1.1403296482100833</v>
      </c>
      <c r="W10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05" s="39">
        <f>IF(MIP[[#This Row],[P.S]]-MIP[[#This Row],[P.E]]&lt;0,1+MIP[[#This Row],[P.S]]-MIP[[#This Row],[P.E]]-1/24,MIP[[#This Row],[P.S]]-MIP[[#This Row],[P.E]]-1/24)</f>
        <v>0.36666666666666664</v>
      </c>
      <c r="Y105" s="39">
        <f>MIP[[#This Row],[PT-1]]*$S$3+MIP[[#This Row],[PT-2]]*$T$3+MIP[[#This Row],[PT-3]]*$U$3+MIP[[#This Row],[PT &gt; 3 Pontos]]*$V$3</f>
        <v>0.37060713566827713</v>
      </c>
      <c r="Z105" s="39">
        <f>MIP[[#This Row],[HH disponível]]-MIP[[#This Row],[HH AC TOT]]</f>
        <v>0.32500000000000007</v>
      </c>
      <c r="AA105" s="38">
        <f>MIP[[#This Row],[HH Produtivo
Total]]/MIP[[#This Row],[HH Trabalhado]]</f>
        <v>1.1403296482100833</v>
      </c>
      <c r="AB105" s="38">
        <f>MIP[[#This Row],[HH Produtivo
Total]]/MIP[[#This Row],[HH disponível]]</f>
        <v>1.0107467336407558</v>
      </c>
      <c r="AC105" s="38">
        <f>MIP[[#This Row],[HH Trabalhado]]/MIP[[#This Row],[HH disponível]]</f>
        <v>0.88636363636363658</v>
      </c>
      <c r="AD105" s="37" t="str">
        <f>LEFT(MIP[[#This Row],[Equipe]], SEARCH("/",MIP[[#This Row],[Equipe]],1)-1)</f>
        <v xml:space="preserve">JOILSON </v>
      </c>
      <c r="AE105" s="37" t="str">
        <f>RIGHT(MIP[[#This Row],[Equipe]], LEN(MIP[[#This Row],[Equipe]])-SEARCH("/",MIP[[#This Row],[Equipe]],1))</f>
        <v xml:space="preserve"> VALDEI</v>
      </c>
      <c r="AF105" s="44">
        <f>COUNTIFS('[1]Tempo parado'!H:H,"&gt;="&amp;MIP[[#This Row],[S.B Sitrack]],'[1]Tempo parado'!I:I,"&lt;="&amp;MIP[[#This Row],[C.B Sitrack]],'[1]Tempo parado'!B:B,MIP[[#This Row],[Placa]])</f>
        <v>0</v>
      </c>
      <c r="AG105" s="36"/>
      <c r="AH105" s="35"/>
      <c r="AI105" s="34"/>
      <c r="AJ105" s="34"/>
      <c r="AK10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0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05" s="32">
        <f>SUMIFS('[1]Tempo parado'!J:J,'[1]Tempo parado'!H:H,"&gt;="&amp;MIP[[#This Row],[S.B Sitrack]],'[1]Tempo parado'!I:I,"&lt;="&amp;MIP[[#This Row],[C.B Sitrack]],'[1]Tempo parado'!B:B,MIP[[#This Row],[Placa]])</f>
        <v>0</v>
      </c>
      <c r="AN105" s="32" t="str">
        <f>IFERROR(MIP[[#This Row],[Tempo parado]]/(MIP[[#This Row],[C.B Sitrack]]-MIP[[#This Row],[S.B Sitrack]]),"")</f>
        <v/>
      </c>
      <c r="AO105" s="30"/>
      <c r="AP105" s="44">
        <f>IF(AND(MIP[Exc]=0,MIP[Previsto / Realizado]="Realizado"),MIP[Sem],0)</f>
        <v>0</v>
      </c>
      <c r="AQ105" s="29">
        <f>IF(AND(MIP[Exc]=0,MIP[Previsto / Realizado]="Realizado",ISBLANK(MIP[[#This Row],[S.B Sitrack]])=FALSE,ISBLANK(MIP[[#This Row],[C.B Sitrack]])=FALSE),MIP[Sem],0)</f>
        <v>0</v>
      </c>
    </row>
    <row r="106" spans="1:43" s="64" customFormat="1" x14ac:dyDescent="0.25">
      <c r="A106" s="11"/>
      <c r="B106" s="44">
        <f>WEEKNUM(MIP[[#This Row],[Data]])</f>
        <v>23</v>
      </c>
      <c r="C106" s="45">
        <v>42890</v>
      </c>
      <c r="D106" s="45"/>
      <c r="E106" s="35" t="s">
        <v>10</v>
      </c>
      <c r="F106" s="35" t="s">
        <v>2</v>
      </c>
      <c r="G106" s="35"/>
      <c r="H106" s="44">
        <v>2</v>
      </c>
      <c r="I106" s="44">
        <v>0</v>
      </c>
      <c r="J106" s="44">
        <v>0</v>
      </c>
      <c r="K106" s="44">
        <v>2</v>
      </c>
      <c r="L106" s="44">
        <v>2</v>
      </c>
      <c r="M106" s="43">
        <v>0.45277777777777778</v>
      </c>
      <c r="N106" s="43">
        <v>0.53472222222222221</v>
      </c>
      <c r="O106" s="43">
        <v>0.76111111111111107</v>
      </c>
      <c r="P106" s="43">
        <v>0.7729166666666667</v>
      </c>
      <c r="Q106" s="39"/>
      <c r="R106" s="42" t="s">
        <v>431</v>
      </c>
      <c r="S106" s="44">
        <f>MIP[[#This Row],[PT-1]]+MIP[[#This Row],[PT-2]]*2+MIP[[#This Row],[PT-3]]*3+MIP[[#This Row],[PT &gt; 3 Pontos]]</f>
        <v>8</v>
      </c>
      <c r="T10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9.3750000000000056E-2</v>
      </c>
      <c r="U106" s="39">
        <f>IF(MIP[[#This Row],[P.S]]-MIP[[#This Row],[U.P]]&gt;=0,MIP[[#This Row],[P.S]]-MIP[[#This Row],[U.P]]+MIP[[#This Row],[S.B]]-MIP[[#This Row],[P.E]],1+MIP[[#This Row],[P.S]]-MIP[[#This Row],[U.P]]+MIP[[#This Row],[S.B]]-MIP[[#This Row],[P.E]])</f>
        <v>9.3750000000000056E-2</v>
      </c>
      <c r="V106" s="41">
        <f>MIP[[#This Row],[Eficiência]]</f>
        <v>0.89907634424224858</v>
      </c>
      <c r="W10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06" s="39">
        <f>IF(MIP[[#This Row],[P.S]]-MIP[[#This Row],[P.E]]&lt;0,1+MIP[[#This Row],[P.S]]-MIP[[#This Row],[P.E]]-1/24,MIP[[#This Row],[P.S]]-MIP[[#This Row],[P.E]]-1/24)</f>
        <v>0.27847222222222223</v>
      </c>
      <c r="Y106" s="39">
        <f>MIP[[#This Row],[PT-1]]*$S$3+MIP[[#This Row],[PT-2]]*$T$3+MIP[[#This Row],[PT-3]]*$U$3+MIP[[#This Row],[PT &gt; 3 Pontos]]*$V$3</f>
        <v>0.16607938025585978</v>
      </c>
      <c r="Z106" s="39">
        <f>MIP[[#This Row],[HH disponível]]-MIP[[#This Row],[HH AC TOT]]</f>
        <v>0.18472222222222218</v>
      </c>
      <c r="AA106" s="38">
        <f>MIP[[#This Row],[HH Produtivo
Total]]/MIP[[#This Row],[HH Trabalhado]]</f>
        <v>0.89907634424224858</v>
      </c>
      <c r="AB106" s="38">
        <f>MIP[[#This Row],[HH Produtivo
Total]]/MIP[[#This Row],[HH disponível]]</f>
        <v>0.59639478196617968</v>
      </c>
      <c r="AC106" s="38">
        <f>MIP[[#This Row],[HH Trabalhado]]/MIP[[#This Row],[HH disponível]]</f>
        <v>0.66334164588528655</v>
      </c>
      <c r="AD106" s="37" t="str">
        <f>LEFT(MIP[[#This Row],[Equipe]], SEARCH("/",MIP[[#This Row],[Equipe]],1)-1)</f>
        <v xml:space="preserve">JOILSON </v>
      </c>
      <c r="AE106" s="37" t="str">
        <f>RIGHT(MIP[[#This Row],[Equipe]], LEN(MIP[[#This Row],[Equipe]])-SEARCH("/",MIP[[#This Row],[Equipe]],1))</f>
        <v xml:space="preserve"> VALDEI</v>
      </c>
      <c r="AF106" s="44">
        <f>COUNTIFS('[1]Tempo parado'!H:H,"&gt;="&amp;MIP[[#This Row],[S.B Sitrack]],'[1]Tempo parado'!I:I,"&lt;="&amp;MIP[[#This Row],[C.B Sitrack]],'[1]Tempo parado'!B:B,MIP[[#This Row],[Placa]])</f>
        <v>0</v>
      </c>
      <c r="AG106" s="36"/>
      <c r="AH106" s="35"/>
      <c r="AI106" s="34"/>
      <c r="AJ106" s="34"/>
      <c r="AK10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0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06" s="32">
        <f>SUMIFS('[1]Tempo parado'!J:J,'[1]Tempo parado'!H:H,"&gt;="&amp;MIP[[#This Row],[S.B Sitrack]],'[1]Tempo parado'!I:I,"&lt;="&amp;MIP[[#This Row],[C.B Sitrack]],'[1]Tempo parado'!B:B,MIP[[#This Row],[Placa]])</f>
        <v>0</v>
      </c>
      <c r="AN106" s="32" t="str">
        <f>IFERROR(MIP[[#This Row],[Tempo parado]]/(MIP[[#This Row],[C.B Sitrack]]-MIP[[#This Row],[S.B Sitrack]]),"")</f>
        <v/>
      </c>
      <c r="AO106" s="30"/>
      <c r="AP106" s="44">
        <f>IF(AND(MIP[Exc]=0,MIP[Previsto / Realizado]="Realizado"),MIP[Sem],0)</f>
        <v>23</v>
      </c>
      <c r="AQ106" s="29">
        <f>IF(AND(MIP[Exc]=0,MIP[Previsto / Realizado]="Realizado",ISBLANK(MIP[[#This Row],[S.B Sitrack]])=FALSE,ISBLANK(MIP[[#This Row],[C.B Sitrack]])=FALSE),MIP[Sem],0)</f>
        <v>0</v>
      </c>
    </row>
    <row r="107" spans="1:43" s="47" customFormat="1" x14ac:dyDescent="0.25">
      <c r="A107" s="11"/>
      <c r="B107" s="44">
        <f>WEEKNUM(MIP[[#This Row],[Data]])</f>
        <v>23</v>
      </c>
      <c r="C107" s="45">
        <v>42890</v>
      </c>
      <c r="D107" s="45"/>
      <c r="E107" s="35" t="s">
        <v>3</v>
      </c>
      <c r="F107" s="35" t="s">
        <v>5</v>
      </c>
      <c r="G107" s="35"/>
      <c r="H107" s="44">
        <v>2</v>
      </c>
      <c r="I107" s="44">
        <v>7</v>
      </c>
      <c r="J107" s="44">
        <v>5</v>
      </c>
      <c r="K107" s="44">
        <v>0</v>
      </c>
      <c r="L107" s="44">
        <v>0</v>
      </c>
      <c r="M107" s="43">
        <v>0.625</v>
      </c>
      <c r="N107" s="43">
        <v>0.64583333333333337</v>
      </c>
      <c r="O107" s="43">
        <f>1+18/24/60</f>
        <v>1.0125</v>
      </c>
      <c r="P107" s="43">
        <f>1+48/24/60</f>
        <v>1.0333333333333334</v>
      </c>
      <c r="Q107" s="39"/>
      <c r="R107" s="42"/>
      <c r="S107" s="44">
        <f>MIP[[#This Row],[PT-1]]+MIP[[#This Row],[PT-2]]*2+MIP[[#This Row],[PT-3]]*3+MIP[[#This Row],[PT &gt; 3 Pontos]]</f>
        <v>17</v>
      </c>
      <c r="T10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107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107" s="41">
        <f>MIP[[#This Row],[Eficiência]]</f>
        <v>1.2145378499318717</v>
      </c>
      <c r="W10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07" s="39">
        <f>IF(MIP[[#This Row],[P.S]]-MIP[[#This Row],[P.E]]&lt;0,1+MIP[[#This Row],[P.S]]-MIP[[#This Row],[P.E]]-1/24,MIP[[#This Row],[P.S]]-MIP[[#This Row],[P.E]]-1/24)</f>
        <v>0.36666666666666675</v>
      </c>
      <c r="Y107" s="39">
        <f>MIP[[#This Row],[PT-1]]*$S$3+MIP[[#This Row],[PT-2]]*$T$3+MIP[[#This Row],[PT-3]]*$U$3+MIP[[#This Row],[PT &gt; 3 Pontos]]*$V$3</f>
        <v>0.39472480122785819</v>
      </c>
      <c r="Z107" s="39">
        <f>MIP[[#This Row],[HH disponível]]-MIP[[#This Row],[HH AC TOT]]</f>
        <v>0.3249999999999999</v>
      </c>
      <c r="AA107" s="38">
        <f>MIP[[#This Row],[HH Produtivo
Total]]/MIP[[#This Row],[HH Trabalhado]]</f>
        <v>1.2145378499318717</v>
      </c>
      <c r="AB107" s="38">
        <f>MIP[[#This Row],[HH Produtivo
Total]]/MIP[[#This Row],[HH disponível]]</f>
        <v>1.0765221851668858</v>
      </c>
      <c r="AC107" s="38">
        <f>MIP[[#This Row],[HH Trabalhado]]/MIP[[#This Row],[HH disponível]]</f>
        <v>0.88636363636363591</v>
      </c>
      <c r="AD107" s="37" t="str">
        <f>LEFT(MIP[[#This Row],[Equipe]], SEARCH("/",MIP[[#This Row],[Equipe]],1)-1)</f>
        <v xml:space="preserve">EDILTON </v>
      </c>
      <c r="AE107" s="37" t="str">
        <f>RIGHT(MIP[[#This Row],[Equipe]], LEN(MIP[[#This Row],[Equipe]])-SEARCH("/",MIP[[#This Row],[Equipe]],1))</f>
        <v xml:space="preserve"> GECIVALDO</v>
      </c>
      <c r="AF107" s="44">
        <f>COUNTIFS('[1]Tempo parado'!H:H,"&gt;="&amp;MIP[[#This Row],[S.B Sitrack]],'[1]Tempo parado'!I:I,"&lt;="&amp;MIP[[#This Row],[C.B Sitrack]],'[1]Tempo parado'!B:B,MIP[[#This Row],[Placa]])</f>
        <v>0</v>
      </c>
      <c r="AG107" s="36"/>
      <c r="AH107" s="35"/>
      <c r="AI107" s="34"/>
      <c r="AJ107" s="34"/>
      <c r="AK10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0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07" s="32">
        <f>SUMIFS('[1]Tempo parado'!J:J,'[1]Tempo parado'!H:H,"&gt;="&amp;MIP[[#This Row],[S.B Sitrack]],'[1]Tempo parado'!I:I,"&lt;="&amp;MIP[[#This Row],[C.B Sitrack]],'[1]Tempo parado'!B:B,MIP[[#This Row],[Placa]])</f>
        <v>0</v>
      </c>
      <c r="AN107" s="32" t="str">
        <f>IFERROR(MIP[[#This Row],[Tempo parado]]/(MIP[[#This Row],[C.B Sitrack]]-MIP[[#This Row],[S.B Sitrack]]),"")</f>
        <v/>
      </c>
      <c r="AO107" s="30"/>
      <c r="AP107" s="44">
        <f>IF(AND(MIP[Exc]=0,MIP[Previsto / Realizado]="Realizado"),MIP[Sem],0)</f>
        <v>0</v>
      </c>
      <c r="AQ107" s="29">
        <f>IF(AND(MIP[Exc]=0,MIP[Previsto / Realizado]="Realizado",ISBLANK(MIP[[#This Row],[S.B Sitrack]])=FALSE,ISBLANK(MIP[[#This Row],[C.B Sitrack]])=FALSE),MIP[Sem],0)</f>
        <v>0</v>
      </c>
    </row>
    <row r="108" spans="1:43" s="64" customFormat="1" x14ac:dyDescent="0.25">
      <c r="A108" s="11"/>
      <c r="B108" s="44">
        <f>WEEKNUM(MIP[[#This Row],[Data]])</f>
        <v>23</v>
      </c>
      <c r="C108" s="45">
        <v>42890</v>
      </c>
      <c r="D108" s="45"/>
      <c r="E108" s="35" t="s">
        <v>3</v>
      </c>
      <c r="F108" s="35" t="s">
        <v>2</v>
      </c>
      <c r="G108" s="35"/>
      <c r="H108" s="44">
        <v>2</v>
      </c>
      <c r="I108" s="44">
        <v>4</v>
      </c>
      <c r="J108" s="44">
        <v>3</v>
      </c>
      <c r="K108" s="44">
        <v>0</v>
      </c>
      <c r="L108" s="44">
        <v>0</v>
      </c>
      <c r="M108" s="43">
        <v>0.6333333333333333</v>
      </c>
      <c r="N108" s="43">
        <v>0.66666666666666663</v>
      </c>
      <c r="O108" s="43">
        <v>0.9916666666666667</v>
      </c>
      <c r="P108" s="43">
        <v>0.99305555555555547</v>
      </c>
      <c r="Q108" s="39"/>
      <c r="R108" s="42" t="s">
        <v>430</v>
      </c>
      <c r="S108" s="44">
        <f>MIP[[#This Row],[PT-1]]+MIP[[#This Row],[PT-2]]*2+MIP[[#This Row],[PT-3]]*3+MIP[[#This Row],[PT &gt; 3 Pontos]]</f>
        <v>10</v>
      </c>
      <c r="T10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3.4722222222222099E-2</v>
      </c>
      <c r="U108" s="39">
        <f>IF(MIP[[#This Row],[P.S]]-MIP[[#This Row],[U.P]]&gt;=0,MIP[[#This Row],[P.S]]-MIP[[#This Row],[U.P]]+MIP[[#This Row],[S.B]]-MIP[[#This Row],[P.E]],1+MIP[[#This Row],[P.S]]-MIP[[#This Row],[U.P]]+MIP[[#This Row],[S.B]]-MIP[[#This Row],[P.E]])</f>
        <v>3.4722222222222099E-2</v>
      </c>
      <c r="V108" s="41">
        <f>MIP[[#This Row],[Eficiência]]</f>
        <v>0.81822250639386152</v>
      </c>
      <c r="W10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08" s="39">
        <f>IF(MIP[[#This Row],[P.S]]-MIP[[#This Row],[P.E]]&lt;0,1+MIP[[#This Row],[P.S]]-MIP[[#This Row],[P.E]]-1/24,MIP[[#This Row],[P.S]]-MIP[[#This Row],[P.E]]-1/24)</f>
        <v>0.31805555555555548</v>
      </c>
      <c r="Y108" s="39">
        <f>MIP[[#This Row],[PT-1]]*$S$3+MIP[[#This Row],[PT-2]]*$T$3+MIP[[#This Row],[PT-3]]*$U$3+MIP[[#This Row],[PT &gt; 3 Pontos]]*$V$3</f>
        <v>0.23182971014492748</v>
      </c>
      <c r="Z108" s="39">
        <f>MIP[[#This Row],[HH disponível]]-MIP[[#This Row],[HH AC TOT]]</f>
        <v>0.28333333333333338</v>
      </c>
      <c r="AA108" s="38">
        <f>MIP[[#This Row],[HH Produtivo
Total]]/MIP[[#This Row],[HH Trabalhado]]</f>
        <v>0.81822250639386152</v>
      </c>
      <c r="AB108" s="38">
        <f>MIP[[#This Row],[HH Produtivo
Total]]/MIP[[#This Row],[HH disponível]]</f>
        <v>0.72889690525916084</v>
      </c>
      <c r="AC108" s="38">
        <f>MIP[[#This Row],[HH Trabalhado]]/MIP[[#This Row],[HH disponível]]</f>
        <v>0.89082969432314452</v>
      </c>
      <c r="AD108" s="37" t="str">
        <f>LEFT(MIP[[#This Row],[Equipe]], SEARCH("/",MIP[[#This Row],[Equipe]],1)-1)</f>
        <v xml:space="preserve">EDILTON </v>
      </c>
      <c r="AE108" s="37" t="str">
        <f>RIGHT(MIP[[#This Row],[Equipe]], LEN(MIP[[#This Row],[Equipe]])-SEARCH("/",MIP[[#This Row],[Equipe]],1))</f>
        <v xml:space="preserve"> GECIVALDO</v>
      </c>
      <c r="AF108" s="44">
        <f>COUNTIFS('[1]Tempo parado'!H:H,"&gt;="&amp;MIP[[#This Row],[S.B Sitrack]],'[1]Tempo parado'!I:I,"&lt;="&amp;MIP[[#This Row],[C.B Sitrack]],'[1]Tempo parado'!B:B,MIP[[#This Row],[Placa]])</f>
        <v>0</v>
      </c>
      <c r="AG108" s="36"/>
      <c r="AH108" s="35"/>
      <c r="AI108" s="34"/>
      <c r="AJ108" s="34"/>
      <c r="AK10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0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08" s="32">
        <f>SUMIFS('[1]Tempo parado'!J:J,'[1]Tempo parado'!H:H,"&gt;="&amp;MIP[[#This Row],[S.B Sitrack]],'[1]Tempo parado'!I:I,"&lt;="&amp;MIP[[#This Row],[C.B Sitrack]],'[1]Tempo parado'!B:B,MIP[[#This Row],[Placa]])</f>
        <v>0</v>
      </c>
      <c r="AN108" s="32" t="str">
        <f>IFERROR(MIP[[#This Row],[Tempo parado]]/(MIP[[#This Row],[C.B Sitrack]]-MIP[[#This Row],[S.B Sitrack]]),"")</f>
        <v/>
      </c>
      <c r="AO108" s="30"/>
      <c r="AP108" s="44">
        <f>IF(AND(MIP[Exc]=0,MIP[Previsto / Realizado]="Realizado"),MIP[Sem],0)</f>
        <v>23</v>
      </c>
      <c r="AQ108" s="29">
        <f>IF(AND(MIP[Exc]=0,MIP[Previsto / Realizado]="Realizado",ISBLANK(MIP[[#This Row],[S.B Sitrack]])=FALSE,ISBLANK(MIP[[#This Row],[C.B Sitrack]])=FALSE),MIP[Sem],0)</f>
        <v>0</v>
      </c>
    </row>
    <row r="109" spans="1:43" s="47" customFormat="1" x14ac:dyDescent="0.25">
      <c r="A109" s="11"/>
      <c r="B109" s="44">
        <f>WEEKNUM(MIP[[#This Row],[Data]])</f>
        <v>23</v>
      </c>
      <c r="C109" s="45">
        <v>42891</v>
      </c>
      <c r="D109" s="45"/>
      <c r="E109" s="35" t="s">
        <v>7</v>
      </c>
      <c r="F109" s="35" t="s">
        <v>5</v>
      </c>
      <c r="G109" s="35"/>
      <c r="H109" s="44">
        <v>2</v>
      </c>
      <c r="I109" s="44">
        <v>12</v>
      </c>
      <c r="J109" s="44">
        <v>2</v>
      </c>
      <c r="K109" s="44">
        <v>0</v>
      </c>
      <c r="L109" s="44">
        <v>0</v>
      </c>
      <c r="M109" s="43">
        <v>0.625</v>
      </c>
      <c r="N109" s="43">
        <v>0.64583333333333337</v>
      </c>
      <c r="O109" s="43">
        <f>1+18/24/60</f>
        <v>1.0125</v>
      </c>
      <c r="P109" s="43">
        <f>1+48/24/60</f>
        <v>1.0333333333333334</v>
      </c>
      <c r="Q109" s="39"/>
      <c r="R109" s="42"/>
      <c r="S109" s="44">
        <f>MIP[[#This Row],[PT-1]]+MIP[[#This Row],[PT-2]]*2+MIP[[#This Row],[PT-3]]*3+MIP[[#This Row],[PT &gt; 3 Pontos]]</f>
        <v>16</v>
      </c>
      <c r="T10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109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109" s="41">
        <f>MIP[[#This Row],[Eficiência]]</f>
        <v>1.1942392852718937</v>
      </c>
      <c r="W10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09" s="39">
        <f>IF(MIP[[#This Row],[P.S]]-MIP[[#This Row],[P.E]]&lt;0,1+MIP[[#This Row],[P.S]]-MIP[[#This Row],[P.E]]-1/24,MIP[[#This Row],[P.S]]-MIP[[#This Row],[P.E]]-1/24)</f>
        <v>0.36666666666666675</v>
      </c>
      <c r="Y109" s="39">
        <f>MIP[[#This Row],[PT-1]]*$S$3+MIP[[#This Row],[PT-2]]*$T$3+MIP[[#This Row],[PT-3]]*$U$3+MIP[[#This Row],[PT &gt; 3 Pontos]]*$V$3</f>
        <v>0.38812776771336532</v>
      </c>
      <c r="Z109" s="39">
        <f>MIP[[#This Row],[HH disponível]]-MIP[[#This Row],[HH AC TOT]]</f>
        <v>0.3249999999999999</v>
      </c>
      <c r="AA109" s="38">
        <f>MIP[[#This Row],[HH Produtivo
Total]]/MIP[[#This Row],[HH Trabalhado]]</f>
        <v>1.1942392852718937</v>
      </c>
      <c r="AB109" s="38">
        <f>MIP[[#This Row],[HH Produtivo
Total]]/MIP[[#This Row],[HH disponível]]</f>
        <v>1.0585302755819053</v>
      </c>
      <c r="AC109" s="38">
        <f>MIP[[#This Row],[HH Trabalhado]]/MIP[[#This Row],[HH disponível]]</f>
        <v>0.88636363636363591</v>
      </c>
      <c r="AD109" s="37" t="str">
        <f>LEFT(MIP[[#This Row],[Equipe]], SEARCH("/",MIP[[#This Row],[Equipe]],1)-1)</f>
        <v xml:space="preserve">ANDERSON </v>
      </c>
      <c r="AE109" s="37" t="str">
        <f>RIGHT(MIP[[#This Row],[Equipe]], LEN(MIP[[#This Row],[Equipe]])-SEARCH("/",MIP[[#This Row],[Equipe]],1))</f>
        <v xml:space="preserve"> MARCO</v>
      </c>
      <c r="AF109" s="44">
        <f>COUNTIFS('[1]Tempo parado'!H:H,"&gt;="&amp;MIP[[#This Row],[S.B Sitrack]],'[1]Tempo parado'!I:I,"&lt;="&amp;MIP[[#This Row],[C.B Sitrack]],'[1]Tempo parado'!B:B,MIP[[#This Row],[Placa]])</f>
        <v>0</v>
      </c>
      <c r="AG109" s="36"/>
      <c r="AH109" s="35"/>
      <c r="AI109" s="34"/>
      <c r="AJ109" s="34"/>
      <c r="AK10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0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09" s="32">
        <f>SUMIFS('[1]Tempo parado'!J:J,'[1]Tempo parado'!H:H,"&gt;="&amp;MIP[[#This Row],[S.B Sitrack]],'[1]Tempo parado'!I:I,"&lt;="&amp;MIP[[#This Row],[C.B Sitrack]],'[1]Tempo parado'!B:B,MIP[[#This Row],[Placa]])</f>
        <v>0</v>
      </c>
      <c r="AN109" s="32" t="str">
        <f>IFERROR(MIP[[#This Row],[Tempo parado]]/(MIP[[#This Row],[C.B Sitrack]]-MIP[[#This Row],[S.B Sitrack]]),"")</f>
        <v/>
      </c>
      <c r="AO109" s="30"/>
      <c r="AP109" s="44">
        <f>IF(AND(MIP[Exc]=0,MIP[Previsto / Realizado]="Realizado"),MIP[Sem],0)</f>
        <v>0</v>
      </c>
      <c r="AQ109" s="29">
        <f>IF(AND(MIP[Exc]=0,MIP[Previsto / Realizado]="Realizado",ISBLANK(MIP[[#This Row],[S.B Sitrack]])=FALSE,ISBLANK(MIP[[#This Row],[C.B Sitrack]])=FALSE),MIP[Sem],0)</f>
        <v>0</v>
      </c>
    </row>
    <row r="110" spans="1:43" s="64" customFormat="1" x14ac:dyDescent="0.25">
      <c r="A110" s="11"/>
      <c r="B110" s="44">
        <f>WEEKNUM(MIP[[#This Row],[Data]])</f>
        <v>23</v>
      </c>
      <c r="C110" s="45">
        <v>42891</v>
      </c>
      <c r="D110" s="45"/>
      <c r="E110" s="35" t="s">
        <v>7</v>
      </c>
      <c r="F110" s="35" t="s">
        <v>2</v>
      </c>
      <c r="G110" s="35"/>
      <c r="H110" s="44">
        <v>2</v>
      </c>
      <c r="I110" s="44">
        <v>8</v>
      </c>
      <c r="J110" s="44">
        <v>1</v>
      </c>
      <c r="K110" s="44">
        <v>0</v>
      </c>
      <c r="L110" s="44">
        <v>0</v>
      </c>
      <c r="M110" s="43">
        <v>0.62777777777777777</v>
      </c>
      <c r="N110" s="43">
        <v>0.65486111111111112</v>
      </c>
      <c r="O110" s="43">
        <f>1+25/24/60</f>
        <v>1.0173611111111112</v>
      </c>
      <c r="P110" s="43">
        <f>1+48/24/60</f>
        <v>1.0333333333333334</v>
      </c>
      <c r="Q110" s="39"/>
      <c r="R110" s="42"/>
      <c r="S110" s="44">
        <f>MIP[[#This Row],[PT-1]]+MIP[[#This Row],[PT-2]]*2+MIP[[#This Row],[PT-3]]*3+MIP[[#This Row],[PT &gt; 3 Pontos]]</f>
        <v>10</v>
      </c>
      <c r="T11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4.3055555555555625E-2</v>
      </c>
      <c r="U110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4.3055555555555625E-2</v>
      </c>
      <c r="V110" s="41">
        <f>MIP[[#This Row],[Eficiência]]</f>
        <v>0.76087976033628157</v>
      </c>
      <c r="W11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10" s="39">
        <f>IF(MIP[[#This Row],[P.S]]-MIP[[#This Row],[P.E]]&lt;0,1+MIP[[#This Row],[P.S]]-MIP[[#This Row],[P.E]]-1/24,MIP[[#This Row],[P.S]]-MIP[[#This Row],[P.E]]-1/24)</f>
        <v>0.36388888888888898</v>
      </c>
      <c r="Y110" s="39">
        <f>MIP[[#This Row],[PT-1]]*$S$3+MIP[[#This Row],[PT-2]]*$T$3+MIP[[#This Row],[PT-3]]*$U$3+MIP[[#This Row],[PT &gt; 3 Pontos]]*$V$3</f>
        <v>0.24411558977455702</v>
      </c>
      <c r="Z110" s="39">
        <f>MIP[[#This Row],[HH disponível]]-MIP[[#This Row],[HH AC TOT]]</f>
        <v>0.32083333333333336</v>
      </c>
      <c r="AA110" s="38">
        <f>MIP[[#This Row],[HH Produtivo
Total]]/MIP[[#This Row],[HH Trabalhado]]</f>
        <v>0.76087976033628157</v>
      </c>
      <c r="AB110" s="38">
        <f>MIP[[#This Row],[HH Produtivo
Total]]/MIP[[#This Row],[HH disponível]]</f>
        <v>0.67085200243389698</v>
      </c>
      <c r="AC110" s="38">
        <f>MIP[[#This Row],[HH Trabalhado]]/MIP[[#This Row],[HH disponível]]</f>
        <v>0.88167938931297696</v>
      </c>
      <c r="AD110" s="37" t="str">
        <f>LEFT(MIP[[#This Row],[Equipe]], SEARCH("/",MIP[[#This Row],[Equipe]],1)-1)</f>
        <v xml:space="preserve">ANDERSON </v>
      </c>
      <c r="AE110" s="37" t="str">
        <f>RIGHT(MIP[[#This Row],[Equipe]], LEN(MIP[[#This Row],[Equipe]])-SEARCH("/",MIP[[#This Row],[Equipe]],1))</f>
        <v xml:space="preserve"> MARCO</v>
      </c>
      <c r="AF110" s="44">
        <f>COUNTIFS('[1]Tempo parado'!H:H,"&gt;="&amp;MIP[[#This Row],[S.B Sitrack]],'[1]Tempo parado'!I:I,"&lt;="&amp;MIP[[#This Row],[C.B Sitrack]],'[1]Tempo parado'!B:B,MIP[[#This Row],[Placa]])</f>
        <v>0</v>
      </c>
      <c r="AG110" s="36"/>
      <c r="AH110" s="35"/>
      <c r="AI110" s="34"/>
      <c r="AJ110" s="34"/>
      <c r="AK11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1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10" s="32">
        <f>SUMIFS('[1]Tempo parado'!J:J,'[1]Tempo parado'!H:H,"&gt;="&amp;MIP[[#This Row],[S.B Sitrack]],'[1]Tempo parado'!I:I,"&lt;="&amp;MIP[[#This Row],[C.B Sitrack]],'[1]Tempo parado'!B:B,MIP[[#This Row],[Placa]])</f>
        <v>0</v>
      </c>
      <c r="AN110" s="32" t="str">
        <f>IFERROR(MIP[[#This Row],[Tempo parado]]/(MIP[[#This Row],[C.B Sitrack]]-MIP[[#This Row],[S.B Sitrack]]),"")</f>
        <v/>
      </c>
      <c r="AO110" s="30"/>
      <c r="AP110" s="44">
        <f>IF(AND(MIP[Exc]=0,MIP[Previsto / Realizado]="Realizado"),MIP[Sem],0)</f>
        <v>23</v>
      </c>
      <c r="AQ110" s="29">
        <f>IF(AND(MIP[Exc]=0,MIP[Previsto / Realizado]="Realizado",ISBLANK(MIP[[#This Row],[S.B Sitrack]])=FALSE,ISBLANK(MIP[[#This Row],[C.B Sitrack]])=FALSE),MIP[Sem],0)</f>
        <v>0</v>
      </c>
    </row>
    <row r="111" spans="1:43" s="47" customFormat="1" x14ac:dyDescent="0.25">
      <c r="A111" s="11"/>
      <c r="B111" s="44">
        <f>WEEKNUM(MIP[[#This Row],[Data]])</f>
        <v>23</v>
      </c>
      <c r="C111" s="45">
        <v>42892</v>
      </c>
      <c r="D111" s="45"/>
      <c r="E111" s="35" t="s">
        <v>10</v>
      </c>
      <c r="F111" s="35" t="s">
        <v>5</v>
      </c>
      <c r="G111" s="35"/>
      <c r="H111" s="44">
        <v>2</v>
      </c>
      <c r="I111" s="44">
        <v>6</v>
      </c>
      <c r="J111" s="44">
        <v>4</v>
      </c>
      <c r="K111" s="44">
        <v>1</v>
      </c>
      <c r="L111" s="44">
        <v>0</v>
      </c>
      <c r="M111" s="43">
        <v>0.25</v>
      </c>
      <c r="N111" s="43">
        <v>0.27083333333333331</v>
      </c>
      <c r="O111" s="43">
        <v>0.63750000000000007</v>
      </c>
      <c r="P111" s="43">
        <v>0.65833333333333333</v>
      </c>
      <c r="Q111" s="39"/>
      <c r="R111" s="42"/>
      <c r="S111" s="44">
        <f>MIP[[#This Row],[PT-1]]+MIP[[#This Row],[PT-2]]*2+MIP[[#This Row],[PT-3]]*3+MIP[[#This Row],[PT &gt; 3 Pontos]]</f>
        <v>17</v>
      </c>
      <c r="T11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111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111" s="41">
        <f>MIP[[#This Row],[Eficiência]]</f>
        <v>1.195636496655518</v>
      </c>
      <c r="W11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11" s="39">
        <f>IF(MIP[[#This Row],[P.S]]-MIP[[#This Row],[P.E]]&lt;0,1+MIP[[#This Row],[P.S]]-MIP[[#This Row],[P.E]]-1/24,MIP[[#This Row],[P.S]]-MIP[[#This Row],[P.E]]-1/24)</f>
        <v>0.36666666666666664</v>
      </c>
      <c r="Y111" s="39">
        <f>MIP[[#This Row],[PT-1]]*$S$3+MIP[[#This Row],[PT-2]]*$T$3+MIP[[#This Row],[PT-3]]*$U$3+MIP[[#This Row],[PT &gt; 3 Pontos]]*$V$3</f>
        <v>0.38858186141304341</v>
      </c>
      <c r="Z111" s="39">
        <f>MIP[[#This Row],[HH disponível]]-MIP[[#This Row],[HH AC TOT]]</f>
        <v>0.32500000000000007</v>
      </c>
      <c r="AA111" s="38">
        <f>MIP[[#This Row],[HH Produtivo
Total]]/MIP[[#This Row],[HH Trabalhado]]</f>
        <v>1.195636496655518</v>
      </c>
      <c r="AB111" s="38">
        <f>MIP[[#This Row],[HH Produtivo
Total]]/MIP[[#This Row],[HH disponível]]</f>
        <v>1.059768712944664</v>
      </c>
      <c r="AC111" s="38">
        <f>MIP[[#This Row],[HH Trabalhado]]/MIP[[#This Row],[HH disponível]]</f>
        <v>0.88636363636363658</v>
      </c>
      <c r="AD111" s="37" t="str">
        <f>LEFT(MIP[[#This Row],[Equipe]], SEARCH("/",MIP[[#This Row],[Equipe]],1)-1)</f>
        <v xml:space="preserve">JOILSON </v>
      </c>
      <c r="AE111" s="37" t="str">
        <f>RIGHT(MIP[[#This Row],[Equipe]], LEN(MIP[[#This Row],[Equipe]])-SEARCH("/",MIP[[#This Row],[Equipe]],1))</f>
        <v xml:space="preserve"> VALDEI</v>
      </c>
      <c r="AF111" s="44">
        <f>COUNTIFS('[1]Tempo parado'!H:H,"&gt;="&amp;MIP[[#This Row],[S.B Sitrack]],'[1]Tempo parado'!I:I,"&lt;="&amp;MIP[[#This Row],[C.B Sitrack]],'[1]Tempo parado'!B:B,MIP[[#This Row],[Placa]])</f>
        <v>0</v>
      </c>
      <c r="AG111" s="36"/>
      <c r="AH111" s="35"/>
      <c r="AI111" s="34"/>
      <c r="AJ111" s="34"/>
      <c r="AK11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1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11" s="32">
        <f>SUMIFS('[1]Tempo parado'!J:J,'[1]Tempo parado'!H:H,"&gt;="&amp;MIP[[#This Row],[S.B Sitrack]],'[1]Tempo parado'!I:I,"&lt;="&amp;MIP[[#This Row],[C.B Sitrack]],'[1]Tempo parado'!B:B,MIP[[#This Row],[Placa]])</f>
        <v>0</v>
      </c>
      <c r="AN111" s="32" t="str">
        <f>IFERROR(MIP[[#This Row],[Tempo parado]]/(MIP[[#This Row],[C.B Sitrack]]-MIP[[#This Row],[S.B Sitrack]]),"")</f>
        <v/>
      </c>
      <c r="AO111" s="30"/>
      <c r="AP111" s="44">
        <f>IF(AND(MIP[Exc]=0,MIP[Previsto / Realizado]="Realizado"),MIP[Sem],0)</f>
        <v>0</v>
      </c>
      <c r="AQ111" s="29">
        <f>IF(AND(MIP[Exc]=0,MIP[Previsto / Realizado]="Realizado",ISBLANK(MIP[[#This Row],[S.B Sitrack]])=FALSE,ISBLANK(MIP[[#This Row],[C.B Sitrack]])=FALSE),MIP[Sem],0)</f>
        <v>0</v>
      </c>
    </row>
    <row r="112" spans="1:43" s="64" customFormat="1" x14ac:dyDescent="0.25">
      <c r="A112" s="11"/>
      <c r="B112" s="44">
        <f>WEEKNUM(MIP[[#This Row],[Data]])</f>
        <v>23</v>
      </c>
      <c r="C112" s="45">
        <v>42892</v>
      </c>
      <c r="D112" s="45"/>
      <c r="E112" s="35" t="s">
        <v>10</v>
      </c>
      <c r="F112" s="35" t="s">
        <v>2</v>
      </c>
      <c r="G112" s="35"/>
      <c r="H112" s="44">
        <v>2</v>
      </c>
      <c r="I112" s="44">
        <v>4</v>
      </c>
      <c r="J112" s="44">
        <v>2</v>
      </c>
      <c r="K112" s="44">
        <v>1</v>
      </c>
      <c r="L112" s="44">
        <v>0</v>
      </c>
      <c r="M112" s="43">
        <v>0.25555555555555559</v>
      </c>
      <c r="N112" s="43">
        <v>0.28819444444444448</v>
      </c>
      <c r="O112" s="43">
        <v>0.63194444444444442</v>
      </c>
      <c r="P112" s="43">
        <v>0.68611111111111101</v>
      </c>
      <c r="Q112" s="39"/>
      <c r="R112" s="42" t="s">
        <v>429</v>
      </c>
      <c r="S112" s="44">
        <f>MIP[[#This Row],[PT-1]]+MIP[[#This Row],[PT-2]]*2+MIP[[#This Row],[PT-3]]*3+MIP[[#This Row],[PT &gt; 3 Pontos]]</f>
        <v>11</v>
      </c>
      <c r="T11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8.6805555555555469E-2</v>
      </c>
      <c r="U112" s="39">
        <f>IF(MIP[[#This Row],[P.S]]-MIP[[#This Row],[U.P]]&gt;=0,MIP[[#This Row],[P.S]]-MIP[[#This Row],[U.P]]+MIP[[#This Row],[S.B]]-MIP[[#This Row],[P.E]],1+MIP[[#This Row],[P.S]]-MIP[[#This Row],[U.P]]+MIP[[#This Row],[S.B]]-MIP[[#This Row],[P.E]])</f>
        <v>8.6805555555555469E-2</v>
      </c>
      <c r="V112" s="41">
        <f>MIP[[#This Row],[Eficiência]]</f>
        <v>0.82994523571547563</v>
      </c>
      <c r="W11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12" s="39">
        <f>IF(MIP[[#This Row],[P.S]]-MIP[[#This Row],[P.E]]&lt;0,1+MIP[[#This Row],[P.S]]-MIP[[#This Row],[P.E]]-1/24,MIP[[#This Row],[P.S]]-MIP[[#This Row],[P.E]]-1/24)</f>
        <v>0.38888888888888873</v>
      </c>
      <c r="Y112" s="39">
        <f>MIP[[#This Row],[PT-1]]*$S$3+MIP[[#This Row],[PT-2]]*$T$3+MIP[[#This Row],[PT-3]]*$U$3+MIP[[#This Row],[PT &gt; 3 Pontos]]*$V$3</f>
        <v>0.25071262328904986</v>
      </c>
      <c r="Z112" s="39">
        <f>MIP[[#This Row],[HH disponível]]-MIP[[#This Row],[HH AC TOT]]</f>
        <v>0.30208333333333326</v>
      </c>
      <c r="AA112" s="38">
        <f>MIP[[#This Row],[HH Produtivo
Total]]/MIP[[#This Row],[HH Trabalhado]]</f>
        <v>0.82994523571547563</v>
      </c>
      <c r="AB112" s="38">
        <f>MIP[[#This Row],[HH Produtivo
Total]]/MIP[[#This Row],[HH disponível]]</f>
        <v>0.64468960274327136</v>
      </c>
      <c r="AC112" s="38">
        <f>MIP[[#This Row],[HH Trabalhado]]/MIP[[#This Row],[HH disponível]]</f>
        <v>0.77678571428571441</v>
      </c>
      <c r="AD112" s="37" t="str">
        <f>LEFT(MIP[[#This Row],[Equipe]], SEARCH("/",MIP[[#This Row],[Equipe]],1)-1)</f>
        <v xml:space="preserve">JOILSON </v>
      </c>
      <c r="AE112" s="37" t="str">
        <f>RIGHT(MIP[[#This Row],[Equipe]], LEN(MIP[[#This Row],[Equipe]])-SEARCH("/",MIP[[#This Row],[Equipe]],1))</f>
        <v xml:space="preserve"> VALDEI</v>
      </c>
      <c r="AF112" s="44">
        <f>COUNTIFS('[1]Tempo parado'!H:H,"&gt;="&amp;MIP[[#This Row],[S.B Sitrack]],'[1]Tempo parado'!I:I,"&lt;="&amp;MIP[[#This Row],[C.B Sitrack]],'[1]Tempo parado'!B:B,MIP[[#This Row],[Placa]])</f>
        <v>0</v>
      </c>
      <c r="AG112" s="36"/>
      <c r="AH112" s="35"/>
      <c r="AI112" s="34"/>
      <c r="AJ112" s="34"/>
      <c r="AK11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1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12" s="32">
        <f>SUMIFS('[1]Tempo parado'!J:J,'[1]Tempo parado'!H:H,"&gt;="&amp;MIP[[#This Row],[S.B Sitrack]],'[1]Tempo parado'!I:I,"&lt;="&amp;MIP[[#This Row],[C.B Sitrack]],'[1]Tempo parado'!B:B,MIP[[#This Row],[Placa]])</f>
        <v>0</v>
      </c>
      <c r="AN112" s="32" t="str">
        <f>IFERROR(MIP[[#This Row],[Tempo parado]]/(MIP[[#This Row],[C.B Sitrack]]-MIP[[#This Row],[S.B Sitrack]]),"")</f>
        <v/>
      </c>
      <c r="AO112" s="30"/>
      <c r="AP112" s="44">
        <f>IF(AND(MIP[Exc]=0,MIP[Previsto / Realizado]="Realizado"),MIP[Sem],0)</f>
        <v>23</v>
      </c>
      <c r="AQ112" s="29">
        <f>IF(AND(MIP[Exc]=0,MIP[Previsto / Realizado]="Realizado",ISBLANK(MIP[[#This Row],[S.B Sitrack]])=FALSE,ISBLANK(MIP[[#This Row],[C.B Sitrack]])=FALSE),MIP[Sem],0)</f>
        <v>0</v>
      </c>
    </row>
    <row r="113" spans="1:43" s="47" customFormat="1" x14ac:dyDescent="0.25">
      <c r="A113" s="11"/>
      <c r="B113" s="44">
        <f>WEEKNUM(MIP[[#This Row],[Data]])</f>
        <v>23</v>
      </c>
      <c r="C113" s="45">
        <v>42892</v>
      </c>
      <c r="D113" s="45"/>
      <c r="E113" s="35" t="s">
        <v>3</v>
      </c>
      <c r="F113" s="35" t="s">
        <v>5</v>
      </c>
      <c r="G113" s="35"/>
      <c r="H113" s="44">
        <v>2</v>
      </c>
      <c r="I113" s="44">
        <v>8</v>
      </c>
      <c r="J113" s="44">
        <v>2</v>
      </c>
      <c r="K113" s="44">
        <v>0</v>
      </c>
      <c r="L113" s="44">
        <v>4</v>
      </c>
      <c r="M113" s="43">
        <v>0.625</v>
      </c>
      <c r="N113" s="43">
        <v>0.64583333333333337</v>
      </c>
      <c r="O113" s="43">
        <f>1+18/24/60</f>
        <v>1.0125</v>
      </c>
      <c r="P113" s="43">
        <f>1+48/24/60</f>
        <v>1.0333333333333334</v>
      </c>
      <c r="Q113" s="39"/>
      <c r="R113" s="42"/>
      <c r="S113" s="44">
        <f>MIP[[#This Row],[PT-1]]+MIP[[#This Row],[PT-2]]*2+MIP[[#This Row],[PT-3]]*3+MIP[[#This Row],[PT &gt; 3 Pontos]]</f>
        <v>16</v>
      </c>
      <c r="T11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113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113" s="41">
        <f>MIP[[#This Row],[Eficiência]]</f>
        <v>1.1354350750787949</v>
      </c>
      <c r="W11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13" s="39">
        <f>IF(MIP[[#This Row],[P.S]]-MIP[[#This Row],[P.E]]&lt;0,1+MIP[[#This Row],[P.S]]-MIP[[#This Row],[P.E]]-1/24,MIP[[#This Row],[P.S]]-MIP[[#This Row],[P.E]]-1/24)</f>
        <v>0.36666666666666675</v>
      </c>
      <c r="Y113" s="39">
        <f>MIP[[#This Row],[PT-1]]*$S$3+MIP[[#This Row],[PT-2]]*$T$3+MIP[[#This Row],[PT-3]]*$U$3+MIP[[#This Row],[PT &gt; 3 Pontos]]*$V$3</f>
        <v>0.36901639940060826</v>
      </c>
      <c r="Z113" s="39">
        <f>MIP[[#This Row],[HH disponível]]-MIP[[#This Row],[HH AC TOT]]</f>
        <v>0.3249999999999999</v>
      </c>
      <c r="AA113" s="38">
        <f>MIP[[#This Row],[HH Produtivo
Total]]/MIP[[#This Row],[HH Trabalhado]]</f>
        <v>1.1354350750787949</v>
      </c>
      <c r="AB113" s="38">
        <f>MIP[[#This Row],[HH Produtivo
Total]]/MIP[[#This Row],[HH disponível]]</f>
        <v>1.0064083620016586</v>
      </c>
      <c r="AC113" s="38">
        <f>MIP[[#This Row],[HH Trabalhado]]/MIP[[#This Row],[HH disponível]]</f>
        <v>0.88636363636363591</v>
      </c>
      <c r="AD113" s="37" t="str">
        <f>LEFT(MIP[[#This Row],[Equipe]], SEARCH("/",MIP[[#This Row],[Equipe]],1)-1)</f>
        <v xml:space="preserve">EDILTON </v>
      </c>
      <c r="AE113" s="37" t="str">
        <f>RIGHT(MIP[[#This Row],[Equipe]], LEN(MIP[[#This Row],[Equipe]])-SEARCH("/",MIP[[#This Row],[Equipe]],1))</f>
        <v xml:space="preserve"> GECIVALDO</v>
      </c>
      <c r="AF113" s="44">
        <f>COUNTIFS('[1]Tempo parado'!H:H,"&gt;="&amp;MIP[[#This Row],[S.B Sitrack]],'[1]Tempo parado'!I:I,"&lt;="&amp;MIP[[#This Row],[C.B Sitrack]],'[1]Tempo parado'!B:B,MIP[[#This Row],[Placa]])</f>
        <v>0</v>
      </c>
      <c r="AG113" s="36"/>
      <c r="AH113" s="35"/>
      <c r="AI113" s="34"/>
      <c r="AJ113" s="34"/>
      <c r="AK11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1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13" s="32">
        <f>SUMIFS('[1]Tempo parado'!J:J,'[1]Tempo parado'!H:H,"&gt;="&amp;MIP[[#This Row],[S.B Sitrack]],'[1]Tempo parado'!I:I,"&lt;="&amp;MIP[[#This Row],[C.B Sitrack]],'[1]Tempo parado'!B:B,MIP[[#This Row],[Placa]])</f>
        <v>0</v>
      </c>
      <c r="AN113" s="32" t="str">
        <f>IFERROR(MIP[[#This Row],[Tempo parado]]/(MIP[[#This Row],[C.B Sitrack]]-MIP[[#This Row],[S.B Sitrack]]),"")</f>
        <v/>
      </c>
      <c r="AO113" s="30"/>
      <c r="AP113" s="44">
        <f>IF(AND(MIP[Exc]=0,MIP[Previsto / Realizado]="Realizado"),MIP[Sem],0)</f>
        <v>0</v>
      </c>
      <c r="AQ113" s="29">
        <f>IF(AND(MIP[Exc]=0,MIP[Previsto / Realizado]="Realizado",ISBLANK(MIP[[#This Row],[S.B Sitrack]])=FALSE,ISBLANK(MIP[[#This Row],[C.B Sitrack]])=FALSE),MIP[Sem],0)</f>
        <v>0</v>
      </c>
    </row>
    <row r="114" spans="1:43" s="64" customFormat="1" x14ac:dyDescent="0.25">
      <c r="A114" s="11"/>
      <c r="B114" s="44">
        <f>WEEKNUM(MIP[[#This Row],[Data]])</f>
        <v>23</v>
      </c>
      <c r="C114" s="45">
        <v>42892</v>
      </c>
      <c r="D114" s="45"/>
      <c r="E114" s="35" t="s">
        <v>3</v>
      </c>
      <c r="F114" s="35" t="s">
        <v>2</v>
      </c>
      <c r="G114" s="35"/>
      <c r="H114" s="44">
        <v>2</v>
      </c>
      <c r="I114" s="44">
        <v>8</v>
      </c>
      <c r="J114" s="44">
        <v>2</v>
      </c>
      <c r="K114" s="44">
        <v>0</v>
      </c>
      <c r="L114" s="44">
        <v>0</v>
      </c>
      <c r="M114" s="43">
        <v>0.62222222222222223</v>
      </c>
      <c r="N114" s="43">
        <v>0.71944444444444444</v>
      </c>
      <c r="O114" s="43">
        <v>0.97013888888888899</v>
      </c>
      <c r="P114" s="43">
        <f>1+50/24/60</f>
        <v>1.0347222222222223</v>
      </c>
      <c r="Q114" s="39"/>
      <c r="R114" s="42" t="s">
        <v>428</v>
      </c>
      <c r="S114" s="44">
        <f>MIP[[#This Row],[PT-1]]+MIP[[#This Row],[PT-2]]*2+MIP[[#This Row],[PT-3]]*3+MIP[[#This Row],[PT &gt; 3 Pontos]]</f>
        <v>12</v>
      </c>
      <c r="T11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0.16180555555555554</v>
      </c>
      <c r="U114" s="39">
        <f>IF(MIP[[#This Row],[P.S]]-MIP[[#This Row],[U.P]]&gt;=0,MIP[[#This Row],[P.S]]-MIP[[#This Row],[U.P]]+MIP[[#This Row],[S.B]]-MIP[[#This Row],[P.E]],1+MIP[[#This Row],[P.S]]-MIP[[#This Row],[U.P]]+MIP[[#This Row],[S.B]]-MIP[[#This Row],[P.E]])</f>
        <v>0.16180555555555554</v>
      </c>
      <c r="V114" s="41">
        <f>MIP[[#This Row],[Eficiência]]</f>
        <v>1.3779238287832816</v>
      </c>
      <c r="W11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14" s="39">
        <f>IF(MIP[[#This Row],[P.S]]-MIP[[#This Row],[P.E]]&lt;0,1+MIP[[#This Row],[P.S]]-MIP[[#This Row],[P.E]]-1/24,MIP[[#This Row],[P.S]]-MIP[[#This Row],[P.E]]-1/24)</f>
        <v>0.3708333333333334</v>
      </c>
      <c r="Y114" s="39">
        <f>MIP[[#This Row],[PT-1]]*$S$3+MIP[[#This Row],[PT-2]]*$T$3+MIP[[#This Row],[PT-3]]*$U$3+MIP[[#This Row],[PT &gt; 3 Pontos]]*$V$3</f>
        <v>0.2880243558776166</v>
      </c>
      <c r="Z114" s="39">
        <f>MIP[[#This Row],[HH disponível]]-MIP[[#This Row],[HH AC TOT]]</f>
        <v>0.20902777777777787</v>
      </c>
      <c r="AA114" s="38">
        <f>MIP[[#This Row],[HH Produtivo
Total]]/MIP[[#This Row],[HH Trabalhado]]</f>
        <v>1.3779238287832816</v>
      </c>
      <c r="AB114" s="38">
        <f>MIP[[#This Row],[HH Produtivo
Total]]/MIP[[#This Row],[HH disponível]]</f>
        <v>0.77669489225424682</v>
      </c>
      <c r="AC114" s="38">
        <f>MIP[[#This Row],[HH Trabalhado]]/MIP[[#This Row],[HH disponível]]</f>
        <v>0.56367041198501888</v>
      </c>
      <c r="AD114" s="37" t="str">
        <f>LEFT(MIP[[#This Row],[Equipe]], SEARCH("/",MIP[[#This Row],[Equipe]],1)-1)</f>
        <v xml:space="preserve">EDILTON </v>
      </c>
      <c r="AE114" s="37" t="str">
        <f>RIGHT(MIP[[#This Row],[Equipe]], LEN(MIP[[#This Row],[Equipe]])-SEARCH("/",MIP[[#This Row],[Equipe]],1))</f>
        <v xml:space="preserve"> GECIVALDO</v>
      </c>
      <c r="AF114" s="44">
        <f>COUNTIFS('[1]Tempo parado'!H:H,"&gt;="&amp;MIP[[#This Row],[S.B Sitrack]],'[1]Tempo parado'!I:I,"&lt;="&amp;MIP[[#This Row],[C.B Sitrack]],'[1]Tempo parado'!B:B,MIP[[#This Row],[Placa]])</f>
        <v>0</v>
      </c>
      <c r="AG114" s="36"/>
      <c r="AH114" s="35"/>
      <c r="AI114" s="34"/>
      <c r="AJ114" s="34"/>
      <c r="AK11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1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14" s="32">
        <f>SUMIFS('[1]Tempo parado'!J:J,'[1]Tempo parado'!H:H,"&gt;="&amp;MIP[[#This Row],[S.B Sitrack]],'[1]Tempo parado'!I:I,"&lt;="&amp;MIP[[#This Row],[C.B Sitrack]],'[1]Tempo parado'!B:B,MIP[[#This Row],[Placa]])</f>
        <v>0</v>
      </c>
      <c r="AN114" s="32" t="str">
        <f>IFERROR(MIP[[#This Row],[Tempo parado]]/(MIP[[#This Row],[C.B Sitrack]]-MIP[[#This Row],[S.B Sitrack]]),"")</f>
        <v/>
      </c>
      <c r="AO114" s="30"/>
      <c r="AP114" s="44">
        <f>IF(AND(MIP[Exc]=0,MIP[Previsto / Realizado]="Realizado"),MIP[Sem],0)</f>
        <v>23</v>
      </c>
      <c r="AQ114" s="29">
        <f>IF(AND(MIP[Exc]=0,MIP[Previsto / Realizado]="Realizado",ISBLANK(MIP[[#This Row],[S.B Sitrack]])=FALSE,ISBLANK(MIP[[#This Row],[C.B Sitrack]])=FALSE),MIP[Sem],0)</f>
        <v>0</v>
      </c>
    </row>
    <row r="115" spans="1:43" s="47" customFormat="1" x14ac:dyDescent="0.25">
      <c r="A115" s="11"/>
      <c r="B115" s="44">
        <f>WEEKNUM(MIP[[#This Row],[Data]])</f>
        <v>23</v>
      </c>
      <c r="C115" s="45">
        <v>42892</v>
      </c>
      <c r="D115" s="45"/>
      <c r="E115" s="35" t="s">
        <v>19</v>
      </c>
      <c r="F115" s="35" t="s">
        <v>5</v>
      </c>
      <c r="G115" s="35"/>
      <c r="H115" s="44">
        <v>2</v>
      </c>
      <c r="I115" s="44">
        <v>2</v>
      </c>
      <c r="J115" s="44">
        <v>3</v>
      </c>
      <c r="K115" s="44">
        <v>3</v>
      </c>
      <c r="L115" s="44">
        <v>0</v>
      </c>
      <c r="M115" s="43">
        <v>0.625</v>
      </c>
      <c r="N115" s="43">
        <v>0.64583333333333337</v>
      </c>
      <c r="O115" s="43">
        <f>1+18/24/60</f>
        <v>1.0125</v>
      </c>
      <c r="P115" s="43">
        <f>1+48/24/60</f>
        <v>1.0333333333333334</v>
      </c>
      <c r="Q115" s="39"/>
      <c r="R115" s="42" t="s">
        <v>427</v>
      </c>
      <c r="S115" s="44">
        <f>MIP[[#This Row],[PT-1]]+MIP[[#This Row],[PT-2]]*2+MIP[[#This Row],[PT-3]]*3+MIP[[#This Row],[PT &gt; 3 Pontos]]</f>
        <v>17</v>
      </c>
      <c r="T11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115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115" s="41">
        <f>MIP[[#This Row],[Eficiência]]</f>
        <v>1.1389324368264591</v>
      </c>
      <c r="W11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15" s="39">
        <f>IF(MIP[[#This Row],[P.S]]-MIP[[#This Row],[P.E]]&lt;0,1+MIP[[#This Row],[P.S]]-MIP[[#This Row],[P.E]]-1/24,MIP[[#This Row],[P.S]]-MIP[[#This Row],[P.E]]-1/24)</f>
        <v>0.36666666666666675</v>
      </c>
      <c r="Y115" s="39">
        <f>MIP[[#This Row],[PT-1]]*$S$3+MIP[[#This Row],[PT-2]]*$T$3+MIP[[#This Row],[PT-3]]*$U$3+MIP[[#This Row],[PT &gt; 3 Pontos]]*$V$3</f>
        <v>0.37015304196859911</v>
      </c>
      <c r="Z115" s="39">
        <f>MIP[[#This Row],[HH disponível]]-MIP[[#This Row],[HH AC TOT]]</f>
        <v>0.3249999999999999</v>
      </c>
      <c r="AA115" s="38">
        <f>MIP[[#This Row],[HH Produtivo
Total]]/MIP[[#This Row],[HH Trabalhado]]</f>
        <v>1.1389324368264591</v>
      </c>
      <c r="AB115" s="38">
        <f>MIP[[#This Row],[HH Produtivo
Total]]/MIP[[#This Row],[HH disponível]]</f>
        <v>1.0095082962779973</v>
      </c>
      <c r="AC115" s="38">
        <f>MIP[[#This Row],[HH Trabalhado]]/MIP[[#This Row],[HH disponível]]</f>
        <v>0.88636363636363591</v>
      </c>
      <c r="AD115" s="37" t="str">
        <f>LEFT(MIP[[#This Row],[Equipe]], SEARCH("/",MIP[[#This Row],[Equipe]],1)-1)</f>
        <v xml:space="preserve">ADEMÁRIO </v>
      </c>
      <c r="AE115" s="37" t="str">
        <f>RIGHT(MIP[[#This Row],[Equipe]], LEN(MIP[[#This Row],[Equipe]])-SEARCH("/",MIP[[#This Row],[Equipe]],1))</f>
        <v xml:space="preserve"> RONALDO</v>
      </c>
      <c r="AF115" s="44">
        <f>COUNTIFS('[1]Tempo parado'!H:H,"&gt;="&amp;MIP[[#This Row],[S.B Sitrack]],'[1]Tempo parado'!I:I,"&lt;="&amp;MIP[[#This Row],[C.B Sitrack]],'[1]Tempo parado'!B:B,MIP[[#This Row],[Placa]])</f>
        <v>0</v>
      </c>
      <c r="AG115" s="36"/>
      <c r="AH115" s="35"/>
      <c r="AI115" s="34"/>
      <c r="AJ115" s="34"/>
      <c r="AK11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1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15" s="32">
        <f>SUMIFS('[1]Tempo parado'!J:J,'[1]Tempo parado'!H:H,"&gt;="&amp;MIP[[#This Row],[S.B Sitrack]],'[1]Tempo parado'!I:I,"&lt;="&amp;MIP[[#This Row],[C.B Sitrack]],'[1]Tempo parado'!B:B,MIP[[#This Row],[Placa]])</f>
        <v>0</v>
      </c>
      <c r="AN115" s="32" t="str">
        <f>IFERROR(MIP[[#This Row],[Tempo parado]]/(MIP[[#This Row],[C.B Sitrack]]-MIP[[#This Row],[S.B Sitrack]]),"")</f>
        <v/>
      </c>
      <c r="AO115" s="30"/>
      <c r="AP115" s="44">
        <f>IF(AND(MIP[Exc]=0,MIP[Previsto / Realizado]="Realizado"),MIP[Sem],0)</f>
        <v>0</v>
      </c>
      <c r="AQ115" s="29">
        <f>IF(AND(MIP[Exc]=0,MIP[Previsto / Realizado]="Realizado",ISBLANK(MIP[[#This Row],[S.B Sitrack]])=FALSE,ISBLANK(MIP[[#This Row],[C.B Sitrack]])=FALSE),MIP[Sem],0)</f>
        <v>0</v>
      </c>
    </row>
    <row r="116" spans="1:43" s="64" customFormat="1" x14ac:dyDescent="0.25">
      <c r="A116" s="11"/>
      <c r="B116" s="44">
        <f>WEEKNUM(MIP[[#This Row],[Data]])</f>
        <v>23</v>
      </c>
      <c r="C116" s="45">
        <v>42892</v>
      </c>
      <c r="D116" s="45"/>
      <c r="E116" s="35" t="s">
        <v>19</v>
      </c>
      <c r="F116" s="35" t="s">
        <v>2</v>
      </c>
      <c r="G116" s="35"/>
      <c r="H116" s="44">
        <v>2</v>
      </c>
      <c r="I116" s="44">
        <v>0</v>
      </c>
      <c r="J116" s="44">
        <v>0</v>
      </c>
      <c r="K116" s="44">
        <v>0</v>
      </c>
      <c r="L116" s="44">
        <v>0</v>
      </c>
      <c r="M116" s="43">
        <v>0.63472222222222219</v>
      </c>
      <c r="N116" s="43">
        <v>0.70138888888888884</v>
      </c>
      <c r="O116" s="43">
        <f>1+40/24/60</f>
        <v>1.0277777777777777</v>
      </c>
      <c r="P116" s="43">
        <f>1+59/24/60</f>
        <v>1.0409722222222222</v>
      </c>
      <c r="Q116" s="39"/>
      <c r="R116" s="42" t="s">
        <v>426</v>
      </c>
      <c r="S116" s="44">
        <f>MIP[[#This Row],[PT-1]]+MIP[[#This Row],[PT-2]]*2+MIP[[#This Row],[PT-3]]*3+MIP[[#This Row],[PT &gt; 3 Pontos]]</f>
        <v>0</v>
      </c>
      <c r="T11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7.986111111111116E-2</v>
      </c>
      <c r="U116" s="39">
        <f>IF(MIP[[#This Row],[P.S]]-MIP[[#This Row],[U.P]]&gt;=0,MIP[[#This Row],[P.S]]-MIP[[#This Row],[U.P]]+MIP[[#This Row],[S.B]]-MIP[[#This Row],[P.E]],1+MIP[[#This Row],[P.S]]-MIP[[#This Row],[U.P]]+MIP[[#This Row],[S.B]]-MIP[[#This Row],[P.E]])</f>
        <v>7.986111111111116E-2</v>
      </c>
      <c r="V116" s="41">
        <f>MIP[[#This Row],[Eficiência]]</f>
        <v>0</v>
      </c>
      <c r="W11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16" s="39">
        <f>IF(MIP[[#This Row],[P.S]]-MIP[[#This Row],[P.E]]&lt;0,1+MIP[[#This Row],[P.S]]-MIP[[#This Row],[P.E]]-1/24,MIP[[#This Row],[P.S]]-MIP[[#This Row],[P.E]]-1/24)</f>
        <v>0.36458333333333331</v>
      </c>
      <c r="Y116" s="39">
        <f>MIP[[#This Row],[PT-1]]*$S$3+MIP[[#This Row],[PT-2]]*$T$3+MIP[[#This Row],[PT-3]]*$U$3+MIP[[#This Row],[PT &gt; 3 Pontos]]*$V$3</f>
        <v>0</v>
      </c>
      <c r="Z116" s="39">
        <f>MIP[[#This Row],[HH disponível]]-MIP[[#This Row],[HH AC TOT]]</f>
        <v>0.28472222222222215</v>
      </c>
      <c r="AA116" s="38">
        <f>MIP[[#This Row],[HH Produtivo
Total]]/MIP[[#This Row],[HH Trabalhado]]</f>
        <v>0</v>
      </c>
      <c r="AB116" s="38">
        <f>MIP[[#This Row],[HH Produtivo
Total]]/MIP[[#This Row],[HH disponível]]</f>
        <v>0</v>
      </c>
      <c r="AC116" s="38">
        <f>MIP[[#This Row],[HH Trabalhado]]/MIP[[#This Row],[HH disponível]]</f>
        <v>0.78095238095238084</v>
      </c>
      <c r="AD116" s="37" t="str">
        <f>LEFT(MIP[[#This Row],[Equipe]], SEARCH("/",MIP[[#This Row],[Equipe]],1)-1)</f>
        <v xml:space="preserve">ADEMÁRIO </v>
      </c>
      <c r="AE116" s="37" t="str">
        <f>RIGHT(MIP[[#This Row],[Equipe]], LEN(MIP[[#This Row],[Equipe]])-SEARCH("/",MIP[[#This Row],[Equipe]],1))</f>
        <v xml:space="preserve"> RONALDO</v>
      </c>
      <c r="AF116" s="44">
        <f>COUNTIFS('[1]Tempo parado'!H:H,"&gt;="&amp;MIP[[#This Row],[S.B Sitrack]],'[1]Tempo parado'!I:I,"&lt;="&amp;MIP[[#This Row],[C.B Sitrack]],'[1]Tempo parado'!B:B,MIP[[#This Row],[Placa]])</f>
        <v>0</v>
      </c>
      <c r="AG116" s="36"/>
      <c r="AH116" s="35"/>
      <c r="AI116" s="34"/>
      <c r="AJ116" s="34"/>
      <c r="AK11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1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16" s="32">
        <f>SUMIFS('[1]Tempo parado'!J:J,'[1]Tempo parado'!H:H,"&gt;="&amp;MIP[[#This Row],[S.B Sitrack]],'[1]Tempo parado'!I:I,"&lt;="&amp;MIP[[#This Row],[C.B Sitrack]],'[1]Tempo parado'!B:B,MIP[[#This Row],[Placa]])</f>
        <v>0</v>
      </c>
      <c r="AN116" s="32" t="str">
        <f>IFERROR(MIP[[#This Row],[Tempo parado]]/(MIP[[#This Row],[C.B Sitrack]]-MIP[[#This Row],[S.B Sitrack]]),"")</f>
        <v/>
      </c>
      <c r="AO116" s="30"/>
      <c r="AP116" s="44">
        <f>IF(AND(MIP[Exc]=0,MIP[Previsto / Realizado]="Realizado"),MIP[Sem],0)</f>
        <v>23</v>
      </c>
      <c r="AQ116" s="29">
        <f>IF(AND(MIP[Exc]=0,MIP[Previsto / Realizado]="Realizado",ISBLANK(MIP[[#This Row],[S.B Sitrack]])=FALSE,ISBLANK(MIP[[#This Row],[C.B Sitrack]])=FALSE),MIP[Sem],0)</f>
        <v>0</v>
      </c>
    </row>
    <row r="117" spans="1:43" s="47" customFormat="1" x14ac:dyDescent="0.25">
      <c r="A117" s="11"/>
      <c r="B117" s="44">
        <f>WEEKNUM(MIP[[#This Row],[Data]])</f>
        <v>23</v>
      </c>
      <c r="C117" s="45">
        <v>42893</v>
      </c>
      <c r="D117" s="45"/>
      <c r="E117" s="35" t="s">
        <v>3</v>
      </c>
      <c r="F117" s="35" t="s">
        <v>5</v>
      </c>
      <c r="G117" s="35"/>
      <c r="H117" s="44">
        <v>2</v>
      </c>
      <c r="I117" s="44">
        <v>5</v>
      </c>
      <c r="J117" s="44">
        <v>6</v>
      </c>
      <c r="K117" s="44">
        <v>0</v>
      </c>
      <c r="L117" s="44">
        <v>0</v>
      </c>
      <c r="M117" s="43">
        <v>0.625</v>
      </c>
      <c r="N117" s="43">
        <v>0.64583333333333337</v>
      </c>
      <c r="O117" s="43">
        <f>1+18/24/60</f>
        <v>1.0125</v>
      </c>
      <c r="P117" s="43">
        <f>1+48/24/60</f>
        <v>1.0333333333333334</v>
      </c>
      <c r="Q117" s="39"/>
      <c r="R117" s="42"/>
      <c r="S117" s="44">
        <f>MIP[[#This Row],[PT-1]]+MIP[[#This Row],[PT-2]]*2+MIP[[#This Row],[PT-3]]*3+MIP[[#This Row],[PT &gt; 3 Pontos]]</f>
        <v>17</v>
      </c>
      <c r="T11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117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117" s="41">
        <f>MIP[[#This Row],[Eficiência]]</f>
        <v>1.1956364966555186</v>
      </c>
      <c r="W11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17" s="39">
        <f>IF(MIP[[#This Row],[P.S]]-MIP[[#This Row],[P.E]]&lt;0,1+MIP[[#This Row],[P.S]]-MIP[[#This Row],[P.E]]-1/24,MIP[[#This Row],[P.S]]-MIP[[#This Row],[P.E]]-1/24)</f>
        <v>0.36666666666666675</v>
      </c>
      <c r="Y117" s="39">
        <f>MIP[[#This Row],[PT-1]]*$S$3+MIP[[#This Row],[PT-2]]*$T$3+MIP[[#This Row],[PT-3]]*$U$3+MIP[[#This Row],[PT &gt; 3 Pontos]]*$V$3</f>
        <v>0.38858186141304341</v>
      </c>
      <c r="Z117" s="39">
        <f>MIP[[#This Row],[HH disponível]]-MIP[[#This Row],[HH AC TOT]]</f>
        <v>0.3249999999999999</v>
      </c>
      <c r="AA117" s="38">
        <f>MIP[[#This Row],[HH Produtivo
Total]]/MIP[[#This Row],[HH Trabalhado]]</f>
        <v>1.1956364966555186</v>
      </c>
      <c r="AB117" s="38">
        <f>MIP[[#This Row],[HH Produtivo
Total]]/MIP[[#This Row],[HH disponível]]</f>
        <v>1.0597687129446636</v>
      </c>
      <c r="AC117" s="38">
        <f>MIP[[#This Row],[HH Trabalhado]]/MIP[[#This Row],[HH disponível]]</f>
        <v>0.88636363636363591</v>
      </c>
      <c r="AD117" s="37" t="str">
        <f>LEFT(MIP[[#This Row],[Equipe]], SEARCH("/",MIP[[#This Row],[Equipe]],1)-1)</f>
        <v xml:space="preserve">EDILTON </v>
      </c>
      <c r="AE117" s="37" t="str">
        <f>RIGHT(MIP[[#This Row],[Equipe]], LEN(MIP[[#This Row],[Equipe]])-SEARCH("/",MIP[[#This Row],[Equipe]],1))</f>
        <v xml:space="preserve"> GECIVALDO</v>
      </c>
      <c r="AF117" s="44">
        <f>COUNTIFS('[1]Tempo parado'!H:H,"&gt;="&amp;MIP[[#This Row],[S.B Sitrack]],'[1]Tempo parado'!I:I,"&lt;="&amp;MIP[[#This Row],[C.B Sitrack]],'[1]Tempo parado'!B:B,MIP[[#This Row],[Placa]])</f>
        <v>0</v>
      </c>
      <c r="AG117" s="36"/>
      <c r="AH117" s="35"/>
      <c r="AI117" s="34"/>
      <c r="AJ117" s="34"/>
      <c r="AK11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1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17" s="32">
        <f>SUMIFS('[1]Tempo parado'!J:J,'[1]Tempo parado'!H:H,"&gt;="&amp;MIP[[#This Row],[S.B Sitrack]],'[1]Tempo parado'!I:I,"&lt;="&amp;MIP[[#This Row],[C.B Sitrack]],'[1]Tempo parado'!B:B,MIP[[#This Row],[Placa]])</f>
        <v>0</v>
      </c>
      <c r="AN117" s="32" t="str">
        <f>IFERROR(MIP[[#This Row],[Tempo parado]]/(MIP[[#This Row],[C.B Sitrack]]-MIP[[#This Row],[S.B Sitrack]]),"")</f>
        <v/>
      </c>
      <c r="AO117" s="30"/>
      <c r="AP117" s="44">
        <f>IF(AND(MIP[Exc]=0,MIP[Previsto / Realizado]="Realizado"),MIP[Sem],0)</f>
        <v>0</v>
      </c>
      <c r="AQ117" s="29">
        <f>IF(AND(MIP[Exc]=0,MIP[Previsto / Realizado]="Realizado",ISBLANK(MIP[[#This Row],[S.B Sitrack]])=FALSE,ISBLANK(MIP[[#This Row],[C.B Sitrack]])=FALSE),MIP[Sem],0)</f>
        <v>0</v>
      </c>
    </row>
    <row r="118" spans="1:43" s="64" customFormat="1" x14ac:dyDescent="0.25">
      <c r="A118" s="11"/>
      <c r="B118" s="44">
        <f>WEEKNUM(MIP[[#This Row],[Data]])</f>
        <v>23</v>
      </c>
      <c r="C118" s="45">
        <v>42893</v>
      </c>
      <c r="D118" s="45"/>
      <c r="E118" s="35" t="s">
        <v>3</v>
      </c>
      <c r="F118" s="35" t="s">
        <v>2</v>
      </c>
      <c r="G118" s="35"/>
      <c r="H118" s="44">
        <v>2</v>
      </c>
      <c r="I118" s="44">
        <v>4</v>
      </c>
      <c r="J118" s="44">
        <v>4</v>
      </c>
      <c r="K118" s="44">
        <v>0</v>
      </c>
      <c r="L118" s="44">
        <v>0</v>
      </c>
      <c r="M118" s="43">
        <v>0.63055555555555554</v>
      </c>
      <c r="N118" s="43">
        <v>0.66527777777777775</v>
      </c>
      <c r="O118" s="43">
        <v>0.97638888888888886</v>
      </c>
      <c r="P118" s="43">
        <f>1+52/24/60</f>
        <v>1.0361111111111112</v>
      </c>
      <c r="Q118" s="39"/>
      <c r="R118" s="42" t="s">
        <v>425</v>
      </c>
      <c r="S118" s="44">
        <f>MIP[[#This Row],[PT-1]]+MIP[[#This Row],[PT-2]]*2+MIP[[#This Row],[PT-3]]*3+MIP[[#This Row],[PT &gt; 3 Pontos]]</f>
        <v>12</v>
      </c>
      <c r="T11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9.4444444444444553E-2</v>
      </c>
      <c r="U118" s="39">
        <f>IF(MIP[[#This Row],[P.S]]-MIP[[#This Row],[U.P]]&gt;=0,MIP[[#This Row],[P.S]]-MIP[[#This Row],[U.P]]+MIP[[#This Row],[S.B]]-MIP[[#This Row],[P.E]],1+MIP[[#This Row],[P.S]]-MIP[[#This Row],[U.P]]+MIP[[#This Row],[S.B]]-MIP[[#This Row],[P.E]])</f>
        <v>9.4444444444444553E-2</v>
      </c>
      <c r="V118" s="41">
        <f>MIP[[#This Row],[Eficiência]]</f>
        <v>1.0233592932914986</v>
      </c>
      <c r="W11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18" s="39">
        <f>IF(MIP[[#This Row],[P.S]]-MIP[[#This Row],[P.E]]&lt;0,1+MIP[[#This Row],[P.S]]-MIP[[#This Row],[P.E]]-1/24,MIP[[#This Row],[P.S]]-MIP[[#This Row],[P.E]]-1/24)</f>
        <v>0.36388888888888898</v>
      </c>
      <c r="Y118" s="39">
        <f>MIP[[#This Row],[PT-1]]*$S$3+MIP[[#This Row],[PT-2]]*$T$3+MIP[[#This Row],[PT-3]]*$U$3+MIP[[#This Row],[PT &gt; 3 Pontos]]*$V$3</f>
        <v>0.27573847624798709</v>
      </c>
      <c r="Z118" s="39">
        <f>MIP[[#This Row],[HH disponível]]-MIP[[#This Row],[HH AC TOT]]</f>
        <v>0.26944444444444443</v>
      </c>
      <c r="AA118" s="38">
        <f>MIP[[#This Row],[HH Produtivo
Total]]/MIP[[#This Row],[HH Trabalhado]]</f>
        <v>1.0233592932914986</v>
      </c>
      <c r="AB118" s="38">
        <f>MIP[[#This Row],[HH Produtivo
Total]]/MIP[[#This Row],[HH disponível]]</f>
        <v>0.75775459121584221</v>
      </c>
      <c r="AC118" s="38">
        <f>MIP[[#This Row],[HH Trabalhado]]/MIP[[#This Row],[HH disponível]]</f>
        <v>0.74045801526717536</v>
      </c>
      <c r="AD118" s="37" t="str">
        <f>LEFT(MIP[[#This Row],[Equipe]], SEARCH("/",MIP[[#This Row],[Equipe]],1)-1)</f>
        <v xml:space="preserve">EDILTON </v>
      </c>
      <c r="AE118" s="37" t="str">
        <f>RIGHT(MIP[[#This Row],[Equipe]], LEN(MIP[[#This Row],[Equipe]])-SEARCH("/",MIP[[#This Row],[Equipe]],1))</f>
        <v xml:space="preserve"> GECIVALDO</v>
      </c>
      <c r="AF118" s="44">
        <f>COUNTIFS('[1]Tempo parado'!H:H,"&gt;="&amp;MIP[[#This Row],[S.B Sitrack]],'[1]Tempo parado'!I:I,"&lt;="&amp;MIP[[#This Row],[C.B Sitrack]],'[1]Tempo parado'!B:B,MIP[[#This Row],[Placa]])</f>
        <v>0</v>
      </c>
      <c r="AG118" s="36"/>
      <c r="AH118" s="35"/>
      <c r="AI118" s="34"/>
      <c r="AJ118" s="34"/>
      <c r="AK11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1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18" s="32">
        <f>SUMIFS('[1]Tempo parado'!J:J,'[1]Tempo parado'!H:H,"&gt;="&amp;MIP[[#This Row],[S.B Sitrack]],'[1]Tempo parado'!I:I,"&lt;="&amp;MIP[[#This Row],[C.B Sitrack]],'[1]Tempo parado'!B:B,MIP[[#This Row],[Placa]])</f>
        <v>0</v>
      </c>
      <c r="AN118" s="32" t="str">
        <f>IFERROR(MIP[[#This Row],[Tempo parado]]/(MIP[[#This Row],[C.B Sitrack]]-MIP[[#This Row],[S.B Sitrack]]),"")</f>
        <v/>
      </c>
      <c r="AO118" s="30"/>
      <c r="AP118" s="44">
        <f>IF(AND(MIP[Exc]=0,MIP[Previsto / Realizado]="Realizado"),MIP[Sem],0)</f>
        <v>23</v>
      </c>
      <c r="AQ118" s="29">
        <f>IF(AND(MIP[Exc]=0,MIP[Previsto / Realizado]="Realizado",ISBLANK(MIP[[#This Row],[S.B Sitrack]])=FALSE,ISBLANK(MIP[[#This Row],[C.B Sitrack]])=FALSE),MIP[Sem],0)</f>
        <v>0</v>
      </c>
    </row>
    <row r="119" spans="1:43" s="47" customFormat="1" x14ac:dyDescent="0.25">
      <c r="A119" s="11"/>
      <c r="B119" s="44">
        <f>WEEKNUM(MIP[[#This Row],[Data]])</f>
        <v>23</v>
      </c>
      <c r="C119" s="45">
        <v>42893</v>
      </c>
      <c r="D119" s="45"/>
      <c r="E119" s="35" t="s">
        <v>7</v>
      </c>
      <c r="F119" s="35" t="s">
        <v>5</v>
      </c>
      <c r="G119" s="35"/>
      <c r="H119" s="44">
        <v>2</v>
      </c>
      <c r="I119" s="44">
        <v>13</v>
      </c>
      <c r="J119" s="44">
        <v>0</v>
      </c>
      <c r="K119" s="44">
        <v>1</v>
      </c>
      <c r="L119" s="44">
        <v>0</v>
      </c>
      <c r="M119" s="43">
        <v>0.625</v>
      </c>
      <c r="N119" s="43">
        <v>0.64583333333333337</v>
      </c>
      <c r="O119" s="43">
        <f>1+18/24/60</f>
        <v>1.0125</v>
      </c>
      <c r="P119" s="43">
        <f>1+48/24/60</f>
        <v>1.0333333333333334</v>
      </c>
      <c r="Q119" s="39"/>
      <c r="R119" s="42"/>
      <c r="S119" s="44">
        <f>MIP[[#This Row],[PT-1]]+MIP[[#This Row],[PT-2]]*2+MIP[[#This Row],[PT-3]]*3+MIP[[#This Row],[PT &gt; 3 Pontos]]</f>
        <v>16</v>
      </c>
      <c r="T11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119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119" s="41">
        <f>MIP[[#This Row],[Eficiência]]</f>
        <v>1.1942392852718937</v>
      </c>
      <c r="W11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19" s="39">
        <f>IF(MIP[[#This Row],[P.S]]-MIP[[#This Row],[P.E]]&lt;0,1+MIP[[#This Row],[P.S]]-MIP[[#This Row],[P.E]]-1/24,MIP[[#This Row],[P.S]]-MIP[[#This Row],[P.E]]-1/24)</f>
        <v>0.36666666666666675</v>
      </c>
      <c r="Y119" s="39">
        <f>MIP[[#This Row],[PT-1]]*$S$3+MIP[[#This Row],[PT-2]]*$T$3+MIP[[#This Row],[PT-3]]*$U$3+MIP[[#This Row],[PT &gt; 3 Pontos]]*$V$3</f>
        <v>0.38812776771336532</v>
      </c>
      <c r="Z119" s="39">
        <f>MIP[[#This Row],[HH disponível]]-MIP[[#This Row],[HH AC TOT]]</f>
        <v>0.3249999999999999</v>
      </c>
      <c r="AA119" s="38">
        <f>MIP[[#This Row],[HH Produtivo
Total]]/MIP[[#This Row],[HH Trabalhado]]</f>
        <v>1.1942392852718937</v>
      </c>
      <c r="AB119" s="38">
        <f>MIP[[#This Row],[HH Produtivo
Total]]/MIP[[#This Row],[HH disponível]]</f>
        <v>1.0585302755819053</v>
      </c>
      <c r="AC119" s="38">
        <f>MIP[[#This Row],[HH Trabalhado]]/MIP[[#This Row],[HH disponível]]</f>
        <v>0.88636363636363591</v>
      </c>
      <c r="AD119" s="37" t="str">
        <f>LEFT(MIP[[#This Row],[Equipe]], SEARCH("/",MIP[[#This Row],[Equipe]],1)-1)</f>
        <v xml:space="preserve">ANDERSON </v>
      </c>
      <c r="AE119" s="37" t="str">
        <f>RIGHT(MIP[[#This Row],[Equipe]], LEN(MIP[[#This Row],[Equipe]])-SEARCH("/",MIP[[#This Row],[Equipe]],1))</f>
        <v xml:space="preserve"> MARCO</v>
      </c>
      <c r="AF119" s="44">
        <f>COUNTIFS('[1]Tempo parado'!H:H,"&gt;="&amp;MIP[[#This Row],[S.B Sitrack]],'[1]Tempo parado'!I:I,"&lt;="&amp;MIP[[#This Row],[C.B Sitrack]],'[1]Tempo parado'!B:B,MIP[[#This Row],[Placa]])</f>
        <v>0</v>
      </c>
      <c r="AG119" s="36"/>
      <c r="AH119" s="35"/>
      <c r="AI119" s="34"/>
      <c r="AJ119" s="34"/>
      <c r="AK11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1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19" s="32">
        <f>SUMIFS('[1]Tempo parado'!J:J,'[1]Tempo parado'!H:H,"&gt;="&amp;MIP[[#This Row],[S.B Sitrack]],'[1]Tempo parado'!I:I,"&lt;="&amp;MIP[[#This Row],[C.B Sitrack]],'[1]Tempo parado'!B:B,MIP[[#This Row],[Placa]])</f>
        <v>0</v>
      </c>
      <c r="AN119" s="32" t="str">
        <f>IFERROR(MIP[[#This Row],[Tempo parado]]/(MIP[[#This Row],[C.B Sitrack]]-MIP[[#This Row],[S.B Sitrack]]),"")</f>
        <v/>
      </c>
      <c r="AO119" s="30"/>
      <c r="AP119" s="44">
        <f>IF(AND(MIP[Exc]=0,MIP[Previsto / Realizado]="Realizado"),MIP[Sem],0)</f>
        <v>0</v>
      </c>
      <c r="AQ119" s="29">
        <f>IF(AND(MIP[Exc]=0,MIP[Previsto / Realizado]="Realizado",ISBLANK(MIP[[#This Row],[S.B Sitrack]])=FALSE,ISBLANK(MIP[[#This Row],[C.B Sitrack]])=FALSE),MIP[Sem],0)</f>
        <v>0</v>
      </c>
    </row>
    <row r="120" spans="1:43" s="64" customFormat="1" x14ac:dyDescent="0.25">
      <c r="A120" s="11"/>
      <c r="B120" s="44">
        <f>WEEKNUM(MIP[[#This Row],[Data]])</f>
        <v>23</v>
      </c>
      <c r="C120" s="45">
        <v>42893</v>
      </c>
      <c r="D120" s="45"/>
      <c r="E120" s="35" t="s">
        <v>7</v>
      </c>
      <c r="F120" s="35" t="s">
        <v>2</v>
      </c>
      <c r="G120" s="35"/>
      <c r="H120" s="44">
        <v>2</v>
      </c>
      <c r="I120" s="44">
        <v>9</v>
      </c>
      <c r="J120" s="44">
        <v>0</v>
      </c>
      <c r="K120" s="44">
        <v>0</v>
      </c>
      <c r="L120" s="44">
        <v>0</v>
      </c>
      <c r="M120" s="43">
        <v>0.62708333333333333</v>
      </c>
      <c r="N120" s="43">
        <v>0.65694444444444444</v>
      </c>
      <c r="O120" s="43">
        <f>1+30/24/60</f>
        <v>1.0208333333333333</v>
      </c>
      <c r="P120" s="43">
        <f>1+48/24/60</f>
        <v>1.0333333333333334</v>
      </c>
      <c r="Q120" s="39"/>
      <c r="R120" s="42" t="s">
        <v>424</v>
      </c>
      <c r="S120" s="44">
        <f>MIP[[#This Row],[PT-1]]+MIP[[#This Row],[PT-2]]*2+MIP[[#This Row],[PT-3]]*3+MIP[[#This Row],[PT &gt; 3 Pontos]]</f>
        <v>9</v>
      </c>
      <c r="T12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4.2361111111111294E-2</v>
      </c>
      <c r="U120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4.2361111111111294E-2</v>
      </c>
      <c r="V120" s="41">
        <f>MIP[[#This Row],[Eficiência]]</f>
        <v>0.69899796195652142</v>
      </c>
      <c r="W12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20" s="39">
        <f>IF(MIP[[#This Row],[P.S]]-MIP[[#This Row],[P.E]]&lt;0,1+MIP[[#This Row],[P.S]]-MIP[[#This Row],[P.E]]-1/24,MIP[[#This Row],[P.S]]-MIP[[#This Row],[P.E]]-1/24)</f>
        <v>0.36458333333333343</v>
      </c>
      <c r="Y120" s="39">
        <f>MIP[[#This Row],[PT-1]]*$S$3+MIP[[#This Row],[PT-2]]*$T$3+MIP[[#This Row],[PT-3]]*$U$3+MIP[[#This Row],[PT &gt; 3 Pontos]]*$V$3</f>
        <v>0.22523267663043461</v>
      </c>
      <c r="Z120" s="39">
        <f>MIP[[#This Row],[HH disponível]]-MIP[[#This Row],[HH AC TOT]]</f>
        <v>0.32222222222222213</v>
      </c>
      <c r="AA120" s="38">
        <f>MIP[[#This Row],[HH Produtivo
Total]]/MIP[[#This Row],[HH Trabalhado]]</f>
        <v>0.69899796195652142</v>
      </c>
      <c r="AB120" s="38">
        <f>MIP[[#This Row],[HH Produtivo
Total]]/MIP[[#This Row],[HH disponível]]</f>
        <v>0.61778105590062049</v>
      </c>
      <c r="AC120" s="38">
        <f>MIP[[#This Row],[HH Trabalhado]]/MIP[[#This Row],[HH disponível]]</f>
        <v>0.88380952380952338</v>
      </c>
      <c r="AD120" s="37" t="str">
        <f>LEFT(MIP[[#This Row],[Equipe]], SEARCH("/",MIP[[#This Row],[Equipe]],1)-1)</f>
        <v xml:space="preserve">ANDERSON </v>
      </c>
      <c r="AE120" s="37" t="str">
        <f>RIGHT(MIP[[#This Row],[Equipe]], LEN(MIP[[#This Row],[Equipe]])-SEARCH("/",MIP[[#This Row],[Equipe]],1))</f>
        <v xml:space="preserve"> MARCO</v>
      </c>
      <c r="AF120" s="44">
        <f>COUNTIFS('[1]Tempo parado'!H:H,"&gt;="&amp;MIP[[#This Row],[S.B Sitrack]],'[1]Tempo parado'!I:I,"&lt;="&amp;MIP[[#This Row],[C.B Sitrack]],'[1]Tempo parado'!B:B,MIP[[#This Row],[Placa]])</f>
        <v>0</v>
      </c>
      <c r="AG120" s="36"/>
      <c r="AH120" s="35"/>
      <c r="AI120" s="34"/>
      <c r="AJ120" s="34"/>
      <c r="AK12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2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20" s="32">
        <f>SUMIFS('[1]Tempo parado'!J:J,'[1]Tempo parado'!H:H,"&gt;="&amp;MIP[[#This Row],[S.B Sitrack]],'[1]Tempo parado'!I:I,"&lt;="&amp;MIP[[#This Row],[C.B Sitrack]],'[1]Tempo parado'!B:B,MIP[[#This Row],[Placa]])</f>
        <v>0</v>
      </c>
      <c r="AN120" s="32" t="str">
        <f>IFERROR(MIP[[#This Row],[Tempo parado]]/(MIP[[#This Row],[C.B Sitrack]]-MIP[[#This Row],[S.B Sitrack]]),"")</f>
        <v/>
      </c>
      <c r="AO120" s="30"/>
      <c r="AP120" s="44">
        <f>IF(AND(MIP[Exc]=0,MIP[Previsto / Realizado]="Realizado"),MIP[Sem],0)</f>
        <v>23</v>
      </c>
      <c r="AQ120" s="29">
        <f>IF(AND(MIP[Exc]=0,MIP[Previsto / Realizado]="Realizado",ISBLANK(MIP[[#This Row],[S.B Sitrack]])=FALSE,ISBLANK(MIP[[#This Row],[C.B Sitrack]])=FALSE),MIP[Sem],0)</f>
        <v>0</v>
      </c>
    </row>
    <row r="121" spans="1:43" s="47" customFormat="1" x14ac:dyDescent="0.25">
      <c r="A121" s="11"/>
      <c r="B121" s="44">
        <f>WEEKNUM(MIP[[#This Row],[Data]])</f>
        <v>23</v>
      </c>
      <c r="C121" s="45">
        <v>42895</v>
      </c>
      <c r="D121" s="45"/>
      <c r="E121" s="35" t="s">
        <v>3</v>
      </c>
      <c r="F121" s="35" t="s">
        <v>5</v>
      </c>
      <c r="G121" s="35"/>
      <c r="H121" s="44">
        <v>2</v>
      </c>
      <c r="I121" s="44">
        <v>0</v>
      </c>
      <c r="J121" s="44">
        <v>2</v>
      </c>
      <c r="K121" s="44">
        <v>2</v>
      </c>
      <c r="L121" s="44">
        <v>9</v>
      </c>
      <c r="M121" s="43">
        <v>0.625</v>
      </c>
      <c r="N121" s="43">
        <v>0.64583333333333337</v>
      </c>
      <c r="O121" s="43">
        <f>1+18/24/60</f>
        <v>1.0125</v>
      </c>
      <c r="P121" s="43">
        <f>1+48/24/60</f>
        <v>1.0333333333333334</v>
      </c>
      <c r="Q121" s="39"/>
      <c r="R121" s="42"/>
      <c r="S121" s="44">
        <f>MIP[[#This Row],[PT-1]]+MIP[[#This Row],[PT-2]]*2+MIP[[#This Row],[PT-3]]*3+MIP[[#This Row],[PT &gt; 3 Pontos]]</f>
        <v>19</v>
      </c>
      <c r="T12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121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121" s="41">
        <f>MIP[[#This Row],[Eficiência]]</f>
        <v>1.2173322726991214</v>
      </c>
      <c r="W12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21" s="39">
        <f>IF(MIP[[#This Row],[P.S]]-MIP[[#This Row],[P.E]]&lt;0,1+MIP[[#This Row],[P.S]]-MIP[[#This Row],[P.E]]-1/24,MIP[[#This Row],[P.S]]-MIP[[#This Row],[P.E]]-1/24)</f>
        <v>0.36666666666666675</v>
      </c>
      <c r="Y121" s="39">
        <f>MIP[[#This Row],[PT-1]]*$S$3+MIP[[#This Row],[PT-2]]*$T$3+MIP[[#This Row],[PT-3]]*$U$3+MIP[[#This Row],[PT &gt; 3 Pontos]]*$V$3</f>
        <v>0.3956329886272143</v>
      </c>
      <c r="Z121" s="39">
        <f>MIP[[#This Row],[HH disponível]]-MIP[[#This Row],[HH AC TOT]]</f>
        <v>0.3249999999999999</v>
      </c>
      <c r="AA121" s="38">
        <f>MIP[[#This Row],[HH Produtivo
Total]]/MIP[[#This Row],[HH Trabalhado]]</f>
        <v>1.2173322726991214</v>
      </c>
      <c r="AB121" s="38">
        <f>MIP[[#This Row],[HH Produtivo
Total]]/MIP[[#This Row],[HH disponível]]</f>
        <v>1.0789990598924024</v>
      </c>
      <c r="AC121" s="38">
        <f>MIP[[#This Row],[HH Trabalhado]]/MIP[[#This Row],[HH disponível]]</f>
        <v>0.88636363636363591</v>
      </c>
      <c r="AD121" s="37" t="str">
        <f>LEFT(MIP[[#This Row],[Equipe]], SEARCH("/",MIP[[#This Row],[Equipe]],1)-1)</f>
        <v xml:space="preserve">EDILTON </v>
      </c>
      <c r="AE121" s="37" t="str">
        <f>RIGHT(MIP[[#This Row],[Equipe]], LEN(MIP[[#This Row],[Equipe]])-SEARCH("/",MIP[[#This Row],[Equipe]],1))</f>
        <v xml:space="preserve"> GECIVALDO</v>
      </c>
      <c r="AF121" s="44">
        <f>COUNTIFS('[1]Tempo parado'!H:H,"&gt;="&amp;MIP[[#This Row],[S.B Sitrack]],'[1]Tempo parado'!I:I,"&lt;="&amp;MIP[[#This Row],[C.B Sitrack]],'[1]Tempo parado'!B:B,MIP[[#This Row],[Placa]])</f>
        <v>0</v>
      </c>
      <c r="AG121" s="36"/>
      <c r="AH121" s="35"/>
      <c r="AI121" s="34"/>
      <c r="AJ121" s="34"/>
      <c r="AK12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2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21" s="32">
        <f>SUMIFS('[1]Tempo parado'!J:J,'[1]Tempo parado'!H:H,"&gt;="&amp;MIP[[#This Row],[S.B Sitrack]],'[1]Tempo parado'!I:I,"&lt;="&amp;MIP[[#This Row],[C.B Sitrack]],'[1]Tempo parado'!B:B,MIP[[#This Row],[Placa]])</f>
        <v>0</v>
      </c>
      <c r="AN121" s="32" t="str">
        <f>IFERROR(MIP[[#This Row],[Tempo parado]]/(MIP[[#This Row],[C.B Sitrack]]-MIP[[#This Row],[S.B Sitrack]]),"")</f>
        <v/>
      </c>
      <c r="AO121" s="30"/>
      <c r="AP121" s="44">
        <f>IF(AND(MIP[Exc]=0,MIP[Previsto / Realizado]="Realizado"),MIP[Sem],0)</f>
        <v>0</v>
      </c>
      <c r="AQ121" s="29">
        <f>IF(AND(MIP[Exc]=0,MIP[Previsto / Realizado]="Realizado",ISBLANK(MIP[[#This Row],[S.B Sitrack]])=FALSE,ISBLANK(MIP[[#This Row],[C.B Sitrack]])=FALSE),MIP[Sem],0)</f>
        <v>0</v>
      </c>
    </row>
    <row r="122" spans="1:43" s="64" customFormat="1" x14ac:dyDescent="0.25">
      <c r="A122" s="11"/>
      <c r="B122" s="44">
        <f>WEEKNUM(MIP[[#This Row],[Data]])</f>
        <v>23</v>
      </c>
      <c r="C122" s="45">
        <v>42895</v>
      </c>
      <c r="D122" s="45"/>
      <c r="E122" s="35" t="s">
        <v>3</v>
      </c>
      <c r="F122" s="35" t="s">
        <v>2</v>
      </c>
      <c r="G122" s="35"/>
      <c r="H122" s="44">
        <v>2</v>
      </c>
      <c r="I122" s="44">
        <v>0</v>
      </c>
      <c r="J122" s="44">
        <v>1</v>
      </c>
      <c r="K122" s="44">
        <v>1</v>
      </c>
      <c r="L122" s="44">
        <v>9</v>
      </c>
      <c r="M122" s="43">
        <v>0.62847222222222221</v>
      </c>
      <c r="N122" s="43">
        <v>0.68055555555555547</v>
      </c>
      <c r="O122" s="43">
        <f>1+42/24/60</f>
        <v>1.0291666666666666</v>
      </c>
      <c r="P122" s="43">
        <f>1+50/24/60</f>
        <v>1.0347222222222223</v>
      </c>
      <c r="Q122" s="39"/>
      <c r="R122" s="42"/>
      <c r="S122" s="44">
        <f>MIP[[#This Row],[PT-1]]+MIP[[#This Row],[PT-2]]*2+MIP[[#This Row],[PT-3]]*3+MIP[[#This Row],[PT &gt; 3 Pontos]]</f>
        <v>14</v>
      </c>
      <c r="T12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5.7638888888889017E-2</v>
      </c>
      <c r="U122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5.7638888888889017E-2</v>
      </c>
      <c r="V122" s="41">
        <f>MIP[[#This Row],[Eficiência]]</f>
        <v>0.94131869302905147</v>
      </c>
      <c r="W12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22" s="39">
        <f>IF(MIP[[#This Row],[P.S]]-MIP[[#This Row],[P.E]]&lt;0,1+MIP[[#This Row],[P.S]]-MIP[[#This Row],[P.E]]-1/24,MIP[[#This Row],[P.S]]-MIP[[#This Row],[P.E]]-1/24)</f>
        <v>0.36458333333333343</v>
      </c>
      <c r="Y122" s="39">
        <f>MIP[[#This Row],[PT-1]]*$S$3+MIP[[#This Row],[PT-2]]*$T$3+MIP[[#This Row],[PT-3]]*$U$3+MIP[[#This Row],[PT &gt; 3 Pontos]]*$V$3</f>
        <v>0.28893254327697271</v>
      </c>
      <c r="Z122" s="39">
        <f>MIP[[#This Row],[HH disponível]]-MIP[[#This Row],[HH AC TOT]]</f>
        <v>0.30694444444444441</v>
      </c>
      <c r="AA122" s="38">
        <f>MIP[[#This Row],[HH Produtivo
Total]]/MIP[[#This Row],[HH Trabalhado]]</f>
        <v>0.94131869302905147</v>
      </c>
      <c r="AB122" s="38">
        <f>MIP[[#This Row],[HH Produtivo
Total]]/MIP[[#This Row],[HH disponível]]</f>
        <v>0.7925006901311249</v>
      </c>
      <c r="AC122" s="38">
        <f>MIP[[#This Row],[HH Trabalhado]]/MIP[[#This Row],[HH disponível]]</f>
        <v>0.8419047619047616</v>
      </c>
      <c r="AD122" s="37" t="str">
        <f>LEFT(MIP[[#This Row],[Equipe]], SEARCH("/",MIP[[#This Row],[Equipe]],1)-1)</f>
        <v xml:space="preserve">EDILTON </v>
      </c>
      <c r="AE122" s="37" t="str">
        <f>RIGHT(MIP[[#This Row],[Equipe]], LEN(MIP[[#This Row],[Equipe]])-SEARCH("/",MIP[[#This Row],[Equipe]],1))</f>
        <v xml:space="preserve"> GECIVALDO</v>
      </c>
      <c r="AF122" s="44">
        <f>COUNTIFS('[1]Tempo parado'!H:H,"&gt;="&amp;MIP[[#This Row],[S.B Sitrack]],'[1]Tempo parado'!I:I,"&lt;="&amp;MIP[[#This Row],[C.B Sitrack]],'[1]Tempo parado'!B:B,MIP[[#This Row],[Placa]])</f>
        <v>0</v>
      </c>
      <c r="AG122" s="36"/>
      <c r="AH122" s="35"/>
      <c r="AI122" s="34"/>
      <c r="AJ122" s="34"/>
      <c r="AK12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2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22" s="32">
        <f>SUMIFS('[1]Tempo parado'!J:J,'[1]Tempo parado'!H:H,"&gt;="&amp;MIP[[#This Row],[S.B Sitrack]],'[1]Tempo parado'!I:I,"&lt;="&amp;MIP[[#This Row],[C.B Sitrack]],'[1]Tempo parado'!B:B,MIP[[#This Row],[Placa]])</f>
        <v>0</v>
      </c>
      <c r="AN122" s="32" t="str">
        <f>IFERROR(MIP[[#This Row],[Tempo parado]]/(MIP[[#This Row],[C.B Sitrack]]-MIP[[#This Row],[S.B Sitrack]]),"")</f>
        <v/>
      </c>
      <c r="AO122" s="30"/>
      <c r="AP122" s="44">
        <f>IF(AND(MIP[Exc]=0,MIP[Previsto / Realizado]="Realizado"),MIP[Sem],0)</f>
        <v>23</v>
      </c>
      <c r="AQ122" s="29">
        <f>IF(AND(MIP[Exc]=0,MIP[Previsto / Realizado]="Realizado",ISBLANK(MIP[[#This Row],[S.B Sitrack]])=FALSE,ISBLANK(MIP[[#This Row],[C.B Sitrack]])=FALSE),MIP[Sem],0)</f>
        <v>0</v>
      </c>
    </row>
    <row r="123" spans="1:43" s="47" customFormat="1" x14ac:dyDescent="0.25">
      <c r="A123" s="11"/>
      <c r="B123" s="44">
        <f>WEEKNUM(MIP[[#This Row],[Data]])</f>
        <v>23</v>
      </c>
      <c r="C123" s="45">
        <v>42895</v>
      </c>
      <c r="D123" s="45"/>
      <c r="E123" s="35" t="s">
        <v>7</v>
      </c>
      <c r="F123" s="35" t="s">
        <v>5</v>
      </c>
      <c r="G123" s="35"/>
      <c r="H123" s="44">
        <v>2</v>
      </c>
      <c r="I123" s="44">
        <v>8</v>
      </c>
      <c r="J123" s="44">
        <v>1</v>
      </c>
      <c r="K123" s="44">
        <v>2</v>
      </c>
      <c r="L123" s="44">
        <v>0</v>
      </c>
      <c r="M123" s="43">
        <v>0.625</v>
      </c>
      <c r="N123" s="43">
        <v>0.64583333333333337</v>
      </c>
      <c r="O123" s="43">
        <f>1+18/24/60</f>
        <v>1.0125</v>
      </c>
      <c r="P123" s="43">
        <f>1+48/24/60</f>
        <v>1.0333333333333334</v>
      </c>
      <c r="Q123" s="39"/>
      <c r="R123" s="42"/>
      <c r="S123" s="44">
        <f>MIP[[#This Row],[PT-1]]+MIP[[#This Row],[PT-2]]*2+MIP[[#This Row],[PT-3]]*3+MIP[[#This Row],[PT &gt; 3 Pontos]]</f>
        <v>16</v>
      </c>
      <c r="T12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123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123" s="41">
        <f>MIP[[#This Row],[Eficiência]]</f>
        <v>1.1375352254428344</v>
      </c>
      <c r="W12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23" s="39">
        <f>IF(MIP[[#This Row],[P.S]]-MIP[[#This Row],[P.E]]&lt;0,1+MIP[[#This Row],[P.S]]-MIP[[#This Row],[P.E]]-1/24,MIP[[#This Row],[P.S]]-MIP[[#This Row],[P.E]]-1/24)</f>
        <v>0.36666666666666675</v>
      </c>
      <c r="Y123" s="39">
        <f>MIP[[#This Row],[PT-1]]*$S$3+MIP[[#This Row],[PT-2]]*$T$3+MIP[[#This Row],[PT-3]]*$U$3+MIP[[#This Row],[PT &gt; 3 Pontos]]*$V$3</f>
        <v>0.36969894826892102</v>
      </c>
      <c r="Z123" s="39">
        <f>MIP[[#This Row],[HH disponível]]-MIP[[#This Row],[HH AC TOT]]</f>
        <v>0.3249999999999999</v>
      </c>
      <c r="AA123" s="38">
        <f>MIP[[#This Row],[HH Produtivo
Total]]/MIP[[#This Row],[HH Trabalhado]]</f>
        <v>1.1375352254428344</v>
      </c>
      <c r="AB123" s="38">
        <f>MIP[[#This Row],[HH Produtivo
Total]]/MIP[[#This Row],[HH disponível]]</f>
        <v>1.008269858915239</v>
      </c>
      <c r="AC123" s="38">
        <f>MIP[[#This Row],[HH Trabalhado]]/MIP[[#This Row],[HH disponível]]</f>
        <v>0.88636363636363591</v>
      </c>
      <c r="AD123" s="37" t="str">
        <f>LEFT(MIP[[#This Row],[Equipe]], SEARCH("/",MIP[[#This Row],[Equipe]],1)-1)</f>
        <v xml:space="preserve">ANDERSON </v>
      </c>
      <c r="AE123" s="37" t="str">
        <f>RIGHT(MIP[[#This Row],[Equipe]], LEN(MIP[[#This Row],[Equipe]])-SEARCH("/",MIP[[#This Row],[Equipe]],1))</f>
        <v xml:space="preserve"> MARCO</v>
      </c>
      <c r="AF123" s="44">
        <f>COUNTIFS('[1]Tempo parado'!H:H,"&gt;="&amp;MIP[[#This Row],[S.B Sitrack]],'[1]Tempo parado'!I:I,"&lt;="&amp;MIP[[#This Row],[C.B Sitrack]],'[1]Tempo parado'!B:B,MIP[[#This Row],[Placa]])</f>
        <v>0</v>
      </c>
      <c r="AG123" s="36"/>
      <c r="AH123" s="35"/>
      <c r="AI123" s="34"/>
      <c r="AJ123" s="34"/>
      <c r="AK12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2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23" s="32">
        <f>SUMIFS('[1]Tempo parado'!J:J,'[1]Tempo parado'!H:H,"&gt;="&amp;MIP[[#This Row],[S.B Sitrack]],'[1]Tempo parado'!I:I,"&lt;="&amp;MIP[[#This Row],[C.B Sitrack]],'[1]Tempo parado'!B:B,MIP[[#This Row],[Placa]])</f>
        <v>0</v>
      </c>
      <c r="AN123" s="32" t="str">
        <f>IFERROR(MIP[[#This Row],[Tempo parado]]/(MIP[[#This Row],[C.B Sitrack]]-MIP[[#This Row],[S.B Sitrack]]),"")</f>
        <v/>
      </c>
      <c r="AO123" s="30"/>
      <c r="AP123" s="44">
        <f>IF(AND(MIP[Exc]=0,MIP[Previsto / Realizado]="Realizado"),MIP[Sem],0)</f>
        <v>0</v>
      </c>
      <c r="AQ123" s="29">
        <f>IF(AND(MIP[Exc]=0,MIP[Previsto / Realizado]="Realizado",ISBLANK(MIP[[#This Row],[S.B Sitrack]])=FALSE,ISBLANK(MIP[[#This Row],[C.B Sitrack]])=FALSE),MIP[Sem],0)</f>
        <v>0</v>
      </c>
    </row>
    <row r="124" spans="1:43" s="64" customFormat="1" x14ac:dyDescent="0.25">
      <c r="A124" s="11"/>
      <c r="B124" s="44">
        <f>WEEKNUM(MIP[[#This Row],[Data]])</f>
        <v>23</v>
      </c>
      <c r="C124" s="45">
        <v>42895</v>
      </c>
      <c r="D124" s="45"/>
      <c r="E124" s="35" t="s">
        <v>7</v>
      </c>
      <c r="F124" s="35" t="s">
        <v>2</v>
      </c>
      <c r="G124" s="35"/>
      <c r="H124" s="44">
        <v>2</v>
      </c>
      <c r="I124" s="44">
        <v>6</v>
      </c>
      <c r="J124" s="44">
        <v>1</v>
      </c>
      <c r="K124" s="44">
        <v>1</v>
      </c>
      <c r="L124" s="44">
        <v>0</v>
      </c>
      <c r="M124" s="43">
        <v>0.625</v>
      </c>
      <c r="N124" s="43">
        <v>0.68611111111111101</v>
      </c>
      <c r="O124" s="43">
        <f>1+56/24/60</f>
        <v>1.038888888888889</v>
      </c>
      <c r="P124" s="43">
        <f>1+72/24/60</f>
        <v>1.05</v>
      </c>
      <c r="Q124" s="39"/>
      <c r="R124" s="42"/>
      <c r="S124" s="44">
        <f>MIP[[#This Row],[PT-1]]+MIP[[#This Row],[PT-2]]*2+MIP[[#This Row],[PT-3]]*3+MIP[[#This Row],[PT &gt; 3 Pontos]]</f>
        <v>11</v>
      </c>
      <c r="T12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7.2222222222222077E-2</v>
      </c>
      <c r="U124" s="39">
        <f>IF(MIP[[#This Row],[P.S]]-MIP[[#This Row],[U.P]]&gt;=0,MIP[[#This Row],[P.S]]-MIP[[#This Row],[U.P]]+MIP[[#This Row],[S.B]]-MIP[[#This Row],[P.E]],1+MIP[[#This Row],[P.S]]-MIP[[#This Row],[U.P]]+MIP[[#This Row],[S.B]]-MIP[[#This Row],[P.E]])</f>
        <v>7.2222222222222077E-2</v>
      </c>
      <c r="V124" s="41">
        <f>MIP[[#This Row],[Eficiência]]</f>
        <v>0.8256071671195645</v>
      </c>
      <c r="W12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24" s="39">
        <f>IF(MIP[[#This Row],[P.S]]-MIP[[#This Row],[P.E]]&lt;0,1+MIP[[#This Row],[P.S]]-MIP[[#This Row],[P.E]]-1/24,MIP[[#This Row],[P.S]]-MIP[[#This Row],[P.E]]-1/24)</f>
        <v>0.38333333333333336</v>
      </c>
      <c r="Y124" s="39">
        <f>MIP[[#This Row],[PT-1]]*$S$3+MIP[[#This Row],[PT-2]]*$T$3+MIP[[#This Row],[PT-3]]*$U$3+MIP[[#This Row],[PT &gt; 3 Pontos]]*$V$3</f>
        <v>0.25685556310386465</v>
      </c>
      <c r="Z124" s="39">
        <f>MIP[[#This Row],[HH disponível]]-MIP[[#This Row],[HH AC TOT]]</f>
        <v>0.31111111111111128</v>
      </c>
      <c r="AA124" s="38">
        <f>MIP[[#This Row],[HH Produtivo
Total]]/MIP[[#This Row],[HH Trabalhado]]</f>
        <v>0.8256071671195645</v>
      </c>
      <c r="AB124" s="38">
        <f>MIP[[#This Row],[HH Produtivo
Total]]/MIP[[#This Row],[HH disponível]]</f>
        <v>0.6700579907057338</v>
      </c>
      <c r="AC124" s="38">
        <f>MIP[[#This Row],[HH Trabalhado]]/MIP[[#This Row],[HH disponível]]</f>
        <v>0.81159420289855111</v>
      </c>
      <c r="AD124" s="37" t="str">
        <f>LEFT(MIP[[#This Row],[Equipe]], SEARCH("/",MIP[[#This Row],[Equipe]],1)-1)</f>
        <v xml:space="preserve">ANDERSON </v>
      </c>
      <c r="AE124" s="37" t="str">
        <f>RIGHT(MIP[[#This Row],[Equipe]], LEN(MIP[[#This Row],[Equipe]])-SEARCH("/",MIP[[#This Row],[Equipe]],1))</f>
        <v xml:space="preserve"> MARCO</v>
      </c>
      <c r="AF124" s="44">
        <f>COUNTIFS('[1]Tempo parado'!H:H,"&gt;="&amp;MIP[[#This Row],[S.B Sitrack]],'[1]Tempo parado'!I:I,"&lt;="&amp;MIP[[#This Row],[C.B Sitrack]],'[1]Tempo parado'!B:B,MIP[[#This Row],[Placa]])</f>
        <v>0</v>
      </c>
      <c r="AG124" s="36"/>
      <c r="AH124" s="35"/>
      <c r="AI124" s="34"/>
      <c r="AJ124" s="34"/>
      <c r="AK12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2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24" s="32">
        <f>SUMIFS('[1]Tempo parado'!J:J,'[1]Tempo parado'!H:H,"&gt;="&amp;MIP[[#This Row],[S.B Sitrack]],'[1]Tempo parado'!I:I,"&lt;="&amp;MIP[[#This Row],[C.B Sitrack]],'[1]Tempo parado'!B:B,MIP[[#This Row],[Placa]])</f>
        <v>0</v>
      </c>
      <c r="AN124" s="32" t="str">
        <f>IFERROR(MIP[[#This Row],[Tempo parado]]/(MIP[[#This Row],[C.B Sitrack]]-MIP[[#This Row],[S.B Sitrack]]),"")</f>
        <v/>
      </c>
      <c r="AO124" s="30"/>
      <c r="AP124" s="44">
        <f>IF(AND(MIP[Exc]=0,MIP[Previsto / Realizado]="Realizado"),MIP[Sem],0)</f>
        <v>23</v>
      </c>
      <c r="AQ124" s="29">
        <f>IF(AND(MIP[Exc]=0,MIP[Previsto / Realizado]="Realizado",ISBLANK(MIP[[#This Row],[S.B Sitrack]])=FALSE,ISBLANK(MIP[[#This Row],[C.B Sitrack]])=FALSE),MIP[Sem],0)</f>
        <v>0</v>
      </c>
    </row>
    <row r="125" spans="1:43" s="47" customFormat="1" x14ac:dyDescent="0.25">
      <c r="A125" s="11"/>
      <c r="B125" s="44">
        <f>WEEKNUM(MIP[[#This Row],[Data]])</f>
        <v>24</v>
      </c>
      <c r="C125" s="45">
        <v>42897</v>
      </c>
      <c r="D125" s="45"/>
      <c r="E125" s="35" t="s">
        <v>19</v>
      </c>
      <c r="F125" s="35" t="s">
        <v>5</v>
      </c>
      <c r="G125" s="35"/>
      <c r="H125" s="44">
        <v>2</v>
      </c>
      <c r="I125" s="44">
        <v>1</v>
      </c>
      <c r="J125" s="44">
        <v>2</v>
      </c>
      <c r="K125" s="44">
        <v>2</v>
      </c>
      <c r="L125" s="44">
        <v>5</v>
      </c>
      <c r="M125" s="43">
        <v>0.625</v>
      </c>
      <c r="N125" s="43">
        <v>0.64583333333333337</v>
      </c>
      <c r="O125" s="43">
        <f>1+18/24/60</f>
        <v>1.0125</v>
      </c>
      <c r="P125" s="43">
        <f>1+48/24/60</f>
        <v>1.0333333333333334</v>
      </c>
      <c r="Q125" s="39"/>
      <c r="R125" s="42"/>
      <c r="S125" s="44">
        <f>MIP[[#This Row],[PT-1]]+MIP[[#This Row],[PT-2]]*2+MIP[[#This Row],[PT-3]]*3+MIP[[#This Row],[PT &gt; 3 Pontos]]</f>
        <v>16</v>
      </c>
      <c r="T12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125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125" s="41">
        <f>MIP[[#This Row],[Eficiência]]</f>
        <v>1.0451286094251075</v>
      </c>
      <c r="W12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25" s="39">
        <f>IF(MIP[[#This Row],[P.S]]-MIP[[#This Row],[P.E]]&lt;0,1+MIP[[#This Row],[P.S]]-MIP[[#This Row],[P.E]]-1/24,MIP[[#This Row],[P.S]]-MIP[[#This Row],[P.E]]-1/24)</f>
        <v>0.36666666666666675</v>
      </c>
      <c r="Y125" s="39">
        <f>MIP[[#This Row],[PT-1]]*$S$3+MIP[[#This Row],[PT-2]]*$T$3+MIP[[#This Row],[PT-3]]*$U$3+MIP[[#This Row],[PT &gt; 3 Pontos]]*$V$3</f>
        <v>0.33966679806315986</v>
      </c>
      <c r="Z125" s="39">
        <f>MIP[[#This Row],[HH disponível]]-MIP[[#This Row],[HH AC TOT]]</f>
        <v>0.3249999999999999</v>
      </c>
      <c r="AA125" s="38">
        <f>MIP[[#This Row],[HH Produtivo
Total]]/MIP[[#This Row],[HH Trabalhado]]</f>
        <v>1.0451286094251075</v>
      </c>
      <c r="AB125" s="38">
        <f>MIP[[#This Row],[HH Produtivo
Total]]/MIP[[#This Row],[HH disponível]]</f>
        <v>0.92636399471770847</v>
      </c>
      <c r="AC125" s="38">
        <f>MIP[[#This Row],[HH Trabalhado]]/MIP[[#This Row],[HH disponível]]</f>
        <v>0.88636363636363591</v>
      </c>
      <c r="AD125" s="37" t="str">
        <f>LEFT(MIP[[#This Row],[Equipe]], SEARCH("/",MIP[[#This Row],[Equipe]],1)-1)</f>
        <v xml:space="preserve">ADEMÁRIO </v>
      </c>
      <c r="AE125" s="37" t="str">
        <f>RIGHT(MIP[[#This Row],[Equipe]], LEN(MIP[[#This Row],[Equipe]])-SEARCH("/",MIP[[#This Row],[Equipe]],1))</f>
        <v xml:space="preserve"> RONALDO</v>
      </c>
      <c r="AF125" s="44">
        <f>COUNTIFS('[1]Tempo parado'!H:H,"&gt;="&amp;MIP[[#This Row],[S.B Sitrack]],'[1]Tempo parado'!I:I,"&lt;="&amp;MIP[[#This Row],[C.B Sitrack]],'[1]Tempo parado'!B:B,MIP[[#This Row],[Placa]])</f>
        <v>0</v>
      </c>
      <c r="AG125" s="36"/>
      <c r="AH125" s="35"/>
      <c r="AI125" s="34"/>
      <c r="AJ125" s="34"/>
      <c r="AK12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2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25" s="32">
        <f>SUMIFS('[1]Tempo parado'!J:J,'[1]Tempo parado'!H:H,"&gt;="&amp;MIP[[#This Row],[S.B Sitrack]],'[1]Tempo parado'!I:I,"&lt;="&amp;MIP[[#This Row],[C.B Sitrack]],'[1]Tempo parado'!B:B,MIP[[#This Row],[Placa]])</f>
        <v>0</v>
      </c>
      <c r="AN125" s="32" t="str">
        <f>IFERROR(MIP[[#This Row],[Tempo parado]]/(MIP[[#This Row],[C.B Sitrack]]-MIP[[#This Row],[S.B Sitrack]]),"")</f>
        <v/>
      </c>
      <c r="AO125" s="30"/>
      <c r="AP125" s="44">
        <f>IF(AND(MIP[Exc]=0,MIP[Previsto / Realizado]="Realizado"),MIP[Sem],0)</f>
        <v>0</v>
      </c>
      <c r="AQ125" s="29">
        <f>IF(AND(MIP[Exc]=0,MIP[Previsto / Realizado]="Realizado",ISBLANK(MIP[[#This Row],[S.B Sitrack]])=FALSE,ISBLANK(MIP[[#This Row],[C.B Sitrack]])=FALSE),MIP[Sem],0)</f>
        <v>0</v>
      </c>
    </row>
    <row r="126" spans="1:43" s="64" customFormat="1" x14ac:dyDescent="0.25">
      <c r="A126" s="11"/>
      <c r="B126" s="44">
        <f>WEEKNUM(MIP[[#This Row],[Data]])</f>
        <v>24</v>
      </c>
      <c r="C126" s="45">
        <v>42897</v>
      </c>
      <c r="D126" s="45"/>
      <c r="E126" s="35" t="s">
        <v>19</v>
      </c>
      <c r="F126" s="35" t="s">
        <v>2</v>
      </c>
      <c r="G126" s="35"/>
      <c r="H126" s="44">
        <v>2</v>
      </c>
      <c r="I126" s="44">
        <v>0</v>
      </c>
      <c r="J126" s="44">
        <v>1</v>
      </c>
      <c r="K126" s="44">
        <v>2</v>
      </c>
      <c r="L126" s="44">
        <v>4</v>
      </c>
      <c r="M126" s="43">
        <v>0.65208333333333335</v>
      </c>
      <c r="N126" s="43">
        <v>0.66666666666666663</v>
      </c>
      <c r="O126" s="43">
        <f>1+27/24/60</f>
        <v>1.01875</v>
      </c>
      <c r="P126" s="43">
        <f>1+64/24/60</f>
        <v>1.0444444444444445</v>
      </c>
      <c r="Q126" s="39"/>
      <c r="R126" s="42" t="s">
        <v>423</v>
      </c>
      <c r="S126" s="44">
        <f>MIP[[#This Row],[PT-1]]+MIP[[#This Row],[PT-2]]*2+MIP[[#This Row],[PT-3]]*3+MIP[[#This Row],[PT &gt; 3 Pontos]]</f>
        <v>12</v>
      </c>
      <c r="T12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4.0277777777777746E-2</v>
      </c>
      <c r="U126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4.0277777777777746E-2</v>
      </c>
      <c r="V126" s="41">
        <f>MIP[[#This Row],[Eficiência]]</f>
        <v>0.80692886374361927</v>
      </c>
      <c r="W12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26" s="39">
        <f>IF(MIP[[#This Row],[P.S]]-MIP[[#This Row],[P.E]]&lt;0,1+MIP[[#This Row],[P.S]]-MIP[[#This Row],[P.E]]-1/24,MIP[[#This Row],[P.S]]-MIP[[#This Row],[P.E]]-1/24)</f>
        <v>0.35069444444444448</v>
      </c>
      <c r="Y126" s="39">
        <f>MIP[[#This Row],[PT-1]]*$S$3+MIP[[#This Row],[PT-2]]*$T$3+MIP[[#This Row],[PT-3]]*$U$3+MIP[[#This Row],[PT &gt; 3 Pontos]]*$V$3</f>
        <v>0.25048416812041518</v>
      </c>
      <c r="Z126" s="39">
        <f>MIP[[#This Row],[HH disponível]]-MIP[[#This Row],[HH AC TOT]]</f>
        <v>0.31041666666666673</v>
      </c>
      <c r="AA126" s="38">
        <f>MIP[[#This Row],[HH Produtivo
Total]]/MIP[[#This Row],[HH Trabalhado]]</f>
        <v>0.80692886374361927</v>
      </c>
      <c r="AB126" s="38">
        <f>MIP[[#This Row],[HH Produtivo
Total]]/MIP[[#This Row],[HH disponível]]</f>
        <v>0.71425188533346107</v>
      </c>
      <c r="AC126" s="38">
        <f>MIP[[#This Row],[HH Trabalhado]]/MIP[[#This Row],[HH disponível]]</f>
        <v>0.88514851485148527</v>
      </c>
      <c r="AD126" s="37" t="str">
        <f>LEFT(MIP[[#This Row],[Equipe]], SEARCH("/",MIP[[#This Row],[Equipe]],1)-1)</f>
        <v xml:space="preserve">ADEMÁRIO </v>
      </c>
      <c r="AE126" s="37" t="str">
        <f>RIGHT(MIP[[#This Row],[Equipe]], LEN(MIP[[#This Row],[Equipe]])-SEARCH("/",MIP[[#This Row],[Equipe]],1))</f>
        <v xml:space="preserve"> RONALDO</v>
      </c>
      <c r="AF126" s="44">
        <f>COUNTIFS('[1]Tempo parado'!H:H,"&gt;="&amp;MIP[[#This Row],[S.B Sitrack]],'[1]Tempo parado'!I:I,"&lt;="&amp;MIP[[#This Row],[C.B Sitrack]],'[1]Tempo parado'!B:B,MIP[[#This Row],[Placa]])</f>
        <v>0</v>
      </c>
      <c r="AG126" s="36"/>
      <c r="AH126" s="35"/>
      <c r="AI126" s="34"/>
      <c r="AJ126" s="34"/>
      <c r="AK12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2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26" s="32">
        <f>SUMIFS('[1]Tempo parado'!J:J,'[1]Tempo parado'!H:H,"&gt;="&amp;MIP[[#This Row],[S.B Sitrack]],'[1]Tempo parado'!I:I,"&lt;="&amp;MIP[[#This Row],[C.B Sitrack]],'[1]Tempo parado'!B:B,MIP[[#This Row],[Placa]])</f>
        <v>0</v>
      </c>
      <c r="AN126" s="32" t="str">
        <f>IFERROR(MIP[[#This Row],[Tempo parado]]/(MIP[[#This Row],[C.B Sitrack]]-MIP[[#This Row],[S.B Sitrack]]),"")</f>
        <v/>
      </c>
      <c r="AO126" s="30"/>
      <c r="AP126" s="44">
        <f>IF(AND(MIP[Exc]=0,MIP[Previsto / Realizado]="Realizado"),MIP[Sem],0)</f>
        <v>24</v>
      </c>
      <c r="AQ126" s="29">
        <f>IF(AND(MIP[Exc]=0,MIP[Previsto / Realizado]="Realizado",ISBLANK(MIP[[#This Row],[S.B Sitrack]])=FALSE,ISBLANK(MIP[[#This Row],[C.B Sitrack]])=FALSE),MIP[Sem],0)</f>
        <v>0</v>
      </c>
    </row>
    <row r="127" spans="1:43" s="47" customFormat="1" x14ac:dyDescent="0.25">
      <c r="A127" s="11"/>
      <c r="B127" s="44">
        <f>WEEKNUM(MIP[[#This Row],[Data]])</f>
        <v>24</v>
      </c>
      <c r="C127" s="45">
        <v>42898</v>
      </c>
      <c r="D127" s="45"/>
      <c r="E127" s="35" t="s">
        <v>3</v>
      </c>
      <c r="F127" s="35" t="s">
        <v>5</v>
      </c>
      <c r="G127" s="35"/>
      <c r="H127" s="44">
        <v>2</v>
      </c>
      <c r="I127" s="44">
        <v>4</v>
      </c>
      <c r="J127" s="44">
        <v>2</v>
      </c>
      <c r="K127" s="44">
        <v>2</v>
      </c>
      <c r="L127" s="44">
        <v>4</v>
      </c>
      <c r="M127" s="43">
        <v>0.625</v>
      </c>
      <c r="N127" s="43">
        <v>0.64583333333333337</v>
      </c>
      <c r="O127" s="43">
        <f>1+18/24/60</f>
        <v>1.0125</v>
      </c>
      <c r="P127" s="43">
        <f>1+48/24/60</f>
        <v>1.0333333333333334</v>
      </c>
      <c r="Q127" s="39"/>
      <c r="R127" s="42"/>
      <c r="S127" s="44">
        <f>MIP[[#This Row],[PT-1]]+MIP[[#This Row],[PT-2]]*2+MIP[[#This Row],[PT-3]]*3+MIP[[#This Row],[PT &gt; 3 Pontos]]</f>
        <v>18</v>
      </c>
      <c r="T12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127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127" s="41">
        <f>MIP[[#This Row],[Eficiência]]</f>
        <v>1.2138349109514572</v>
      </c>
      <c r="W12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27" s="39">
        <f>IF(MIP[[#This Row],[P.S]]-MIP[[#This Row],[P.E]]&lt;0,1+MIP[[#This Row],[P.S]]-MIP[[#This Row],[P.E]]-1/24,MIP[[#This Row],[P.S]]-MIP[[#This Row],[P.E]]-1/24)</f>
        <v>0.36666666666666675</v>
      </c>
      <c r="Y127" s="39">
        <f>MIP[[#This Row],[PT-1]]*$S$3+MIP[[#This Row],[PT-2]]*$T$3+MIP[[#This Row],[PT-3]]*$U$3+MIP[[#This Row],[PT &gt; 3 Pontos]]*$V$3</f>
        <v>0.39449634605922346</v>
      </c>
      <c r="Z127" s="39">
        <f>MIP[[#This Row],[HH disponível]]-MIP[[#This Row],[HH AC TOT]]</f>
        <v>0.3249999999999999</v>
      </c>
      <c r="AA127" s="38">
        <f>MIP[[#This Row],[HH Produtivo
Total]]/MIP[[#This Row],[HH Trabalhado]]</f>
        <v>1.2138349109514572</v>
      </c>
      <c r="AB127" s="38">
        <f>MIP[[#This Row],[HH Produtivo
Total]]/MIP[[#This Row],[HH disponível]]</f>
        <v>1.0758991256160637</v>
      </c>
      <c r="AC127" s="38">
        <f>MIP[[#This Row],[HH Trabalhado]]/MIP[[#This Row],[HH disponível]]</f>
        <v>0.88636363636363591</v>
      </c>
      <c r="AD127" s="37" t="str">
        <f>LEFT(MIP[[#This Row],[Equipe]], SEARCH("/",MIP[[#This Row],[Equipe]],1)-1)</f>
        <v xml:space="preserve">EDILTON </v>
      </c>
      <c r="AE127" s="37" t="str">
        <f>RIGHT(MIP[[#This Row],[Equipe]], LEN(MIP[[#This Row],[Equipe]])-SEARCH("/",MIP[[#This Row],[Equipe]],1))</f>
        <v xml:space="preserve"> GECIVALDO</v>
      </c>
      <c r="AF127" s="44">
        <f>COUNTIFS('[1]Tempo parado'!H:H,"&gt;="&amp;MIP[[#This Row],[S.B Sitrack]],'[1]Tempo parado'!I:I,"&lt;="&amp;MIP[[#This Row],[C.B Sitrack]],'[1]Tempo parado'!B:B,MIP[[#This Row],[Placa]])</f>
        <v>0</v>
      </c>
      <c r="AG127" s="36"/>
      <c r="AH127" s="35"/>
      <c r="AI127" s="34"/>
      <c r="AJ127" s="34"/>
      <c r="AK12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2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27" s="32">
        <f>SUMIFS('[1]Tempo parado'!J:J,'[1]Tempo parado'!H:H,"&gt;="&amp;MIP[[#This Row],[S.B Sitrack]],'[1]Tempo parado'!I:I,"&lt;="&amp;MIP[[#This Row],[C.B Sitrack]],'[1]Tempo parado'!B:B,MIP[[#This Row],[Placa]])</f>
        <v>0</v>
      </c>
      <c r="AN127" s="32" t="str">
        <f>IFERROR(MIP[[#This Row],[Tempo parado]]/(MIP[[#This Row],[C.B Sitrack]]-MIP[[#This Row],[S.B Sitrack]]),"")</f>
        <v/>
      </c>
      <c r="AO127" s="30"/>
      <c r="AP127" s="44">
        <f>IF(AND(MIP[Exc]=0,MIP[Previsto / Realizado]="Realizado"),MIP[Sem],0)</f>
        <v>0</v>
      </c>
      <c r="AQ127" s="29">
        <f>IF(AND(MIP[Exc]=0,MIP[Previsto / Realizado]="Realizado",ISBLANK(MIP[[#This Row],[S.B Sitrack]])=FALSE,ISBLANK(MIP[[#This Row],[C.B Sitrack]])=FALSE),MIP[Sem],0)</f>
        <v>0</v>
      </c>
    </row>
    <row r="128" spans="1:43" s="64" customFormat="1" x14ac:dyDescent="0.25">
      <c r="A128" s="11"/>
      <c r="B128" s="44">
        <f>WEEKNUM(MIP[[#This Row],[Data]])</f>
        <v>24</v>
      </c>
      <c r="C128" s="45">
        <v>42898</v>
      </c>
      <c r="D128" s="45"/>
      <c r="E128" s="35" t="s">
        <v>3</v>
      </c>
      <c r="F128" s="35" t="s">
        <v>2</v>
      </c>
      <c r="G128" s="35"/>
      <c r="H128" s="44">
        <v>2</v>
      </c>
      <c r="I128" s="44">
        <v>4</v>
      </c>
      <c r="J128" s="44">
        <v>1</v>
      </c>
      <c r="K128" s="44">
        <v>2</v>
      </c>
      <c r="L128" s="44">
        <v>0</v>
      </c>
      <c r="M128" s="43">
        <v>0.61944444444444446</v>
      </c>
      <c r="N128" s="43">
        <v>0.65972222222222221</v>
      </c>
      <c r="O128" s="43">
        <f>1+23/24/60</f>
        <v>1.0159722222222223</v>
      </c>
      <c r="P128" s="43">
        <f>1+48/24/60</f>
        <v>1.0333333333333334</v>
      </c>
      <c r="Q128" s="39"/>
      <c r="R128" s="42" t="s">
        <v>422</v>
      </c>
      <c r="S128" s="44">
        <f>MIP[[#This Row],[PT-1]]+MIP[[#This Row],[PT-2]]*2+MIP[[#This Row],[PT-3]]*3+MIP[[#This Row],[PT &gt; 3 Pontos]]</f>
        <v>12</v>
      </c>
      <c r="T12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5.7638888888888906E-2</v>
      </c>
      <c r="U128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5.7638888888888906E-2</v>
      </c>
      <c r="V128" s="41">
        <f>MIP[[#This Row],[Eficiência]]</f>
        <v>0.85699243369485201</v>
      </c>
      <c r="W12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28" s="39">
        <f>IF(MIP[[#This Row],[P.S]]-MIP[[#This Row],[P.E]]&lt;0,1+MIP[[#This Row],[P.S]]-MIP[[#This Row],[P.E]]-1/24,MIP[[#This Row],[P.S]]-MIP[[#This Row],[P.E]]-1/24)</f>
        <v>0.37222222222222229</v>
      </c>
      <c r="Y128" s="39">
        <f>MIP[[#This Row],[PT-1]]*$S$3+MIP[[#This Row],[PT-2]]*$T$3+MIP[[#This Row],[PT-3]]*$U$3+MIP[[#This Row],[PT &gt; 3 Pontos]]*$V$3</f>
        <v>0.26959553643317224</v>
      </c>
      <c r="Z128" s="39">
        <f>MIP[[#This Row],[HH disponível]]-MIP[[#This Row],[HH AC TOT]]</f>
        <v>0.31458333333333338</v>
      </c>
      <c r="AA128" s="38">
        <f>MIP[[#This Row],[HH Produtivo
Total]]/MIP[[#This Row],[HH Trabalhado]]</f>
        <v>0.85699243369485201</v>
      </c>
      <c r="AB128" s="38">
        <f>MIP[[#This Row],[HH Produtivo
Total]]/MIP[[#This Row],[HH disponível]]</f>
        <v>0.72428651579061187</v>
      </c>
      <c r="AC128" s="38">
        <f>MIP[[#This Row],[HH Trabalhado]]/MIP[[#This Row],[HH disponível]]</f>
        <v>0.84514925373134331</v>
      </c>
      <c r="AD128" s="37" t="str">
        <f>LEFT(MIP[[#This Row],[Equipe]], SEARCH("/",MIP[[#This Row],[Equipe]],1)-1)</f>
        <v xml:space="preserve">EDILTON </v>
      </c>
      <c r="AE128" s="37" t="str">
        <f>RIGHT(MIP[[#This Row],[Equipe]], LEN(MIP[[#This Row],[Equipe]])-SEARCH("/",MIP[[#This Row],[Equipe]],1))</f>
        <v xml:space="preserve"> GECIVALDO</v>
      </c>
      <c r="AF128" s="44">
        <f>COUNTIFS('[1]Tempo parado'!H:H,"&gt;="&amp;MIP[[#This Row],[S.B Sitrack]],'[1]Tempo parado'!I:I,"&lt;="&amp;MIP[[#This Row],[C.B Sitrack]],'[1]Tempo parado'!B:B,MIP[[#This Row],[Placa]])</f>
        <v>0</v>
      </c>
      <c r="AG128" s="36"/>
      <c r="AH128" s="35"/>
      <c r="AI128" s="34"/>
      <c r="AJ128" s="34"/>
      <c r="AK12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2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28" s="32">
        <f>SUMIFS('[1]Tempo parado'!J:J,'[1]Tempo parado'!H:H,"&gt;="&amp;MIP[[#This Row],[S.B Sitrack]],'[1]Tempo parado'!I:I,"&lt;="&amp;MIP[[#This Row],[C.B Sitrack]],'[1]Tempo parado'!B:B,MIP[[#This Row],[Placa]])</f>
        <v>0</v>
      </c>
      <c r="AN128" s="32" t="str">
        <f>IFERROR(MIP[[#This Row],[Tempo parado]]/(MIP[[#This Row],[C.B Sitrack]]-MIP[[#This Row],[S.B Sitrack]]),"")</f>
        <v/>
      </c>
      <c r="AO128" s="30"/>
      <c r="AP128" s="44">
        <f>IF(AND(MIP[Exc]=0,MIP[Previsto / Realizado]="Realizado"),MIP[Sem],0)</f>
        <v>24</v>
      </c>
      <c r="AQ128" s="29">
        <f>IF(AND(MIP[Exc]=0,MIP[Previsto / Realizado]="Realizado",ISBLANK(MIP[[#This Row],[S.B Sitrack]])=FALSE,ISBLANK(MIP[[#This Row],[C.B Sitrack]])=FALSE),MIP[Sem],0)</f>
        <v>0</v>
      </c>
    </row>
    <row r="129" spans="1:43" s="47" customFormat="1" x14ac:dyDescent="0.25">
      <c r="A129" s="11"/>
      <c r="B129" s="44">
        <f>WEEKNUM(MIP[[#This Row],[Data]])</f>
        <v>24</v>
      </c>
      <c r="C129" s="45">
        <v>42898</v>
      </c>
      <c r="D129" s="45"/>
      <c r="E129" s="35" t="s">
        <v>7</v>
      </c>
      <c r="F129" s="35" t="s">
        <v>5</v>
      </c>
      <c r="G129" s="35"/>
      <c r="H129" s="44">
        <v>2</v>
      </c>
      <c r="I129" s="44">
        <v>1</v>
      </c>
      <c r="J129" s="44">
        <v>1</v>
      </c>
      <c r="K129" s="44">
        <v>1</v>
      </c>
      <c r="L129" s="44">
        <v>10</v>
      </c>
      <c r="M129" s="43">
        <v>0.625</v>
      </c>
      <c r="N129" s="43">
        <v>0.64583333333333337</v>
      </c>
      <c r="O129" s="43">
        <f>1+18/24/60</f>
        <v>1.0125</v>
      </c>
      <c r="P129" s="43">
        <f>1+48/24/60</f>
        <v>1.0333333333333334</v>
      </c>
      <c r="Q129" s="39"/>
      <c r="R129" s="42"/>
      <c r="S129" s="44">
        <f>MIP[[#This Row],[PT-1]]+MIP[[#This Row],[PT-2]]*2+MIP[[#This Row],[PT-3]]*3+MIP[[#This Row],[PT &gt; 3 Pontos]]</f>
        <v>16</v>
      </c>
      <c r="T12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129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129" s="41">
        <f>MIP[[#This Row],[Eficiência]]</f>
        <v>1.0283274065127936</v>
      </c>
      <c r="W12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29" s="39">
        <f>IF(MIP[[#This Row],[P.S]]-MIP[[#This Row],[P.E]]&lt;0,1+MIP[[#This Row],[P.S]]-MIP[[#This Row],[P.E]]-1/24,MIP[[#This Row],[P.S]]-MIP[[#This Row],[P.E]]-1/24)</f>
        <v>0.36666666666666675</v>
      </c>
      <c r="Y129" s="39">
        <f>MIP[[#This Row],[PT-1]]*$S$3+MIP[[#This Row],[PT-2]]*$T$3+MIP[[#This Row],[PT-3]]*$U$3+MIP[[#This Row],[PT &gt; 3 Pontos]]*$V$3</f>
        <v>0.33420640711665783</v>
      </c>
      <c r="Z129" s="39">
        <f>MIP[[#This Row],[HH disponível]]-MIP[[#This Row],[HH AC TOT]]</f>
        <v>0.3249999999999999</v>
      </c>
      <c r="AA129" s="38">
        <f>MIP[[#This Row],[HH Produtivo
Total]]/MIP[[#This Row],[HH Trabalhado]]</f>
        <v>1.0283274065127936</v>
      </c>
      <c r="AB129" s="38">
        <f>MIP[[#This Row],[HH Produtivo
Total]]/MIP[[#This Row],[HH disponível]]</f>
        <v>0.91147201940906664</v>
      </c>
      <c r="AC129" s="38">
        <f>MIP[[#This Row],[HH Trabalhado]]/MIP[[#This Row],[HH disponível]]</f>
        <v>0.88636363636363591</v>
      </c>
      <c r="AD129" s="37" t="str">
        <f>LEFT(MIP[[#This Row],[Equipe]], SEARCH("/",MIP[[#This Row],[Equipe]],1)-1)</f>
        <v xml:space="preserve">ANDERSON </v>
      </c>
      <c r="AE129" s="37" t="str">
        <f>RIGHT(MIP[[#This Row],[Equipe]], LEN(MIP[[#This Row],[Equipe]])-SEARCH("/",MIP[[#This Row],[Equipe]],1))</f>
        <v xml:space="preserve"> MARCO</v>
      </c>
      <c r="AF129" s="44">
        <f>COUNTIFS('[1]Tempo parado'!H:H,"&gt;="&amp;MIP[[#This Row],[S.B Sitrack]],'[1]Tempo parado'!I:I,"&lt;="&amp;MIP[[#This Row],[C.B Sitrack]],'[1]Tempo parado'!B:B,MIP[[#This Row],[Placa]])</f>
        <v>0</v>
      </c>
      <c r="AG129" s="36"/>
      <c r="AH129" s="35"/>
      <c r="AI129" s="34"/>
      <c r="AJ129" s="34"/>
      <c r="AK12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2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29" s="32">
        <f>SUMIFS('[1]Tempo parado'!J:J,'[1]Tempo parado'!H:H,"&gt;="&amp;MIP[[#This Row],[S.B Sitrack]],'[1]Tempo parado'!I:I,"&lt;="&amp;MIP[[#This Row],[C.B Sitrack]],'[1]Tempo parado'!B:B,MIP[[#This Row],[Placa]])</f>
        <v>0</v>
      </c>
      <c r="AN129" s="32" t="str">
        <f>IFERROR(MIP[[#This Row],[Tempo parado]]/(MIP[[#This Row],[C.B Sitrack]]-MIP[[#This Row],[S.B Sitrack]]),"")</f>
        <v/>
      </c>
      <c r="AO129" s="30"/>
      <c r="AP129" s="44">
        <f>IF(AND(MIP[Exc]=0,MIP[Previsto / Realizado]="Realizado"),MIP[Sem],0)</f>
        <v>0</v>
      </c>
      <c r="AQ129" s="29">
        <f>IF(AND(MIP[Exc]=0,MIP[Previsto / Realizado]="Realizado",ISBLANK(MIP[[#This Row],[S.B Sitrack]])=FALSE,ISBLANK(MIP[[#This Row],[C.B Sitrack]])=FALSE),MIP[Sem],0)</f>
        <v>0</v>
      </c>
    </row>
    <row r="130" spans="1:43" s="64" customFormat="1" x14ac:dyDescent="0.25">
      <c r="A130" s="11"/>
      <c r="B130" s="44">
        <f>WEEKNUM(MIP[[#This Row],[Data]])</f>
        <v>24</v>
      </c>
      <c r="C130" s="45">
        <v>42898</v>
      </c>
      <c r="D130" s="45"/>
      <c r="E130" s="35" t="s">
        <v>7</v>
      </c>
      <c r="F130" s="35" t="s">
        <v>2</v>
      </c>
      <c r="G130" s="35"/>
      <c r="H130" s="44">
        <v>2</v>
      </c>
      <c r="I130" s="44">
        <v>3</v>
      </c>
      <c r="J130" s="44">
        <v>1</v>
      </c>
      <c r="K130" s="44">
        <v>1</v>
      </c>
      <c r="L130" s="44">
        <v>4</v>
      </c>
      <c r="M130" s="43">
        <v>0.64861111111111114</v>
      </c>
      <c r="N130" s="43">
        <v>0.66666666666666663</v>
      </c>
      <c r="O130" s="43">
        <f>1+28/24/60</f>
        <v>1.0194444444444444</v>
      </c>
      <c r="P130" s="43">
        <f>1+48/24/60</f>
        <v>1.0333333333333334</v>
      </c>
      <c r="Q130" s="39"/>
      <c r="R130" s="42" t="s">
        <v>421</v>
      </c>
      <c r="S130" s="44">
        <f>MIP[[#This Row],[PT-1]]+MIP[[#This Row],[PT-2]]*2+MIP[[#This Row],[PT-3]]*3+MIP[[#This Row],[PT &gt; 3 Pontos]]</f>
        <v>12</v>
      </c>
      <c r="T13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3.1944444444444553E-2</v>
      </c>
      <c r="U130" s="39">
        <f>IF(MIP[[#This Row],[P.S]]-MIP[[#This Row],[U.P]]&gt;=0,MIP[[#This Row],[P.S]]-MIP[[#This Row],[U.P]]+MIP[[#This Row],[S.B]]-MIP[[#This Row],[P.E]],1+MIP[[#This Row],[P.S]]-MIP[[#This Row],[U.P]]+MIP[[#This Row],[S.B]]-MIP[[#This Row],[P.E]])</f>
        <v>3.1944444444444553E-2</v>
      </c>
      <c r="V130" s="41">
        <f>MIP[[#This Row],[Eficiência]]</f>
        <v>0.84461801062514397</v>
      </c>
      <c r="W13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30" s="39">
        <f>IF(MIP[[#This Row],[P.S]]-MIP[[#This Row],[P.E]]&lt;0,1+MIP[[#This Row],[P.S]]-MIP[[#This Row],[P.E]]-1/24,MIP[[#This Row],[P.S]]-MIP[[#This Row],[P.E]]-1/24)</f>
        <v>0.34305555555555561</v>
      </c>
      <c r="Y130" s="39">
        <f>MIP[[#This Row],[PT-1]]*$S$3+MIP[[#This Row],[PT-2]]*$T$3+MIP[[#This Row],[PT-3]]*$U$3+MIP[[#This Row],[PT &gt; 3 Pontos]]*$V$3</f>
        <v>0.26277004775004476</v>
      </c>
      <c r="Z130" s="39">
        <f>MIP[[#This Row],[HH disponível]]-MIP[[#This Row],[HH AC TOT]]</f>
        <v>0.31111111111111106</v>
      </c>
      <c r="AA130" s="38">
        <f>MIP[[#This Row],[HH Produtivo
Total]]/MIP[[#This Row],[HH Trabalhado]]</f>
        <v>0.84461801062514397</v>
      </c>
      <c r="AB130" s="38">
        <f>MIP[[#This Row],[HH Produtivo
Total]]/MIP[[#This Row],[HH disponível]]</f>
        <v>0.76596936995964449</v>
      </c>
      <c r="AC130" s="38">
        <f>MIP[[#This Row],[HH Trabalhado]]/MIP[[#This Row],[HH disponível]]</f>
        <v>0.90688259109311709</v>
      </c>
      <c r="AD130" s="37" t="str">
        <f>LEFT(MIP[[#This Row],[Equipe]], SEARCH("/",MIP[[#This Row],[Equipe]],1)-1)</f>
        <v xml:space="preserve">ANDERSON </v>
      </c>
      <c r="AE130" s="37" t="str">
        <f>RIGHT(MIP[[#This Row],[Equipe]], LEN(MIP[[#This Row],[Equipe]])-SEARCH("/",MIP[[#This Row],[Equipe]],1))</f>
        <v xml:space="preserve"> MARCO</v>
      </c>
      <c r="AF130" s="44">
        <f>COUNTIFS('[1]Tempo parado'!H:H,"&gt;="&amp;MIP[[#This Row],[S.B Sitrack]],'[1]Tempo parado'!I:I,"&lt;="&amp;MIP[[#This Row],[C.B Sitrack]],'[1]Tempo parado'!B:B,MIP[[#This Row],[Placa]])</f>
        <v>0</v>
      </c>
      <c r="AG130" s="36"/>
      <c r="AH130" s="35"/>
      <c r="AI130" s="34"/>
      <c r="AJ130" s="34"/>
      <c r="AK13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3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30" s="32">
        <f>SUMIFS('[1]Tempo parado'!J:J,'[1]Tempo parado'!H:H,"&gt;="&amp;MIP[[#This Row],[S.B Sitrack]],'[1]Tempo parado'!I:I,"&lt;="&amp;MIP[[#This Row],[C.B Sitrack]],'[1]Tempo parado'!B:B,MIP[[#This Row],[Placa]])</f>
        <v>0</v>
      </c>
      <c r="AN130" s="32" t="str">
        <f>IFERROR(MIP[[#This Row],[Tempo parado]]/(MIP[[#This Row],[C.B Sitrack]]-MIP[[#This Row],[S.B Sitrack]]),"")</f>
        <v/>
      </c>
      <c r="AO130" s="30"/>
      <c r="AP130" s="44">
        <f>IF(AND(MIP[Exc]=0,MIP[Previsto / Realizado]="Realizado"),MIP[Sem],0)</f>
        <v>24</v>
      </c>
      <c r="AQ130" s="29">
        <f>IF(AND(MIP[Exc]=0,MIP[Previsto / Realizado]="Realizado",ISBLANK(MIP[[#This Row],[S.B Sitrack]])=FALSE,ISBLANK(MIP[[#This Row],[C.B Sitrack]])=FALSE),MIP[Sem],0)</f>
        <v>0</v>
      </c>
    </row>
    <row r="131" spans="1:43" s="47" customFormat="1" x14ac:dyDescent="0.25">
      <c r="A131" s="11"/>
      <c r="B131" s="44">
        <f>WEEKNUM(MIP[[#This Row],[Data]])</f>
        <v>24</v>
      </c>
      <c r="C131" s="45">
        <v>42899</v>
      </c>
      <c r="D131" s="45"/>
      <c r="E131" s="35" t="s">
        <v>7</v>
      </c>
      <c r="F131" s="35" t="s">
        <v>5</v>
      </c>
      <c r="G131" s="35"/>
      <c r="H131" s="44">
        <v>2</v>
      </c>
      <c r="I131" s="44">
        <v>2</v>
      </c>
      <c r="J131" s="44">
        <v>0</v>
      </c>
      <c r="K131" s="44">
        <v>0</v>
      </c>
      <c r="L131" s="44">
        <v>10</v>
      </c>
      <c r="M131" s="43">
        <v>0.625</v>
      </c>
      <c r="N131" s="43">
        <v>0.64583333333333337</v>
      </c>
      <c r="O131" s="43">
        <f>1+18/24/60</f>
        <v>1.0125</v>
      </c>
      <c r="P131" s="43">
        <f>1+48/24/60</f>
        <v>1.0333333333333334</v>
      </c>
      <c r="Q131" s="39"/>
      <c r="R131" s="42" t="s">
        <v>420</v>
      </c>
      <c r="S131" s="44">
        <f>MIP[[#This Row],[PT-1]]+MIP[[#This Row],[PT-2]]*2+MIP[[#This Row],[PT-3]]*3+MIP[[#This Row],[PT &gt; 3 Pontos]]</f>
        <v>12</v>
      </c>
      <c r="T13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131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131" s="41">
        <f>MIP[[#This Row],[Eficiência]]</f>
        <v>0.77702096838570323</v>
      </c>
      <c r="W13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31" s="39">
        <f>IF(MIP[[#This Row],[P.S]]-MIP[[#This Row],[P.E]]&lt;0,1+MIP[[#This Row],[P.S]]-MIP[[#This Row],[P.E]]-1/24,MIP[[#This Row],[P.S]]-MIP[[#This Row],[P.E]]-1/24)</f>
        <v>0.36666666666666675</v>
      </c>
      <c r="Y131" s="39">
        <f>MIP[[#This Row],[PT-1]]*$S$3+MIP[[#This Row],[PT-2]]*$T$3+MIP[[#This Row],[PT-3]]*$U$3+MIP[[#This Row],[PT &gt; 3 Pontos]]*$V$3</f>
        <v>0.25253181472535347</v>
      </c>
      <c r="Z131" s="39">
        <f>MIP[[#This Row],[HH disponível]]-MIP[[#This Row],[HH AC TOT]]</f>
        <v>0.3249999999999999</v>
      </c>
      <c r="AA131" s="38">
        <f>MIP[[#This Row],[HH Produtivo
Total]]/MIP[[#This Row],[HH Trabalhado]]</f>
        <v>0.77702096838570323</v>
      </c>
      <c r="AB131" s="38">
        <f>MIP[[#This Row],[HH Produtivo
Total]]/MIP[[#This Row],[HH disponível]]</f>
        <v>0.68872313106914562</v>
      </c>
      <c r="AC131" s="38">
        <f>MIP[[#This Row],[HH Trabalhado]]/MIP[[#This Row],[HH disponível]]</f>
        <v>0.88636363636363591</v>
      </c>
      <c r="AD131" s="37" t="str">
        <f>LEFT(MIP[[#This Row],[Equipe]], SEARCH("/",MIP[[#This Row],[Equipe]],1)-1)</f>
        <v xml:space="preserve">ANDERSON </v>
      </c>
      <c r="AE131" s="37" t="str">
        <f>RIGHT(MIP[[#This Row],[Equipe]], LEN(MIP[[#This Row],[Equipe]])-SEARCH("/",MIP[[#This Row],[Equipe]],1))</f>
        <v xml:space="preserve"> MARCO</v>
      </c>
      <c r="AF131" s="44">
        <f>COUNTIFS('[1]Tempo parado'!H:H,"&gt;="&amp;MIP[[#This Row],[S.B Sitrack]],'[1]Tempo parado'!I:I,"&lt;="&amp;MIP[[#This Row],[C.B Sitrack]],'[1]Tempo parado'!B:B,MIP[[#This Row],[Placa]])</f>
        <v>0</v>
      </c>
      <c r="AG131" s="36"/>
      <c r="AH131" s="35"/>
      <c r="AI131" s="34"/>
      <c r="AJ131" s="34"/>
      <c r="AK13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3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31" s="32">
        <f>SUMIFS('[1]Tempo parado'!J:J,'[1]Tempo parado'!H:H,"&gt;="&amp;MIP[[#This Row],[S.B Sitrack]],'[1]Tempo parado'!I:I,"&lt;="&amp;MIP[[#This Row],[C.B Sitrack]],'[1]Tempo parado'!B:B,MIP[[#This Row],[Placa]])</f>
        <v>0</v>
      </c>
      <c r="AN131" s="32" t="str">
        <f>IFERROR(MIP[[#This Row],[Tempo parado]]/(MIP[[#This Row],[C.B Sitrack]]-MIP[[#This Row],[S.B Sitrack]]),"")</f>
        <v/>
      </c>
      <c r="AO131" s="30"/>
      <c r="AP131" s="44">
        <f>IF(AND(MIP[Exc]=0,MIP[Previsto / Realizado]="Realizado"),MIP[Sem],0)</f>
        <v>0</v>
      </c>
      <c r="AQ131" s="29">
        <f>IF(AND(MIP[Exc]=0,MIP[Previsto / Realizado]="Realizado",ISBLANK(MIP[[#This Row],[S.B Sitrack]])=FALSE,ISBLANK(MIP[[#This Row],[C.B Sitrack]])=FALSE),MIP[Sem],0)</f>
        <v>0</v>
      </c>
    </row>
    <row r="132" spans="1:43" x14ac:dyDescent="0.25">
      <c r="B132" s="44">
        <f>WEEKNUM(MIP[[#This Row],[Data]])</f>
        <v>24</v>
      </c>
      <c r="C132" s="45">
        <v>42899</v>
      </c>
      <c r="D132" s="45"/>
      <c r="E132" s="35" t="s">
        <v>7</v>
      </c>
      <c r="F132" s="35" t="s">
        <v>2</v>
      </c>
      <c r="G132" s="35"/>
      <c r="H132" s="44">
        <v>2</v>
      </c>
      <c r="I132" s="44">
        <v>1</v>
      </c>
      <c r="J132" s="44">
        <v>0</v>
      </c>
      <c r="K132" s="44">
        <v>0</v>
      </c>
      <c r="L132" s="44">
        <v>11</v>
      </c>
      <c r="M132" s="43">
        <v>0.62708333333333333</v>
      </c>
      <c r="N132" s="43">
        <v>0.67291666666666661</v>
      </c>
      <c r="O132" s="43">
        <f>1+35/24/60</f>
        <v>1.0243055555555556</v>
      </c>
      <c r="P132" s="43">
        <f>1+48/24/60</f>
        <v>1.0333333333333334</v>
      </c>
      <c r="Q132" s="39"/>
      <c r="R132" s="42"/>
      <c r="S132" s="44">
        <f>MIP[[#This Row],[PT-1]]+MIP[[#This Row],[PT-2]]*2+MIP[[#This Row],[PT-3]]*3+MIP[[#This Row],[PT &gt; 3 Pontos]]</f>
        <v>12</v>
      </c>
      <c r="T13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5.4861111111111138E-2</v>
      </c>
      <c r="U132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5.4861111111111138E-2</v>
      </c>
      <c r="V132" s="41">
        <f>MIP[[#This Row],[Eficiência]]</f>
        <v>0.79992314038546275</v>
      </c>
      <c r="W13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32" s="39">
        <f>IF(MIP[[#This Row],[P.S]]-MIP[[#This Row],[P.E]]&lt;0,1+MIP[[#This Row],[P.S]]-MIP[[#This Row],[P.E]]-1/24,MIP[[#This Row],[P.S]]-MIP[[#This Row],[P.E]]-1/24)</f>
        <v>0.36458333333333343</v>
      </c>
      <c r="Y132" s="39">
        <f>MIP[[#This Row],[PT-1]]*$S$3+MIP[[#This Row],[PT-2]]*$T$3+MIP[[#This Row],[PT-3]]*$U$3+MIP[[#This Row],[PT &gt; 3 Pontos]]*$V$3</f>
        <v>0.2477539726471642</v>
      </c>
      <c r="Z132" s="39">
        <f>MIP[[#This Row],[HH disponível]]-MIP[[#This Row],[HH AC TOT]]</f>
        <v>0.30972222222222229</v>
      </c>
      <c r="AA132" s="38">
        <f>MIP[[#This Row],[HH Produtivo
Total]]/MIP[[#This Row],[HH Trabalhado]]</f>
        <v>0.79992314038546275</v>
      </c>
      <c r="AB132" s="38">
        <f>MIP[[#This Row],[HH Produtivo
Total]]/MIP[[#This Row],[HH disponível]]</f>
        <v>0.67955375354650738</v>
      </c>
      <c r="AC132" s="38">
        <f>MIP[[#This Row],[HH Trabalhado]]/MIP[[#This Row],[HH disponível]]</f>
        <v>0.84952380952380946</v>
      </c>
      <c r="AD132" s="37" t="str">
        <f>LEFT(MIP[[#This Row],[Equipe]], SEARCH("/",MIP[[#This Row],[Equipe]],1)-1)</f>
        <v xml:space="preserve">ANDERSON </v>
      </c>
      <c r="AE132" s="37" t="str">
        <f>RIGHT(MIP[[#This Row],[Equipe]], LEN(MIP[[#This Row],[Equipe]])-SEARCH("/",MIP[[#This Row],[Equipe]],1))</f>
        <v xml:space="preserve"> MARCO</v>
      </c>
      <c r="AF132" s="44">
        <f>COUNTIFS('[1]Tempo parado'!H:H,"&gt;="&amp;MIP[[#This Row],[S.B Sitrack]],'[1]Tempo parado'!I:I,"&lt;="&amp;MIP[[#This Row],[C.B Sitrack]],'[1]Tempo parado'!B:B,MIP[[#This Row],[Placa]])</f>
        <v>0</v>
      </c>
      <c r="AG132" s="36"/>
      <c r="AH132" s="35"/>
      <c r="AI132" s="34"/>
      <c r="AJ132" s="34"/>
      <c r="AK13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3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32" s="32">
        <f>SUMIFS('[1]Tempo parado'!J:J,'[1]Tempo parado'!H:H,"&gt;="&amp;MIP[[#This Row],[S.B Sitrack]],'[1]Tempo parado'!I:I,"&lt;="&amp;MIP[[#This Row],[C.B Sitrack]],'[1]Tempo parado'!B:B,MIP[[#This Row],[Placa]])</f>
        <v>0</v>
      </c>
      <c r="AN132" s="32" t="str">
        <f>IFERROR(MIP[[#This Row],[Tempo parado]]/(MIP[[#This Row],[C.B Sitrack]]-MIP[[#This Row],[S.B Sitrack]]),"")</f>
        <v/>
      </c>
      <c r="AO132" s="30"/>
      <c r="AP132" s="44">
        <f>IF(AND(MIP[Exc]=0,MIP[Previsto / Realizado]="Realizado"),MIP[Sem],0)</f>
        <v>24</v>
      </c>
      <c r="AQ132" s="29">
        <f>IF(AND(MIP[Exc]=0,MIP[Previsto / Realizado]="Realizado",ISBLANK(MIP[[#This Row],[S.B Sitrack]])=FALSE,ISBLANK(MIP[[#This Row],[C.B Sitrack]])=FALSE),MIP[Sem],0)</f>
        <v>0</v>
      </c>
    </row>
    <row r="133" spans="1:43" x14ac:dyDescent="0.25">
      <c r="B133" s="44">
        <f>WEEKNUM(MIP[[#This Row],[Data]])</f>
        <v>24</v>
      </c>
      <c r="C133" s="45">
        <v>42900</v>
      </c>
      <c r="D133" s="45"/>
      <c r="E133" s="35" t="s">
        <v>7</v>
      </c>
      <c r="F133" s="35" t="s">
        <v>5</v>
      </c>
      <c r="G133" s="35"/>
      <c r="H133" s="44">
        <v>2</v>
      </c>
      <c r="I133" s="44">
        <v>5</v>
      </c>
      <c r="J133" s="44">
        <v>1</v>
      </c>
      <c r="K133" s="44">
        <v>2</v>
      </c>
      <c r="L133" s="44">
        <v>0</v>
      </c>
      <c r="M133" s="43">
        <v>0.625</v>
      </c>
      <c r="N133" s="43">
        <v>0.64583333333333337</v>
      </c>
      <c r="O133" s="43">
        <f>1+18/24/60</f>
        <v>1.0125</v>
      </c>
      <c r="P133" s="43">
        <f>1+48/24/60</f>
        <v>1.0333333333333334</v>
      </c>
      <c r="Q133" s="39"/>
      <c r="R133" s="42" t="s">
        <v>419</v>
      </c>
      <c r="S133" s="44">
        <f>MIP[[#This Row],[PT-1]]+MIP[[#This Row],[PT-2]]*2+MIP[[#This Row],[PT-3]]*3+MIP[[#This Row],[PT &gt; 3 Pontos]]</f>
        <v>13</v>
      </c>
      <c r="T13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133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133" s="41">
        <f>MIP[[#This Row],[Eficiência]]</f>
        <v>0.90652735197572176</v>
      </c>
      <c r="W13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33" s="39">
        <f>IF(MIP[[#This Row],[P.S]]-MIP[[#This Row],[P.E]]&lt;0,1+MIP[[#This Row],[P.S]]-MIP[[#This Row],[P.E]]-1/24,MIP[[#This Row],[P.S]]-MIP[[#This Row],[P.E]]-1/24)</f>
        <v>0.36666666666666675</v>
      </c>
      <c r="Y133" s="39">
        <f>MIP[[#This Row],[PT-1]]*$S$3+MIP[[#This Row],[PT-2]]*$T$3+MIP[[#This Row],[PT-3]]*$U$3+MIP[[#This Row],[PT &gt; 3 Pontos]]*$V$3</f>
        <v>0.29462138939210947</v>
      </c>
      <c r="Z133" s="39">
        <f>MIP[[#This Row],[HH disponível]]-MIP[[#This Row],[HH AC TOT]]</f>
        <v>0.3249999999999999</v>
      </c>
      <c r="AA133" s="38">
        <f>MIP[[#This Row],[HH Produtivo
Total]]/MIP[[#This Row],[HH Trabalhado]]</f>
        <v>0.90652735197572176</v>
      </c>
      <c r="AB133" s="38">
        <f>MIP[[#This Row],[HH Produtivo
Total]]/MIP[[#This Row],[HH disponível]]</f>
        <v>0.80351288016029832</v>
      </c>
      <c r="AC133" s="38">
        <f>MIP[[#This Row],[HH Trabalhado]]/MIP[[#This Row],[HH disponível]]</f>
        <v>0.88636363636363591</v>
      </c>
      <c r="AD133" s="37" t="str">
        <f>LEFT(MIP[[#This Row],[Equipe]], SEARCH("/",MIP[[#This Row],[Equipe]],1)-1)</f>
        <v xml:space="preserve">ANDERSON </v>
      </c>
      <c r="AE133" s="37" t="str">
        <f>RIGHT(MIP[[#This Row],[Equipe]], LEN(MIP[[#This Row],[Equipe]])-SEARCH("/",MIP[[#This Row],[Equipe]],1))</f>
        <v xml:space="preserve"> MARCO</v>
      </c>
      <c r="AF133" s="44">
        <f>COUNTIFS('[1]Tempo parado'!H:H,"&gt;="&amp;MIP[[#This Row],[S.B Sitrack]],'[1]Tempo parado'!I:I,"&lt;="&amp;MIP[[#This Row],[C.B Sitrack]],'[1]Tempo parado'!B:B,MIP[[#This Row],[Placa]])</f>
        <v>0</v>
      </c>
      <c r="AG133" s="36"/>
      <c r="AH133" s="35"/>
      <c r="AI133" s="34"/>
      <c r="AJ133" s="34"/>
      <c r="AK13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3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33" s="32">
        <f>SUMIFS('[1]Tempo parado'!J:J,'[1]Tempo parado'!H:H,"&gt;="&amp;MIP[[#This Row],[S.B Sitrack]],'[1]Tempo parado'!I:I,"&lt;="&amp;MIP[[#This Row],[C.B Sitrack]],'[1]Tempo parado'!B:B,MIP[[#This Row],[Placa]])</f>
        <v>0</v>
      </c>
      <c r="AN133" s="32" t="str">
        <f>IFERROR(MIP[[#This Row],[Tempo parado]]/(MIP[[#This Row],[C.B Sitrack]]-MIP[[#This Row],[S.B Sitrack]]),"")</f>
        <v/>
      </c>
      <c r="AO133" s="30"/>
      <c r="AP133" s="44">
        <f>IF(AND(MIP[Exc]=0,MIP[Previsto / Realizado]="Realizado"),MIP[Sem],0)</f>
        <v>0</v>
      </c>
      <c r="AQ133" s="29">
        <f>IF(AND(MIP[Exc]=0,MIP[Previsto / Realizado]="Realizado",ISBLANK(MIP[[#This Row],[S.B Sitrack]])=FALSE,ISBLANK(MIP[[#This Row],[C.B Sitrack]])=FALSE),MIP[Sem],0)</f>
        <v>0</v>
      </c>
    </row>
    <row r="134" spans="1:43" x14ac:dyDescent="0.25">
      <c r="B134" s="44">
        <f>WEEKNUM(MIP[[#This Row],[Data]])</f>
        <v>24</v>
      </c>
      <c r="C134" s="45">
        <v>42900</v>
      </c>
      <c r="D134" s="45"/>
      <c r="E134" s="35" t="s">
        <v>7</v>
      </c>
      <c r="F134" s="35" t="s">
        <v>2</v>
      </c>
      <c r="G134" s="35"/>
      <c r="H134" s="44">
        <v>2</v>
      </c>
      <c r="I134" s="44">
        <v>0</v>
      </c>
      <c r="J134" s="44">
        <v>1</v>
      </c>
      <c r="K134" s="44">
        <v>1</v>
      </c>
      <c r="L134" s="44">
        <v>0</v>
      </c>
      <c r="M134" s="43">
        <v>0.63750000000000007</v>
      </c>
      <c r="N134" s="43">
        <v>0.69444444444444453</v>
      </c>
      <c r="O134" s="43">
        <f>1+35/24/60</f>
        <v>1.0243055555555556</v>
      </c>
      <c r="P134" s="43">
        <f>1+48/24/60</f>
        <v>1.0333333333333334</v>
      </c>
      <c r="Q134" s="39"/>
      <c r="R134" s="42"/>
      <c r="S134" s="44">
        <f>MIP[[#This Row],[PT-1]]+MIP[[#This Row],[PT-2]]*2+MIP[[#This Row],[PT-3]]*3+MIP[[#This Row],[PT &gt; 3 Pontos]]</f>
        <v>5</v>
      </c>
      <c r="T13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6.5972222222222321E-2</v>
      </c>
      <c r="U134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6.5972222222222321E-2</v>
      </c>
      <c r="V134" s="41">
        <f>MIP[[#This Row],[Eficiência]]</f>
        <v>0.37023768988999495</v>
      </c>
      <c r="W13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34" s="39">
        <f>IF(MIP[[#This Row],[P.S]]-MIP[[#This Row],[P.E]]&lt;0,1+MIP[[#This Row],[P.S]]-MIP[[#This Row],[P.E]]-1/24,MIP[[#This Row],[P.S]]-MIP[[#This Row],[P.E]]-1/24)</f>
        <v>0.35416666666666669</v>
      </c>
      <c r="Y134" s="39">
        <f>MIP[[#This Row],[PT-1]]*$S$3+MIP[[#This Row],[PT-2]]*$T$3+MIP[[#This Row],[PT-3]]*$U$3+MIP[[#This Row],[PT &gt; 3 Pontos]]*$V$3</f>
        <v>0.10670044535024156</v>
      </c>
      <c r="Z134" s="39">
        <f>MIP[[#This Row],[HH disponível]]-MIP[[#This Row],[HH AC TOT]]</f>
        <v>0.28819444444444436</v>
      </c>
      <c r="AA134" s="38">
        <f>MIP[[#This Row],[HH Produtivo
Total]]/MIP[[#This Row],[HH Trabalhado]]</f>
        <v>0.37023768988999495</v>
      </c>
      <c r="AB134" s="38">
        <f>MIP[[#This Row],[HH Produtivo
Total]]/MIP[[#This Row],[HH disponível]]</f>
        <v>0.3012718456947997</v>
      </c>
      <c r="AC134" s="38">
        <f>MIP[[#This Row],[HH Trabalhado]]/MIP[[#This Row],[HH disponível]]</f>
        <v>0.8137254901960782</v>
      </c>
      <c r="AD134" s="37" t="str">
        <f>LEFT(MIP[[#This Row],[Equipe]], SEARCH("/",MIP[[#This Row],[Equipe]],1)-1)</f>
        <v xml:space="preserve">ANDERSON </v>
      </c>
      <c r="AE134" s="37" t="str">
        <f>RIGHT(MIP[[#This Row],[Equipe]], LEN(MIP[[#This Row],[Equipe]])-SEARCH("/",MIP[[#This Row],[Equipe]],1))</f>
        <v xml:space="preserve"> MARCO</v>
      </c>
      <c r="AF134" s="44">
        <f>COUNTIFS('[1]Tempo parado'!H:H,"&gt;="&amp;MIP[[#This Row],[S.B Sitrack]],'[1]Tempo parado'!I:I,"&lt;="&amp;MIP[[#This Row],[C.B Sitrack]],'[1]Tempo parado'!B:B,MIP[[#This Row],[Placa]])</f>
        <v>0</v>
      </c>
      <c r="AG134" s="36"/>
      <c r="AH134" s="35"/>
      <c r="AI134" s="34"/>
      <c r="AJ134" s="34"/>
      <c r="AK13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3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34" s="32">
        <f>SUMIFS('[1]Tempo parado'!J:J,'[1]Tempo parado'!H:H,"&gt;="&amp;MIP[[#This Row],[S.B Sitrack]],'[1]Tempo parado'!I:I,"&lt;="&amp;MIP[[#This Row],[C.B Sitrack]],'[1]Tempo parado'!B:B,MIP[[#This Row],[Placa]])</f>
        <v>0</v>
      </c>
      <c r="AN134" s="32" t="str">
        <f>IFERROR(MIP[[#This Row],[Tempo parado]]/(MIP[[#This Row],[C.B Sitrack]]-MIP[[#This Row],[S.B Sitrack]]),"")</f>
        <v/>
      </c>
      <c r="AO134" s="30"/>
      <c r="AP134" s="44">
        <f>IF(AND(MIP[Exc]=0,MIP[Previsto / Realizado]="Realizado"),MIP[Sem],0)</f>
        <v>24</v>
      </c>
      <c r="AQ134" s="29">
        <f>IF(AND(MIP[Exc]=0,MIP[Previsto / Realizado]="Realizado",ISBLANK(MIP[[#This Row],[S.B Sitrack]])=FALSE,ISBLANK(MIP[[#This Row],[C.B Sitrack]])=FALSE),MIP[Sem],0)</f>
        <v>0</v>
      </c>
    </row>
    <row r="135" spans="1:43" x14ac:dyDescent="0.25">
      <c r="B135" s="44">
        <f>WEEKNUM(MIP[[#This Row],[Data]])</f>
        <v>24</v>
      </c>
      <c r="C135" s="45">
        <v>42901</v>
      </c>
      <c r="D135" s="45"/>
      <c r="E135" s="35" t="s">
        <v>10</v>
      </c>
      <c r="F135" s="35" t="s">
        <v>5</v>
      </c>
      <c r="G135" s="35"/>
      <c r="H135" s="44">
        <v>2</v>
      </c>
      <c r="I135" s="44">
        <v>7</v>
      </c>
      <c r="J135" s="44">
        <v>3</v>
      </c>
      <c r="K135" s="44">
        <v>1</v>
      </c>
      <c r="L135" s="44">
        <v>0</v>
      </c>
      <c r="M135" s="43">
        <v>0.25</v>
      </c>
      <c r="N135" s="43">
        <v>0.27083333333333331</v>
      </c>
      <c r="O135" s="43">
        <v>0.63750000000000007</v>
      </c>
      <c r="P135" s="43">
        <v>0.65833333333333333</v>
      </c>
      <c r="Q135" s="39"/>
      <c r="R135" s="42"/>
      <c r="S135" s="44">
        <f>MIP[[#This Row],[PT-1]]+MIP[[#This Row],[PT-2]]*2+MIP[[#This Row],[PT-3]]*3+MIP[[#This Row],[PT &gt; 3 Pontos]]</f>
        <v>16</v>
      </c>
      <c r="T13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135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135" s="41">
        <f>MIP[[#This Row],[Eficiência]]</f>
        <v>1.1375352254428337</v>
      </c>
      <c r="W13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35" s="39">
        <f>IF(MIP[[#This Row],[P.S]]-MIP[[#This Row],[P.E]]&lt;0,1+MIP[[#This Row],[P.S]]-MIP[[#This Row],[P.E]]-1/24,MIP[[#This Row],[P.S]]-MIP[[#This Row],[P.E]]-1/24)</f>
        <v>0.36666666666666664</v>
      </c>
      <c r="Y135" s="39">
        <f>MIP[[#This Row],[PT-1]]*$S$3+MIP[[#This Row],[PT-2]]*$T$3+MIP[[#This Row],[PT-3]]*$U$3+MIP[[#This Row],[PT &gt; 3 Pontos]]*$V$3</f>
        <v>0.36969894826892102</v>
      </c>
      <c r="Z135" s="39">
        <f>MIP[[#This Row],[HH disponível]]-MIP[[#This Row],[HH AC TOT]]</f>
        <v>0.32500000000000007</v>
      </c>
      <c r="AA135" s="38">
        <f>MIP[[#This Row],[HH Produtivo
Total]]/MIP[[#This Row],[HH Trabalhado]]</f>
        <v>1.1375352254428337</v>
      </c>
      <c r="AB135" s="38">
        <f>MIP[[#This Row],[HH Produtivo
Total]]/MIP[[#This Row],[HH disponível]]</f>
        <v>1.0082698589152392</v>
      </c>
      <c r="AC135" s="38">
        <f>MIP[[#This Row],[HH Trabalhado]]/MIP[[#This Row],[HH disponível]]</f>
        <v>0.88636363636363658</v>
      </c>
      <c r="AD135" s="37" t="str">
        <f>LEFT(MIP[[#This Row],[Equipe]], SEARCH("/",MIP[[#This Row],[Equipe]],1)-1)</f>
        <v xml:space="preserve">JOILSON </v>
      </c>
      <c r="AE135" s="37" t="str">
        <f>RIGHT(MIP[[#This Row],[Equipe]], LEN(MIP[[#This Row],[Equipe]])-SEARCH("/",MIP[[#This Row],[Equipe]],1))</f>
        <v xml:space="preserve"> VALDEI</v>
      </c>
      <c r="AF135" s="44">
        <f>COUNTIFS('[1]Tempo parado'!H:H,"&gt;="&amp;MIP[[#This Row],[S.B Sitrack]],'[1]Tempo parado'!I:I,"&lt;="&amp;MIP[[#This Row],[C.B Sitrack]],'[1]Tempo parado'!B:B,MIP[[#This Row],[Placa]])</f>
        <v>0</v>
      </c>
      <c r="AG135" s="36"/>
      <c r="AH135" s="35"/>
      <c r="AI135" s="34"/>
      <c r="AJ135" s="34"/>
      <c r="AK13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3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35" s="32">
        <f>SUMIFS('[1]Tempo parado'!J:J,'[1]Tempo parado'!H:H,"&gt;="&amp;MIP[[#This Row],[S.B Sitrack]],'[1]Tempo parado'!I:I,"&lt;="&amp;MIP[[#This Row],[C.B Sitrack]],'[1]Tempo parado'!B:B,MIP[[#This Row],[Placa]])</f>
        <v>0</v>
      </c>
      <c r="AN135" s="32" t="str">
        <f>IFERROR(MIP[[#This Row],[Tempo parado]]/(MIP[[#This Row],[C.B Sitrack]]-MIP[[#This Row],[S.B Sitrack]]),"")</f>
        <v/>
      </c>
      <c r="AO135" s="30"/>
      <c r="AP135" s="44">
        <f>IF(AND(MIP[Exc]=0,MIP[Previsto / Realizado]="Realizado"),MIP[Sem],0)</f>
        <v>0</v>
      </c>
      <c r="AQ135" s="29">
        <f>IF(AND(MIP[Exc]=0,MIP[Previsto / Realizado]="Realizado",ISBLANK(MIP[[#This Row],[S.B Sitrack]])=FALSE,ISBLANK(MIP[[#This Row],[C.B Sitrack]])=FALSE),MIP[Sem],0)</f>
        <v>0</v>
      </c>
    </row>
    <row r="136" spans="1:43" x14ac:dyDescent="0.25">
      <c r="B136" s="44">
        <f>WEEKNUM(MIP[[#This Row],[Data]])</f>
        <v>24</v>
      </c>
      <c r="C136" s="45">
        <v>42901</v>
      </c>
      <c r="D136" s="45"/>
      <c r="E136" s="35" t="s">
        <v>10</v>
      </c>
      <c r="F136" s="35" t="s">
        <v>2</v>
      </c>
      <c r="G136" s="35"/>
      <c r="H136" s="44">
        <v>2</v>
      </c>
      <c r="I136" s="44">
        <v>5</v>
      </c>
      <c r="J136" s="44">
        <v>2</v>
      </c>
      <c r="K136" s="44">
        <v>1</v>
      </c>
      <c r="L136" s="44">
        <v>0</v>
      </c>
      <c r="M136" s="43">
        <v>0.25</v>
      </c>
      <c r="N136" s="43">
        <v>0.2986111111111111</v>
      </c>
      <c r="O136" s="43">
        <v>0.61319444444444449</v>
      </c>
      <c r="P136" s="43">
        <v>0.65833333333333333</v>
      </c>
      <c r="Q136" s="39"/>
      <c r="R136" s="42"/>
      <c r="S136" s="44">
        <f>MIP[[#This Row],[PT-1]]+MIP[[#This Row],[PT-2]]*2+MIP[[#This Row],[PT-3]]*3+MIP[[#This Row],[PT &gt; 3 Pontos]]</f>
        <v>12</v>
      </c>
      <c r="T13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9.3749999999999944E-2</v>
      </c>
      <c r="U136" s="39">
        <f>IF(MIP[[#This Row],[P.S]]-MIP[[#This Row],[U.P]]&gt;=0,MIP[[#This Row],[P.S]]-MIP[[#This Row],[U.P]]+MIP[[#This Row],[S.B]]-MIP[[#This Row],[P.E]],1+MIP[[#This Row],[P.S]]-MIP[[#This Row],[U.P]]+MIP[[#This Row],[S.B]]-MIP[[#This Row],[P.E]])</f>
        <v>9.3749999999999944E-2</v>
      </c>
      <c r="V136" s="41">
        <f>MIP[[#This Row],[Eficiência]]</f>
        <v>1.0103394549544562</v>
      </c>
      <c r="W13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36" s="39">
        <f>IF(MIP[[#This Row],[P.S]]-MIP[[#This Row],[P.E]]&lt;0,1+MIP[[#This Row],[P.S]]-MIP[[#This Row],[P.E]]-1/24,MIP[[#This Row],[P.S]]-MIP[[#This Row],[P.E]]-1/24)</f>
        <v>0.36666666666666664</v>
      </c>
      <c r="Y136" s="39">
        <f>MIP[[#This Row],[PT-1]]*$S$3+MIP[[#This Row],[PT-2]]*$T$3+MIP[[#This Row],[PT-3]]*$U$3+MIP[[#This Row],[PT &gt; 3 Pontos]]*$V$3</f>
        <v>0.27573847624798703</v>
      </c>
      <c r="Z136" s="39">
        <f>MIP[[#This Row],[HH disponível]]-MIP[[#This Row],[HH AC TOT]]</f>
        <v>0.2729166666666667</v>
      </c>
      <c r="AA136" s="38">
        <f>MIP[[#This Row],[HH Produtivo
Total]]/MIP[[#This Row],[HH Trabalhado]]</f>
        <v>1.0103394549544562</v>
      </c>
      <c r="AB136" s="38">
        <f>MIP[[#This Row],[HH Produtivo
Total]]/MIP[[#This Row],[HH disponível]]</f>
        <v>0.75201402613087376</v>
      </c>
      <c r="AC136" s="38">
        <f>MIP[[#This Row],[HH Trabalhado]]/MIP[[#This Row],[HH disponível]]</f>
        <v>0.74431818181818199</v>
      </c>
      <c r="AD136" s="37" t="str">
        <f>LEFT(MIP[[#This Row],[Equipe]], SEARCH("/",MIP[[#This Row],[Equipe]],1)-1)</f>
        <v xml:space="preserve">JOILSON </v>
      </c>
      <c r="AE136" s="37" t="str">
        <f>RIGHT(MIP[[#This Row],[Equipe]], LEN(MIP[[#This Row],[Equipe]])-SEARCH("/",MIP[[#This Row],[Equipe]],1))</f>
        <v xml:space="preserve"> VALDEI</v>
      </c>
      <c r="AF136" s="44">
        <f>COUNTIFS('[1]Tempo parado'!H:H,"&gt;="&amp;MIP[[#This Row],[S.B Sitrack]],'[1]Tempo parado'!I:I,"&lt;="&amp;MIP[[#This Row],[C.B Sitrack]],'[1]Tempo parado'!B:B,MIP[[#This Row],[Placa]])</f>
        <v>0</v>
      </c>
      <c r="AG136" s="36"/>
      <c r="AH136" s="35"/>
      <c r="AI136" s="34"/>
      <c r="AJ136" s="34"/>
      <c r="AK13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3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36" s="32">
        <f>SUMIFS('[1]Tempo parado'!J:J,'[1]Tempo parado'!H:H,"&gt;="&amp;MIP[[#This Row],[S.B Sitrack]],'[1]Tempo parado'!I:I,"&lt;="&amp;MIP[[#This Row],[C.B Sitrack]],'[1]Tempo parado'!B:B,MIP[[#This Row],[Placa]])</f>
        <v>0</v>
      </c>
      <c r="AN136" s="32" t="str">
        <f>IFERROR(MIP[[#This Row],[Tempo parado]]/(MIP[[#This Row],[C.B Sitrack]]-MIP[[#This Row],[S.B Sitrack]]),"")</f>
        <v/>
      </c>
      <c r="AO136" s="30"/>
      <c r="AP136" s="44">
        <f>IF(AND(MIP[Exc]=0,MIP[Previsto / Realizado]="Realizado"),MIP[Sem],0)</f>
        <v>24</v>
      </c>
      <c r="AQ136" s="29">
        <f>IF(AND(MIP[Exc]=0,MIP[Previsto / Realizado]="Realizado",ISBLANK(MIP[[#This Row],[S.B Sitrack]])=FALSE,ISBLANK(MIP[[#This Row],[C.B Sitrack]])=FALSE),MIP[Sem],0)</f>
        <v>0</v>
      </c>
    </row>
    <row r="137" spans="1:43" x14ac:dyDescent="0.25">
      <c r="B137" s="44">
        <f>WEEKNUM(MIP[[#This Row],[Data]])</f>
        <v>24</v>
      </c>
      <c r="C137" s="45">
        <v>42901</v>
      </c>
      <c r="D137" s="45"/>
      <c r="E137" s="35" t="s">
        <v>7</v>
      </c>
      <c r="F137" s="35" t="s">
        <v>5</v>
      </c>
      <c r="G137" s="35"/>
      <c r="H137" s="44">
        <v>2</v>
      </c>
      <c r="I137" s="44">
        <v>6</v>
      </c>
      <c r="J137" s="44">
        <v>1</v>
      </c>
      <c r="K137" s="44">
        <v>2</v>
      </c>
      <c r="L137" s="44">
        <v>4</v>
      </c>
      <c r="M137" s="43">
        <v>0.625</v>
      </c>
      <c r="N137" s="43">
        <v>0.64583333333333337</v>
      </c>
      <c r="O137" s="43">
        <f>1+18/24/60</f>
        <v>1.0125</v>
      </c>
      <c r="P137" s="43">
        <f>1+48/24/60</f>
        <v>1.0333333333333334</v>
      </c>
      <c r="Q137" s="39"/>
      <c r="R137" s="42"/>
      <c r="S137" s="44">
        <f>MIP[[#This Row],[PT-1]]+MIP[[#This Row],[PT-2]]*2+MIP[[#This Row],[PT-3]]*3+MIP[[#This Row],[PT &gt; 3 Pontos]]</f>
        <v>18</v>
      </c>
      <c r="T13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137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137" s="41">
        <f>MIP[[#This Row],[Eficiência]]</f>
        <v>1.2327362642278106</v>
      </c>
      <c r="W13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37" s="39">
        <f>IF(MIP[[#This Row],[P.S]]-MIP[[#This Row],[P.E]]&lt;0,1+MIP[[#This Row],[P.S]]-MIP[[#This Row],[P.E]]-1/24,MIP[[#This Row],[P.S]]-MIP[[#This Row],[P.E]]-1/24)</f>
        <v>0.36666666666666675</v>
      </c>
      <c r="Y137" s="39">
        <f>MIP[[#This Row],[PT-1]]*$S$3+MIP[[#This Row],[PT-2]]*$T$3+MIP[[#This Row],[PT-3]]*$U$3+MIP[[#This Row],[PT &gt; 3 Pontos]]*$V$3</f>
        <v>0.4006392858740383</v>
      </c>
      <c r="Z137" s="39">
        <f>MIP[[#This Row],[HH disponível]]-MIP[[#This Row],[HH AC TOT]]</f>
        <v>0.3249999999999999</v>
      </c>
      <c r="AA137" s="38">
        <f>MIP[[#This Row],[HH Produtivo
Total]]/MIP[[#This Row],[HH Trabalhado]]</f>
        <v>1.2327362642278106</v>
      </c>
      <c r="AB137" s="38">
        <f>MIP[[#This Row],[HH Produtivo
Total]]/MIP[[#This Row],[HH disponível]]</f>
        <v>1.0926525978382859</v>
      </c>
      <c r="AC137" s="38">
        <f>MIP[[#This Row],[HH Trabalhado]]/MIP[[#This Row],[HH disponível]]</f>
        <v>0.88636363636363591</v>
      </c>
      <c r="AD137" s="37" t="str">
        <f>LEFT(MIP[[#This Row],[Equipe]], SEARCH("/",MIP[[#This Row],[Equipe]],1)-1)</f>
        <v xml:space="preserve">ANDERSON </v>
      </c>
      <c r="AE137" s="37" t="str">
        <f>RIGHT(MIP[[#This Row],[Equipe]], LEN(MIP[[#This Row],[Equipe]])-SEARCH("/",MIP[[#This Row],[Equipe]],1))</f>
        <v xml:space="preserve"> MARCO</v>
      </c>
      <c r="AF137" s="44">
        <f>COUNTIFS('[1]Tempo parado'!H:H,"&gt;="&amp;MIP[[#This Row],[S.B Sitrack]],'[1]Tempo parado'!I:I,"&lt;="&amp;MIP[[#This Row],[C.B Sitrack]],'[1]Tempo parado'!B:B,MIP[[#This Row],[Placa]])</f>
        <v>0</v>
      </c>
      <c r="AG137" s="36"/>
      <c r="AH137" s="35"/>
      <c r="AI137" s="34"/>
      <c r="AJ137" s="34"/>
      <c r="AK13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3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37" s="32">
        <f>SUMIFS('[1]Tempo parado'!J:J,'[1]Tempo parado'!H:H,"&gt;="&amp;MIP[[#This Row],[S.B Sitrack]],'[1]Tempo parado'!I:I,"&lt;="&amp;MIP[[#This Row],[C.B Sitrack]],'[1]Tempo parado'!B:B,MIP[[#This Row],[Placa]])</f>
        <v>0</v>
      </c>
      <c r="AN137" s="32" t="str">
        <f>IFERROR(MIP[[#This Row],[Tempo parado]]/(MIP[[#This Row],[C.B Sitrack]]-MIP[[#This Row],[S.B Sitrack]]),"")</f>
        <v/>
      </c>
      <c r="AO137" s="30"/>
      <c r="AP137" s="44">
        <f>IF(AND(MIP[Exc]=0,MIP[Previsto / Realizado]="Realizado"),MIP[Sem],0)</f>
        <v>0</v>
      </c>
      <c r="AQ137" s="29">
        <f>IF(AND(MIP[Exc]=0,MIP[Previsto / Realizado]="Realizado",ISBLANK(MIP[[#This Row],[S.B Sitrack]])=FALSE,ISBLANK(MIP[[#This Row],[C.B Sitrack]])=FALSE),MIP[Sem],0)</f>
        <v>0</v>
      </c>
    </row>
    <row r="138" spans="1:43" x14ac:dyDescent="0.25">
      <c r="B138" s="44">
        <f>WEEKNUM(MIP[[#This Row],[Data]])</f>
        <v>24</v>
      </c>
      <c r="C138" s="45">
        <v>42901</v>
      </c>
      <c r="D138" s="45"/>
      <c r="E138" s="35" t="s">
        <v>7</v>
      </c>
      <c r="F138" s="35" t="s">
        <v>2</v>
      </c>
      <c r="G138" s="35"/>
      <c r="H138" s="44">
        <v>2</v>
      </c>
      <c r="I138" s="44">
        <v>3</v>
      </c>
      <c r="J138" s="44">
        <v>0</v>
      </c>
      <c r="K138" s="44">
        <v>1</v>
      </c>
      <c r="L138" s="44">
        <v>3</v>
      </c>
      <c r="M138" s="43">
        <v>0.64027777777777783</v>
      </c>
      <c r="N138" s="43">
        <v>0.65625</v>
      </c>
      <c r="O138" s="43">
        <f>1+42/24/60</f>
        <v>1.0291666666666666</v>
      </c>
      <c r="P138" s="43">
        <f>1+49/24/60</f>
        <v>1.0340277777777778</v>
      </c>
      <c r="Q138" s="39"/>
      <c r="R138" s="42" t="s">
        <v>418</v>
      </c>
      <c r="S138" s="44">
        <f>MIP[[#This Row],[PT-1]]+MIP[[#This Row],[PT-2]]*2+MIP[[#This Row],[PT-3]]*3+MIP[[#This Row],[PT &gt; 3 Pontos]]</f>
        <v>9</v>
      </c>
      <c r="T13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2.083333333333337E-2</v>
      </c>
      <c r="U138" s="39">
        <f>IF(MIP[[#This Row],[P.S]]-MIP[[#This Row],[U.P]]&gt;=0,MIP[[#This Row],[P.S]]-MIP[[#This Row],[U.P]]+MIP[[#This Row],[S.B]]-MIP[[#This Row],[P.E]],1+MIP[[#This Row],[P.S]]-MIP[[#This Row],[U.P]]+MIP[[#This Row],[S.B]]-MIP[[#This Row],[P.E]])</f>
        <v>2.083333333333337E-2</v>
      </c>
      <c r="V138" s="41">
        <f>MIP[[#This Row],[Eficiência]]</f>
        <v>0.59958723250184864</v>
      </c>
      <c r="W13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38" s="39">
        <f>IF(MIP[[#This Row],[P.S]]-MIP[[#This Row],[P.E]]&lt;0,1+MIP[[#This Row],[P.S]]-MIP[[#This Row],[P.E]]-1/24,MIP[[#This Row],[P.S]]-MIP[[#This Row],[P.E]]-1/24)</f>
        <v>0.35208333333333325</v>
      </c>
      <c r="Y138" s="39">
        <f>MIP[[#This Row],[PT-1]]*$S$3+MIP[[#This Row],[PT-2]]*$T$3+MIP[[#This Row],[PT-3]]*$U$3+MIP[[#This Row],[PT &gt; 3 Pontos]]*$V$3</f>
        <v>0.19861327076623728</v>
      </c>
      <c r="Z138" s="39">
        <f>MIP[[#This Row],[HH disponível]]-MIP[[#This Row],[HH AC TOT]]</f>
        <v>0.33124999999999988</v>
      </c>
      <c r="AA138" s="38">
        <f>MIP[[#This Row],[HH Produtivo
Total]]/MIP[[#This Row],[HH Trabalhado]]</f>
        <v>0.59958723250184864</v>
      </c>
      <c r="AB138" s="38">
        <f>MIP[[#This Row],[HH Produtivo
Total]]/MIP[[#This Row],[HH disponível]]</f>
        <v>0.56410869803428354</v>
      </c>
      <c r="AC138" s="38">
        <f>MIP[[#This Row],[HH Trabalhado]]/MIP[[#This Row],[HH disponível]]</f>
        <v>0.94082840236686383</v>
      </c>
      <c r="AD138" s="37" t="str">
        <f>LEFT(MIP[[#This Row],[Equipe]], SEARCH("/",MIP[[#This Row],[Equipe]],1)-1)</f>
        <v xml:space="preserve">ANDERSON </v>
      </c>
      <c r="AE138" s="37" t="str">
        <f>RIGHT(MIP[[#This Row],[Equipe]], LEN(MIP[[#This Row],[Equipe]])-SEARCH("/",MIP[[#This Row],[Equipe]],1))</f>
        <v xml:space="preserve"> MARCO</v>
      </c>
      <c r="AF138" s="44">
        <f>COUNTIFS('[1]Tempo parado'!H:H,"&gt;="&amp;MIP[[#This Row],[S.B Sitrack]],'[1]Tempo parado'!I:I,"&lt;="&amp;MIP[[#This Row],[C.B Sitrack]],'[1]Tempo parado'!B:B,MIP[[#This Row],[Placa]])</f>
        <v>0</v>
      </c>
      <c r="AG138" s="36"/>
      <c r="AH138" s="35"/>
      <c r="AI138" s="34"/>
      <c r="AJ138" s="34"/>
      <c r="AK13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3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38" s="32">
        <f>SUMIFS('[1]Tempo parado'!J:J,'[1]Tempo parado'!H:H,"&gt;="&amp;MIP[[#This Row],[S.B Sitrack]],'[1]Tempo parado'!I:I,"&lt;="&amp;MIP[[#This Row],[C.B Sitrack]],'[1]Tempo parado'!B:B,MIP[[#This Row],[Placa]])</f>
        <v>0</v>
      </c>
      <c r="AN138" s="32" t="str">
        <f>IFERROR(MIP[[#This Row],[Tempo parado]]/(MIP[[#This Row],[C.B Sitrack]]-MIP[[#This Row],[S.B Sitrack]]),"")</f>
        <v/>
      </c>
      <c r="AO138" s="30"/>
      <c r="AP138" s="44">
        <f>IF(AND(MIP[Exc]=0,MIP[Previsto / Realizado]="Realizado"),MIP[Sem],0)</f>
        <v>24</v>
      </c>
      <c r="AQ138" s="29">
        <f>IF(AND(MIP[Exc]=0,MIP[Previsto / Realizado]="Realizado",ISBLANK(MIP[[#This Row],[S.B Sitrack]])=FALSE,ISBLANK(MIP[[#This Row],[C.B Sitrack]])=FALSE),MIP[Sem],0)</f>
        <v>0</v>
      </c>
    </row>
    <row r="139" spans="1:43" x14ac:dyDescent="0.25">
      <c r="B139" s="44">
        <f>WEEKNUM(MIP[[#This Row],[Data]])</f>
        <v>24</v>
      </c>
      <c r="C139" s="45">
        <v>42902</v>
      </c>
      <c r="D139" s="45"/>
      <c r="E139" s="35" t="s">
        <v>3</v>
      </c>
      <c r="F139" s="35" t="s">
        <v>5</v>
      </c>
      <c r="G139" s="35"/>
      <c r="H139" s="44">
        <v>2</v>
      </c>
      <c r="I139" s="44">
        <v>4</v>
      </c>
      <c r="J139" s="44">
        <v>3</v>
      </c>
      <c r="K139" s="44">
        <v>1</v>
      </c>
      <c r="L139" s="44">
        <v>4</v>
      </c>
      <c r="M139" s="43">
        <v>0.625</v>
      </c>
      <c r="N139" s="43">
        <v>0.64583333333333337</v>
      </c>
      <c r="O139" s="43">
        <f>1+18/24/60</f>
        <v>1.0125</v>
      </c>
      <c r="P139" s="43">
        <f>1+48/24/60</f>
        <v>1.0333333333333334</v>
      </c>
      <c r="Q139" s="39"/>
      <c r="R139" s="42"/>
      <c r="S139" s="44">
        <f>MIP[[#This Row],[PT-1]]+MIP[[#This Row],[PT-2]]*2+MIP[[#This Row],[PT-3]]*3+MIP[[#This Row],[PT &gt; 3 Pontos]]</f>
        <v>17</v>
      </c>
      <c r="T13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139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139" s="41">
        <f>MIP[[#This Row],[Eficiência]]</f>
        <v>1.155733639738773</v>
      </c>
      <c r="W13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39" s="39">
        <f>IF(MIP[[#This Row],[P.S]]-MIP[[#This Row],[P.E]]&lt;0,1+MIP[[#This Row],[P.S]]-MIP[[#This Row],[P.E]]-1/24,MIP[[#This Row],[P.S]]-MIP[[#This Row],[P.E]]-1/24)</f>
        <v>0.36666666666666675</v>
      </c>
      <c r="Y139" s="39">
        <f>MIP[[#This Row],[PT-1]]*$S$3+MIP[[#This Row],[PT-2]]*$T$3+MIP[[#This Row],[PT-3]]*$U$3+MIP[[#This Row],[PT &gt; 3 Pontos]]*$V$3</f>
        <v>0.37561343291510108</v>
      </c>
      <c r="Z139" s="39">
        <f>MIP[[#This Row],[HH disponível]]-MIP[[#This Row],[HH AC TOT]]</f>
        <v>0.3249999999999999</v>
      </c>
      <c r="AA139" s="38">
        <f>MIP[[#This Row],[HH Produtivo
Total]]/MIP[[#This Row],[HH Trabalhado]]</f>
        <v>1.155733639738773</v>
      </c>
      <c r="AB139" s="38">
        <f>MIP[[#This Row],[HH Produtivo
Total]]/MIP[[#This Row],[HH disponível]]</f>
        <v>1.0244002715866392</v>
      </c>
      <c r="AC139" s="38">
        <f>MIP[[#This Row],[HH Trabalhado]]/MIP[[#This Row],[HH disponível]]</f>
        <v>0.88636363636363591</v>
      </c>
      <c r="AD139" s="37" t="str">
        <f>LEFT(MIP[[#This Row],[Equipe]], SEARCH("/",MIP[[#This Row],[Equipe]],1)-1)</f>
        <v xml:space="preserve">EDILTON </v>
      </c>
      <c r="AE139" s="37" t="str">
        <f>RIGHT(MIP[[#This Row],[Equipe]], LEN(MIP[[#This Row],[Equipe]])-SEARCH("/",MIP[[#This Row],[Equipe]],1))</f>
        <v xml:space="preserve"> GECIVALDO</v>
      </c>
      <c r="AF139" s="44">
        <f>COUNTIFS('[1]Tempo parado'!H:H,"&gt;="&amp;MIP[[#This Row],[S.B Sitrack]],'[1]Tempo parado'!I:I,"&lt;="&amp;MIP[[#This Row],[C.B Sitrack]],'[1]Tempo parado'!B:B,MIP[[#This Row],[Placa]])</f>
        <v>0</v>
      </c>
      <c r="AG139" s="36"/>
      <c r="AH139" s="35"/>
      <c r="AI139" s="34"/>
      <c r="AJ139" s="34"/>
      <c r="AK13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3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39" s="32">
        <f>SUMIFS('[1]Tempo parado'!J:J,'[1]Tempo parado'!H:H,"&gt;="&amp;MIP[[#This Row],[S.B Sitrack]],'[1]Tempo parado'!I:I,"&lt;="&amp;MIP[[#This Row],[C.B Sitrack]],'[1]Tempo parado'!B:B,MIP[[#This Row],[Placa]])</f>
        <v>0</v>
      </c>
      <c r="AN139" s="32" t="str">
        <f>IFERROR(MIP[[#This Row],[Tempo parado]]/(MIP[[#This Row],[C.B Sitrack]]-MIP[[#This Row],[S.B Sitrack]]),"")</f>
        <v/>
      </c>
      <c r="AO139" s="30"/>
      <c r="AP139" s="44">
        <f>IF(AND(MIP[Exc]=0,MIP[Previsto / Realizado]="Realizado"),MIP[Sem],0)</f>
        <v>0</v>
      </c>
      <c r="AQ139" s="29">
        <f>IF(AND(MIP[Exc]=0,MIP[Previsto / Realizado]="Realizado",ISBLANK(MIP[[#This Row],[S.B Sitrack]])=FALSE,ISBLANK(MIP[[#This Row],[C.B Sitrack]])=FALSE),MIP[Sem],0)</f>
        <v>0</v>
      </c>
    </row>
    <row r="140" spans="1:43" x14ac:dyDescent="0.25">
      <c r="B140" s="44">
        <f>WEEKNUM(MIP[[#This Row],[Data]])</f>
        <v>24</v>
      </c>
      <c r="C140" s="45">
        <v>42902</v>
      </c>
      <c r="D140" s="45"/>
      <c r="E140" s="35" t="s">
        <v>3</v>
      </c>
      <c r="F140" s="35" t="s">
        <v>2</v>
      </c>
      <c r="G140" s="35"/>
      <c r="H140" s="44">
        <v>2</v>
      </c>
      <c r="I140" s="44">
        <v>4</v>
      </c>
      <c r="J140" s="44">
        <v>3</v>
      </c>
      <c r="K140" s="44">
        <v>0</v>
      </c>
      <c r="L140" s="44">
        <v>0</v>
      </c>
      <c r="M140" s="43">
        <v>0.62083333333333335</v>
      </c>
      <c r="N140" s="43">
        <v>0.66666666666666663</v>
      </c>
      <c r="O140" s="43">
        <f>1+45/24/60</f>
        <v>1.03125</v>
      </c>
      <c r="P140" s="43">
        <f>1+61/24/60</f>
        <v>1.0423611111111111</v>
      </c>
      <c r="Q140" s="39"/>
      <c r="R140" s="42" t="s">
        <v>417</v>
      </c>
      <c r="S140" s="44">
        <f>MIP[[#This Row],[PT-1]]+MIP[[#This Row],[PT-2]]*2+MIP[[#This Row],[PT-3]]*3+MIP[[#This Row],[PT &gt; 3 Pontos]]</f>
        <v>10</v>
      </c>
      <c r="T14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5.6944444444444353E-2</v>
      </c>
      <c r="U140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5.6944444444444353E-2</v>
      </c>
      <c r="V140" s="41">
        <f>MIP[[#This Row],[Eficiência]]</f>
        <v>0.71792426367461415</v>
      </c>
      <c r="W14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40" s="39">
        <f>IF(MIP[[#This Row],[P.S]]-MIP[[#This Row],[P.E]]&lt;0,1+MIP[[#This Row],[P.S]]-MIP[[#This Row],[P.E]]-1/24,MIP[[#This Row],[P.S]]-MIP[[#This Row],[P.E]]-1/24)</f>
        <v>0.37986111111111104</v>
      </c>
      <c r="Y140" s="39">
        <f>MIP[[#This Row],[PT-1]]*$S$3+MIP[[#This Row],[PT-2]]*$T$3+MIP[[#This Row],[PT-3]]*$U$3+MIP[[#This Row],[PT &gt; 3 Pontos]]*$V$3</f>
        <v>0.23182971014492748</v>
      </c>
      <c r="Z140" s="39">
        <f>MIP[[#This Row],[HH disponível]]-MIP[[#This Row],[HH AC TOT]]</f>
        <v>0.32291666666666669</v>
      </c>
      <c r="AA140" s="38">
        <f>MIP[[#This Row],[HH Produtivo
Total]]/MIP[[#This Row],[HH Trabalhado]]</f>
        <v>0.71792426367461415</v>
      </c>
      <c r="AB140" s="38">
        <f>MIP[[#This Row],[HH Produtivo
Total]]/MIP[[#This Row],[HH disponível]]</f>
        <v>0.61030124791352036</v>
      </c>
      <c r="AC140" s="38">
        <f>MIP[[#This Row],[HH Trabalhado]]/MIP[[#This Row],[HH disponível]]</f>
        <v>0.8500914076782452</v>
      </c>
      <c r="AD140" s="37" t="str">
        <f>LEFT(MIP[[#This Row],[Equipe]], SEARCH("/",MIP[[#This Row],[Equipe]],1)-1)</f>
        <v xml:space="preserve">EDILTON </v>
      </c>
      <c r="AE140" s="37" t="str">
        <f>RIGHT(MIP[[#This Row],[Equipe]], LEN(MIP[[#This Row],[Equipe]])-SEARCH("/",MIP[[#This Row],[Equipe]],1))</f>
        <v xml:space="preserve"> GECIVALDO</v>
      </c>
      <c r="AF140" s="44">
        <f>COUNTIFS('[1]Tempo parado'!H:H,"&gt;="&amp;MIP[[#This Row],[S.B Sitrack]],'[1]Tempo parado'!I:I,"&lt;="&amp;MIP[[#This Row],[C.B Sitrack]],'[1]Tempo parado'!B:B,MIP[[#This Row],[Placa]])</f>
        <v>0</v>
      </c>
      <c r="AG140" s="36"/>
      <c r="AH140" s="35"/>
      <c r="AI140" s="34"/>
      <c r="AJ140" s="34"/>
      <c r="AK14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4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40" s="32">
        <f>SUMIFS('[1]Tempo parado'!J:J,'[1]Tempo parado'!H:H,"&gt;="&amp;MIP[[#This Row],[S.B Sitrack]],'[1]Tempo parado'!I:I,"&lt;="&amp;MIP[[#This Row],[C.B Sitrack]],'[1]Tempo parado'!B:B,MIP[[#This Row],[Placa]])</f>
        <v>0</v>
      </c>
      <c r="AN140" s="32" t="str">
        <f>IFERROR(MIP[[#This Row],[Tempo parado]]/(MIP[[#This Row],[C.B Sitrack]]-MIP[[#This Row],[S.B Sitrack]]),"")</f>
        <v/>
      </c>
      <c r="AO140" s="30"/>
      <c r="AP140" s="44">
        <f>IF(AND(MIP[Exc]=0,MIP[Previsto / Realizado]="Realizado"),MIP[Sem],0)</f>
        <v>24</v>
      </c>
      <c r="AQ140" s="29">
        <f>IF(AND(MIP[Exc]=0,MIP[Previsto / Realizado]="Realizado",ISBLANK(MIP[[#This Row],[S.B Sitrack]])=FALSE,ISBLANK(MIP[[#This Row],[C.B Sitrack]])=FALSE),MIP[Sem],0)</f>
        <v>0</v>
      </c>
    </row>
    <row r="141" spans="1:43" s="47" customFormat="1" x14ac:dyDescent="0.25">
      <c r="A141" s="11"/>
      <c r="B141" s="44">
        <f>WEEKNUM(MIP[[#This Row],[Data]])</f>
        <v>24</v>
      </c>
      <c r="C141" s="45">
        <v>42903</v>
      </c>
      <c r="D141" s="45"/>
      <c r="E141" s="35" t="s">
        <v>156</v>
      </c>
      <c r="F141" s="35" t="s">
        <v>5</v>
      </c>
      <c r="G141" s="35"/>
      <c r="H141" s="44">
        <v>2</v>
      </c>
      <c r="I141" s="44">
        <v>8</v>
      </c>
      <c r="J141" s="44">
        <v>1</v>
      </c>
      <c r="K141" s="44">
        <v>1</v>
      </c>
      <c r="L141" s="44">
        <v>0</v>
      </c>
      <c r="M141" s="43">
        <v>0.625</v>
      </c>
      <c r="N141" s="43">
        <v>0.64583333333333337</v>
      </c>
      <c r="O141" s="43">
        <f>1+18/24/60</f>
        <v>1.0125</v>
      </c>
      <c r="P141" s="43">
        <f>1+48/24/60</f>
        <v>1.0333333333333334</v>
      </c>
      <c r="Q141" s="39"/>
      <c r="R141" s="42"/>
      <c r="S141" s="44">
        <f>MIP[[#This Row],[PT-1]]+MIP[[#This Row],[PT-2]]*2+MIP[[#This Row],[PT-3]]*3+MIP[[#This Row],[PT &gt; 3 Pontos]]</f>
        <v>13</v>
      </c>
      <c r="T14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141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141" s="41">
        <f>MIP[[#This Row],[Eficiência]]</f>
        <v>0.94433005852842811</v>
      </c>
      <c r="W14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41" s="39">
        <f>IF(MIP[[#This Row],[P.S]]-MIP[[#This Row],[P.E]]&lt;0,1+MIP[[#This Row],[P.S]]-MIP[[#This Row],[P.E]]-1/24,MIP[[#This Row],[P.S]]-MIP[[#This Row],[P.E]]-1/24)</f>
        <v>0.36666666666666675</v>
      </c>
      <c r="Y141" s="39">
        <f>MIP[[#This Row],[PT-1]]*$S$3+MIP[[#This Row],[PT-2]]*$T$3+MIP[[#This Row],[PT-3]]*$U$3+MIP[[#This Row],[PT &gt; 3 Pontos]]*$V$3</f>
        <v>0.30690726902173904</v>
      </c>
      <c r="Z141" s="39">
        <f>MIP[[#This Row],[HH disponível]]-MIP[[#This Row],[HH AC TOT]]</f>
        <v>0.3249999999999999</v>
      </c>
      <c r="AA141" s="38">
        <f>MIP[[#This Row],[HH Produtivo
Total]]/MIP[[#This Row],[HH Trabalhado]]</f>
        <v>0.94433005852842811</v>
      </c>
      <c r="AB141" s="38">
        <f>MIP[[#This Row],[HH Produtivo
Total]]/MIP[[#This Row],[HH disponível]]</f>
        <v>0.83701982460474267</v>
      </c>
      <c r="AC141" s="38">
        <f>MIP[[#This Row],[HH Trabalhado]]/MIP[[#This Row],[HH disponível]]</f>
        <v>0.88636363636363591</v>
      </c>
      <c r="AD141" s="37" t="str">
        <f>LEFT(MIP[[#This Row],[Equipe]], SEARCH("/",MIP[[#This Row],[Equipe]],1)-1)</f>
        <v xml:space="preserve">ADEMÁRIO </v>
      </c>
      <c r="AE141" s="37" t="str">
        <f>RIGHT(MIP[[#This Row],[Equipe]], LEN(MIP[[#This Row],[Equipe]])-SEARCH("/",MIP[[#This Row],[Equipe]],1))</f>
        <v xml:space="preserve"> MARCO</v>
      </c>
      <c r="AF141" s="44">
        <f>COUNTIFS('[1]Tempo parado'!H:H,"&gt;="&amp;MIP[[#This Row],[S.B Sitrack]],'[1]Tempo parado'!I:I,"&lt;="&amp;MIP[[#This Row],[C.B Sitrack]],'[1]Tempo parado'!B:B,MIP[[#This Row],[Placa]])</f>
        <v>0</v>
      </c>
      <c r="AG141" s="36"/>
      <c r="AH141" s="35"/>
      <c r="AI141" s="34"/>
      <c r="AJ141" s="34"/>
      <c r="AK14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4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41" s="32">
        <f>SUMIFS('[1]Tempo parado'!J:J,'[1]Tempo parado'!H:H,"&gt;="&amp;MIP[[#This Row],[S.B Sitrack]],'[1]Tempo parado'!I:I,"&lt;="&amp;MIP[[#This Row],[C.B Sitrack]],'[1]Tempo parado'!B:B,MIP[[#This Row],[Placa]])</f>
        <v>0</v>
      </c>
      <c r="AN141" s="32" t="str">
        <f>IFERROR(MIP[[#This Row],[Tempo parado]]/(MIP[[#This Row],[C.B Sitrack]]-MIP[[#This Row],[S.B Sitrack]]),"")</f>
        <v/>
      </c>
      <c r="AO141" s="30"/>
      <c r="AP141" s="44">
        <f>IF(AND(MIP[Exc]=0,MIP[Previsto / Realizado]="Realizado"),MIP[Sem],0)</f>
        <v>0</v>
      </c>
      <c r="AQ141" s="29">
        <f>IF(AND(MIP[Exc]=0,MIP[Previsto / Realizado]="Realizado",ISBLANK(MIP[[#This Row],[S.B Sitrack]])=FALSE,ISBLANK(MIP[[#This Row],[C.B Sitrack]])=FALSE),MIP[Sem],0)</f>
        <v>0</v>
      </c>
    </row>
    <row r="142" spans="1:43" s="64" customFormat="1" x14ac:dyDescent="0.25">
      <c r="A142" s="11"/>
      <c r="B142" s="44">
        <f>WEEKNUM(MIP[[#This Row],[Data]])</f>
        <v>24</v>
      </c>
      <c r="C142" s="45">
        <v>42903</v>
      </c>
      <c r="D142" s="45"/>
      <c r="E142" s="35" t="s">
        <v>156</v>
      </c>
      <c r="F142" s="35" t="s">
        <v>2</v>
      </c>
      <c r="G142" s="35"/>
      <c r="H142" s="44">
        <v>2</v>
      </c>
      <c r="I142" s="44">
        <v>7</v>
      </c>
      <c r="J142" s="44">
        <v>1</v>
      </c>
      <c r="K142" s="44">
        <v>1</v>
      </c>
      <c r="L142" s="44">
        <v>0</v>
      </c>
      <c r="M142" s="43">
        <v>0.72430555555555554</v>
      </c>
      <c r="N142" s="43">
        <v>0.73958333333333337</v>
      </c>
      <c r="O142" s="43">
        <f>1+120/24/60</f>
        <v>1.0833333333333333</v>
      </c>
      <c r="P142" s="43">
        <f>1+133/24/60</f>
        <v>1.0923611111111111</v>
      </c>
      <c r="Q142" s="39"/>
      <c r="R142" s="42"/>
      <c r="S142" s="44">
        <f>MIP[[#This Row],[PT-1]]+MIP[[#This Row],[PT-2]]*2+MIP[[#This Row],[PT-3]]*3+MIP[[#This Row],[PT &gt; 3 Pontos]]</f>
        <v>12</v>
      </c>
      <c r="T14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2.4305555555555691E-2</v>
      </c>
      <c r="U142" s="39">
        <f>IF(MIP[[#This Row],[P.S]]-MIP[[#This Row],[U.P]]&gt;=0,MIP[[#This Row],[P.S]]-MIP[[#This Row],[U.P]]+MIP[[#This Row],[S.B]]-MIP[[#This Row],[P.E]],1+MIP[[#This Row],[P.S]]-MIP[[#This Row],[U.P]]+MIP[[#This Row],[S.B]]-MIP[[#This Row],[P.E]])</f>
        <v>2.4305555555555691E-2</v>
      </c>
      <c r="V142" s="41">
        <f>MIP[[#This Row],[Eficiência]]</f>
        <v>0.93312468765617196</v>
      </c>
      <c r="W14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42" s="39">
        <f>IF(MIP[[#This Row],[P.S]]-MIP[[#This Row],[P.E]]&lt;0,1+MIP[[#This Row],[P.S]]-MIP[[#This Row],[P.E]]-1/24,MIP[[#This Row],[P.S]]-MIP[[#This Row],[P.E]]-1/24)</f>
        <v>0.3263888888888889</v>
      </c>
      <c r="Y142" s="39">
        <f>MIP[[#This Row],[PT-1]]*$S$3+MIP[[#This Row],[PT-2]]*$T$3+MIP[[#This Row],[PT-3]]*$U$3+MIP[[#This Row],[PT &gt; 3 Pontos]]*$V$3</f>
        <v>0.28188141606280182</v>
      </c>
      <c r="Z142" s="39">
        <f>MIP[[#This Row],[HH disponível]]-MIP[[#This Row],[HH AC TOT]]</f>
        <v>0.3020833333333332</v>
      </c>
      <c r="AA142" s="38">
        <f>MIP[[#This Row],[HH Produtivo
Total]]/MIP[[#This Row],[HH Trabalhado]]</f>
        <v>0.93312468765617196</v>
      </c>
      <c r="AB142" s="38">
        <f>MIP[[#This Row],[HH Produtivo
Total]]/MIP[[#This Row],[HH disponível]]</f>
        <v>0.86363667900092467</v>
      </c>
      <c r="AC142" s="38">
        <f>MIP[[#This Row],[HH Trabalhado]]/MIP[[#This Row],[HH disponível]]</f>
        <v>0.92553191489361664</v>
      </c>
      <c r="AD142" s="37" t="str">
        <f>LEFT(MIP[[#This Row],[Equipe]], SEARCH("/",MIP[[#This Row],[Equipe]],1)-1)</f>
        <v xml:space="preserve">ADEMÁRIO </v>
      </c>
      <c r="AE142" s="37" t="str">
        <f>RIGHT(MIP[[#This Row],[Equipe]], LEN(MIP[[#This Row],[Equipe]])-SEARCH("/",MIP[[#This Row],[Equipe]],1))</f>
        <v xml:space="preserve"> MARCO</v>
      </c>
      <c r="AF142" s="44">
        <f>COUNTIFS('[1]Tempo parado'!H:H,"&gt;="&amp;MIP[[#This Row],[S.B Sitrack]],'[1]Tempo parado'!I:I,"&lt;="&amp;MIP[[#This Row],[C.B Sitrack]],'[1]Tempo parado'!B:B,MIP[[#This Row],[Placa]])</f>
        <v>0</v>
      </c>
      <c r="AG142" s="36"/>
      <c r="AH142" s="35"/>
      <c r="AI142" s="34"/>
      <c r="AJ142" s="34"/>
      <c r="AK14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4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42" s="32">
        <f>SUMIFS('[1]Tempo parado'!J:J,'[1]Tempo parado'!H:H,"&gt;="&amp;MIP[[#This Row],[S.B Sitrack]],'[1]Tempo parado'!I:I,"&lt;="&amp;MIP[[#This Row],[C.B Sitrack]],'[1]Tempo parado'!B:B,MIP[[#This Row],[Placa]])</f>
        <v>0</v>
      </c>
      <c r="AN142" s="32" t="str">
        <f>IFERROR(MIP[[#This Row],[Tempo parado]]/(MIP[[#This Row],[C.B Sitrack]]-MIP[[#This Row],[S.B Sitrack]]),"")</f>
        <v/>
      </c>
      <c r="AO142" s="30"/>
      <c r="AP142" s="44">
        <f>IF(AND(MIP[Exc]=0,MIP[Previsto / Realizado]="Realizado"),MIP[Sem],0)</f>
        <v>24</v>
      </c>
      <c r="AQ142" s="29">
        <f>IF(AND(MIP[Exc]=0,MIP[Previsto / Realizado]="Realizado",ISBLANK(MIP[[#This Row],[S.B Sitrack]])=FALSE,ISBLANK(MIP[[#This Row],[C.B Sitrack]])=FALSE),MIP[Sem],0)</f>
        <v>0</v>
      </c>
    </row>
    <row r="143" spans="1:43" s="47" customFormat="1" x14ac:dyDescent="0.25">
      <c r="A143" s="11"/>
      <c r="B143" s="44">
        <f>WEEKNUM(MIP[[#This Row],[Data]])</f>
        <v>25</v>
      </c>
      <c r="C143" s="45">
        <v>42904</v>
      </c>
      <c r="D143" s="45"/>
      <c r="E143" s="35" t="s">
        <v>3</v>
      </c>
      <c r="F143" s="35" t="s">
        <v>5</v>
      </c>
      <c r="G143" s="35"/>
      <c r="H143" s="44">
        <v>2</v>
      </c>
      <c r="I143" s="44">
        <v>10</v>
      </c>
      <c r="J143" s="44">
        <v>2</v>
      </c>
      <c r="K143" s="44">
        <v>0</v>
      </c>
      <c r="L143" s="44">
        <v>4</v>
      </c>
      <c r="M143" s="43">
        <v>0.625</v>
      </c>
      <c r="N143" s="43">
        <v>0.64583333333333337</v>
      </c>
      <c r="O143" s="43">
        <f>1+18/24/60</f>
        <v>1.0125</v>
      </c>
      <c r="P143" s="43">
        <f>1+48/24/60</f>
        <v>1.0333333333333334</v>
      </c>
      <c r="Q143" s="39"/>
      <c r="R143" s="42"/>
      <c r="S143" s="44">
        <f>MIP[[#This Row],[PT-1]]+MIP[[#This Row],[PT-2]]*2+MIP[[#This Row],[PT-3]]*3+MIP[[#This Row],[PT &gt; 3 Pontos]]</f>
        <v>18</v>
      </c>
      <c r="T14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143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143" s="41">
        <f>MIP[[#This Row],[Eficiência]]</f>
        <v>1.2894403240568699</v>
      </c>
      <c r="W14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43" s="39">
        <f>IF(MIP[[#This Row],[P.S]]-MIP[[#This Row],[P.E]]&lt;0,1+MIP[[#This Row],[P.S]]-MIP[[#This Row],[P.E]]-1/24,MIP[[#This Row],[P.S]]-MIP[[#This Row],[P.E]]-1/24)</f>
        <v>0.36666666666666675</v>
      </c>
      <c r="Y143" s="39">
        <f>MIP[[#This Row],[PT-1]]*$S$3+MIP[[#This Row],[PT-2]]*$T$3+MIP[[#This Row],[PT-3]]*$U$3+MIP[[#This Row],[PT &gt; 3 Pontos]]*$V$3</f>
        <v>0.4190681053184826</v>
      </c>
      <c r="Z143" s="39">
        <f>MIP[[#This Row],[HH disponível]]-MIP[[#This Row],[HH AC TOT]]</f>
        <v>0.3249999999999999</v>
      </c>
      <c r="AA143" s="38">
        <f>MIP[[#This Row],[HH Produtivo
Total]]/MIP[[#This Row],[HH Trabalhado]]</f>
        <v>1.2894403240568699</v>
      </c>
      <c r="AB143" s="38">
        <f>MIP[[#This Row],[HH Produtivo
Total]]/MIP[[#This Row],[HH disponível]]</f>
        <v>1.1429130145049522</v>
      </c>
      <c r="AC143" s="38">
        <f>MIP[[#This Row],[HH Trabalhado]]/MIP[[#This Row],[HH disponível]]</f>
        <v>0.88636363636363591</v>
      </c>
      <c r="AD143" s="37" t="str">
        <f>LEFT(MIP[[#This Row],[Equipe]], SEARCH("/",MIP[[#This Row],[Equipe]],1)-1)</f>
        <v xml:space="preserve">EDILTON </v>
      </c>
      <c r="AE143" s="37" t="str">
        <f>RIGHT(MIP[[#This Row],[Equipe]], LEN(MIP[[#This Row],[Equipe]])-SEARCH("/",MIP[[#This Row],[Equipe]],1))</f>
        <v xml:space="preserve"> GECIVALDO</v>
      </c>
      <c r="AF143" s="44">
        <f>COUNTIFS('[1]Tempo parado'!H:H,"&gt;="&amp;MIP[[#This Row],[S.B Sitrack]],'[1]Tempo parado'!I:I,"&lt;="&amp;MIP[[#This Row],[C.B Sitrack]],'[1]Tempo parado'!B:B,MIP[[#This Row],[Placa]])</f>
        <v>0</v>
      </c>
      <c r="AG143" s="36"/>
      <c r="AH143" s="35"/>
      <c r="AI143" s="34"/>
      <c r="AJ143" s="34"/>
      <c r="AK14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4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43" s="32">
        <f>SUMIFS('[1]Tempo parado'!J:J,'[1]Tempo parado'!H:H,"&gt;="&amp;MIP[[#This Row],[S.B Sitrack]],'[1]Tempo parado'!I:I,"&lt;="&amp;MIP[[#This Row],[C.B Sitrack]],'[1]Tempo parado'!B:B,MIP[[#This Row],[Placa]])</f>
        <v>0</v>
      </c>
      <c r="AN143" s="32" t="str">
        <f>IFERROR(MIP[[#This Row],[Tempo parado]]/(MIP[[#This Row],[C.B Sitrack]]-MIP[[#This Row],[S.B Sitrack]]),"")</f>
        <v/>
      </c>
      <c r="AO143" s="30"/>
      <c r="AP143" s="44">
        <f>IF(AND(MIP[Exc]=0,MIP[Previsto / Realizado]="Realizado"),MIP[Sem],0)</f>
        <v>0</v>
      </c>
      <c r="AQ143" s="29">
        <f>IF(AND(MIP[Exc]=0,MIP[Previsto / Realizado]="Realizado",ISBLANK(MIP[[#This Row],[S.B Sitrack]])=FALSE,ISBLANK(MIP[[#This Row],[C.B Sitrack]])=FALSE),MIP[Sem],0)</f>
        <v>0</v>
      </c>
    </row>
    <row r="144" spans="1:43" s="64" customFormat="1" x14ac:dyDescent="0.25">
      <c r="A144" s="11"/>
      <c r="B144" s="44">
        <f>WEEKNUM(MIP[[#This Row],[Data]])</f>
        <v>25</v>
      </c>
      <c r="C144" s="45">
        <v>42904</v>
      </c>
      <c r="D144" s="45"/>
      <c r="E144" s="35" t="s">
        <v>3</v>
      </c>
      <c r="F144" s="35" t="s">
        <v>2</v>
      </c>
      <c r="G144" s="35"/>
      <c r="H144" s="44">
        <v>2</v>
      </c>
      <c r="I144" s="44">
        <v>7</v>
      </c>
      <c r="J144" s="44">
        <v>2</v>
      </c>
      <c r="K144" s="44">
        <v>0</v>
      </c>
      <c r="L144" s="44">
        <v>2</v>
      </c>
      <c r="M144" s="43">
        <v>0.62708333333333333</v>
      </c>
      <c r="N144" s="43">
        <v>0.64930555555555558</v>
      </c>
      <c r="O144" s="43">
        <f>1+5/24/60</f>
        <v>1.0034722222222223</v>
      </c>
      <c r="P144" s="43">
        <f>1+48/24/60</f>
        <v>1.0333333333333334</v>
      </c>
      <c r="Q144" s="39"/>
      <c r="R144" s="42"/>
      <c r="S144" s="44">
        <f>MIP[[#This Row],[PT-1]]+MIP[[#This Row],[PT-2]]*2+MIP[[#This Row],[PT-3]]*3+MIP[[#This Row],[PT &gt; 3 Pontos]]</f>
        <v>13</v>
      </c>
      <c r="T14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5.208333333333337E-2</v>
      </c>
      <c r="U144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5.208333333333337E-2</v>
      </c>
      <c r="V144" s="41">
        <f>MIP[[#This Row],[Eficiência]]</f>
        <v>0.97118247897656063</v>
      </c>
      <c r="W14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44" s="39">
        <f>IF(MIP[[#This Row],[P.S]]-MIP[[#This Row],[P.E]]&lt;0,1+MIP[[#This Row],[P.S]]-MIP[[#This Row],[P.E]]-1/24,MIP[[#This Row],[P.S]]-MIP[[#This Row],[P.E]]-1/24)</f>
        <v>0.36458333333333343</v>
      </c>
      <c r="Y144" s="39">
        <f>MIP[[#This Row],[PT-1]]*$S$3+MIP[[#This Row],[PT-2]]*$T$3+MIP[[#This Row],[PT-3]]*$U$3+MIP[[#This Row],[PT &gt; 3 Pontos]]*$V$3</f>
        <v>0.30349452468017524</v>
      </c>
      <c r="Z144" s="39">
        <f>MIP[[#This Row],[HH disponível]]-MIP[[#This Row],[HH AC TOT]]</f>
        <v>0.31250000000000006</v>
      </c>
      <c r="AA144" s="38">
        <f>MIP[[#This Row],[HH Produtivo
Total]]/MIP[[#This Row],[HH Trabalhado]]</f>
        <v>0.97118247897656063</v>
      </c>
      <c r="AB144" s="38">
        <f>MIP[[#This Row],[HH Produtivo
Total]]/MIP[[#This Row],[HH disponível]]</f>
        <v>0.83244212483705182</v>
      </c>
      <c r="AC144" s="38">
        <f>MIP[[#This Row],[HH Trabalhado]]/MIP[[#This Row],[HH disponível]]</f>
        <v>0.8571428571428571</v>
      </c>
      <c r="AD144" s="37" t="str">
        <f>LEFT(MIP[[#This Row],[Equipe]], SEARCH("/",MIP[[#This Row],[Equipe]],1)-1)</f>
        <v xml:space="preserve">EDILTON </v>
      </c>
      <c r="AE144" s="37" t="str">
        <f>RIGHT(MIP[[#This Row],[Equipe]], LEN(MIP[[#This Row],[Equipe]])-SEARCH("/",MIP[[#This Row],[Equipe]],1))</f>
        <v xml:space="preserve"> GECIVALDO</v>
      </c>
      <c r="AF144" s="44">
        <f>COUNTIFS('[1]Tempo parado'!H:H,"&gt;="&amp;MIP[[#This Row],[S.B Sitrack]],'[1]Tempo parado'!I:I,"&lt;="&amp;MIP[[#This Row],[C.B Sitrack]],'[1]Tempo parado'!B:B,MIP[[#This Row],[Placa]])</f>
        <v>0</v>
      </c>
      <c r="AG144" s="36"/>
      <c r="AH144" s="35"/>
      <c r="AI144" s="34"/>
      <c r="AJ144" s="34"/>
      <c r="AK14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4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44" s="32">
        <f>SUMIFS('[1]Tempo parado'!J:J,'[1]Tempo parado'!H:H,"&gt;="&amp;MIP[[#This Row],[S.B Sitrack]],'[1]Tempo parado'!I:I,"&lt;="&amp;MIP[[#This Row],[C.B Sitrack]],'[1]Tempo parado'!B:B,MIP[[#This Row],[Placa]])</f>
        <v>0</v>
      </c>
      <c r="AN144" s="32" t="str">
        <f>IFERROR(MIP[[#This Row],[Tempo parado]]/(MIP[[#This Row],[C.B Sitrack]]-MIP[[#This Row],[S.B Sitrack]]),"")</f>
        <v/>
      </c>
      <c r="AO144" s="30"/>
      <c r="AP144" s="44">
        <f>IF(AND(MIP[Exc]=0,MIP[Previsto / Realizado]="Realizado"),MIP[Sem],0)</f>
        <v>25</v>
      </c>
      <c r="AQ144" s="29">
        <f>IF(AND(MIP[Exc]=0,MIP[Previsto / Realizado]="Realizado",ISBLANK(MIP[[#This Row],[S.B Sitrack]])=FALSE,ISBLANK(MIP[[#This Row],[C.B Sitrack]])=FALSE),MIP[Sem],0)</f>
        <v>0</v>
      </c>
    </row>
    <row r="145" spans="1:43" s="47" customFormat="1" x14ac:dyDescent="0.25">
      <c r="A145" s="11"/>
      <c r="B145" s="44">
        <f>WEEKNUM(MIP[[#This Row],[Data]])</f>
        <v>25</v>
      </c>
      <c r="C145" s="45">
        <v>42906</v>
      </c>
      <c r="D145" s="45"/>
      <c r="E145" s="35" t="s">
        <v>3</v>
      </c>
      <c r="F145" s="35" t="s">
        <v>5</v>
      </c>
      <c r="G145" s="35"/>
      <c r="H145" s="44">
        <v>2</v>
      </c>
      <c r="I145" s="44">
        <v>9</v>
      </c>
      <c r="J145" s="44">
        <v>3</v>
      </c>
      <c r="K145" s="44">
        <v>0</v>
      </c>
      <c r="L145" s="44">
        <v>0</v>
      </c>
      <c r="M145" s="43">
        <v>0.625</v>
      </c>
      <c r="N145" s="43">
        <v>0.64583333333333337</v>
      </c>
      <c r="O145" s="43">
        <f>1+18/24/60</f>
        <v>1.0125</v>
      </c>
      <c r="P145" s="43">
        <f>1+48/24/60</f>
        <v>1.0333333333333334</v>
      </c>
      <c r="Q145" s="39"/>
      <c r="R145" s="42"/>
      <c r="S145" s="44">
        <f>MIP[[#This Row],[PT-1]]+MIP[[#This Row],[PT-2]]*2+MIP[[#This Row],[PT-3]]*3+MIP[[#This Row],[PT &gt; 3 Pontos]]</f>
        <v>15</v>
      </c>
      <c r="T14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145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145" s="41">
        <f>MIP[[#This Row],[Eficiência]]</f>
        <v>1.098335307506503</v>
      </c>
      <c r="W14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45" s="39">
        <f>IF(MIP[[#This Row],[P.S]]-MIP[[#This Row],[P.E]]&lt;0,1+MIP[[#This Row],[P.S]]-MIP[[#This Row],[P.E]]-1/24,MIP[[#This Row],[P.S]]-MIP[[#This Row],[P.E]]-1/24)</f>
        <v>0.36666666666666675</v>
      </c>
      <c r="Y145" s="39">
        <f>MIP[[#This Row],[PT-1]]*$S$3+MIP[[#This Row],[PT-2]]*$T$3+MIP[[#This Row],[PT-3]]*$U$3+MIP[[#This Row],[PT &gt; 3 Pontos]]*$V$3</f>
        <v>0.35695897493961337</v>
      </c>
      <c r="Z145" s="39">
        <f>MIP[[#This Row],[HH disponível]]-MIP[[#This Row],[HH AC TOT]]</f>
        <v>0.3249999999999999</v>
      </c>
      <c r="AA145" s="38">
        <f>MIP[[#This Row],[HH Produtivo
Total]]/MIP[[#This Row],[HH Trabalhado]]</f>
        <v>1.098335307506503</v>
      </c>
      <c r="AB145" s="38">
        <f>MIP[[#This Row],[HH Produtivo
Total]]/MIP[[#This Row],[HH disponível]]</f>
        <v>0.97352447710803625</v>
      </c>
      <c r="AC145" s="38">
        <f>MIP[[#This Row],[HH Trabalhado]]/MIP[[#This Row],[HH disponível]]</f>
        <v>0.88636363636363591</v>
      </c>
      <c r="AD145" s="37" t="str">
        <f>LEFT(MIP[[#This Row],[Equipe]], SEARCH("/",MIP[[#This Row],[Equipe]],1)-1)</f>
        <v xml:space="preserve">EDILTON </v>
      </c>
      <c r="AE145" s="37" t="str">
        <f>RIGHT(MIP[[#This Row],[Equipe]], LEN(MIP[[#This Row],[Equipe]])-SEARCH("/",MIP[[#This Row],[Equipe]],1))</f>
        <v xml:space="preserve"> GECIVALDO</v>
      </c>
      <c r="AF145" s="44">
        <f>COUNTIFS('[1]Tempo parado'!H:H,"&gt;="&amp;MIP[[#This Row],[S.B Sitrack]],'[1]Tempo parado'!I:I,"&lt;="&amp;MIP[[#This Row],[C.B Sitrack]],'[1]Tempo parado'!B:B,MIP[[#This Row],[Placa]])</f>
        <v>0</v>
      </c>
      <c r="AG145" s="36"/>
      <c r="AH145" s="35"/>
      <c r="AI145" s="34"/>
      <c r="AJ145" s="34"/>
      <c r="AK14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4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45" s="32">
        <f>SUMIFS('[1]Tempo parado'!J:J,'[1]Tempo parado'!H:H,"&gt;="&amp;MIP[[#This Row],[S.B Sitrack]],'[1]Tempo parado'!I:I,"&lt;="&amp;MIP[[#This Row],[C.B Sitrack]],'[1]Tempo parado'!B:B,MIP[[#This Row],[Placa]])</f>
        <v>0</v>
      </c>
      <c r="AN145" s="32" t="str">
        <f>IFERROR(MIP[[#This Row],[Tempo parado]]/(MIP[[#This Row],[C.B Sitrack]]-MIP[[#This Row],[S.B Sitrack]]),"")</f>
        <v/>
      </c>
      <c r="AO145" s="30"/>
      <c r="AP145" s="44">
        <f>IF(AND(MIP[Exc]=0,MIP[Previsto / Realizado]="Realizado"),MIP[Sem],0)</f>
        <v>0</v>
      </c>
      <c r="AQ145" s="29">
        <f>IF(AND(MIP[Exc]=0,MIP[Previsto / Realizado]="Realizado",ISBLANK(MIP[[#This Row],[S.B Sitrack]])=FALSE,ISBLANK(MIP[[#This Row],[C.B Sitrack]])=FALSE),MIP[Sem],0)</f>
        <v>0</v>
      </c>
    </row>
    <row r="146" spans="1:43" s="64" customFormat="1" x14ac:dyDescent="0.25">
      <c r="A146" s="11"/>
      <c r="B146" s="44">
        <f>WEEKNUM(MIP[[#This Row],[Data]])</f>
        <v>25</v>
      </c>
      <c r="C146" s="45">
        <v>42906</v>
      </c>
      <c r="D146" s="45"/>
      <c r="E146" s="35" t="s">
        <v>3</v>
      </c>
      <c r="F146" s="35" t="s">
        <v>2</v>
      </c>
      <c r="G146" s="35"/>
      <c r="H146" s="44">
        <v>2</v>
      </c>
      <c r="I146" s="44">
        <v>5</v>
      </c>
      <c r="J146" s="44">
        <v>2</v>
      </c>
      <c r="K146" s="44">
        <v>0</v>
      </c>
      <c r="L146" s="44">
        <v>0</v>
      </c>
      <c r="M146" s="43">
        <v>0.62291666666666667</v>
      </c>
      <c r="N146" s="43">
        <v>0.65694444444444444</v>
      </c>
      <c r="O146" s="43">
        <f>1+30/24/60</f>
        <v>1.0208333333333333</v>
      </c>
      <c r="P146" s="43">
        <f>1+45/24/60</f>
        <v>1.03125</v>
      </c>
      <c r="Q146" s="39"/>
      <c r="R146" s="42" t="s">
        <v>416</v>
      </c>
      <c r="S146" s="44">
        <f>MIP[[#This Row],[PT-1]]+MIP[[#This Row],[PT-2]]*2+MIP[[#This Row],[PT-3]]*3+MIP[[#This Row],[PT &gt; 3 Pontos]]</f>
        <v>9</v>
      </c>
      <c r="T14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4.4444444444444509E-2</v>
      </c>
      <c r="U146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4.4444444444444509E-2</v>
      </c>
      <c r="V146" s="41">
        <f>MIP[[#This Row],[Eficiência]]</f>
        <v>0.66086937000249857</v>
      </c>
      <c r="W14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46" s="39">
        <f>IF(MIP[[#This Row],[P.S]]-MIP[[#This Row],[P.E]]&lt;0,1+MIP[[#This Row],[P.S]]-MIP[[#This Row],[P.E]]-1/24,MIP[[#This Row],[P.S]]-MIP[[#This Row],[P.E]]-1/24)</f>
        <v>0.36666666666666664</v>
      </c>
      <c r="Y146" s="39">
        <f>MIP[[#This Row],[PT-1]]*$S$3+MIP[[#This Row],[PT-2]]*$T$3+MIP[[#This Row],[PT-3]]*$U$3+MIP[[#This Row],[PT &gt; 3 Pontos]]*$V$3</f>
        <v>0.21294679700080504</v>
      </c>
      <c r="Z146" s="39">
        <f>MIP[[#This Row],[HH disponível]]-MIP[[#This Row],[HH AC TOT]]</f>
        <v>0.32222222222222213</v>
      </c>
      <c r="AA146" s="38">
        <f>MIP[[#This Row],[HH Produtivo
Total]]/MIP[[#This Row],[HH Trabalhado]]</f>
        <v>0.66086937000249857</v>
      </c>
      <c r="AB146" s="38">
        <f>MIP[[#This Row],[HH Produtivo
Total]]/MIP[[#This Row],[HH disponível]]</f>
        <v>0.58076399182037741</v>
      </c>
      <c r="AC146" s="38">
        <f>MIP[[#This Row],[HH Trabalhado]]/MIP[[#This Row],[HH disponível]]</f>
        <v>0.87878787878787856</v>
      </c>
      <c r="AD146" s="37" t="str">
        <f>LEFT(MIP[[#This Row],[Equipe]], SEARCH("/",MIP[[#This Row],[Equipe]],1)-1)</f>
        <v xml:space="preserve">EDILTON </v>
      </c>
      <c r="AE146" s="37" t="str">
        <f>RIGHT(MIP[[#This Row],[Equipe]], LEN(MIP[[#This Row],[Equipe]])-SEARCH("/",MIP[[#This Row],[Equipe]],1))</f>
        <v xml:space="preserve"> GECIVALDO</v>
      </c>
      <c r="AF146" s="44">
        <f>COUNTIFS('[1]Tempo parado'!H:H,"&gt;="&amp;MIP[[#This Row],[S.B Sitrack]],'[1]Tempo parado'!I:I,"&lt;="&amp;MIP[[#This Row],[C.B Sitrack]],'[1]Tempo parado'!B:B,MIP[[#This Row],[Placa]])</f>
        <v>0</v>
      </c>
      <c r="AG146" s="36"/>
      <c r="AH146" s="35"/>
      <c r="AI146" s="34"/>
      <c r="AJ146" s="34"/>
      <c r="AK14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4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46" s="32">
        <f>SUMIFS('[1]Tempo parado'!J:J,'[1]Tempo parado'!H:H,"&gt;="&amp;MIP[[#This Row],[S.B Sitrack]],'[1]Tempo parado'!I:I,"&lt;="&amp;MIP[[#This Row],[C.B Sitrack]],'[1]Tempo parado'!B:B,MIP[[#This Row],[Placa]])</f>
        <v>0</v>
      </c>
      <c r="AN146" s="32" t="str">
        <f>IFERROR(MIP[[#This Row],[Tempo parado]]/(MIP[[#This Row],[C.B Sitrack]]-MIP[[#This Row],[S.B Sitrack]]),"")</f>
        <v/>
      </c>
      <c r="AO146" s="30"/>
      <c r="AP146" s="44">
        <f>IF(AND(MIP[Exc]=0,MIP[Previsto / Realizado]="Realizado"),MIP[Sem],0)</f>
        <v>25</v>
      </c>
      <c r="AQ146" s="29">
        <f>IF(AND(MIP[Exc]=0,MIP[Previsto / Realizado]="Realizado",ISBLANK(MIP[[#This Row],[S.B Sitrack]])=FALSE,ISBLANK(MIP[[#This Row],[C.B Sitrack]])=FALSE),MIP[Sem],0)</f>
        <v>0</v>
      </c>
    </row>
    <row r="147" spans="1:43" s="47" customFormat="1" x14ac:dyDescent="0.25">
      <c r="A147" s="11"/>
      <c r="B147" s="44">
        <f>WEEKNUM(MIP[[#This Row],[Data]])</f>
        <v>25</v>
      </c>
      <c r="C147" s="45">
        <v>42910</v>
      </c>
      <c r="D147" s="45"/>
      <c r="E147" s="35" t="s">
        <v>178</v>
      </c>
      <c r="F147" s="35" t="s">
        <v>5</v>
      </c>
      <c r="G147" s="35"/>
      <c r="H147" s="44">
        <v>2</v>
      </c>
      <c r="I147" s="44">
        <v>8</v>
      </c>
      <c r="J147" s="44">
        <v>1</v>
      </c>
      <c r="K147" s="44">
        <v>1</v>
      </c>
      <c r="L147" s="44">
        <v>4</v>
      </c>
      <c r="M147" s="43">
        <v>0.625</v>
      </c>
      <c r="N147" s="43">
        <v>0.64583333333333337</v>
      </c>
      <c r="O147" s="43">
        <f>1+18/24/60</f>
        <v>1.0125</v>
      </c>
      <c r="P147" s="43">
        <f>1+48/24/60</f>
        <v>1.0333333333333334</v>
      </c>
      <c r="Q147" s="39"/>
      <c r="R147" s="42"/>
      <c r="S147" s="44">
        <f>MIP[[#This Row],[PT-1]]+MIP[[#This Row],[PT-2]]*2+MIP[[#This Row],[PT-3]]*3+MIP[[#This Row],[PT &gt; 3 Pontos]]</f>
        <v>17</v>
      </c>
      <c r="T14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147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147" s="41">
        <f>MIP[[#This Row],[Eficiência]]</f>
        <v>1.1935363462914792</v>
      </c>
      <c r="W14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47" s="39">
        <f>IF(MIP[[#This Row],[P.S]]-MIP[[#This Row],[P.E]]&lt;0,1+MIP[[#This Row],[P.S]]-MIP[[#This Row],[P.E]]-1/24,MIP[[#This Row],[P.S]]-MIP[[#This Row],[P.E]]-1/24)</f>
        <v>0.36666666666666675</v>
      </c>
      <c r="Y147" s="39">
        <f>MIP[[#This Row],[PT-1]]*$S$3+MIP[[#This Row],[PT-2]]*$T$3+MIP[[#This Row],[PT-3]]*$U$3+MIP[[#This Row],[PT &gt; 3 Pontos]]*$V$3</f>
        <v>0.38789931254473065</v>
      </c>
      <c r="Z147" s="39">
        <f>MIP[[#This Row],[HH disponível]]-MIP[[#This Row],[HH AC TOT]]</f>
        <v>0.3249999999999999</v>
      </c>
      <c r="AA147" s="38">
        <f>MIP[[#This Row],[HH Produtivo
Total]]/MIP[[#This Row],[HH Trabalhado]]</f>
        <v>1.1935363462914792</v>
      </c>
      <c r="AB147" s="38">
        <f>MIP[[#This Row],[HH Produtivo
Total]]/MIP[[#This Row],[HH disponível]]</f>
        <v>1.0579072160310834</v>
      </c>
      <c r="AC147" s="38">
        <f>MIP[[#This Row],[HH Trabalhado]]/MIP[[#This Row],[HH disponível]]</f>
        <v>0.88636363636363591</v>
      </c>
      <c r="AD147" s="37" t="str">
        <f>LEFT(MIP[[#This Row],[Equipe]], SEARCH("/",MIP[[#This Row],[Equipe]],1)-1)</f>
        <v xml:space="preserve">HERVAL </v>
      </c>
      <c r="AE147" s="37" t="str">
        <f>RIGHT(MIP[[#This Row],[Equipe]], LEN(MIP[[#This Row],[Equipe]])-SEARCH("/",MIP[[#This Row],[Equipe]],1))</f>
        <v xml:space="preserve"> VALDEI</v>
      </c>
      <c r="AF147" s="44">
        <f>COUNTIFS('[1]Tempo parado'!H:H,"&gt;="&amp;MIP[[#This Row],[S.B Sitrack]],'[1]Tempo parado'!I:I,"&lt;="&amp;MIP[[#This Row],[C.B Sitrack]],'[1]Tempo parado'!B:B,MIP[[#This Row],[Placa]])</f>
        <v>0</v>
      </c>
      <c r="AG147" s="36"/>
      <c r="AH147" s="35"/>
      <c r="AI147" s="34"/>
      <c r="AJ147" s="34"/>
      <c r="AK14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4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47" s="32">
        <f>SUMIFS('[1]Tempo parado'!J:J,'[1]Tempo parado'!H:H,"&gt;="&amp;MIP[[#This Row],[S.B Sitrack]],'[1]Tempo parado'!I:I,"&lt;="&amp;MIP[[#This Row],[C.B Sitrack]],'[1]Tempo parado'!B:B,MIP[[#This Row],[Placa]])</f>
        <v>0</v>
      </c>
      <c r="AN147" s="32" t="str">
        <f>IFERROR(MIP[[#This Row],[Tempo parado]]/(MIP[[#This Row],[C.B Sitrack]]-MIP[[#This Row],[S.B Sitrack]]),"")</f>
        <v/>
      </c>
      <c r="AO147" s="30"/>
      <c r="AP147" s="44">
        <f>IF(AND(MIP[Exc]=0,MIP[Previsto / Realizado]="Realizado"),MIP[Sem],0)</f>
        <v>0</v>
      </c>
      <c r="AQ147" s="29">
        <f>IF(AND(MIP[Exc]=0,MIP[Previsto / Realizado]="Realizado",ISBLANK(MIP[[#This Row],[S.B Sitrack]])=FALSE,ISBLANK(MIP[[#This Row],[C.B Sitrack]])=FALSE),MIP[Sem],0)</f>
        <v>0</v>
      </c>
    </row>
    <row r="148" spans="1:43" s="64" customFormat="1" x14ac:dyDescent="0.25">
      <c r="A148" s="11"/>
      <c r="B148" s="44">
        <f>WEEKNUM(MIP[[#This Row],[Data]])</f>
        <v>25</v>
      </c>
      <c r="C148" s="45">
        <v>42910</v>
      </c>
      <c r="D148" s="45"/>
      <c r="E148" s="35" t="s">
        <v>178</v>
      </c>
      <c r="F148" s="35" t="s">
        <v>2</v>
      </c>
      <c r="G148" s="35"/>
      <c r="H148" s="44">
        <v>2</v>
      </c>
      <c r="I148" s="44">
        <v>3</v>
      </c>
      <c r="J148" s="44">
        <v>1</v>
      </c>
      <c r="K148" s="44">
        <v>1</v>
      </c>
      <c r="L148" s="44">
        <v>2</v>
      </c>
      <c r="M148" s="43">
        <v>0.26944444444444443</v>
      </c>
      <c r="N148" s="43">
        <v>0.31597222222222221</v>
      </c>
      <c r="O148" s="43">
        <v>0.58333333333333337</v>
      </c>
      <c r="P148" s="43">
        <v>0.61388888888888882</v>
      </c>
      <c r="Q148" s="39"/>
      <c r="R148" s="42" t="s">
        <v>415</v>
      </c>
      <c r="S148" s="44">
        <f>MIP[[#This Row],[PT-1]]+MIP[[#This Row],[PT-2]]*2+MIP[[#This Row],[PT-3]]*3+MIP[[#This Row],[PT &gt; 3 Pontos]]</f>
        <v>10</v>
      </c>
      <c r="T14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7.7083333333333226E-2</v>
      </c>
      <c r="U148" s="39">
        <f>IF(MIP[[#This Row],[P.S]]-MIP[[#This Row],[U.P]]&gt;=0,MIP[[#This Row],[P.S]]-MIP[[#This Row],[U.P]]+MIP[[#This Row],[S.B]]-MIP[[#This Row],[P.E]],1+MIP[[#This Row],[P.S]]-MIP[[#This Row],[U.P]]+MIP[[#This Row],[S.B]]-MIP[[#This Row],[P.E]])</f>
        <v>7.7083333333333226E-2</v>
      </c>
      <c r="V148" s="41">
        <f>MIP[[#This Row],[Eficiência]]</f>
        <v>0.98484491514926287</v>
      </c>
      <c r="W14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48" s="39">
        <f>IF(MIP[[#This Row],[P.S]]-MIP[[#This Row],[P.E]]&lt;0,1+MIP[[#This Row],[P.S]]-MIP[[#This Row],[P.E]]-1/24,MIP[[#This Row],[P.S]]-MIP[[#This Row],[P.E]]-1/24)</f>
        <v>0.3027777777777777</v>
      </c>
      <c r="Y148" s="39">
        <f>MIP[[#This Row],[PT-1]]*$S$3+MIP[[#This Row],[PT-2]]*$T$3+MIP[[#This Row],[PT-3]]*$U$3+MIP[[#This Row],[PT &gt; 3 Pontos]]*$V$3</f>
        <v>0.22227402598854895</v>
      </c>
      <c r="Z148" s="39">
        <f>MIP[[#This Row],[HH disponível]]-MIP[[#This Row],[HH AC TOT]]</f>
        <v>0.22569444444444448</v>
      </c>
      <c r="AA148" s="38">
        <f>MIP[[#This Row],[HH Produtivo
Total]]/MIP[[#This Row],[HH Trabalhado]]</f>
        <v>0.98484491514926287</v>
      </c>
      <c r="AB148" s="38">
        <f>MIP[[#This Row],[HH Produtivo
Total]]/MIP[[#This Row],[HH disponível]]</f>
        <v>0.73411604913649209</v>
      </c>
      <c r="AC148" s="38">
        <f>MIP[[#This Row],[HH Trabalhado]]/MIP[[#This Row],[HH disponível]]</f>
        <v>0.7454128440366975</v>
      </c>
      <c r="AD148" s="37" t="str">
        <f>LEFT(MIP[[#This Row],[Equipe]], SEARCH("/",MIP[[#This Row],[Equipe]],1)-1)</f>
        <v xml:space="preserve">HERVAL </v>
      </c>
      <c r="AE148" s="37" t="str">
        <f>RIGHT(MIP[[#This Row],[Equipe]], LEN(MIP[[#This Row],[Equipe]])-SEARCH("/",MIP[[#This Row],[Equipe]],1))</f>
        <v xml:space="preserve"> VALDEI</v>
      </c>
      <c r="AF148" s="44">
        <f>COUNTIFS('[1]Tempo parado'!H:H,"&gt;="&amp;MIP[[#This Row],[S.B Sitrack]],'[1]Tempo parado'!I:I,"&lt;="&amp;MIP[[#This Row],[C.B Sitrack]],'[1]Tempo parado'!B:B,MIP[[#This Row],[Placa]])</f>
        <v>0</v>
      </c>
      <c r="AG148" s="36"/>
      <c r="AH148" s="35"/>
      <c r="AI148" s="34"/>
      <c r="AJ148" s="34"/>
      <c r="AK14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4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48" s="32">
        <f>SUMIFS('[1]Tempo parado'!J:J,'[1]Tempo parado'!H:H,"&gt;="&amp;MIP[[#This Row],[S.B Sitrack]],'[1]Tempo parado'!I:I,"&lt;="&amp;MIP[[#This Row],[C.B Sitrack]],'[1]Tempo parado'!B:B,MIP[[#This Row],[Placa]])</f>
        <v>0</v>
      </c>
      <c r="AN148" s="32" t="str">
        <f>IFERROR(MIP[[#This Row],[Tempo parado]]/(MIP[[#This Row],[C.B Sitrack]]-MIP[[#This Row],[S.B Sitrack]]),"")</f>
        <v/>
      </c>
      <c r="AO148" s="30"/>
      <c r="AP148" s="44">
        <f>IF(AND(MIP[Exc]=0,MIP[Previsto / Realizado]="Realizado"),MIP[Sem],0)</f>
        <v>25</v>
      </c>
      <c r="AQ148" s="29">
        <f>IF(AND(MIP[Exc]=0,MIP[Previsto / Realizado]="Realizado",ISBLANK(MIP[[#This Row],[S.B Sitrack]])=FALSE,ISBLANK(MIP[[#This Row],[C.B Sitrack]])=FALSE),MIP[Sem],0)</f>
        <v>0</v>
      </c>
    </row>
    <row r="149" spans="1:43" s="47" customFormat="1" x14ac:dyDescent="0.25">
      <c r="A149" s="11"/>
      <c r="B149" s="44">
        <f>WEEKNUM(MIP[[#This Row],[Data]])</f>
        <v>26</v>
      </c>
      <c r="C149" s="45">
        <v>42911</v>
      </c>
      <c r="D149" s="45"/>
      <c r="E149" s="35" t="s">
        <v>414</v>
      </c>
      <c r="F149" s="35" t="s">
        <v>5</v>
      </c>
      <c r="G149" s="35"/>
      <c r="H149" s="44">
        <v>2</v>
      </c>
      <c r="I149" s="44">
        <v>6</v>
      </c>
      <c r="J149" s="44">
        <v>3</v>
      </c>
      <c r="K149" s="44">
        <v>1</v>
      </c>
      <c r="L149" s="44">
        <v>0</v>
      </c>
      <c r="M149" s="43">
        <v>0.625</v>
      </c>
      <c r="N149" s="43">
        <v>0.64583333333333337</v>
      </c>
      <c r="O149" s="43">
        <f>1+18/24/60</f>
        <v>1.0125</v>
      </c>
      <c r="P149" s="43">
        <f>1+48/24/60</f>
        <v>1.0333333333333334</v>
      </c>
      <c r="Q149" s="39"/>
      <c r="R149" s="42"/>
      <c r="S149" s="44">
        <f>MIP[[#This Row],[PT-1]]+MIP[[#This Row],[PT-2]]*2+MIP[[#This Row],[PT-3]]*3+MIP[[#This Row],[PT &gt; 3 Pontos]]</f>
        <v>15</v>
      </c>
      <c r="T14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149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149" s="41">
        <f>MIP[[#This Row],[Eficiência]]</f>
        <v>1.0605326009537965</v>
      </c>
      <c r="W14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49" s="39">
        <f>IF(MIP[[#This Row],[P.S]]-MIP[[#This Row],[P.E]]&lt;0,1+MIP[[#This Row],[P.S]]-MIP[[#This Row],[P.E]]-1/24,MIP[[#This Row],[P.S]]-MIP[[#This Row],[P.E]]-1/24)</f>
        <v>0.36666666666666675</v>
      </c>
      <c r="Y149" s="39">
        <f>MIP[[#This Row],[PT-1]]*$S$3+MIP[[#This Row],[PT-2]]*$T$3+MIP[[#This Row],[PT-3]]*$U$3+MIP[[#This Row],[PT &gt; 3 Pontos]]*$V$3</f>
        <v>0.3446730953099838</v>
      </c>
      <c r="Z149" s="39">
        <f>MIP[[#This Row],[HH disponível]]-MIP[[#This Row],[HH AC TOT]]</f>
        <v>0.3249999999999999</v>
      </c>
      <c r="AA149" s="38">
        <f>MIP[[#This Row],[HH Produtivo
Total]]/MIP[[#This Row],[HH Trabalhado]]</f>
        <v>1.0605326009537965</v>
      </c>
      <c r="AB149" s="38">
        <f>MIP[[#This Row],[HH Produtivo
Total]]/MIP[[#This Row],[HH disponível]]</f>
        <v>0.940017532663592</v>
      </c>
      <c r="AC149" s="38">
        <f>MIP[[#This Row],[HH Trabalhado]]/MIP[[#This Row],[HH disponível]]</f>
        <v>0.88636363636363591</v>
      </c>
      <c r="AD149" s="37" t="str">
        <f>LEFT(MIP[[#This Row],[Equipe]], SEARCH("/",MIP[[#This Row],[Equipe]],1)-1)</f>
        <v xml:space="preserve">EDILTON </v>
      </c>
      <c r="AE149" s="37" t="str">
        <f>RIGHT(MIP[[#This Row],[Equipe]], LEN(MIP[[#This Row],[Equipe]])-SEARCH("/",MIP[[#This Row],[Equipe]],1))</f>
        <v xml:space="preserve"> VALDEI</v>
      </c>
      <c r="AF149" s="44">
        <f>COUNTIFS('[1]Tempo parado'!H:H,"&gt;="&amp;MIP[[#This Row],[S.B Sitrack]],'[1]Tempo parado'!I:I,"&lt;="&amp;MIP[[#This Row],[C.B Sitrack]],'[1]Tempo parado'!B:B,MIP[[#This Row],[Placa]])</f>
        <v>0</v>
      </c>
      <c r="AG149" s="36"/>
      <c r="AH149" s="35"/>
      <c r="AI149" s="34"/>
      <c r="AJ149" s="34"/>
      <c r="AK14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4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49" s="32">
        <f>SUMIFS('[1]Tempo parado'!J:J,'[1]Tempo parado'!H:H,"&gt;="&amp;MIP[[#This Row],[S.B Sitrack]],'[1]Tempo parado'!I:I,"&lt;="&amp;MIP[[#This Row],[C.B Sitrack]],'[1]Tempo parado'!B:B,MIP[[#This Row],[Placa]])</f>
        <v>0</v>
      </c>
      <c r="AN149" s="32" t="str">
        <f>IFERROR(MIP[[#This Row],[Tempo parado]]/(MIP[[#This Row],[C.B Sitrack]]-MIP[[#This Row],[S.B Sitrack]]),"")</f>
        <v/>
      </c>
      <c r="AO149" s="30"/>
      <c r="AP149" s="44">
        <f>IF(AND(MIP[Exc]=0,MIP[Previsto / Realizado]="Realizado"),MIP[Sem],0)</f>
        <v>0</v>
      </c>
      <c r="AQ149" s="29">
        <f>IF(AND(MIP[Exc]=0,MIP[Previsto / Realizado]="Realizado",ISBLANK(MIP[[#This Row],[S.B Sitrack]])=FALSE,ISBLANK(MIP[[#This Row],[C.B Sitrack]])=FALSE),MIP[Sem],0)</f>
        <v>0</v>
      </c>
    </row>
    <row r="150" spans="1:43" s="64" customFormat="1" x14ac:dyDescent="0.25">
      <c r="A150" s="11"/>
      <c r="B150" s="44">
        <f>WEEKNUM(MIP[[#This Row],[Data]])</f>
        <v>26</v>
      </c>
      <c r="C150" s="45">
        <v>42911</v>
      </c>
      <c r="D150" s="45"/>
      <c r="E150" s="35" t="s">
        <v>414</v>
      </c>
      <c r="F150" s="35" t="s">
        <v>2</v>
      </c>
      <c r="G150" s="35"/>
      <c r="H150" s="44">
        <v>2</v>
      </c>
      <c r="I150" s="44">
        <v>2</v>
      </c>
      <c r="J150" s="44">
        <v>3</v>
      </c>
      <c r="K150" s="44">
        <v>1</v>
      </c>
      <c r="L150" s="44">
        <v>0</v>
      </c>
      <c r="M150" s="43">
        <v>0.26111111111111113</v>
      </c>
      <c r="N150" s="43">
        <v>0.3125</v>
      </c>
      <c r="O150" s="43">
        <v>0.48402777777777778</v>
      </c>
      <c r="P150" s="43">
        <v>0.62708333333333333</v>
      </c>
      <c r="Q150" s="39"/>
      <c r="R150" s="42"/>
      <c r="S150" s="44">
        <f>MIP[[#This Row],[PT-1]]+MIP[[#This Row],[PT-2]]*2+MIP[[#This Row],[PT-3]]*3+MIP[[#This Row],[PT &gt; 3 Pontos]]</f>
        <v>11</v>
      </c>
      <c r="T15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0.19444444444444442</v>
      </c>
      <c r="U150" s="39">
        <f>IF(MIP[[#This Row],[P.S]]-MIP[[#This Row],[U.P]]&gt;=0,MIP[[#This Row],[P.S]]-MIP[[#This Row],[U.P]]+MIP[[#This Row],[S.B]]-MIP[[#This Row],[P.E]],1+MIP[[#This Row],[P.S]]-MIP[[#This Row],[U.P]]+MIP[[#This Row],[S.B]]-MIP[[#This Row],[P.E]])</f>
        <v>0.19444444444444442</v>
      </c>
      <c r="V150" s="41">
        <f>MIP[[#This Row],[Eficiência]]</f>
        <v>1.8833173486786021</v>
      </c>
      <c r="W15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50" s="39">
        <f>IF(MIP[[#This Row],[P.S]]-MIP[[#This Row],[P.E]]&lt;0,1+MIP[[#This Row],[P.S]]-MIP[[#This Row],[P.E]]-1/24,MIP[[#This Row],[P.S]]-MIP[[#This Row],[P.E]]-1/24)</f>
        <v>0.32430555555555551</v>
      </c>
      <c r="Y150" s="39">
        <f>MIP[[#This Row],[PT-1]]*$S$3+MIP[[#This Row],[PT-2]]*$T$3+MIP[[#This Row],[PT-3]]*$U$3+MIP[[#This Row],[PT &gt; 3 Pontos]]*$V$3</f>
        <v>0.24456968347423511</v>
      </c>
      <c r="Z150" s="39">
        <f>MIP[[#This Row],[HH disponível]]-MIP[[#This Row],[HH AC TOT]]</f>
        <v>0.12986111111111109</v>
      </c>
      <c r="AA150" s="38">
        <f>MIP[[#This Row],[HH Produtivo
Total]]/MIP[[#This Row],[HH Trabalhado]]</f>
        <v>1.8833173486786021</v>
      </c>
      <c r="AB150" s="38">
        <f>MIP[[#This Row],[HH Produtivo
Total]]/MIP[[#This Row],[HH disponível]]</f>
        <v>0.75413349936380858</v>
      </c>
      <c r="AC150" s="38">
        <f>MIP[[#This Row],[HH Trabalhado]]/MIP[[#This Row],[HH disponível]]</f>
        <v>0.40042826552462529</v>
      </c>
      <c r="AD150" s="37" t="str">
        <f>LEFT(MIP[[#This Row],[Equipe]], SEARCH("/",MIP[[#This Row],[Equipe]],1)-1)</f>
        <v xml:space="preserve">EDILTON </v>
      </c>
      <c r="AE150" s="37" t="str">
        <f>RIGHT(MIP[[#This Row],[Equipe]], LEN(MIP[[#This Row],[Equipe]])-SEARCH("/",MIP[[#This Row],[Equipe]],1))</f>
        <v xml:space="preserve"> VALDEI</v>
      </c>
      <c r="AF150" s="44">
        <f>COUNTIFS('[1]Tempo parado'!H:H,"&gt;="&amp;MIP[[#This Row],[S.B Sitrack]],'[1]Tempo parado'!I:I,"&lt;="&amp;MIP[[#This Row],[C.B Sitrack]],'[1]Tempo parado'!B:B,MIP[[#This Row],[Placa]])</f>
        <v>0</v>
      </c>
      <c r="AG150" s="36"/>
      <c r="AH150" s="35"/>
      <c r="AI150" s="34"/>
      <c r="AJ150" s="34"/>
      <c r="AK15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5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50" s="32">
        <f>SUMIFS('[1]Tempo parado'!J:J,'[1]Tempo parado'!H:H,"&gt;="&amp;MIP[[#This Row],[S.B Sitrack]],'[1]Tempo parado'!I:I,"&lt;="&amp;MIP[[#This Row],[C.B Sitrack]],'[1]Tempo parado'!B:B,MIP[[#This Row],[Placa]])</f>
        <v>0</v>
      </c>
      <c r="AN150" s="32" t="str">
        <f>IFERROR(MIP[[#This Row],[Tempo parado]]/(MIP[[#This Row],[C.B Sitrack]]-MIP[[#This Row],[S.B Sitrack]]),"")</f>
        <v/>
      </c>
      <c r="AO150" s="30"/>
      <c r="AP150" s="44">
        <f>IF(AND(MIP[Exc]=0,MIP[Previsto / Realizado]="Realizado"),MIP[Sem],0)</f>
        <v>26</v>
      </c>
      <c r="AQ150" s="29">
        <f>IF(AND(MIP[Exc]=0,MIP[Previsto / Realizado]="Realizado",ISBLANK(MIP[[#This Row],[S.B Sitrack]])=FALSE,ISBLANK(MIP[[#This Row],[C.B Sitrack]])=FALSE),MIP[Sem],0)</f>
        <v>0</v>
      </c>
    </row>
    <row r="151" spans="1:43" s="47" customFormat="1" x14ac:dyDescent="0.25">
      <c r="A151" s="11"/>
      <c r="B151" s="44">
        <f>WEEKNUM(MIP[[#This Row],[Data]])</f>
        <v>26</v>
      </c>
      <c r="C151" s="45">
        <v>42911</v>
      </c>
      <c r="D151" s="45"/>
      <c r="E151" s="35" t="s">
        <v>19</v>
      </c>
      <c r="F151" s="35" t="s">
        <v>5</v>
      </c>
      <c r="G151" s="35"/>
      <c r="H151" s="44">
        <v>2</v>
      </c>
      <c r="I151" s="44">
        <v>8</v>
      </c>
      <c r="J151" s="44">
        <v>2</v>
      </c>
      <c r="K151" s="44">
        <v>1</v>
      </c>
      <c r="L151" s="44">
        <v>0</v>
      </c>
      <c r="M151" s="43">
        <v>0.625</v>
      </c>
      <c r="N151" s="43">
        <v>0.64583333333333337</v>
      </c>
      <c r="O151" s="43">
        <f>1+18/24/60</f>
        <v>1.0125</v>
      </c>
      <c r="P151" s="43">
        <f>1+48/24/60</f>
        <v>1.0333333333333334</v>
      </c>
      <c r="Q151" s="39"/>
      <c r="R151" s="42"/>
      <c r="S151" s="44">
        <f>MIP[[#This Row],[PT-1]]+MIP[[#This Row],[PT-2]]*2+MIP[[#This Row],[PT-3]]*3+MIP[[#This Row],[PT &gt; 3 Pontos]]</f>
        <v>15</v>
      </c>
      <c r="T15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151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151" s="41">
        <f>MIP[[#This Row],[Eficiência]]</f>
        <v>1.0794339542301499</v>
      </c>
      <c r="W15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51" s="39">
        <f>IF(MIP[[#This Row],[P.S]]-MIP[[#This Row],[P.E]]&lt;0,1+MIP[[#This Row],[P.S]]-MIP[[#This Row],[P.E]]-1/24,MIP[[#This Row],[P.S]]-MIP[[#This Row],[P.E]]-1/24)</f>
        <v>0.36666666666666675</v>
      </c>
      <c r="Y151" s="39">
        <f>MIP[[#This Row],[PT-1]]*$S$3+MIP[[#This Row],[PT-2]]*$T$3+MIP[[#This Row],[PT-3]]*$U$3+MIP[[#This Row],[PT &gt; 3 Pontos]]*$V$3</f>
        <v>0.35081603512479859</v>
      </c>
      <c r="Z151" s="39">
        <f>MIP[[#This Row],[HH disponível]]-MIP[[#This Row],[HH AC TOT]]</f>
        <v>0.3249999999999999</v>
      </c>
      <c r="AA151" s="38">
        <f>MIP[[#This Row],[HH Produtivo
Total]]/MIP[[#This Row],[HH Trabalhado]]</f>
        <v>1.0794339542301499</v>
      </c>
      <c r="AB151" s="38">
        <f>MIP[[#This Row],[HH Produtivo
Total]]/MIP[[#This Row],[HH disponível]]</f>
        <v>0.95677100488581412</v>
      </c>
      <c r="AC151" s="38">
        <f>MIP[[#This Row],[HH Trabalhado]]/MIP[[#This Row],[HH disponível]]</f>
        <v>0.88636363636363591</v>
      </c>
      <c r="AD151" s="37" t="str">
        <f>LEFT(MIP[[#This Row],[Equipe]], SEARCH("/",MIP[[#This Row],[Equipe]],1)-1)</f>
        <v xml:space="preserve">ADEMÁRIO </v>
      </c>
      <c r="AE151" s="37" t="str">
        <f>RIGHT(MIP[[#This Row],[Equipe]], LEN(MIP[[#This Row],[Equipe]])-SEARCH("/",MIP[[#This Row],[Equipe]],1))</f>
        <v xml:space="preserve"> RONALDO</v>
      </c>
      <c r="AF151" s="44">
        <f>COUNTIFS('[1]Tempo parado'!H:H,"&gt;="&amp;MIP[[#This Row],[S.B Sitrack]],'[1]Tempo parado'!I:I,"&lt;="&amp;MIP[[#This Row],[C.B Sitrack]],'[1]Tempo parado'!B:B,MIP[[#This Row],[Placa]])</f>
        <v>0</v>
      </c>
      <c r="AG151" s="36"/>
      <c r="AH151" s="35"/>
      <c r="AI151" s="34"/>
      <c r="AJ151" s="34"/>
      <c r="AK15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5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51" s="32">
        <f>SUMIFS('[1]Tempo parado'!J:J,'[1]Tempo parado'!H:H,"&gt;="&amp;MIP[[#This Row],[S.B Sitrack]],'[1]Tempo parado'!I:I,"&lt;="&amp;MIP[[#This Row],[C.B Sitrack]],'[1]Tempo parado'!B:B,MIP[[#This Row],[Placa]])</f>
        <v>0</v>
      </c>
      <c r="AN151" s="32" t="str">
        <f>IFERROR(MIP[[#This Row],[Tempo parado]]/(MIP[[#This Row],[C.B Sitrack]]-MIP[[#This Row],[S.B Sitrack]]),"")</f>
        <v/>
      </c>
      <c r="AO151" s="30"/>
      <c r="AP151" s="44">
        <f>IF(AND(MIP[Exc]=0,MIP[Previsto / Realizado]="Realizado"),MIP[Sem],0)</f>
        <v>0</v>
      </c>
      <c r="AQ151" s="29">
        <f>IF(AND(MIP[Exc]=0,MIP[Previsto / Realizado]="Realizado",ISBLANK(MIP[[#This Row],[S.B Sitrack]])=FALSE,ISBLANK(MIP[[#This Row],[C.B Sitrack]])=FALSE),MIP[Sem],0)</f>
        <v>0</v>
      </c>
    </row>
    <row r="152" spans="1:43" s="64" customFormat="1" x14ac:dyDescent="0.25">
      <c r="A152" s="11"/>
      <c r="B152" s="44">
        <f>WEEKNUM(MIP[[#This Row],[Data]])</f>
        <v>26</v>
      </c>
      <c r="C152" s="45">
        <v>42911</v>
      </c>
      <c r="D152" s="45"/>
      <c r="E152" s="35" t="s">
        <v>19</v>
      </c>
      <c r="F152" s="35" t="s">
        <v>2</v>
      </c>
      <c r="G152" s="35"/>
      <c r="H152" s="44">
        <v>2</v>
      </c>
      <c r="I152" s="44">
        <v>7</v>
      </c>
      <c r="J152" s="44">
        <v>2</v>
      </c>
      <c r="K152" s="44">
        <v>0</v>
      </c>
      <c r="L152" s="44">
        <v>0</v>
      </c>
      <c r="M152" s="43">
        <v>0.63958333333333328</v>
      </c>
      <c r="N152" s="43">
        <v>0.64583333333333337</v>
      </c>
      <c r="O152" s="43">
        <f>1+8/24/60</f>
        <v>1.0055555555555555</v>
      </c>
      <c r="P152" s="43">
        <f>1+48/24/60</f>
        <v>1.0333333333333334</v>
      </c>
      <c r="Q152" s="39"/>
      <c r="R152" s="42"/>
      <c r="S152" s="44">
        <f>MIP[[#This Row],[PT-1]]+MIP[[#This Row],[PT-2]]*2+MIP[[#This Row],[PT-3]]*3+MIP[[#This Row],[PT &gt; 3 Pontos]]</f>
        <v>11</v>
      </c>
      <c r="T15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3.402777777777799E-2</v>
      </c>
      <c r="U152" s="39">
        <f>IF(MIP[[#This Row],[P.S]]-MIP[[#This Row],[U.P]]&gt;=0,MIP[[#This Row],[P.S]]-MIP[[#This Row],[U.P]]+MIP[[#This Row],[S.B]]-MIP[[#This Row],[P.E]],1+MIP[[#This Row],[P.S]]-MIP[[#This Row],[U.P]]+MIP[[#This Row],[S.B]]-MIP[[#This Row],[P.E]])</f>
        <v>3.402777777777799E-2</v>
      </c>
      <c r="V152" s="41">
        <f>MIP[[#This Row],[Eficiência]]</f>
        <v>0.82689485633820625</v>
      </c>
      <c r="W15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52" s="39">
        <f>IF(MIP[[#This Row],[P.S]]-MIP[[#This Row],[P.E]]&lt;0,1+MIP[[#This Row],[P.S]]-MIP[[#This Row],[P.E]]-1/24,MIP[[#This Row],[P.S]]-MIP[[#This Row],[P.E]]-1/24)</f>
        <v>0.35208333333333347</v>
      </c>
      <c r="Y152" s="39">
        <f>MIP[[#This Row],[PT-1]]*$S$3+MIP[[#This Row],[PT-2]]*$T$3+MIP[[#This Row],[PT-3]]*$U$3+MIP[[#This Row],[PT &gt; 3 Pontos]]*$V$3</f>
        <v>0.26299850291867943</v>
      </c>
      <c r="Z152" s="39">
        <f>MIP[[#This Row],[HH disponível]]-MIP[[#This Row],[HH AC TOT]]</f>
        <v>0.31805555555555548</v>
      </c>
      <c r="AA152" s="38">
        <f>MIP[[#This Row],[HH Produtivo
Total]]/MIP[[#This Row],[HH Trabalhado]]</f>
        <v>0.82689485633820625</v>
      </c>
      <c r="AB152" s="38">
        <f>MIP[[#This Row],[HH Produtivo
Total]]/MIP[[#This Row],[HH disponível]]</f>
        <v>0.74697799645542062</v>
      </c>
      <c r="AC152" s="38">
        <f>MIP[[#This Row],[HH Trabalhado]]/MIP[[#This Row],[HH disponível]]</f>
        <v>0.90335305719921044</v>
      </c>
      <c r="AD152" s="37" t="str">
        <f>LEFT(MIP[[#This Row],[Equipe]], SEARCH("/",MIP[[#This Row],[Equipe]],1)-1)</f>
        <v xml:space="preserve">ADEMÁRIO </v>
      </c>
      <c r="AE152" s="37" t="str">
        <f>RIGHT(MIP[[#This Row],[Equipe]], LEN(MIP[[#This Row],[Equipe]])-SEARCH("/",MIP[[#This Row],[Equipe]],1))</f>
        <v xml:space="preserve"> RONALDO</v>
      </c>
      <c r="AF152" s="44">
        <f>COUNTIFS('[1]Tempo parado'!H:H,"&gt;="&amp;MIP[[#This Row],[S.B Sitrack]],'[1]Tempo parado'!I:I,"&lt;="&amp;MIP[[#This Row],[C.B Sitrack]],'[1]Tempo parado'!B:B,MIP[[#This Row],[Placa]])</f>
        <v>0</v>
      </c>
      <c r="AG152" s="36"/>
      <c r="AH152" s="35"/>
      <c r="AI152" s="34"/>
      <c r="AJ152" s="34"/>
      <c r="AK15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5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52" s="32">
        <f>SUMIFS('[1]Tempo parado'!J:J,'[1]Tempo parado'!H:H,"&gt;="&amp;MIP[[#This Row],[S.B Sitrack]],'[1]Tempo parado'!I:I,"&lt;="&amp;MIP[[#This Row],[C.B Sitrack]],'[1]Tempo parado'!B:B,MIP[[#This Row],[Placa]])</f>
        <v>0</v>
      </c>
      <c r="AN152" s="32" t="str">
        <f>IFERROR(MIP[[#This Row],[Tempo parado]]/(MIP[[#This Row],[C.B Sitrack]]-MIP[[#This Row],[S.B Sitrack]]),"")</f>
        <v/>
      </c>
      <c r="AO152" s="30"/>
      <c r="AP152" s="44">
        <f>IF(AND(MIP[Exc]=0,MIP[Previsto / Realizado]="Realizado"),MIP[Sem],0)</f>
        <v>26</v>
      </c>
      <c r="AQ152" s="29">
        <f>IF(AND(MIP[Exc]=0,MIP[Previsto / Realizado]="Realizado",ISBLANK(MIP[[#This Row],[S.B Sitrack]])=FALSE,ISBLANK(MIP[[#This Row],[C.B Sitrack]])=FALSE),MIP[Sem],0)</f>
        <v>0</v>
      </c>
    </row>
    <row r="153" spans="1:43" s="47" customFormat="1" x14ac:dyDescent="0.25">
      <c r="A153" s="11"/>
      <c r="B153" s="44">
        <f>WEEKNUM(MIP[[#This Row],[Data]])</f>
        <v>26</v>
      </c>
      <c r="C153" s="45">
        <v>42912</v>
      </c>
      <c r="D153" s="45"/>
      <c r="E153" s="35" t="s">
        <v>3</v>
      </c>
      <c r="F153" s="35" t="s">
        <v>5</v>
      </c>
      <c r="G153" s="35"/>
      <c r="H153" s="44">
        <v>2</v>
      </c>
      <c r="I153" s="44">
        <v>12</v>
      </c>
      <c r="J153" s="44">
        <v>0</v>
      </c>
      <c r="K153" s="44">
        <v>1</v>
      </c>
      <c r="L153" s="44">
        <v>0</v>
      </c>
      <c r="M153" s="43">
        <v>0.625</v>
      </c>
      <c r="N153" s="43">
        <v>0.64583333333333337</v>
      </c>
      <c r="O153" s="43">
        <f>1+18/24/60</f>
        <v>1.0125</v>
      </c>
      <c r="P153" s="43">
        <f>1+48/24/60</f>
        <v>1.0333333333333334</v>
      </c>
      <c r="Q153" s="39"/>
      <c r="R153" s="42"/>
      <c r="S153" s="44">
        <f>MIP[[#This Row],[PT-1]]+MIP[[#This Row],[PT-2]]*2+MIP[[#This Row],[PT-3]]*3+MIP[[#This Row],[PT &gt; 3 Pontos]]</f>
        <v>15</v>
      </c>
      <c r="T15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153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153" s="41">
        <f>MIP[[#This Row],[Eficiência]]</f>
        <v>1.1172366607828561</v>
      </c>
      <c r="W15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53" s="39">
        <f>IF(MIP[[#This Row],[P.S]]-MIP[[#This Row],[P.E]]&lt;0,1+MIP[[#This Row],[P.S]]-MIP[[#This Row],[P.E]]-1/24,MIP[[#This Row],[P.S]]-MIP[[#This Row],[P.E]]-1/24)</f>
        <v>0.36666666666666675</v>
      </c>
      <c r="Y153" s="39">
        <f>MIP[[#This Row],[PT-1]]*$S$3+MIP[[#This Row],[PT-2]]*$T$3+MIP[[#This Row],[PT-3]]*$U$3+MIP[[#This Row],[PT &gt; 3 Pontos]]*$V$3</f>
        <v>0.36310191475442816</v>
      </c>
      <c r="Z153" s="39">
        <f>MIP[[#This Row],[HH disponível]]-MIP[[#This Row],[HH AC TOT]]</f>
        <v>0.3249999999999999</v>
      </c>
      <c r="AA153" s="38">
        <f>MIP[[#This Row],[HH Produtivo
Total]]/MIP[[#This Row],[HH Trabalhado]]</f>
        <v>1.1172366607828561</v>
      </c>
      <c r="AB153" s="38">
        <f>MIP[[#This Row],[HH Produtivo
Total]]/MIP[[#This Row],[HH disponível]]</f>
        <v>0.99027794933025837</v>
      </c>
      <c r="AC153" s="38">
        <f>MIP[[#This Row],[HH Trabalhado]]/MIP[[#This Row],[HH disponível]]</f>
        <v>0.88636363636363591</v>
      </c>
      <c r="AD153" s="37" t="str">
        <f>LEFT(MIP[[#This Row],[Equipe]], SEARCH("/",MIP[[#This Row],[Equipe]],1)-1)</f>
        <v xml:space="preserve">EDILTON </v>
      </c>
      <c r="AE153" s="37" t="str">
        <f>RIGHT(MIP[[#This Row],[Equipe]], LEN(MIP[[#This Row],[Equipe]])-SEARCH("/",MIP[[#This Row],[Equipe]],1))</f>
        <v xml:space="preserve"> GECIVALDO</v>
      </c>
      <c r="AF153" s="44">
        <f>COUNTIFS('[1]Tempo parado'!H:H,"&gt;="&amp;MIP[[#This Row],[S.B Sitrack]],'[1]Tempo parado'!I:I,"&lt;="&amp;MIP[[#This Row],[C.B Sitrack]],'[1]Tempo parado'!B:B,MIP[[#This Row],[Placa]])</f>
        <v>0</v>
      </c>
      <c r="AG153" s="36"/>
      <c r="AH153" s="35"/>
      <c r="AI153" s="34"/>
      <c r="AJ153" s="34"/>
      <c r="AK15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5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53" s="32">
        <f>SUMIFS('[1]Tempo parado'!J:J,'[1]Tempo parado'!H:H,"&gt;="&amp;MIP[[#This Row],[S.B Sitrack]],'[1]Tempo parado'!I:I,"&lt;="&amp;MIP[[#This Row],[C.B Sitrack]],'[1]Tempo parado'!B:B,MIP[[#This Row],[Placa]])</f>
        <v>0</v>
      </c>
      <c r="AN153" s="32" t="str">
        <f>IFERROR(MIP[[#This Row],[Tempo parado]]/(MIP[[#This Row],[C.B Sitrack]]-MIP[[#This Row],[S.B Sitrack]]),"")</f>
        <v/>
      </c>
      <c r="AO153" s="30"/>
      <c r="AP153" s="44">
        <f>IF(AND(MIP[Exc]=0,MIP[Previsto / Realizado]="Realizado"),MIP[Sem],0)</f>
        <v>0</v>
      </c>
      <c r="AQ153" s="29">
        <f>IF(AND(MIP[Exc]=0,MIP[Previsto / Realizado]="Realizado",ISBLANK(MIP[[#This Row],[S.B Sitrack]])=FALSE,ISBLANK(MIP[[#This Row],[C.B Sitrack]])=FALSE),MIP[Sem],0)</f>
        <v>0</v>
      </c>
    </row>
    <row r="154" spans="1:43" s="64" customFormat="1" x14ac:dyDescent="0.25">
      <c r="A154" s="11"/>
      <c r="B154" s="44">
        <f>WEEKNUM(MIP[[#This Row],[Data]])</f>
        <v>26</v>
      </c>
      <c r="C154" s="45">
        <v>42912</v>
      </c>
      <c r="D154" s="45"/>
      <c r="E154" s="35" t="s">
        <v>3</v>
      </c>
      <c r="F154" s="35" t="s">
        <v>2</v>
      </c>
      <c r="G154" s="35"/>
      <c r="H154" s="44">
        <v>2</v>
      </c>
      <c r="I154" s="44">
        <v>11</v>
      </c>
      <c r="J154" s="44">
        <v>0</v>
      </c>
      <c r="K154" s="44">
        <v>0</v>
      </c>
      <c r="L154" s="44">
        <v>0</v>
      </c>
      <c r="M154" s="43">
        <v>0.62083333333333335</v>
      </c>
      <c r="N154" s="43">
        <v>0.64930555555555558</v>
      </c>
      <c r="O154" s="43">
        <f>1+25/24/60</f>
        <v>1.0173611111111112</v>
      </c>
      <c r="P154" s="43">
        <f>1+48/24/60</f>
        <v>1.0333333333333334</v>
      </c>
      <c r="Q154" s="39"/>
      <c r="R154" s="42" t="s">
        <v>413</v>
      </c>
      <c r="S154" s="44">
        <f>MIP[[#This Row],[PT-1]]+MIP[[#This Row],[PT-2]]*2+MIP[[#This Row],[PT-3]]*3+MIP[[#This Row],[PT &gt; 3 Pontos]]</f>
        <v>11</v>
      </c>
      <c r="T15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4.4444444444444509E-2</v>
      </c>
      <c r="U154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4.4444444444444509E-2</v>
      </c>
      <c r="V154" s="41">
        <f>MIP[[#This Row],[Eficiência]]</f>
        <v>0.84342449121184038</v>
      </c>
      <c r="W15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54" s="39">
        <f>IF(MIP[[#This Row],[P.S]]-MIP[[#This Row],[P.E]]&lt;0,1+MIP[[#This Row],[P.S]]-MIP[[#This Row],[P.E]]-1/24,MIP[[#This Row],[P.S]]-MIP[[#This Row],[P.E]]-1/24)</f>
        <v>0.3708333333333334</v>
      </c>
      <c r="Y154" s="39">
        <f>MIP[[#This Row],[PT-1]]*$S$3+MIP[[#This Row],[PT-2]]*$T$3+MIP[[#This Row],[PT-3]]*$U$3+MIP[[#This Row],[PT &gt; 3 Pontos]]*$V$3</f>
        <v>0.275284382548309</v>
      </c>
      <c r="Z154" s="39">
        <f>MIP[[#This Row],[HH disponível]]-MIP[[#This Row],[HH AC TOT]]</f>
        <v>0.3263888888888889</v>
      </c>
      <c r="AA154" s="38">
        <f>MIP[[#This Row],[HH Produtivo
Total]]/MIP[[#This Row],[HH Trabalhado]]</f>
        <v>0.84342449121184038</v>
      </c>
      <c r="AB154" s="38">
        <f>MIP[[#This Row],[HH Produtivo
Total]]/MIP[[#This Row],[HH disponível]]</f>
        <v>0.74233990799543992</v>
      </c>
      <c r="AC154" s="38">
        <f>MIP[[#This Row],[HH Trabalhado]]/MIP[[#This Row],[HH disponível]]</f>
        <v>0.88014981273408222</v>
      </c>
      <c r="AD154" s="37" t="str">
        <f>LEFT(MIP[[#This Row],[Equipe]], SEARCH("/",MIP[[#This Row],[Equipe]],1)-1)</f>
        <v xml:space="preserve">EDILTON </v>
      </c>
      <c r="AE154" s="37" t="str">
        <f>RIGHT(MIP[[#This Row],[Equipe]], LEN(MIP[[#This Row],[Equipe]])-SEARCH("/",MIP[[#This Row],[Equipe]],1))</f>
        <v xml:space="preserve"> GECIVALDO</v>
      </c>
      <c r="AF154" s="44">
        <f>COUNTIFS('[1]Tempo parado'!H:H,"&gt;="&amp;MIP[[#This Row],[S.B Sitrack]],'[1]Tempo parado'!I:I,"&lt;="&amp;MIP[[#This Row],[C.B Sitrack]],'[1]Tempo parado'!B:B,MIP[[#This Row],[Placa]])</f>
        <v>0</v>
      </c>
      <c r="AG154" s="36"/>
      <c r="AH154" s="35"/>
      <c r="AI154" s="34"/>
      <c r="AJ154" s="34"/>
      <c r="AK15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5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54" s="32">
        <f>SUMIFS('[1]Tempo parado'!J:J,'[1]Tempo parado'!H:H,"&gt;="&amp;MIP[[#This Row],[S.B Sitrack]],'[1]Tempo parado'!I:I,"&lt;="&amp;MIP[[#This Row],[C.B Sitrack]],'[1]Tempo parado'!B:B,MIP[[#This Row],[Placa]])</f>
        <v>0</v>
      </c>
      <c r="AN154" s="32" t="str">
        <f>IFERROR(MIP[[#This Row],[Tempo parado]]/(MIP[[#This Row],[C.B Sitrack]]-MIP[[#This Row],[S.B Sitrack]]),"")</f>
        <v/>
      </c>
      <c r="AO154" s="30"/>
      <c r="AP154" s="44">
        <f>IF(AND(MIP[Exc]=0,MIP[Previsto / Realizado]="Realizado"),MIP[Sem],0)</f>
        <v>26</v>
      </c>
      <c r="AQ154" s="29">
        <f>IF(AND(MIP[Exc]=0,MIP[Previsto / Realizado]="Realizado",ISBLANK(MIP[[#This Row],[S.B Sitrack]])=FALSE,ISBLANK(MIP[[#This Row],[C.B Sitrack]])=FALSE),MIP[Sem],0)</f>
        <v>0</v>
      </c>
    </row>
    <row r="155" spans="1:43" s="47" customFormat="1" x14ac:dyDescent="0.25">
      <c r="A155" s="11"/>
      <c r="B155" s="44">
        <f>WEEKNUM(MIP[[#This Row],[Data]])</f>
        <v>26</v>
      </c>
      <c r="C155" s="45">
        <v>42912</v>
      </c>
      <c r="D155" s="45"/>
      <c r="E155" s="35" t="s">
        <v>7</v>
      </c>
      <c r="F155" s="35" t="s">
        <v>5</v>
      </c>
      <c r="G155" s="35"/>
      <c r="H155" s="44">
        <v>2</v>
      </c>
      <c r="I155" s="44">
        <v>6</v>
      </c>
      <c r="J155" s="44">
        <v>2</v>
      </c>
      <c r="K155" s="44">
        <v>2</v>
      </c>
      <c r="L155" s="44">
        <v>0</v>
      </c>
      <c r="M155" s="43">
        <v>0.625</v>
      </c>
      <c r="N155" s="43">
        <v>0.64583333333333337</v>
      </c>
      <c r="O155" s="43">
        <f>1+18/24/60</f>
        <v>1.0125</v>
      </c>
      <c r="P155" s="43">
        <f>1+48/24/60</f>
        <v>1.0333333333333334</v>
      </c>
      <c r="Q155" s="39"/>
      <c r="R155" s="42"/>
      <c r="S155" s="44">
        <f>MIP[[#This Row],[PT-1]]+MIP[[#This Row],[PT-2]]*2+MIP[[#This Row],[PT-3]]*3+MIP[[#This Row],[PT &gt; 3 Pontos]]</f>
        <v>16</v>
      </c>
      <c r="T15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155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155" s="41">
        <f>MIP[[#This Row],[Eficiência]]</f>
        <v>1.118633872166481</v>
      </c>
      <c r="W15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55" s="39">
        <f>IF(MIP[[#This Row],[P.S]]-MIP[[#This Row],[P.E]]&lt;0,1+MIP[[#This Row],[P.S]]-MIP[[#This Row],[P.E]]-1/24,MIP[[#This Row],[P.S]]-MIP[[#This Row],[P.E]]-1/24)</f>
        <v>0.36666666666666675</v>
      </c>
      <c r="Y155" s="39">
        <f>MIP[[#This Row],[PT-1]]*$S$3+MIP[[#This Row],[PT-2]]*$T$3+MIP[[#This Row],[PT-3]]*$U$3+MIP[[#This Row],[PT &gt; 3 Pontos]]*$V$3</f>
        <v>0.36355600845410624</v>
      </c>
      <c r="Z155" s="39">
        <f>MIP[[#This Row],[HH disponível]]-MIP[[#This Row],[HH AC TOT]]</f>
        <v>0.3249999999999999</v>
      </c>
      <c r="AA155" s="38">
        <f>MIP[[#This Row],[HH Produtivo
Total]]/MIP[[#This Row],[HH Trabalhado]]</f>
        <v>1.118633872166481</v>
      </c>
      <c r="AB155" s="38">
        <f>MIP[[#This Row],[HH Produtivo
Total]]/MIP[[#This Row],[HH disponível]]</f>
        <v>0.99151638669301678</v>
      </c>
      <c r="AC155" s="38">
        <f>MIP[[#This Row],[HH Trabalhado]]/MIP[[#This Row],[HH disponível]]</f>
        <v>0.88636363636363591</v>
      </c>
      <c r="AD155" s="37" t="str">
        <f>LEFT(MIP[[#This Row],[Equipe]], SEARCH("/",MIP[[#This Row],[Equipe]],1)-1)</f>
        <v xml:space="preserve">ANDERSON </v>
      </c>
      <c r="AE155" s="37" t="str">
        <f>RIGHT(MIP[[#This Row],[Equipe]], LEN(MIP[[#This Row],[Equipe]])-SEARCH("/",MIP[[#This Row],[Equipe]],1))</f>
        <v xml:space="preserve"> MARCO</v>
      </c>
      <c r="AF155" s="44">
        <f>COUNTIFS('[1]Tempo parado'!H:H,"&gt;="&amp;MIP[[#This Row],[S.B Sitrack]],'[1]Tempo parado'!I:I,"&lt;="&amp;MIP[[#This Row],[C.B Sitrack]],'[1]Tempo parado'!B:B,MIP[[#This Row],[Placa]])</f>
        <v>0</v>
      </c>
      <c r="AG155" s="36"/>
      <c r="AH155" s="35"/>
      <c r="AI155" s="34"/>
      <c r="AJ155" s="34"/>
      <c r="AK15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5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55" s="32">
        <f>SUMIFS('[1]Tempo parado'!J:J,'[1]Tempo parado'!H:H,"&gt;="&amp;MIP[[#This Row],[S.B Sitrack]],'[1]Tempo parado'!I:I,"&lt;="&amp;MIP[[#This Row],[C.B Sitrack]],'[1]Tempo parado'!B:B,MIP[[#This Row],[Placa]])</f>
        <v>0</v>
      </c>
      <c r="AN155" s="32" t="str">
        <f>IFERROR(MIP[[#This Row],[Tempo parado]]/(MIP[[#This Row],[C.B Sitrack]]-MIP[[#This Row],[S.B Sitrack]]),"")</f>
        <v/>
      </c>
      <c r="AO155" s="30"/>
      <c r="AP155" s="44">
        <f>IF(AND(MIP[Exc]=0,MIP[Previsto / Realizado]="Realizado"),MIP[Sem],0)</f>
        <v>0</v>
      </c>
      <c r="AQ155" s="29">
        <f>IF(AND(MIP[Exc]=0,MIP[Previsto / Realizado]="Realizado",ISBLANK(MIP[[#This Row],[S.B Sitrack]])=FALSE,ISBLANK(MIP[[#This Row],[C.B Sitrack]])=FALSE),MIP[Sem],0)</f>
        <v>0</v>
      </c>
    </row>
    <row r="156" spans="1:43" s="64" customFormat="1" x14ac:dyDescent="0.25">
      <c r="A156" s="11"/>
      <c r="B156" s="44">
        <f>WEEKNUM(MIP[[#This Row],[Data]])</f>
        <v>26</v>
      </c>
      <c r="C156" s="45">
        <v>42912</v>
      </c>
      <c r="D156" s="45"/>
      <c r="E156" s="35" t="s">
        <v>7</v>
      </c>
      <c r="F156" s="35" t="s">
        <v>2</v>
      </c>
      <c r="G156" s="35"/>
      <c r="H156" s="44">
        <v>2</v>
      </c>
      <c r="I156" s="44">
        <v>2</v>
      </c>
      <c r="J156" s="44">
        <v>1</v>
      </c>
      <c r="K156" s="44">
        <v>2</v>
      </c>
      <c r="L156" s="44">
        <v>0</v>
      </c>
      <c r="M156" s="43">
        <v>0.62430555555555556</v>
      </c>
      <c r="N156" s="43">
        <v>0.6645833333333333</v>
      </c>
      <c r="O156" s="43">
        <f>1+30/24/60</f>
        <v>1.0208333333333333</v>
      </c>
      <c r="P156" s="43">
        <f>1+48/24/60</f>
        <v>1.0333333333333334</v>
      </c>
      <c r="Q156" s="39"/>
      <c r="R156" s="42" t="s">
        <v>412</v>
      </c>
      <c r="S156" s="44">
        <f>MIP[[#This Row],[PT-1]]+MIP[[#This Row],[PT-2]]*2+MIP[[#This Row],[PT-3]]*3+MIP[[#This Row],[PT &gt; 3 Pontos]]</f>
        <v>10</v>
      </c>
      <c r="T15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5.2777777777777923E-2</v>
      </c>
      <c r="U156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5.2777777777777923E-2</v>
      </c>
      <c r="V156" s="41">
        <f>MIP[[#This Row],[Eficiência]]</f>
        <v>0.69788767316121203</v>
      </c>
      <c r="W15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56" s="39">
        <f>IF(MIP[[#This Row],[P.S]]-MIP[[#This Row],[P.E]]&lt;0,1+MIP[[#This Row],[P.S]]-MIP[[#This Row],[P.E]]-1/24,MIP[[#This Row],[P.S]]-MIP[[#This Row],[P.E]]-1/24)</f>
        <v>0.36736111111111119</v>
      </c>
      <c r="Y156" s="39">
        <f>MIP[[#This Row],[PT-1]]*$S$3+MIP[[#This Row],[PT-2]]*$T$3+MIP[[#This Row],[PT-3]]*$U$3+MIP[[#This Row],[PT &gt; 3 Pontos]]*$V$3</f>
        <v>0.21954383051529791</v>
      </c>
      <c r="Z156" s="39">
        <f>MIP[[#This Row],[HH disponível]]-MIP[[#This Row],[HH AC TOT]]</f>
        <v>0.31458333333333327</v>
      </c>
      <c r="AA156" s="38">
        <f>MIP[[#This Row],[HH Produtivo
Total]]/MIP[[#This Row],[HH Trabalhado]]</f>
        <v>0.69788767316121203</v>
      </c>
      <c r="AB156" s="38">
        <f>MIP[[#This Row],[HH Produtivo
Total]]/MIP[[#This Row],[HH disponível]]</f>
        <v>0.5976240376975972</v>
      </c>
      <c r="AC156" s="38">
        <f>MIP[[#This Row],[HH Trabalhado]]/MIP[[#This Row],[HH disponível]]</f>
        <v>0.85633270321361021</v>
      </c>
      <c r="AD156" s="37" t="str">
        <f>LEFT(MIP[[#This Row],[Equipe]], SEARCH("/",MIP[[#This Row],[Equipe]],1)-1)</f>
        <v xml:space="preserve">ANDERSON </v>
      </c>
      <c r="AE156" s="37" t="str">
        <f>RIGHT(MIP[[#This Row],[Equipe]], LEN(MIP[[#This Row],[Equipe]])-SEARCH("/",MIP[[#This Row],[Equipe]],1))</f>
        <v xml:space="preserve"> MARCO</v>
      </c>
      <c r="AF156" s="44">
        <f>COUNTIFS('[1]Tempo parado'!H:H,"&gt;="&amp;MIP[[#This Row],[S.B Sitrack]],'[1]Tempo parado'!I:I,"&lt;="&amp;MIP[[#This Row],[C.B Sitrack]],'[1]Tempo parado'!B:B,MIP[[#This Row],[Placa]])</f>
        <v>0</v>
      </c>
      <c r="AG156" s="36"/>
      <c r="AH156" s="35"/>
      <c r="AI156" s="34"/>
      <c r="AJ156" s="34"/>
      <c r="AK15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5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56" s="32">
        <f>SUMIFS('[1]Tempo parado'!J:J,'[1]Tempo parado'!H:H,"&gt;="&amp;MIP[[#This Row],[S.B Sitrack]],'[1]Tempo parado'!I:I,"&lt;="&amp;MIP[[#This Row],[C.B Sitrack]],'[1]Tempo parado'!B:B,MIP[[#This Row],[Placa]])</f>
        <v>0</v>
      </c>
      <c r="AN156" s="32" t="str">
        <f>IFERROR(MIP[[#This Row],[Tempo parado]]/(MIP[[#This Row],[C.B Sitrack]]-MIP[[#This Row],[S.B Sitrack]]),"")</f>
        <v/>
      </c>
      <c r="AO156" s="30"/>
      <c r="AP156" s="44">
        <f>IF(AND(MIP[Exc]=0,MIP[Previsto / Realizado]="Realizado"),MIP[Sem],0)</f>
        <v>26</v>
      </c>
      <c r="AQ156" s="29">
        <f>IF(AND(MIP[Exc]=0,MIP[Previsto / Realizado]="Realizado",ISBLANK(MIP[[#This Row],[S.B Sitrack]])=FALSE,ISBLANK(MIP[[#This Row],[C.B Sitrack]])=FALSE),MIP[Sem],0)</f>
        <v>0</v>
      </c>
    </row>
    <row r="157" spans="1:43" s="47" customFormat="1" x14ac:dyDescent="0.25">
      <c r="A157" s="11"/>
      <c r="B157" s="44">
        <f>WEEKNUM(MIP[[#This Row],[Data]])</f>
        <v>26</v>
      </c>
      <c r="C157" s="45">
        <v>42914</v>
      </c>
      <c r="D157" s="45"/>
      <c r="E157" s="35" t="s">
        <v>10</v>
      </c>
      <c r="F157" s="35" t="s">
        <v>5</v>
      </c>
      <c r="G157" s="35"/>
      <c r="H157" s="44">
        <v>2</v>
      </c>
      <c r="I157" s="44">
        <v>7</v>
      </c>
      <c r="J157" s="44">
        <v>3</v>
      </c>
      <c r="K157" s="44">
        <v>1</v>
      </c>
      <c r="L157" s="44">
        <v>0</v>
      </c>
      <c r="M157" s="43">
        <v>0.25</v>
      </c>
      <c r="N157" s="43">
        <v>0.27083333333333331</v>
      </c>
      <c r="O157" s="43">
        <v>0.63750000000000007</v>
      </c>
      <c r="P157" s="43">
        <v>0.65833333333333333</v>
      </c>
      <c r="Q157" s="39"/>
      <c r="R157" s="42"/>
      <c r="S157" s="44">
        <f>MIP[[#This Row],[PT-1]]+MIP[[#This Row],[PT-2]]*2+MIP[[#This Row],[PT-3]]*3+MIP[[#This Row],[PT &gt; 3 Pontos]]</f>
        <v>16</v>
      </c>
      <c r="T15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157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157" s="41">
        <f>MIP[[#This Row],[Eficiência]]</f>
        <v>1.1375352254428337</v>
      </c>
      <c r="W15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57" s="39">
        <f>IF(MIP[[#This Row],[P.S]]-MIP[[#This Row],[P.E]]&lt;0,1+MIP[[#This Row],[P.S]]-MIP[[#This Row],[P.E]]-1/24,MIP[[#This Row],[P.S]]-MIP[[#This Row],[P.E]]-1/24)</f>
        <v>0.36666666666666664</v>
      </c>
      <c r="Y157" s="39">
        <f>MIP[[#This Row],[PT-1]]*$S$3+MIP[[#This Row],[PT-2]]*$T$3+MIP[[#This Row],[PT-3]]*$U$3+MIP[[#This Row],[PT &gt; 3 Pontos]]*$V$3</f>
        <v>0.36969894826892102</v>
      </c>
      <c r="Z157" s="39">
        <f>MIP[[#This Row],[HH disponível]]-MIP[[#This Row],[HH AC TOT]]</f>
        <v>0.32500000000000007</v>
      </c>
      <c r="AA157" s="38">
        <f>MIP[[#This Row],[HH Produtivo
Total]]/MIP[[#This Row],[HH Trabalhado]]</f>
        <v>1.1375352254428337</v>
      </c>
      <c r="AB157" s="38">
        <f>MIP[[#This Row],[HH Produtivo
Total]]/MIP[[#This Row],[HH disponível]]</f>
        <v>1.0082698589152392</v>
      </c>
      <c r="AC157" s="38">
        <f>MIP[[#This Row],[HH Trabalhado]]/MIP[[#This Row],[HH disponível]]</f>
        <v>0.88636363636363658</v>
      </c>
      <c r="AD157" s="37" t="str">
        <f>LEFT(MIP[[#This Row],[Equipe]], SEARCH("/",MIP[[#This Row],[Equipe]],1)-1)</f>
        <v xml:space="preserve">JOILSON </v>
      </c>
      <c r="AE157" s="37" t="str">
        <f>RIGHT(MIP[[#This Row],[Equipe]], LEN(MIP[[#This Row],[Equipe]])-SEARCH("/",MIP[[#This Row],[Equipe]],1))</f>
        <v xml:space="preserve"> VALDEI</v>
      </c>
      <c r="AF157" s="44">
        <f>COUNTIFS('[1]Tempo parado'!H:H,"&gt;="&amp;MIP[[#This Row],[S.B Sitrack]],'[1]Tempo parado'!I:I,"&lt;="&amp;MIP[[#This Row],[C.B Sitrack]],'[1]Tempo parado'!B:B,MIP[[#This Row],[Placa]])</f>
        <v>0</v>
      </c>
      <c r="AG157" s="36"/>
      <c r="AH157" s="35"/>
      <c r="AI157" s="34"/>
      <c r="AJ157" s="34"/>
      <c r="AK15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5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57" s="32">
        <f>SUMIFS('[1]Tempo parado'!J:J,'[1]Tempo parado'!H:H,"&gt;="&amp;MIP[[#This Row],[S.B Sitrack]],'[1]Tempo parado'!I:I,"&lt;="&amp;MIP[[#This Row],[C.B Sitrack]],'[1]Tempo parado'!B:B,MIP[[#This Row],[Placa]])</f>
        <v>0</v>
      </c>
      <c r="AN157" s="32" t="str">
        <f>IFERROR(MIP[[#This Row],[Tempo parado]]/(MIP[[#This Row],[C.B Sitrack]]-MIP[[#This Row],[S.B Sitrack]]),"")</f>
        <v/>
      </c>
      <c r="AO157" s="30"/>
      <c r="AP157" s="44">
        <f>IF(AND(MIP[Exc]=0,MIP[Previsto / Realizado]="Realizado"),MIP[Sem],0)</f>
        <v>0</v>
      </c>
      <c r="AQ157" s="29">
        <f>IF(AND(MIP[Exc]=0,MIP[Previsto / Realizado]="Realizado",ISBLANK(MIP[[#This Row],[S.B Sitrack]])=FALSE,ISBLANK(MIP[[#This Row],[C.B Sitrack]])=FALSE),MIP[Sem],0)</f>
        <v>0</v>
      </c>
    </row>
    <row r="158" spans="1:43" s="64" customFormat="1" x14ac:dyDescent="0.25">
      <c r="A158" s="11"/>
      <c r="B158" s="44">
        <f>WEEKNUM(MIP[[#This Row],[Data]])</f>
        <v>26</v>
      </c>
      <c r="C158" s="45">
        <v>42914</v>
      </c>
      <c r="D158" s="45"/>
      <c r="E158" s="35" t="s">
        <v>10</v>
      </c>
      <c r="F158" s="35" t="s">
        <v>2</v>
      </c>
      <c r="G158" s="35"/>
      <c r="H158" s="44">
        <v>2</v>
      </c>
      <c r="I158" s="44">
        <v>4</v>
      </c>
      <c r="J158" s="44">
        <v>3</v>
      </c>
      <c r="K158" s="44">
        <v>0</v>
      </c>
      <c r="L158" s="44">
        <v>0</v>
      </c>
      <c r="M158" s="43">
        <v>0.25069444444444444</v>
      </c>
      <c r="N158" s="43">
        <v>0.30416666666666664</v>
      </c>
      <c r="O158" s="43">
        <v>0.61805555555555558</v>
      </c>
      <c r="P158" s="43">
        <v>0.65972222222222221</v>
      </c>
      <c r="Q158" s="39"/>
      <c r="R158" s="42"/>
      <c r="S158" s="44">
        <f>MIP[[#This Row],[PT-1]]+MIP[[#This Row],[PT-2]]*2+MIP[[#This Row],[PT-3]]*3+MIP[[#This Row],[PT &gt; 3 Pontos]]</f>
        <v>10</v>
      </c>
      <c r="T15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9.5138888888888828E-2</v>
      </c>
      <c r="U158" s="39">
        <f>IF(MIP[[#This Row],[P.S]]-MIP[[#This Row],[U.P]]&gt;=0,MIP[[#This Row],[P.S]]-MIP[[#This Row],[U.P]]+MIP[[#This Row],[S.B]]-MIP[[#This Row],[P.E]],1+MIP[[#This Row],[P.S]]-MIP[[#This Row],[U.P]]+MIP[[#This Row],[S.B]]-MIP[[#This Row],[P.E]])</f>
        <v>9.5138888888888828E-2</v>
      </c>
      <c r="V158" s="41">
        <f>MIP[[#This Row],[Eficiência]]</f>
        <v>0.85161934338952938</v>
      </c>
      <c r="W15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58" s="39">
        <f>IF(MIP[[#This Row],[P.S]]-MIP[[#This Row],[P.E]]&lt;0,1+MIP[[#This Row],[P.S]]-MIP[[#This Row],[P.E]]-1/24,MIP[[#This Row],[P.S]]-MIP[[#This Row],[P.E]]-1/24)</f>
        <v>0.36736111111111108</v>
      </c>
      <c r="Y158" s="39">
        <f>MIP[[#This Row],[PT-1]]*$S$3+MIP[[#This Row],[PT-2]]*$T$3+MIP[[#This Row],[PT-3]]*$U$3+MIP[[#This Row],[PT &gt; 3 Pontos]]*$V$3</f>
        <v>0.23182971014492748</v>
      </c>
      <c r="Z158" s="39">
        <f>MIP[[#This Row],[HH disponível]]-MIP[[#This Row],[HH AC TOT]]</f>
        <v>0.27222222222222225</v>
      </c>
      <c r="AA158" s="38">
        <f>MIP[[#This Row],[HH Produtivo
Total]]/MIP[[#This Row],[HH Trabalhado]]</f>
        <v>0.85161934338952938</v>
      </c>
      <c r="AB158" s="38">
        <f>MIP[[#This Row],[HH Produtivo
Total]]/MIP[[#This Row],[HH disponível]]</f>
        <v>0.63106764198241139</v>
      </c>
      <c r="AC158" s="38">
        <f>MIP[[#This Row],[HH Trabalhado]]/MIP[[#This Row],[HH disponível]]</f>
        <v>0.74102079395085085</v>
      </c>
      <c r="AD158" s="37" t="str">
        <f>LEFT(MIP[[#This Row],[Equipe]], SEARCH("/",MIP[[#This Row],[Equipe]],1)-1)</f>
        <v xml:space="preserve">JOILSON </v>
      </c>
      <c r="AE158" s="37" t="str">
        <f>RIGHT(MIP[[#This Row],[Equipe]], LEN(MIP[[#This Row],[Equipe]])-SEARCH("/",MIP[[#This Row],[Equipe]],1))</f>
        <v xml:space="preserve"> VALDEI</v>
      </c>
      <c r="AF158" s="44">
        <f>COUNTIFS('[1]Tempo parado'!H:H,"&gt;="&amp;MIP[[#This Row],[S.B Sitrack]],'[1]Tempo parado'!I:I,"&lt;="&amp;MIP[[#This Row],[C.B Sitrack]],'[1]Tempo parado'!B:B,MIP[[#This Row],[Placa]])</f>
        <v>0</v>
      </c>
      <c r="AG158" s="36"/>
      <c r="AH158" s="35"/>
      <c r="AI158" s="34"/>
      <c r="AJ158" s="34"/>
      <c r="AK15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5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58" s="32">
        <f>SUMIFS('[1]Tempo parado'!J:J,'[1]Tempo parado'!H:H,"&gt;="&amp;MIP[[#This Row],[S.B Sitrack]],'[1]Tempo parado'!I:I,"&lt;="&amp;MIP[[#This Row],[C.B Sitrack]],'[1]Tempo parado'!B:B,MIP[[#This Row],[Placa]])</f>
        <v>0</v>
      </c>
      <c r="AN158" s="32" t="str">
        <f>IFERROR(MIP[[#This Row],[Tempo parado]]/(MIP[[#This Row],[C.B Sitrack]]-MIP[[#This Row],[S.B Sitrack]]),"")</f>
        <v/>
      </c>
      <c r="AO158" s="30"/>
      <c r="AP158" s="44">
        <f>IF(AND(MIP[Exc]=0,MIP[Previsto / Realizado]="Realizado"),MIP[Sem],0)</f>
        <v>26</v>
      </c>
      <c r="AQ158" s="29">
        <f>IF(AND(MIP[Exc]=0,MIP[Previsto / Realizado]="Realizado",ISBLANK(MIP[[#This Row],[S.B Sitrack]])=FALSE,ISBLANK(MIP[[#This Row],[C.B Sitrack]])=FALSE),MIP[Sem],0)</f>
        <v>0</v>
      </c>
    </row>
    <row r="159" spans="1:43" s="47" customFormat="1" x14ac:dyDescent="0.25">
      <c r="A159" s="11"/>
      <c r="B159" s="44">
        <f>WEEKNUM(MIP[[#This Row],[Data]])</f>
        <v>26</v>
      </c>
      <c r="C159" s="45">
        <v>42914</v>
      </c>
      <c r="D159" s="45"/>
      <c r="E159" s="35" t="s">
        <v>83</v>
      </c>
      <c r="F159" s="35" t="s">
        <v>5</v>
      </c>
      <c r="G159" s="35"/>
      <c r="H159" s="44">
        <v>3</v>
      </c>
      <c r="I159" s="44">
        <v>6</v>
      </c>
      <c r="J159" s="44">
        <v>1</v>
      </c>
      <c r="K159" s="44">
        <v>1</v>
      </c>
      <c r="L159" s="44">
        <v>5</v>
      </c>
      <c r="M159" s="43">
        <v>0.625</v>
      </c>
      <c r="N159" s="43">
        <v>0.64583333333333337</v>
      </c>
      <c r="O159" s="43">
        <f>1+18/24/60</f>
        <v>1.0125</v>
      </c>
      <c r="P159" s="43">
        <f>1+48/24/60</f>
        <v>1.0333333333333334</v>
      </c>
      <c r="Q159" s="39"/>
      <c r="R159" s="42"/>
      <c r="S159" s="44">
        <f>MIP[[#This Row],[PT-1]]+MIP[[#This Row],[PT-2]]*2+MIP[[#This Row],[PT-3]]*3+MIP[[#This Row],[PT &gt; 3 Pontos]]</f>
        <v>16</v>
      </c>
      <c r="T15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159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159" s="41">
        <f>MIP[[#This Row],[Eficiência]]</f>
        <v>1.1018326692541671</v>
      </c>
      <c r="W15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59" s="39">
        <f>IF(MIP[[#This Row],[P.S]]-MIP[[#This Row],[P.E]]&lt;0,1+MIP[[#This Row],[P.S]]-MIP[[#This Row],[P.E]]-1/24,MIP[[#This Row],[P.S]]-MIP[[#This Row],[P.E]]-1/24)</f>
        <v>0.36666666666666675</v>
      </c>
      <c r="Y159" s="39">
        <f>MIP[[#This Row],[PT-1]]*$S$3+MIP[[#This Row],[PT-2]]*$T$3+MIP[[#This Row],[PT-3]]*$U$3+MIP[[#This Row],[PT &gt; 3 Pontos]]*$V$3</f>
        <v>0.35809561750760421</v>
      </c>
      <c r="Z159" s="39">
        <f>MIP[[#This Row],[HH disponível]]-MIP[[#This Row],[HH AC TOT]]</f>
        <v>0.3249999999999999</v>
      </c>
      <c r="AA159" s="38">
        <f>MIP[[#This Row],[HH Produtivo
Total]]/MIP[[#This Row],[HH Trabalhado]]</f>
        <v>1.1018326692541671</v>
      </c>
      <c r="AB159" s="38">
        <f>MIP[[#This Row],[HH Produtivo
Total]]/MIP[[#This Row],[HH disponível]]</f>
        <v>0.97662441138437495</v>
      </c>
      <c r="AC159" s="38">
        <f>MIP[[#This Row],[HH Trabalhado]]/MIP[[#This Row],[HH disponível]]</f>
        <v>0.88636363636363591</v>
      </c>
      <c r="AD159" s="37" t="str">
        <f>LEFT(MIP[[#This Row],[Equipe]], SEARCH("/",MIP[[#This Row],[Equipe]],1)-1)</f>
        <v xml:space="preserve">ADEMÁRIO </v>
      </c>
      <c r="AE159" s="37" t="str">
        <f>RIGHT(MIP[[#This Row],[Equipe]], LEN(MIP[[#This Row],[Equipe]])-SEARCH("/",MIP[[#This Row],[Equipe]],1))</f>
        <v xml:space="preserve"> GECIVALDO / RONALDO</v>
      </c>
      <c r="AF159" s="44">
        <f>COUNTIFS('[1]Tempo parado'!H:H,"&gt;="&amp;MIP[[#This Row],[S.B Sitrack]],'[1]Tempo parado'!I:I,"&lt;="&amp;MIP[[#This Row],[C.B Sitrack]],'[1]Tempo parado'!B:B,MIP[[#This Row],[Placa]])</f>
        <v>0</v>
      </c>
      <c r="AG159" s="36"/>
      <c r="AH159" s="35"/>
      <c r="AI159" s="34"/>
      <c r="AJ159" s="34"/>
      <c r="AK15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5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59" s="32">
        <f>SUMIFS('[1]Tempo parado'!J:J,'[1]Tempo parado'!H:H,"&gt;="&amp;MIP[[#This Row],[S.B Sitrack]],'[1]Tempo parado'!I:I,"&lt;="&amp;MIP[[#This Row],[C.B Sitrack]],'[1]Tempo parado'!B:B,MIP[[#This Row],[Placa]])</f>
        <v>0</v>
      </c>
      <c r="AN159" s="32" t="str">
        <f>IFERROR(MIP[[#This Row],[Tempo parado]]/(MIP[[#This Row],[C.B Sitrack]]-MIP[[#This Row],[S.B Sitrack]]),"")</f>
        <v/>
      </c>
      <c r="AO159" s="30"/>
      <c r="AP159" s="44">
        <f>IF(AND(MIP[Exc]=0,MIP[Previsto / Realizado]="Realizado"),MIP[Sem],0)</f>
        <v>0</v>
      </c>
      <c r="AQ159" s="29">
        <f>IF(AND(MIP[Exc]=0,MIP[Previsto / Realizado]="Realizado",ISBLANK(MIP[[#This Row],[S.B Sitrack]])=FALSE,ISBLANK(MIP[[#This Row],[C.B Sitrack]])=FALSE),MIP[Sem],0)</f>
        <v>0</v>
      </c>
    </row>
    <row r="160" spans="1:43" s="64" customFormat="1" x14ac:dyDescent="0.25">
      <c r="A160" s="11"/>
      <c r="B160" s="44">
        <f>WEEKNUM(MIP[[#This Row],[Data]])</f>
        <v>26</v>
      </c>
      <c r="C160" s="45">
        <v>42914</v>
      </c>
      <c r="D160" s="45"/>
      <c r="E160" s="35" t="s">
        <v>83</v>
      </c>
      <c r="F160" s="35" t="s">
        <v>2</v>
      </c>
      <c r="G160" s="35"/>
      <c r="H160" s="44">
        <v>3</v>
      </c>
      <c r="I160" s="44">
        <v>2</v>
      </c>
      <c r="J160" s="44">
        <v>1</v>
      </c>
      <c r="K160" s="44">
        <v>1</v>
      </c>
      <c r="L160" s="44">
        <v>5</v>
      </c>
      <c r="M160" s="43">
        <v>0.6479166666666667</v>
      </c>
      <c r="N160" s="43">
        <v>0.66666666666666663</v>
      </c>
      <c r="O160" s="43">
        <f>1+25/24/60</f>
        <v>1.0173611111111112</v>
      </c>
      <c r="P160" s="43">
        <f>1+49/24/60</f>
        <v>1.0340277777777778</v>
      </c>
      <c r="Q160" s="39"/>
      <c r="R160" s="42" t="s">
        <v>411</v>
      </c>
      <c r="S160" s="44">
        <f>MIP[[#This Row],[PT-1]]+MIP[[#This Row],[PT-2]]*2+MIP[[#This Row],[PT-3]]*3+MIP[[#This Row],[PT &gt; 3 Pontos]]</f>
        <v>12</v>
      </c>
      <c r="T16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3.5416666666666541E-2</v>
      </c>
      <c r="U160" s="39">
        <f>IF(MIP[[#This Row],[P.S]]-MIP[[#This Row],[U.P]]&gt;=0,MIP[[#This Row],[P.S]]-MIP[[#This Row],[U.P]]+MIP[[#This Row],[S.B]]-MIP[[#This Row],[P.E]],1+MIP[[#This Row],[P.S]]-MIP[[#This Row],[U.P]]+MIP[[#This Row],[S.B]]-MIP[[#This Row],[P.E]])</f>
        <v>3.5416666666666541E-2</v>
      </c>
      <c r="V160" s="41">
        <f>MIP[[#This Row],[Eficiência]]</f>
        <v>0.83485118239881295</v>
      </c>
      <c r="W16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60" s="39">
        <f>IF(MIP[[#This Row],[P.S]]-MIP[[#This Row],[P.E]]&lt;0,1+MIP[[#This Row],[P.S]]-MIP[[#This Row],[P.E]]-1/24,MIP[[#This Row],[P.S]]-MIP[[#This Row],[P.E]]-1/24)</f>
        <v>0.34444444444444439</v>
      </c>
      <c r="Y160" s="39">
        <f>MIP[[#This Row],[PT-1]]*$S$3+MIP[[#This Row],[PT-2]]*$T$3+MIP[[#This Row],[PT-3]]*$U$3+MIP[[#This Row],[PT &gt; 3 Pontos]]*$V$3</f>
        <v>0.25799220567185543</v>
      </c>
      <c r="Z160" s="39">
        <f>MIP[[#This Row],[HH disponível]]-MIP[[#This Row],[HH AC TOT]]</f>
        <v>0.30902777777777785</v>
      </c>
      <c r="AA160" s="38">
        <f>MIP[[#This Row],[HH Produtivo
Total]]/MIP[[#This Row],[HH Trabalhado]]</f>
        <v>0.83485118239881295</v>
      </c>
      <c r="AB160" s="38">
        <f>MIP[[#This Row],[HH Produtivo
Total]]/MIP[[#This Row],[HH disponível]]</f>
        <v>0.74900962936990301</v>
      </c>
      <c r="AC160" s="38">
        <f>MIP[[#This Row],[HH Trabalhado]]/MIP[[#This Row],[HH disponível]]</f>
        <v>0.89717741935483908</v>
      </c>
      <c r="AD160" s="37" t="str">
        <f>LEFT(MIP[[#This Row],[Equipe]], SEARCH("/",MIP[[#This Row],[Equipe]],1)-1)</f>
        <v xml:space="preserve">ADEMÁRIO </v>
      </c>
      <c r="AE160" s="37" t="str">
        <f>RIGHT(MIP[[#This Row],[Equipe]], LEN(MIP[[#This Row],[Equipe]])-SEARCH("/",MIP[[#This Row],[Equipe]],1))</f>
        <v xml:space="preserve"> GECIVALDO / RONALDO</v>
      </c>
      <c r="AF160" s="44">
        <f>COUNTIFS('[1]Tempo parado'!H:H,"&gt;="&amp;MIP[[#This Row],[S.B Sitrack]],'[1]Tempo parado'!I:I,"&lt;="&amp;MIP[[#This Row],[C.B Sitrack]],'[1]Tempo parado'!B:B,MIP[[#This Row],[Placa]])</f>
        <v>0</v>
      </c>
      <c r="AG160" s="36"/>
      <c r="AH160" s="35"/>
      <c r="AI160" s="34"/>
      <c r="AJ160" s="34"/>
      <c r="AK16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6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60" s="32">
        <f>SUMIFS('[1]Tempo parado'!J:J,'[1]Tempo parado'!H:H,"&gt;="&amp;MIP[[#This Row],[S.B Sitrack]],'[1]Tempo parado'!I:I,"&lt;="&amp;MIP[[#This Row],[C.B Sitrack]],'[1]Tempo parado'!B:B,MIP[[#This Row],[Placa]])</f>
        <v>0</v>
      </c>
      <c r="AN160" s="32" t="str">
        <f>IFERROR(MIP[[#This Row],[Tempo parado]]/(MIP[[#This Row],[C.B Sitrack]]-MIP[[#This Row],[S.B Sitrack]]),"")</f>
        <v/>
      </c>
      <c r="AO160" s="30"/>
      <c r="AP160" s="44">
        <f>IF(AND(MIP[Exc]=0,MIP[Previsto / Realizado]="Realizado"),MIP[Sem],0)</f>
        <v>26</v>
      </c>
      <c r="AQ160" s="29">
        <f>IF(AND(MIP[Exc]=0,MIP[Previsto / Realizado]="Realizado",ISBLANK(MIP[[#This Row],[S.B Sitrack]])=FALSE,ISBLANK(MIP[[#This Row],[C.B Sitrack]])=FALSE),MIP[Sem],0)</f>
        <v>0</v>
      </c>
    </row>
    <row r="161" spans="1:43" s="47" customFormat="1" x14ac:dyDescent="0.25">
      <c r="A161" s="11"/>
      <c r="B161" s="44">
        <f>WEEKNUM(MIP[[#This Row],[Data]])</f>
        <v>26</v>
      </c>
      <c r="C161" s="45">
        <v>42915</v>
      </c>
      <c r="D161" s="45"/>
      <c r="E161" s="35" t="s">
        <v>10</v>
      </c>
      <c r="F161" s="35" t="s">
        <v>5</v>
      </c>
      <c r="G161" s="35"/>
      <c r="H161" s="44">
        <v>2</v>
      </c>
      <c r="I161" s="44">
        <v>12</v>
      </c>
      <c r="J161" s="44">
        <v>1</v>
      </c>
      <c r="K161" s="44">
        <v>0</v>
      </c>
      <c r="L161" s="44">
        <v>0</v>
      </c>
      <c r="M161" s="43">
        <v>0.25</v>
      </c>
      <c r="N161" s="43">
        <v>0.27083333333333331</v>
      </c>
      <c r="O161" s="43">
        <v>0.63750000000000007</v>
      </c>
      <c r="P161" s="43">
        <v>0.65833333333333333</v>
      </c>
      <c r="Q161" s="39"/>
      <c r="R161" s="42" t="s">
        <v>410</v>
      </c>
      <c r="S161" s="44">
        <f>MIP[[#This Row],[PT-1]]+MIP[[#This Row],[PT-2]]*2+MIP[[#This Row],[PT-3]]*3+MIP[[#This Row],[PT &gt; 3 Pontos]]</f>
        <v>14</v>
      </c>
      <c r="T16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161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161" s="41">
        <f>MIP[[#This Row],[Eficiência]]</f>
        <v>1.0591353895701714</v>
      </c>
      <c r="W16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61" s="39">
        <f>IF(MIP[[#This Row],[P.S]]-MIP[[#This Row],[P.E]]&lt;0,1+MIP[[#This Row],[P.S]]-MIP[[#This Row],[P.E]]-1/24,MIP[[#This Row],[P.S]]-MIP[[#This Row],[P.E]]-1/24)</f>
        <v>0.36666666666666664</v>
      </c>
      <c r="Y161" s="39">
        <f>MIP[[#This Row],[PT-1]]*$S$3+MIP[[#This Row],[PT-2]]*$T$3+MIP[[#This Row],[PT-3]]*$U$3+MIP[[#This Row],[PT &gt; 3 Pontos]]*$V$3</f>
        <v>0.34421900161030577</v>
      </c>
      <c r="Z161" s="39">
        <f>MIP[[#This Row],[HH disponível]]-MIP[[#This Row],[HH AC TOT]]</f>
        <v>0.32500000000000007</v>
      </c>
      <c r="AA161" s="38">
        <f>MIP[[#This Row],[HH Produtivo
Total]]/MIP[[#This Row],[HH Trabalhado]]</f>
        <v>1.0591353895701714</v>
      </c>
      <c r="AB161" s="38">
        <f>MIP[[#This Row],[HH Produtivo
Total]]/MIP[[#This Row],[HH disponível]]</f>
        <v>0.93877909530083403</v>
      </c>
      <c r="AC161" s="38">
        <f>MIP[[#This Row],[HH Trabalhado]]/MIP[[#This Row],[HH disponível]]</f>
        <v>0.88636363636363658</v>
      </c>
      <c r="AD161" s="37" t="str">
        <f>LEFT(MIP[[#This Row],[Equipe]], SEARCH("/",MIP[[#This Row],[Equipe]],1)-1)</f>
        <v xml:space="preserve">JOILSON </v>
      </c>
      <c r="AE161" s="37" t="str">
        <f>RIGHT(MIP[[#This Row],[Equipe]], LEN(MIP[[#This Row],[Equipe]])-SEARCH("/",MIP[[#This Row],[Equipe]],1))</f>
        <v xml:space="preserve"> VALDEI</v>
      </c>
      <c r="AF161" s="44">
        <f>COUNTIFS('[1]Tempo parado'!H:H,"&gt;="&amp;MIP[[#This Row],[S.B Sitrack]],'[1]Tempo parado'!I:I,"&lt;="&amp;MIP[[#This Row],[C.B Sitrack]],'[1]Tempo parado'!B:B,MIP[[#This Row],[Placa]])</f>
        <v>0</v>
      </c>
      <c r="AG161" s="36"/>
      <c r="AH161" s="35"/>
      <c r="AI161" s="34"/>
      <c r="AJ161" s="34"/>
      <c r="AK16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6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61" s="32">
        <f>SUMIFS('[1]Tempo parado'!J:J,'[1]Tempo parado'!H:H,"&gt;="&amp;MIP[[#This Row],[S.B Sitrack]],'[1]Tempo parado'!I:I,"&lt;="&amp;MIP[[#This Row],[C.B Sitrack]],'[1]Tempo parado'!B:B,MIP[[#This Row],[Placa]])</f>
        <v>0</v>
      </c>
      <c r="AN161" s="32" t="str">
        <f>IFERROR(MIP[[#This Row],[Tempo parado]]/(MIP[[#This Row],[C.B Sitrack]]-MIP[[#This Row],[S.B Sitrack]]),"")</f>
        <v/>
      </c>
      <c r="AO161" s="30"/>
      <c r="AP161" s="44">
        <f>IF(AND(MIP[Exc]=0,MIP[Previsto / Realizado]="Realizado"),MIP[Sem],0)</f>
        <v>0</v>
      </c>
      <c r="AQ161" s="29">
        <f>IF(AND(MIP[Exc]=0,MIP[Previsto / Realizado]="Realizado",ISBLANK(MIP[[#This Row],[S.B Sitrack]])=FALSE,ISBLANK(MIP[[#This Row],[C.B Sitrack]])=FALSE),MIP[Sem],0)</f>
        <v>0</v>
      </c>
    </row>
    <row r="162" spans="1:43" s="64" customFormat="1" x14ac:dyDescent="0.25">
      <c r="A162" s="11"/>
      <c r="B162" s="44">
        <f>WEEKNUM(MIP[[#This Row],[Data]])</f>
        <v>26</v>
      </c>
      <c r="C162" s="45">
        <v>42915</v>
      </c>
      <c r="D162" s="45"/>
      <c r="E162" s="35" t="s">
        <v>10</v>
      </c>
      <c r="F162" s="35" t="s">
        <v>2</v>
      </c>
      <c r="G162" s="35"/>
      <c r="H162" s="44">
        <v>2</v>
      </c>
      <c r="I162" s="44">
        <v>7</v>
      </c>
      <c r="J162" s="44">
        <v>1</v>
      </c>
      <c r="K162" s="44">
        <v>0</v>
      </c>
      <c r="L162" s="44">
        <v>0</v>
      </c>
      <c r="M162" s="43">
        <v>0.24791666666666667</v>
      </c>
      <c r="N162" s="43">
        <v>0.3034722222222222</v>
      </c>
      <c r="O162" s="43">
        <v>0.625</v>
      </c>
      <c r="P162" s="43">
        <v>0.65833333333333333</v>
      </c>
      <c r="Q162" s="39"/>
      <c r="R162" s="42" t="s">
        <v>409</v>
      </c>
      <c r="S162" s="44">
        <f>MIP[[#This Row],[PT-1]]+MIP[[#This Row],[PT-2]]*2+MIP[[#This Row],[PT-3]]*3+MIP[[#This Row],[PT &gt; 3 Pontos]]</f>
        <v>9</v>
      </c>
      <c r="T16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8.8888888888888851E-2</v>
      </c>
      <c r="U162" s="39">
        <f>IF(MIP[[#This Row],[P.S]]-MIP[[#This Row],[U.P]]&gt;=0,MIP[[#This Row],[P.S]]-MIP[[#This Row],[U.P]]+MIP[[#This Row],[S.B]]-MIP[[#This Row],[P.E]],1+MIP[[#This Row],[P.S]]-MIP[[#This Row],[U.P]]+MIP[[#This Row],[S.B]]-MIP[[#This Row],[P.E]])</f>
        <v>8.8888888888888851E-2</v>
      </c>
      <c r="V162" s="41">
        <f>MIP[[#This Row],[Eficiência]]</f>
        <v>0.78285166504836867</v>
      </c>
      <c r="W16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62" s="39">
        <f>IF(MIP[[#This Row],[P.S]]-MIP[[#This Row],[P.E]]&lt;0,1+MIP[[#This Row],[P.S]]-MIP[[#This Row],[P.E]]-1/24,MIP[[#This Row],[P.S]]-MIP[[#This Row],[P.E]]-1/24)</f>
        <v>0.36874999999999997</v>
      </c>
      <c r="Y162" s="39">
        <f>MIP[[#This Row],[PT-1]]*$S$3+MIP[[#This Row],[PT-2]]*$T$3+MIP[[#This Row],[PT-3]]*$U$3+MIP[[#This Row],[PT &gt; 3 Pontos]]*$V$3</f>
        <v>0.21908973681561986</v>
      </c>
      <c r="Z162" s="39">
        <f>MIP[[#This Row],[HH disponível]]-MIP[[#This Row],[HH AC TOT]]</f>
        <v>0.27986111111111112</v>
      </c>
      <c r="AA162" s="38">
        <f>MIP[[#This Row],[HH Produtivo
Total]]/MIP[[#This Row],[HH Trabalhado]]</f>
        <v>0.78285166504836867</v>
      </c>
      <c r="AB162" s="38">
        <f>MIP[[#This Row],[HH Produtivo
Total]]/MIP[[#This Row],[HH disponível]]</f>
        <v>0.59414165916100303</v>
      </c>
      <c r="AC162" s="38">
        <f>MIP[[#This Row],[HH Trabalhado]]/MIP[[#This Row],[HH disponível]]</f>
        <v>0.75894538606403017</v>
      </c>
      <c r="AD162" s="37" t="str">
        <f>LEFT(MIP[[#This Row],[Equipe]], SEARCH("/",MIP[[#This Row],[Equipe]],1)-1)</f>
        <v xml:space="preserve">JOILSON </v>
      </c>
      <c r="AE162" s="37" t="str">
        <f>RIGHT(MIP[[#This Row],[Equipe]], LEN(MIP[[#This Row],[Equipe]])-SEARCH("/",MIP[[#This Row],[Equipe]],1))</f>
        <v xml:space="preserve"> VALDEI</v>
      </c>
      <c r="AF162" s="44">
        <f>COUNTIFS('[1]Tempo parado'!H:H,"&gt;="&amp;MIP[[#This Row],[S.B Sitrack]],'[1]Tempo parado'!I:I,"&lt;="&amp;MIP[[#This Row],[C.B Sitrack]],'[1]Tempo parado'!B:B,MIP[[#This Row],[Placa]])</f>
        <v>0</v>
      </c>
      <c r="AG162" s="36"/>
      <c r="AH162" s="35"/>
      <c r="AI162" s="34"/>
      <c r="AJ162" s="34"/>
      <c r="AK16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6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62" s="32">
        <f>SUMIFS('[1]Tempo parado'!J:J,'[1]Tempo parado'!H:H,"&gt;="&amp;MIP[[#This Row],[S.B Sitrack]],'[1]Tempo parado'!I:I,"&lt;="&amp;MIP[[#This Row],[C.B Sitrack]],'[1]Tempo parado'!B:B,MIP[[#This Row],[Placa]])</f>
        <v>0</v>
      </c>
      <c r="AN162" s="32" t="str">
        <f>IFERROR(MIP[[#This Row],[Tempo parado]]/(MIP[[#This Row],[C.B Sitrack]]-MIP[[#This Row],[S.B Sitrack]]),"")</f>
        <v/>
      </c>
      <c r="AO162" s="30"/>
      <c r="AP162" s="44">
        <f>IF(AND(MIP[Exc]=0,MIP[Previsto / Realizado]="Realizado"),MIP[Sem],0)</f>
        <v>26</v>
      </c>
      <c r="AQ162" s="29">
        <f>IF(AND(MIP[Exc]=0,MIP[Previsto / Realizado]="Realizado",ISBLANK(MIP[[#This Row],[S.B Sitrack]])=FALSE,ISBLANK(MIP[[#This Row],[C.B Sitrack]])=FALSE),MIP[Sem],0)</f>
        <v>0</v>
      </c>
    </row>
    <row r="163" spans="1:43" s="47" customFormat="1" x14ac:dyDescent="0.25">
      <c r="A163" s="11"/>
      <c r="B163" s="44">
        <f>WEEKNUM(MIP[[#This Row],[Data]])</f>
        <v>26</v>
      </c>
      <c r="C163" s="45">
        <v>42915</v>
      </c>
      <c r="D163" s="45"/>
      <c r="E163" s="35" t="s">
        <v>19</v>
      </c>
      <c r="F163" s="35" t="s">
        <v>5</v>
      </c>
      <c r="G163" s="35"/>
      <c r="H163" s="44">
        <v>2</v>
      </c>
      <c r="I163" s="44">
        <v>8</v>
      </c>
      <c r="J163" s="44">
        <v>0</v>
      </c>
      <c r="K163" s="44">
        <v>1</v>
      </c>
      <c r="L163" s="44">
        <v>5</v>
      </c>
      <c r="M163" s="43">
        <v>0.625</v>
      </c>
      <c r="N163" s="43">
        <v>0.64583333333333337</v>
      </c>
      <c r="O163" s="43">
        <f>1+18/24/60</f>
        <v>1.0125</v>
      </c>
      <c r="P163" s="43">
        <f>1+48/24/60</f>
        <v>1.0333333333333334</v>
      </c>
      <c r="Q163" s="39"/>
      <c r="R163" s="42"/>
      <c r="S163" s="44">
        <f>MIP[[#This Row],[PT-1]]+MIP[[#This Row],[PT-2]]*2+MIP[[#This Row],[PT-3]]*3+MIP[[#This Row],[PT &gt; 3 Pontos]]</f>
        <v>16</v>
      </c>
      <c r="T16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163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163" s="41">
        <f>MIP[[#This Row],[Eficiência]]</f>
        <v>1.1207340225305202</v>
      </c>
      <c r="W16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63" s="39">
        <f>IF(MIP[[#This Row],[P.S]]-MIP[[#This Row],[P.E]]&lt;0,1+MIP[[#This Row],[P.S]]-MIP[[#This Row],[P.E]]-1/24,MIP[[#This Row],[P.S]]-MIP[[#This Row],[P.E]]-1/24)</f>
        <v>0.36666666666666675</v>
      </c>
      <c r="Y163" s="39">
        <f>MIP[[#This Row],[PT-1]]*$S$3+MIP[[#This Row],[PT-2]]*$T$3+MIP[[#This Row],[PT-3]]*$U$3+MIP[[#This Row],[PT &gt; 3 Pontos]]*$V$3</f>
        <v>0.36423855732241894</v>
      </c>
      <c r="Z163" s="39">
        <f>MIP[[#This Row],[HH disponível]]-MIP[[#This Row],[HH AC TOT]]</f>
        <v>0.3249999999999999</v>
      </c>
      <c r="AA163" s="38">
        <f>MIP[[#This Row],[HH Produtivo
Total]]/MIP[[#This Row],[HH Trabalhado]]</f>
        <v>1.1207340225305202</v>
      </c>
      <c r="AB163" s="38">
        <f>MIP[[#This Row],[HH Produtivo
Total]]/MIP[[#This Row],[HH disponível]]</f>
        <v>0.99337788360659685</v>
      </c>
      <c r="AC163" s="38">
        <f>MIP[[#This Row],[HH Trabalhado]]/MIP[[#This Row],[HH disponível]]</f>
        <v>0.88636363636363591</v>
      </c>
      <c r="AD163" s="37" t="str">
        <f>LEFT(MIP[[#This Row],[Equipe]], SEARCH("/",MIP[[#This Row],[Equipe]],1)-1)</f>
        <v xml:space="preserve">ADEMÁRIO </v>
      </c>
      <c r="AE163" s="37" t="str">
        <f>RIGHT(MIP[[#This Row],[Equipe]], LEN(MIP[[#This Row],[Equipe]])-SEARCH("/",MIP[[#This Row],[Equipe]],1))</f>
        <v xml:space="preserve"> RONALDO</v>
      </c>
      <c r="AF163" s="44">
        <f>COUNTIFS('[1]Tempo parado'!H:H,"&gt;="&amp;MIP[[#This Row],[S.B Sitrack]],'[1]Tempo parado'!I:I,"&lt;="&amp;MIP[[#This Row],[C.B Sitrack]],'[1]Tempo parado'!B:B,MIP[[#This Row],[Placa]])</f>
        <v>0</v>
      </c>
      <c r="AG163" s="36"/>
      <c r="AH163" s="35"/>
      <c r="AI163" s="34"/>
      <c r="AJ163" s="34"/>
      <c r="AK16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6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63" s="32">
        <f>SUMIFS('[1]Tempo parado'!J:J,'[1]Tempo parado'!H:H,"&gt;="&amp;MIP[[#This Row],[S.B Sitrack]],'[1]Tempo parado'!I:I,"&lt;="&amp;MIP[[#This Row],[C.B Sitrack]],'[1]Tempo parado'!B:B,MIP[[#This Row],[Placa]])</f>
        <v>0</v>
      </c>
      <c r="AN163" s="32" t="str">
        <f>IFERROR(MIP[[#This Row],[Tempo parado]]/(MIP[[#This Row],[C.B Sitrack]]-MIP[[#This Row],[S.B Sitrack]]),"")</f>
        <v/>
      </c>
      <c r="AO163" s="30"/>
      <c r="AP163" s="44">
        <f>IF(AND(MIP[Exc]=0,MIP[Previsto / Realizado]="Realizado"),MIP[Sem],0)</f>
        <v>0</v>
      </c>
      <c r="AQ163" s="29">
        <f>IF(AND(MIP[Exc]=0,MIP[Previsto / Realizado]="Realizado",ISBLANK(MIP[[#This Row],[S.B Sitrack]])=FALSE,ISBLANK(MIP[[#This Row],[C.B Sitrack]])=FALSE),MIP[Sem],0)</f>
        <v>0</v>
      </c>
    </row>
    <row r="164" spans="1:43" s="64" customFormat="1" x14ac:dyDescent="0.25">
      <c r="A164" s="11"/>
      <c r="B164" s="44">
        <f>WEEKNUM(MIP[[#This Row],[Data]])</f>
        <v>26</v>
      </c>
      <c r="C164" s="45">
        <v>42915</v>
      </c>
      <c r="D164" s="45"/>
      <c r="E164" s="35" t="s">
        <v>19</v>
      </c>
      <c r="F164" s="35" t="s">
        <v>2</v>
      </c>
      <c r="G164" s="35"/>
      <c r="H164" s="44">
        <v>2</v>
      </c>
      <c r="I164" s="44">
        <v>7</v>
      </c>
      <c r="J164" s="44">
        <v>0</v>
      </c>
      <c r="K164" s="44">
        <v>1</v>
      </c>
      <c r="L164" s="44">
        <v>0</v>
      </c>
      <c r="M164" s="43">
        <v>0.63888888888888895</v>
      </c>
      <c r="N164" s="43">
        <v>0.68333333333333324</v>
      </c>
      <c r="O164" s="43">
        <f>1+35/24/60</f>
        <v>1.0243055555555556</v>
      </c>
      <c r="P164" s="43">
        <f>1+53/24/60</f>
        <v>1.0368055555555555</v>
      </c>
      <c r="Q164" s="39"/>
      <c r="R164" s="42" t="s">
        <v>408</v>
      </c>
      <c r="S164" s="44">
        <f>MIP[[#This Row],[PT-1]]+MIP[[#This Row],[PT-2]]*2+MIP[[#This Row],[PT-3]]*3+MIP[[#This Row],[PT &gt; 3 Pontos]]</f>
        <v>10</v>
      </c>
      <c r="T16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5.6944444444444242E-2</v>
      </c>
      <c r="U164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5.6944444444444242E-2</v>
      </c>
      <c r="V164" s="41">
        <f>MIP[[#This Row],[Eficiência]]</f>
        <v>0.79508263559635439</v>
      </c>
      <c r="W16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64" s="39">
        <f>IF(MIP[[#This Row],[P.S]]-MIP[[#This Row],[P.E]]&lt;0,1+MIP[[#This Row],[P.S]]-MIP[[#This Row],[P.E]]-1/24,MIP[[#This Row],[P.S]]-MIP[[#This Row],[P.E]]-1/24)</f>
        <v>0.3562499999999999</v>
      </c>
      <c r="Y164" s="39">
        <f>MIP[[#This Row],[PT-1]]*$S$3+MIP[[#This Row],[PT-2]]*$T$3+MIP[[#This Row],[PT-3]]*$U$3+MIP[[#This Row],[PT &gt; 3 Pontos]]*$V$3</f>
        <v>0.23797264995974227</v>
      </c>
      <c r="Z164" s="39">
        <f>MIP[[#This Row],[HH disponível]]-MIP[[#This Row],[HH AC TOT]]</f>
        <v>0.29930555555555566</v>
      </c>
      <c r="AA164" s="38">
        <f>MIP[[#This Row],[HH Produtivo
Total]]/MIP[[#This Row],[HH Trabalhado]]</f>
        <v>0.79508263559635439</v>
      </c>
      <c r="AB164" s="38">
        <f>MIP[[#This Row],[HH Produtivo
Total]]/MIP[[#This Row],[HH disponível]]</f>
        <v>0.66799340339576796</v>
      </c>
      <c r="AC164" s="38">
        <f>MIP[[#This Row],[HH Trabalhado]]/MIP[[#This Row],[HH disponível]]</f>
        <v>0.84015594541910388</v>
      </c>
      <c r="AD164" s="37" t="str">
        <f>LEFT(MIP[[#This Row],[Equipe]], SEARCH("/",MIP[[#This Row],[Equipe]],1)-1)</f>
        <v xml:space="preserve">ADEMÁRIO </v>
      </c>
      <c r="AE164" s="37" t="str">
        <f>RIGHT(MIP[[#This Row],[Equipe]], LEN(MIP[[#This Row],[Equipe]])-SEARCH("/",MIP[[#This Row],[Equipe]],1))</f>
        <v xml:space="preserve"> RONALDO</v>
      </c>
      <c r="AF164" s="44">
        <f>COUNTIFS('[1]Tempo parado'!H:H,"&gt;="&amp;MIP[[#This Row],[S.B Sitrack]],'[1]Tempo parado'!I:I,"&lt;="&amp;MIP[[#This Row],[C.B Sitrack]],'[1]Tempo parado'!B:B,MIP[[#This Row],[Placa]])</f>
        <v>0</v>
      </c>
      <c r="AG164" s="36"/>
      <c r="AH164" s="35"/>
      <c r="AI164" s="34"/>
      <c r="AJ164" s="34"/>
      <c r="AK16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6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64" s="32">
        <f>SUMIFS('[1]Tempo parado'!J:J,'[1]Tempo parado'!H:H,"&gt;="&amp;MIP[[#This Row],[S.B Sitrack]],'[1]Tempo parado'!I:I,"&lt;="&amp;MIP[[#This Row],[C.B Sitrack]],'[1]Tempo parado'!B:B,MIP[[#This Row],[Placa]])</f>
        <v>0</v>
      </c>
      <c r="AN164" s="32" t="str">
        <f>IFERROR(MIP[[#This Row],[Tempo parado]]/(MIP[[#This Row],[C.B Sitrack]]-MIP[[#This Row],[S.B Sitrack]]),"")</f>
        <v/>
      </c>
      <c r="AO164" s="30"/>
      <c r="AP164" s="44">
        <f>IF(AND(MIP[Exc]=0,MIP[Previsto / Realizado]="Realizado"),MIP[Sem],0)</f>
        <v>26</v>
      </c>
      <c r="AQ164" s="29">
        <f>IF(AND(MIP[Exc]=0,MIP[Previsto / Realizado]="Realizado",ISBLANK(MIP[[#This Row],[S.B Sitrack]])=FALSE,ISBLANK(MIP[[#This Row],[C.B Sitrack]])=FALSE),MIP[Sem],0)</f>
        <v>0</v>
      </c>
    </row>
    <row r="165" spans="1:43" s="47" customFormat="1" x14ac:dyDescent="0.25">
      <c r="A165" s="11"/>
      <c r="B165" s="44">
        <f>WEEKNUM(MIP[[#This Row],[Data]])</f>
        <v>26</v>
      </c>
      <c r="C165" s="45">
        <v>42915</v>
      </c>
      <c r="D165" s="45"/>
      <c r="E165" s="35" t="s">
        <v>7</v>
      </c>
      <c r="F165" s="35" t="s">
        <v>5</v>
      </c>
      <c r="G165" s="35"/>
      <c r="H165" s="44">
        <v>2</v>
      </c>
      <c r="I165" s="44">
        <v>12</v>
      </c>
      <c r="J165" s="44">
        <v>2</v>
      </c>
      <c r="K165" s="44">
        <v>0</v>
      </c>
      <c r="L165" s="44">
        <v>0</v>
      </c>
      <c r="M165" s="43">
        <v>0.625</v>
      </c>
      <c r="N165" s="43">
        <v>0.64583333333333337</v>
      </c>
      <c r="O165" s="43">
        <f>1+18/24/60</f>
        <v>1.0125</v>
      </c>
      <c r="P165" s="43">
        <f>1+48/24/60</f>
        <v>1.0333333333333334</v>
      </c>
      <c r="Q165" s="39"/>
      <c r="R165" s="42"/>
      <c r="S165" s="44">
        <f>MIP[[#This Row],[PT-1]]+MIP[[#This Row],[PT-2]]*2+MIP[[#This Row],[PT-3]]*3+MIP[[#This Row],[PT &gt; 3 Pontos]]</f>
        <v>16</v>
      </c>
      <c r="T16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165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165" s="41">
        <f>MIP[[#This Row],[Eficiência]]</f>
        <v>1.1942392852718937</v>
      </c>
      <c r="W16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65" s="39">
        <f>IF(MIP[[#This Row],[P.S]]-MIP[[#This Row],[P.E]]&lt;0,1+MIP[[#This Row],[P.S]]-MIP[[#This Row],[P.E]]-1/24,MIP[[#This Row],[P.S]]-MIP[[#This Row],[P.E]]-1/24)</f>
        <v>0.36666666666666675</v>
      </c>
      <c r="Y165" s="39">
        <f>MIP[[#This Row],[PT-1]]*$S$3+MIP[[#This Row],[PT-2]]*$T$3+MIP[[#This Row],[PT-3]]*$U$3+MIP[[#This Row],[PT &gt; 3 Pontos]]*$V$3</f>
        <v>0.38812776771336532</v>
      </c>
      <c r="Z165" s="39">
        <f>MIP[[#This Row],[HH disponível]]-MIP[[#This Row],[HH AC TOT]]</f>
        <v>0.3249999999999999</v>
      </c>
      <c r="AA165" s="38">
        <f>MIP[[#This Row],[HH Produtivo
Total]]/MIP[[#This Row],[HH Trabalhado]]</f>
        <v>1.1942392852718937</v>
      </c>
      <c r="AB165" s="38">
        <f>MIP[[#This Row],[HH Produtivo
Total]]/MIP[[#This Row],[HH disponível]]</f>
        <v>1.0585302755819053</v>
      </c>
      <c r="AC165" s="38">
        <f>MIP[[#This Row],[HH Trabalhado]]/MIP[[#This Row],[HH disponível]]</f>
        <v>0.88636363636363591</v>
      </c>
      <c r="AD165" s="37" t="str">
        <f>LEFT(MIP[[#This Row],[Equipe]], SEARCH("/",MIP[[#This Row],[Equipe]],1)-1)</f>
        <v xml:space="preserve">ANDERSON </v>
      </c>
      <c r="AE165" s="37" t="str">
        <f>RIGHT(MIP[[#This Row],[Equipe]], LEN(MIP[[#This Row],[Equipe]])-SEARCH("/",MIP[[#This Row],[Equipe]],1))</f>
        <v xml:space="preserve"> MARCO</v>
      </c>
      <c r="AF165" s="44">
        <f>COUNTIFS('[1]Tempo parado'!H:H,"&gt;="&amp;MIP[[#This Row],[S.B Sitrack]],'[1]Tempo parado'!I:I,"&lt;="&amp;MIP[[#This Row],[C.B Sitrack]],'[1]Tempo parado'!B:B,MIP[[#This Row],[Placa]])</f>
        <v>0</v>
      </c>
      <c r="AG165" s="36"/>
      <c r="AH165" s="35"/>
      <c r="AI165" s="34"/>
      <c r="AJ165" s="34"/>
      <c r="AK16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6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65" s="32">
        <f>SUMIFS('[1]Tempo parado'!J:J,'[1]Tempo parado'!H:H,"&gt;="&amp;MIP[[#This Row],[S.B Sitrack]],'[1]Tempo parado'!I:I,"&lt;="&amp;MIP[[#This Row],[C.B Sitrack]],'[1]Tempo parado'!B:B,MIP[[#This Row],[Placa]])</f>
        <v>0</v>
      </c>
      <c r="AN165" s="32" t="str">
        <f>IFERROR(MIP[[#This Row],[Tempo parado]]/(MIP[[#This Row],[C.B Sitrack]]-MIP[[#This Row],[S.B Sitrack]]),"")</f>
        <v/>
      </c>
      <c r="AO165" s="30"/>
      <c r="AP165" s="44">
        <f>IF(AND(MIP[Exc]=0,MIP[Previsto / Realizado]="Realizado"),MIP[Sem],0)</f>
        <v>0</v>
      </c>
      <c r="AQ165" s="29">
        <f>IF(AND(MIP[Exc]=0,MIP[Previsto / Realizado]="Realizado",ISBLANK(MIP[[#This Row],[S.B Sitrack]])=FALSE,ISBLANK(MIP[[#This Row],[C.B Sitrack]])=FALSE),MIP[Sem],0)</f>
        <v>0</v>
      </c>
    </row>
    <row r="166" spans="1:43" s="64" customFormat="1" x14ac:dyDescent="0.25">
      <c r="A166" s="11"/>
      <c r="B166" s="44">
        <f>WEEKNUM(MIP[[#This Row],[Data]])</f>
        <v>26</v>
      </c>
      <c r="C166" s="45">
        <v>42915</v>
      </c>
      <c r="D166" s="45"/>
      <c r="E166" s="35" t="s">
        <v>7</v>
      </c>
      <c r="F166" s="35" t="s">
        <v>2</v>
      </c>
      <c r="G166" s="35"/>
      <c r="H166" s="44">
        <v>2</v>
      </c>
      <c r="I166" s="44">
        <v>10</v>
      </c>
      <c r="J166" s="44">
        <v>1</v>
      </c>
      <c r="K166" s="44">
        <v>0</v>
      </c>
      <c r="L166" s="44">
        <v>0</v>
      </c>
      <c r="M166" s="43">
        <v>0.62222222222222223</v>
      </c>
      <c r="N166" s="43">
        <v>0.67986111111111114</v>
      </c>
      <c r="O166" s="43">
        <f>1+10/24/60</f>
        <v>1.0069444444444444</v>
      </c>
      <c r="P166" s="43">
        <f>1+48/24/60</f>
        <v>1.0333333333333334</v>
      </c>
      <c r="Q166" s="39"/>
      <c r="R166" s="42"/>
      <c r="S166" s="44">
        <f>MIP[[#This Row],[PT-1]]+MIP[[#This Row],[PT-2]]*2+MIP[[#This Row],[PT-3]]*3+MIP[[#This Row],[PT &gt; 3 Pontos]]</f>
        <v>12</v>
      </c>
      <c r="T16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8.4027777777777923E-2</v>
      </c>
      <c r="U166" s="39">
        <f>IF(MIP[[#This Row],[P.S]]-MIP[[#This Row],[U.P]]&gt;=0,MIP[[#This Row],[P.S]]-MIP[[#This Row],[U.P]]+MIP[[#This Row],[S.B]]-MIP[[#This Row],[P.E]],1+MIP[[#This Row],[P.S]]-MIP[[#This Row],[U.P]]+MIP[[#This Row],[S.B]]-MIP[[#This Row],[P.E]])</f>
        <v>8.4027777777777923E-2</v>
      </c>
      <c r="V166" s="41">
        <f>MIP[[#This Row],[Eficiência]]</f>
        <v>1.0306591381924606</v>
      </c>
      <c r="W16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66" s="39">
        <f>IF(MIP[[#This Row],[P.S]]-MIP[[#This Row],[P.E]]&lt;0,1+MIP[[#This Row],[P.S]]-MIP[[#This Row],[P.E]]-1/24,MIP[[#This Row],[P.S]]-MIP[[#This Row],[P.E]]-1/24)</f>
        <v>0.36944444444444452</v>
      </c>
      <c r="Y166" s="39">
        <f>MIP[[#This Row],[PT-1]]*$S$3+MIP[[#This Row],[PT-2]]*$T$3+MIP[[#This Row],[PT-3]]*$U$3+MIP[[#This Row],[PT &gt; 3 Pontos]]*$V$3</f>
        <v>0.29416729569243139</v>
      </c>
      <c r="Z166" s="39">
        <f>MIP[[#This Row],[HH disponível]]-MIP[[#This Row],[HH AC TOT]]</f>
        <v>0.2854166666666666</v>
      </c>
      <c r="AA166" s="38">
        <f>MIP[[#This Row],[HH Produtivo
Total]]/MIP[[#This Row],[HH Trabalhado]]</f>
        <v>1.0306591381924606</v>
      </c>
      <c r="AB166" s="38">
        <f>MIP[[#This Row],[HH Produtivo
Total]]/MIP[[#This Row],[HH disponível]]</f>
        <v>0.79624230412988928</v>
      </c>
      <c r="AC166" s="38">
        <f>MIP[[#This Row],[HH Trabalhado]]/MIP[[#This Row],[HH disponível]]</f>
        <v>0.77255639097744322</v>
      </c>
      <c r="AD166" s="37" t="str">
        <f>LEFT(MIP[[#This Row],[Equipe]], SEARCH("/",MIP[[#This Row],[Equipe]],1)-1)</f>
        <v xml:space="preserve">ANDERSON </v>
      </c>
      <c r="AE166" s="37" t="str">
        <f>RIGHT(MIP[[#This Row],[Equipe]], LEN(MIP[[#This Row],[Equipe]])-SEARCH("/",MIP[[#This Row],[Equipe]],1))</f>
        <v xml:space="preserve"> MARCO</v>
      </c>
      <c r="AF166" s="44">
        <f>COUNTIFS('[1]Tempo parado'!H:H,"&gt;="&amp;MIP[[#This Row],[S.B Sitrack]],'[1]Tempo parado'!I:I,"&lt;="&amp;MIP[[#This Row],[C.B Sitrack]],'[1]Tempo parado'!B:B,MIP[[#This Row],[Placa]])</f>
        <v>0</v>
      </c>
      <c r="AG166" s="36"/>
      <c r="AH166" s="35"/>
      <c r="AI166" s="34"/>
      <c r="AJ166" s="34"/>
      <c r="AK16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6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66" s="32">
        <f>SUMIFS('[1]Tempo parado'!J:J,'[1]Tempo parado'!H:H,"&gt;="&amp;MIP[[#This Row],[S.B Sitrack]],'[1]Tempo parado'!I:I,"&lt;="&amp;MIP[[#This Row],[C.B Sitrack]],'[1]Tempo parado'!B:B,MIP[[#This Row],[Placa]])</f>
        <v>0</v>
      </c>
      <c r="AN166" s="32" t="str">
        <f>IFERROR(MIP[[#This Row],[Tempo parado]]/(MIP[[#This Row],[C.B Sitrack]]-MIP[[#This Row],[S.B Sitrack]]),"")</f>
        <v/>
      </c>
      <c r="AO166" s="30"/>
      <c r="AP166" s="44">
        <f>IF(AND(MIP[Exc]=0,MIP[Previsto / Realizado]="Realizado"),MIP[Sem],0)</f>
        <v>26</v>
      </c>
      <c r="AQ166" s="29">
        <f>IF(AND(MIP[Exc]=0,MIP[Previsto / Realizado]="Realizado",ISBLANK(MIP[[#This Row],[S.B Sitrack]])=FALSE,ISBLANK(MIP[[#This Row],[C.B Sitrack]])=FALSE),MIP[Sem],0)</f>
        <v>0</v>
      </c>
    </row>
    <row r="167" spans="1:43" s="47" customFormat="1" x14ac:dyDescent="0.25">
      <c r="A167" s="11"/>
      <c r="B167" s="44">
        <f>WEEKNUM(MIP[[#This Row],[Data]])</f>
        <v>26</v>
      </c>
      <c r="C167" s="45">
        <v>42916</v>
      </c>
      <c r="D167" s="45"/>
      <c r="E167" s="35" t="s">
        <v>7</v>
      </c>
      <c r="F167" s="35" t="s">
        <v>5</v>
      </c>
      <c r="G167" s="35"/>
      <c r="H167" s="44">
        <v>2</v>
      </c>
      <c r="I167" s="44">
        <v>9</v>
      </c>
      <c r="J167" s="44">
        <v>0</v>
      </c>
      <c r="K167" s="44">
        <v>1</v>
      </c>
      <c r="L167" s="44">
        <v>4</v>
      </c>
      <c r="M167" s="43">
        <v>0.625</v>
      </c>
      <c r="N167" s="43">
        <v>0.64583333333333337</v>
      </c>
      <c r="O167" s="43">
        <f>1+18/24/60</f>
        <v>1.0125</v>
      </c>
      <c r="P167" s="43">
        <f>1+48/24/60</f>
        <v>1.0333333333333334</v>
      </c>
      <c r="Q167" s="39"/>
      <c r="R167" s="42"/>
      <c r="S167" s="44">
        <f>MIP[[#This Row],[PT-1]]+MIP[[#This Row],[PT-2]]*2+MIP[[#This Row],[PT-3]]*3+MIP[[#This Row],[PT &gt; 3 Pontos]]</f>
        <v>16</v>
      </c>
      <c r="T16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167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167" s="41">
        <f>MIP[[#This Row],[Eficiência]]</f>
        <v>1.1354350750787949</v>
      </c>
      <c r="W16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67" s="39">
        <f>IF(MIP[[#This Row],[P.S]]-MIP[[#This Row],[P.E]]&lt;0,1+MIP[[#This Row],[P.S]]-MIP[[#This Row],[P.E]]-1/24,MIP[[#This Row],[P.S]]-MIP[[#This Row],[P.E]]-1/24)</f>
        <v>0.36666666666666675</v>
      </c>
      <c r="Y167" s="39">
        <f>MIP[[#This Row],[PT-1]]*$S$3+MIP[[#This Row],[PT-2]]*$T$3+MIP[[#This Row],[PT-3]]*$U$3+MIP[[#This Row],[PT &gt; 3 Pontos]]*$V$3</f>
        <v>0.36901639940060826</v>
      </c>
      <c r="Z167" s="39">
        <f>MIP[[#This Row],[HH disponível]]-MIP[[#This Row],[HH AC TOT]]</f>
        <v>0.3249999999999999</v>
      </c>
      <c r="AA167" s="38">
        <f>MIP[[#This Row],[HH Produtivo
Total]]/MIP[[#This Row],[HH Trabalhado]]</f>
        <v>1.1354350750787949</v>
      </c>
      <c r="AB167" s="38">
        <f>MIP[[#This Row],[HH Produtivo
Total]]/MIP[[#This Row],[HH disponível]]</f>
        <v>1.0064083620016586</v>
      </c>
      <c r="AC167" s="38">
        <f>MIP[[#This Row],[HH Trabalhado]]/MIP[[#This Row],[HH disponível]]</f>
        <v>0.88636363636363591</v>
      </c>
      <c r="AD167" s="37" t="str">
        <f>LEFT(MIP[[#This Row],[Equipe]], SEARCH("/",MIP[[#This Row],[Equipe]],1)-1)</f>
        <v xml:space="preserve">ANDERSON </v>
      </c>
      <c r="AE167" s="37" t="str">
        <f>RIGHT(MIP[[#This Row],[Equipe]], LEN(MIP[[#This Row],[Equipe]])-SEARCH("/",MIP[[#This Row],[Equipe]],1))</f>
        <v xml:space="preserve"> MARCO</v>
      </c>
      <c r="AF167" s="44">
        <f>COUNTIFS('[1]Tempo parado'!H:H,"&gt;="&amp;MIP[[#This Row],[S.B Sitrack]],'[1]Tempo parado'!I:I,"&lt;="&amp;MIP[[#This Row],[C.B Sitrack]],'[1]Tempo parado'!B:B,MIP[[#This Row],[Placa]])</f>
        <v>0</v>
      </c>
      <c r="AG167" s="36"/>
      <c r="AH167" s="35"/>
      <c r="AI167" s="34"/>
      <c r="AJ167" s="34"/>
      <c r="AK16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6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67" s="32">
        <f>SUMIFS('[1]Tempo parado'!J:J,'[1]Tempo parado'!H:H,"&gt;="&amp;MIP[[#This Row],[S.B Sitrack]],'[1]Tempo parado'!I:I,"&lt;="&amp;MIP[[#This Row],[C.B Sitrack]],'[1]Tempo parado'!B:B,MIP[[#This Row],[Placa]])</f>
        <v>0</v>
      </c>
      <c r="AN167" s="32" t="str">
        <f>IFERROR(MIP[[#This Row],[Tempo parado]]/(MIP[[#This Row],[C.B Sitrack]]-MIP[[#This Row],[S.B Sitrack]]),"")</f>
        <v/>
      </c>
      <c r="AO167" s="30"/>
      <c r="AP167" s="44">
        <f>IF(AND(MIP[Exc]=0,MIP[Previsto / Realizado]="Realizado"),MIP[Sem],0)</f>
        <v>0</v>
      </c>
      <c r="AQ167" s="29">
        <f>IF(AND(MIP[Exc]=0,MIP[Previsto / Realizado]="Realizado",ISBLANK(MIP[[#This Row],[S.B Sitrack]])=FALSE,ISBLANK(MIP[[#This Row],[C.B Sitrack]])=FALSE),MIP[Sem],0)</f>
        <v>0</v>
      </c>
    </row>
    <row r="168" spans="1:43" s="64" customFormat="1" x14ac:dyDescent="0.25">
      <c r="A168" s="11"/>
      <c r="B168" s="44">
        <f>WEEKNUM(MIP[[#This Row],[Data]])</f>
        <v>26</v>
      </c>
      <c r="C168" s="45">
        <v>42916</v>
      </c>
      <c r="D168" s="45"/>
      <c r="E168" s="35" t="s">
        <v>7</v>
      </c>
      <c r="F168" s="35" t="s">
        <v>2</v>
      </c>
      <c r="G168" s="35"/>
      <c r="H168" s="44">
        <v>2</v>
      </c>
      <c r="I168" s="44">
        <v>5</v>
      </c>
      <c r="J168" s="44">
        <v>0</v>
      </c>
      <c r="K168" s="44">
        <v>1</v>
      </c>
      <c r="L168" s="44">
        <v>4</v>
      </c>
      <c r="M168" s="43">
        <v>0.62986111111111109</v>
      </c>
      <c r="N168" s="43">
        <v>0.68402777777777779</v>
      </c>
      <c r="O168" s="43">
        <f>1+30/24/60</f>
        <v>1.0208333333333333</v>
      </c>
      <c r="P168" s="43">
        <f>1+48/24/60</f>
        <v>1.0333333333333334</v>
      </c>
      <c r="Q168" s="39"/>
      <c r="R168" s="42" t="s">
        <v>407</v>
      </c>
      <c r="S168" s="44">
        <f>MIP[[#This Row],[PT-1]]+MIP[[#This Row],[PT-2]]*2+MIP[[#This Row],[PT-3]]*3+MIP[[#This Row],[PT &gt; 3 Pontos]]</f>
        <v>12</v>
      </c>
      <c r="T16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6.6666666666666874E-2</v>
      </c>
      <c r="U168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6.6666666666666874E-2</v>
      </c>
      <c r="V168" s="41">
        <f>MIP[[#This Row],[Eficiência]]</f>
        <v>0.91114047551387711</v>
      </c>
      <c r="W16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68" s="39">
        <f>IF(MIP[[#This Row],[P.S]]-MIP[[#This Row],[P.E]]&lt;0,1+MIP[[#This Row],[P.S]]-MIP[[#This Row],[P.E]]-1/24,MIP[[#This Row],[P.S]]-MIP[[#This Row],[P.E]]-1/24)</f>
        <v>0.36180555555555566</v>
      </c>
      <c r="Y168" s="39">
        <f>MIP[[#This Row],[PT-1]]*$S$3+MIP[[#This Row],[PT-2]]*$T$3+MIP[[#This Row],[PT-3]]*$U$3+MIP[[#This Row],[PT &gt; 3 Pontos]]*$V$3</f>
        <v>0.26891298756485948</v>
      </c>
      <c r="Z168" s="39">
        <f>MIP[[#This Row],[HH disponível]]-MIP[[#This Row],[HH AC TOT]]</f>
        <v>0.29513888888888878</v>
      </c>
      <c r="AA168" s="38">
        <f>MIP[[#This Row],[HH Produtivo
Total]]/MIP[[#This Row],[HH Trabalhado]]</f>
        <v>0.91114047551387711</v>
      </c>
      <c r="AB168" s="38">
        <f>MIP[[#This Row],[HH Produtivo
Total]]/MIP[[#This Row],[HH disponível]]</f>
        <v>0.74325278712744247</v>
      </c>
      <c r="AC168" s="38">
        <f>MIP[[#This Row],[HH Trabalhado]]/MIP[[#This Row],[HH disponível]]</f>
        <v>0.8157389635316693</v>
      </c>
      <c r="AD168" s="37" t="str">
        <f>LEFT(MIP[[#This Row],[Equipe]], SEARCH("/",MIP[[#This Row],[Equipe]],1)-1)</f>
        <v xml:space="preserve">ANDERSON </v>
      </c>
      <c r="AE168" s="37" t="str">
        <f>RIGHT(MIP[[#This Row],[Equipe]], LEN(MIP[[#This Row],[Equipe]])-SEARCH("/",MIP[[#This Row],[Equipe]],1))</f>
        <v xml:space="preserve"> MARCO</v>
      </c>
      <c r="AF168" s="44">
        <f>COUNTIFS('[1]Tempo parado'!H:H,"&gt;="&amp;MIP[[#This Row],[S.B Sitrack]],'[1]Tempo parado'!I:I,"&lt;="&amp;MIP[[#This Row],[C.B Sitrack]],'[1]Tempo parado'!B:B,MIP[[#This Row],[Placa]])</f>
        <v>0</v>
      </c>
      <c r="AG168" s="36"/>
      <c r="AH168" s="35"/>
      <c r="AI168" s="34"/>
      <c r="AJ168" s="34"/>
      <c r="AK16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6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68" s="32">
        <f>SUMIFS('[1]Tempo parado'!J:J,'[1]Tempo parado'!H:H,"&gt;="&amp;MIP[[#This Row],[S.B Sitrack]],'[1]Tempo parado'!I:I,"&lt;="&amp;MIP[[#This Row],[C.B Sitrack]],'[1]Tempo parado'!B:B,MIP[[#This Row],[Placa]])</f>
        <v>0</v>
      </c>
      <c r="AN168" s="32" t="str">
        <f>IFERROR(MIP[[#This Row],[Tempo parado]]/(MIP[[#This Row],[C.B Sitrack]]-MIP[[#This Row],[S.B Sitrack]]),"")</f>
        <v/>
      </c>
      <c r="AO168" s="30"/>
      <c r="AP168" s="44">
        <f>IF(AND(MIP[Exc]=0,MIP[Previsto / Realizado]="Realizado"),MIP[Sem],0)</f>
        <v>26</v>
      </c>
      <c r="AQ168" s="29">
        <f>IF(AND(MIP[Exc]=0,MIP[Previsto / Realizado]="Realizado",ISBLANK(MIP[[#This Row],[S.B Sitrack]])=FALSE,ISBLANK(MIP[[#This Row],[C.B Sitrack]])=FALSE),MIP[Sem],0)</f>
        <v>0</v>
      </c>
    </row>
    <row r="169" spans="1:43" s="47" customFormat="1" x14ac:dyDescent="0.25">
      <c r="A169" s="11"/>
      <c r="B169" s="44">
        <f>WEEKNUM(MIP[[#This Row],[Data]])</f>
        <v>26</v>
      </c>
      <c r="C169" s="45">
        <v>42916</v>
      </c>
      <c r="D169" s="45"/>
      <c r="E169" s="35" t="s">
        <v>19</v>
      </c>
      <c r="F169" s="35" t="s">
        <v>5</v>
      </c>
      <c r="G169" s="35"/>
      <c r="H169" s="44">
        <v>2</v>
      </c>
      <c r="I169" s="44">
        <v>10</v>
      </c>
      <c r="J169" s="44">
        <v>2</v>
      </c>
      <c r="K169" s="44">
        <v>0</v>
      </c>
      <c r="L169" s="44">
        <v>0</v>
      </c>
      <c r="M169" s="43">
        <v>0.625</v>
      </c>
      <c r="N169" s="43">
        <v>0.64583333333333337</v>
      </c>
      <c r="O169" s="43">
        <f>1+18/24/60</f>
        <v>1.0125</v>
      </c>
      <c r="P169" s="43">
        <f>1+48/24/60</f>
        <v>1.0333333333333334</v>
      </c>
      <c r="Q169" s="39"/>
      <c r="R169" s="42"/>
      <c r="S169" s="44">
        <f>MIP[[#This Row],[PT-1]]+MIP[[#This Row],[PT-2]]*2+MIP[[#This Row],[PT-3]]*3+MIP[[#This Row],[PT &gt; 3 Pontos]]</f>
        <v>14</v>
      </c>
      <c r="T16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169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169" s="41">
        <f>MIP[[#This Row],[Eficiência]]</f>
        <v>1.0402340362938185</v>
      </c>
      <c r="W16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69" s="39">
        <f>IF(MIP[[#This Row],[P.S]]-MIP[[#This Row],[P.E]]&lt;0,1+MIP[[#This Row],[P.S]]-MIP[[#This Row],[P.E]]-1/24,MIP[[#This Row],[P.S]]-MIP[[#This Row],[P.E]]-1/24)</f>
        <v>0.36666666666666675</v>
      </c>
      <c r="Y169" s="39">
        <f>MIP[[#This Row],[PT-1]]*$S$3+MIP[[#This Row],[PT-2]]*$T$3+MIP[[#This Row],[PT-3]]*$U$3+MIP[[#This Row],[PT &gt; 3 Pontos]]*$V$3</f>
        <v>0.33807606179549093</v>
      </c>
      <c r="Z169" s="39">
        <f>MIP[[#This Row],[HH disponível]]-MIP[[#This Row],[HH AC TOT]]</f>
        <v>0.3249999999999999</v>
      </c>
      <c r="AA169" s="38">
        <f>MIP[[#This Row],[HH Produtivo
Total]]/MIP[[#This Row],[HH Trabalhado]]</f>
        <v>1.0402340362938185</v>
      </c>
      <c r="AB169" s="38">
        <f>MIP[[#This Row],[HH Produtivo
Total]]/MIP[[#This Row],[HH disponível]]</f>
        <v>0.92202562307861147</v>
      </c>
      <c r="AC169" s="38">
        <f>MIP[[#This Row],[HH Trabalhado]]/MIP[[#This Row],[HH disponível]]</f>
        <v>0.88636363636363591</v>
      </c>
      <c r="AD169" s="37" t="str">
        <f>LEFT(MIP[[#This Row],[Equipe]], SEARCH("/",MIP[[#This Row],[Equipe]],1)-1)</f>
        <v xml:space="preserve">ADEMÁRIO </v>
      </c>
      <c r="AE169" s="37" t="str">
        <f>RIGHT(MIP[[#This Row],[Equipe]], LEN(MIP[[#This Row],[Equipe]])-SEARCH("/",MIP[[#This Row],[Equipe]],1))</f>
        <v xml:space="preserve"> RONALDO</v>
      </c>
      <c r="AF169" s="44">
        <f>COUNTIFS('[1]Tempo parado'!H:H,"&gt;="&amp;MIP[[#This Row],[S.B Sitrack]],'[1]Tempo parado'!I:I,"&lt;="&amp;MIP[[#This Row],[C.B Sitrack]],'[1]Tempo parado'!B:B,MIP[[#This Row],[Placa]])</f>
        <v>0</v>
      </c>
      <c r="AG169" s="36"/>
      <c r="AH169" s="35"/>
      <c r="AI169" s="34"/>
      <c r="AJ169" s="34"/>
      <c r="AK16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6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69" s="32">
        <f>SUMIFS('[1]Tempo parado'!J:J,'[1]Tempo parado'!H:H,"&gt;="&amp;MIP[[#This Row],[S.B Sitrack]],'[1]Tempo parado'!I:I,"&lt;="&amp;MIP[[#This Row],[C.B Sitrack]],'[1]Tempo parado'!B:B,MIP[[#This Row],[Placa]])</f>
        <v>0</v>
      </c>
      <c r="AN169" s="32" t="str">
        <f>IFERROR(MIP[[#This Row],[Tempo parado]]/(MIP[[#This Row],[C.B Sitrack]]-MIP[[#This Row],[S.B Sitrack]]),"")</f>
        <v/>
      </c>
      <c r="AO169" s="30"/>
      <c r="AP169" s="44">
        <f>IF(AND(MIP[Exc]=0,MIP[Previsto / Realizado]="Realizado"),MIP[Sem],0)</f>
        <v>0</v>
      </c>
      <c r="AQ169" s="29">
        <f>IF(AND(MIP[Exc]=0,MIP[Previsto / Realizado]="Realizado",ISBLANK(MIP[[#This Row],[S.B Sitrack]])=FALSE,ISBLANK(MIP[[#This Row],[C.B Sitrack]])=FALSE),MIP[Sem],0)</f>
        <v>0</v>
      </c>
    </row>
    <row r="170" spans="1:43" s="64" customFormat="1" x14ac:dyDescent="0.25">
      <c r="A170" s="11"/>
      <c r="B170" s="44">
        <f>WEEKNUM(MIP[[#This Row],[Data]])</f>
        <v>26</v>
      </c>
      <c r="C170" s="45">
        <v>42916</v>
      </c>
      <c r="D170" s="45"/>
      <c r="E170" s="35" t="s">
        <v>19</v>
      </c>
      <c r="F170" s="35" t="s">
        <v>2</v>
      </c>
      <c r="G170" s="35"/>
      <c r="H170" s="44">
        <v>2</v>
      </c>
      <c r="I170" s="44">
        <v>9</v>
      </c>
      <c r="J170" s="44">
        <v>2</v>
      </c>
      <c r="K170" s="44">
        <v>0</v>
      </c>
      <c r="L170" s="44">
        <v>0</v>
      </c>
      <c r="M170" s="43">
        <v>0.63750000000000007</v>
      </c>
      <c r="N170" s="43">
        <v>0.69097222222222221</v>
      </c>
      <c r="O170" s="43">
        <f>1+25/24/60</f>
        <v>1.0173611111111112</v>
      </c>
      <c r="P170" s="43">
        <f>1+50/24/60</f>
        <v>1.0347222222222223</v>
      </c>
      <c r="Q170" s="39"/>
      <c r="R170" s="42" t="s">
        <v>407</v>
      </c>
      <c r="S170" s="44">
        <f>MIP[[#This Row],[PT-1]]+MIP[[#This Row],[PT-2]]*2+MIP[[#This Row],[PT-3]]*3+MIP[[#This Row],[PT &gt; 3 Pontos]]</f>
        <v>13</v>
      </c>
      <c r="T17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7.0833333333333304E-2</v>
      </c>
      <c r="U170" s="39">
        <f>IF(MIP[[#This Row],[P.S]]-MIP[[#This Row],[U.P]]&gt;=0,MIP[[#This Row],[P.S]]-MIP[[#This Row],[U.P]]+MIP[[#This Row],[S.B]]-MIP[[#This Row],[P.E]],1+MIP[[#This Row],[P.S]]-MIP[[#This Row],[U.P]]+MIP[[#This Row],[S.B]]-MIP[[#This Row],[P.E]])</f>
        <v>7.0833333333333304E-2</v>
      </c>
      <c r="V170" s="41">
        <f>MIP[[#This Row],[Eficiência]]</f>
        <v>1.0994934164015546</v>
      </c>
      <c r="W17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70" s="39">
        <f>IF(MIP[[#This Row],[P.S]]-MIP[[#This Row],[P.E]]&lt;0,1+MIP[[#This Row],[P.S]]-MIP[[#This Row],[P.E]]-1/24,MIP[[#This Row],[P.S]]-MIP[[#This Row],[P.E]]-1/24)</f>
        <v>0.35555555555555557</v>
      </c>
      <c r="Y170" s="39">
        <f>MIP[[#This Row],[PT-1]]*$S$3+MIP[[#This Row],[PT-2]]*$T$3+MIP[[#This Row],[PT-3]]*$U$3+MIP[[#This Row],[PT &gt; 3 Pontos]]*$V$3</f>
        <v>0.31305020883655377</v>
      </c>
      <c r="Z170" s="39">
        <f>MIP[[#This Row],[HH disponível]]-MIP[[#This Row],[HH AC TOT]]</f>
        <v>0.28472222222222227</v>
      </c>
      <c r="AA170" s="38">
        <f>MIP[[#This Row],[HH Produtivo
Total]]/MIP[[#This Row],[HH Trabalhado]]</f>
        <v>1.0994934164015546</v>
      </c>
      <c r="AB170" s="38">
        <f>MIP[[#This Row],[HH Produtivo
Total]]/MIP[[#This Row],[HH disponível]]</f>
        <v>0.88045371235280745</v>
      </c>
      <c r="AC170" s="38">
        <f>MIP[[#This Row],[HH Trabalhado]]/MIP[[#This Row],[HH disponível]]</f>
        <v>0.80078125000000011</v>
      </c>
      <c r="AD170" s="37" t="str">
        <f>LEFT(MIP[[#This Row],[Equipe]], SEARCH("/",MIP[[#This Row],[Equipe]],1)-1)</f>
        <v xml:space="preserve">ADEMÁRIO </v>
      </c>
      <c r="AE170" s="37" t="str">
        <f>RIGHT(MIP[[#This Row],[Equipe]], LEN(MIP[[#This Row],[Equipe]])-SEARCH("/",MIP[[#This Row],[Equipe]],1))</f>
        <v xml:space="preserve"> RONALDO</v>
      </c>
      <c r="AF170" s="44">
        <f>COUNTIFS('[1]Tempo parado'!H:H,"&gt;="&amp;MIP[[#This Row],[S.B Sitrack]],'[1]Tempo parado'!I:I,"&lt;="&amp;MIP[[#This Row],[C.B Sitrack]],'[1]Tempo parado'!B:B,MIP[[#This Row],[Placa]])</f>
        <v>0</v>
      </c>
      <c r="AG170" s="36"/>
      <c r="AH170" s="35"/>
      <c r="AI170" s="34"/>
      <c r="AJ170" s="34"/>
      <c r="AK17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7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70" s="32">
        <f>SUMIFS('[1]Tempo parado'!J:J,'[1]Tempo parado'!H:H,"&gt;="&amp;MIP[[#This Row],[S.B Sitrack]],'[1]Tempo parado'!I:I,"&lt;="&amp;MIP[[#This Row],[C.B Sitrack]],'[1]Tempo parado'!B:B,MIP[[#This Row],[Placa]])</f>
        <v>0</v>
      </c>
      <c r="AN170" s="32" t="str">
        <f>IFERROR(MIP[[#This Row],[Tempo parado]]/(MIP[[#This Row],[C.B Sitrack]]-MIP[[#This Row],[S.B Sitrack]]),"")</f>
        <v/>
      </c>
      <c r="AO170" s="30"/>
      <c r="AP170" s="44">
        <f>IF(AND(MIP[Exc]=0,MIP[Previsto / Realizado]="Realizado"),MIP[Sem],0)</f>
        <v>26</v>
      </c>
      <c r="AQ170" s="29">
        <f>IF(AND(MIP[Exc]=0,MIP[Previsto / Realizado]="Realizado",ISBLANK(MIP[[#This Row],[S.B Sitrack]])=FALSE,ISBLANK(MIP[[#This Row],[C.B Sitrack]])=FALSE),MIP[Sem],0)</f>
        <v>0</v>
      </c>
    </row>
    <row r="171" spans="1:43" s="47" customFormat="1" x14ac:dyDescent="0.25">
      <c r="A171" s="11"/>
      <c r="B171" s="44">
        <f>WEEKNUM(MIP[[#This Row],[Data]])</f>
        <v>26</v>
      </c>
      <c r="C171" s="45">
        <v>42916</v>
      </c>
      <c r="D171" s="45"/>
      <c r="E171" s="35" t="s">
        <v>3</v>
      </c>
      <c r="F171" s="35" t="s">
        <v>5</v>
      </c>
      <c r="G171" s="35"/>
      <c r="H171" s="44">
        <v>2</v>
      </c>
      <c r="I171" s="44">
        <v>6</v>
      </c>
      <c r="J171" s="44">
        <v>3</v>
      </c>
      <c r="K171" s="44">
        <v>1</v>
      </c>
      <c r="L171" s="44">
        <v>0</v>
      </c>
      <c r="M171" s="43">
        <v>0.625</v>
      </c>
      <c r="N171" s="43">
        <v>0.64583333333333337</v>
      </c>
      <c r="O171" s="43">
        <f>1+18/24/60</f>
        <v>1.0125</v>
      </c>
      <c r="P171" s="43">
        <f>1+48/24/60</f>
        <v>1.0333333333333334</v>
      </c>
      <c r="Q171" s="39"/>
      <c r="R171" s="42"/>
      <c r="S171" s="44">
        <f>MIP[[#This Row],[PT-1]]+MIP[[#This Row],[PT-2]]*2+MIP[[#This Row],[PT-3]]*3+MIP[[#This Row],[PT &gt; 3 Pontos]]</f>
        <v>15</v>
      </c>
      <c r="T17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171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171" s="41">
        <f>MIP[[#This Row],[Eficiência]]</f>
        <v>1.0605326009537965</v>
      </c>
      <c r="W17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71" s="39">
        <f>IF(MIP[[#This Row],[P.S]]-MIP[[#This Row],[P.E]]&lt;0,1+MIP[[#This Row],[P.S]]-MIP[[#This Row],[P.E]]-1/24,MIP[[#This Row],[P.S]]-MIP[[#This Row],[P.E]]-1/24)</f>
        <v>0.36666666666666675</v>
      </c>
      <c r="Y171" s="39">
        <f>MIP[[#This Row],[PT-1]]*$S$3+MIP[[#This Row],[PT-2]]*$T$3+MIP[[#This Row],[PT-3]]*$U$3+MIP[[#This Row],[PT &gt; 3 Pontos]]*$V$3</f>
        <v>0.3446730953099838</v>
      </c>
      <c r="Z171" s="39">
        <f>MIP[[#This Row],[HH disponível]]-MIP[[#This Row],[HH AC TOT]]</f>
        <v>0.3249999999999999</v>
      </c>
      <c r="AA171" s="38">
        <f>MIP[[#This Row],[HH Produtivo
Total]]/MIP[[#This Row],[HH Trabalhado]]</f>
        <v>1.0605326009537965</v>
      </c>
      <c r="AB171" s="38">
        <f>MIP[[#This Row],[HH Produtivo
Total]]/MIP[[#This Row],[HH disponível]]</f>
        <v>0.940017532663592</v>
      </c>
      <c r="AC171" s="38">
        <f>MIP[[#This Row],[HH Trabalhado]]/MIP[[#This Row],[HH disponível]]</f>
        <v>0.88636363636363591</v>
      </c>
      <c r="AD171" s="37" t="str">
        <f>LEFT(MIP[[#This Row],[Equipe]], SEARCH("/",MIP[[#This Row],[Equipe]],1)-1)</f>
        <v xml:space="preserve">EDILTON </v>
      </c>
      <c r="AE171" s="37" t="str">
        <f>RIGHT(MIP[[#This Row],[Equipe]], LEN(MIP[[#This Row],[Equipe]])-SEARCH("/",MIP[[#This Row],[Equipe]],1))</f>
        <v xml:space="preserve"> GECIVALDO</v>
      </c>
      <c r="AF171" s="44">
        <f>COUNTIFS('[1]Tempo parado'!H:H,"&gt;="&amp;MIP[[#This Row],[S.B Sitrack]],'[1]Tempo parado'!I:I,"&lt;="&amp;MIP[[#This Row],[C.B Sitrack]],'[1]Tempo parado'!B:B,MIP[[#This Row],[Placa]])</f>
        <v>0</v>
      </c>
      <c r="AG171" s="36"/>
      <c r="AH171" s="35"/>
      <c r="AI171" s="34"/>
      <c r="AJ171" s="34"/>
      <c r="AK17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7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71" s="32">
        <f>SUMIFS('[1]Tempo parado'!J:J,'[1]Tempo parado'!H:H,"&gt;="&amp;MIP[[#This Row],[S.B Sitrack]],'[1]Tempo parado'!I:I,"&lt;="&amp;MIP[[#This Row],[C.B Sitrack]],'[1]Tempo parado'!B:B,MIP[[#This Row],[Placa]])</f>
        <v>0</v>
      </c>
      <c r="AN171" s="32" t="str">
        <f>IFERROR(MIP[[#This Row],[Tempo parado]]/(MIP[[#This Row],[C.B Sitrack]]-MIP[[#This Row],[S.B Sitrack]]),"")</f>
        <v/>
      </c>
      <c r="AO171" s="30"/>
      <c r="AP171" s="44">
        <f>IF(AND(MIP[Exc]=0,MIP[Previsto / Realizado]="Realizado"),MIP[Sem],0)</f>
        <v>0</v>
      </c>
      <c r="AQ171" s="29">
        <f>IF(AND(MIP[Exc]=0,MIP[Previsto / Realizado]="Realizado",ISBLANK(MIP[[#This Row],[S.B Sitrack]])=FALSE,ISBLANK(MIP[[#This Row],[C.B Sitrack]])=FALSE),MIP[Sem],0)</f>
        <v>0</v>
      </c>
    </row>
    <row r="172" spans="1:43" s="64" customFormat="1" x14ac:dyDescent="0.25">
      <c r="A172" s="11"/>
      <c r="B172" s="44">
        <f>WEEKNUM(MIP[[#This Row],[Data]])</f>
        <v>26</v>
      </c>
      <c r="C172" s="45">
        <v>42916</v>
      </c>
      <c r="D172" s="45"/>
      <c r="E172" s="35" t="s">
        <v>3</v>
      </c>
      <c r="F172" s="35" t="s">
        <v>2</v>
      </c>
      <c r="G172" s="35"/>
      <c r="H172" s="44">
        <v>2</v>
      </c>
      <c r="I172" s="44">
        <v>3</v>
      </c>
      <c r="J172" s="44">
        <v>2</v>
      </c>
      <c r="K172" s="44">
        <v>1</v>
      </c>
      <c r="L172" s="44">
        <v>0</v>
      </c>
      <c r="M172" s="43">
        <v>0.63402777777777775</v>
      </c>
      <c r="N172" s="43">
        <v>0.69097222222222221</v>
      </c>
      <c r="O172" s="43">
        <f>1+15/24/60</f>
        <v>1.0104166666666667</v>
      </c>
      <c r="P172" s="43">
        <f>1+50/24/60</f>
        <v>1.0347222222222223</v>
      </c>
      <c r="Q172" s="39"/>
      <c r="R172" s="42" t="s">
        <v>406</v>
      </c>
      <c r="S172" s="44">
        <f>MIP[[#This Row],[PT-1]]+MIP[[#This Row],[PT-2]]*2+MIP[[#This Row],[PT-3]]*3+MIP[[#This Row],[PT &gt; 3 Pontos]]</f>
        <v>10</v>
      </c>
      <c r="T17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8.1250000000000044E-2</v>
      </c>
      <c r="U172" s="39">
        <f>IF(MIP[[#This Row],[P.S]]-MIP[[#This Row],[U.P]]&gt;=0,MIP[[#This Row],[P.S]]-MIP[[#This Row],[U.P]]+MIP[[#This Row],[S.B]]-MIP[[#This Row],[P.E]],1+MIP[[#This Row],[P.S]]-MIP[[#This Row],[U.P]]+MIP[[#This Row],[S.B]]-MIP[[#This Row],[P.E]])</f>
        <v>8.1250000000000044E-2</v>
      </c>
      <c r="V172" s="41">
        <f>MIP[[#This Row],[Eficiência]]</f>
        <v>0.81247237318840548</v>
      </c>
      <c r="W17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72" s="39">
        <f>IF(MIP[[#This Row],[P.S]]-MIP[[#This Row],[P.E]]&lt;0,1+MIP[[#This Row],[P.S]]-MIP[[#This Row],[P.E]]-1/24,MIP[[#This Row],[P.S]]-MIP[[#This Row],[P.E]]-1/24)</f>
        <v>0.35902777777777789</v>
      </c>
      <c r="Y172" s="39">
        <f>MIP[[#This Row],[PT-1]]*$S$3+MIP[[#This Row],[PT-2]]*$T$3+MIP[[#This Row],[PT-3]]*$U$3+MIP[[#This Row],[PT &gt; 3 Pontos]]*$V$3</f>
        <v>0.2256867703301127</v>
      </c>
      <c r="Z172" s="39">
        <f>MIP[[#This Row],[HH disponível]]-MIP[[#This Row],[HH AC TOT]]</f>
        <v>0.27777777777777785</v>
      </c>
      <c r="AA172" s="38">
        <f>MIP[[#This Row],[HH Produtivo
Total]]/MIP[[#This Row],[HH Trabalhado]]</f>
        <v>0.81247237318840548</v>
      </c>
      <c r="AB172" s="38">
        <f>MIP[[#This Row],[HH Produtivo
Total]]/MIP[[#This Row],[HH disponível]]</f>
        <v>0.62860531774731565</v>
      </c>
      <c r="AC172" s="38">
        <f>MIP[[#This Row],[HH Trabalhado]]/MIP[[#This Row],[HH disponível]]</f>
        <v>0.77369439071566726</v>
      </c>
      <c r="AD172" s="37" t="str">
        <f>LEFT(MIP[[#This Row],[Equipe]], SEARCH("/",MIP[[#This Row],[Equipe]],1)-1)</f>
        <v xml:space="preserve">EDILTON </v>
      </c>
      <c r="AE172" s="37" t="str">
        <f>RIGHT(MIP[[#This Row],[Equipe]], LEN(MIP[[#This Row],[Equipe]])-SEARCH("/",MIP[[#This Row],[Equipe]],1))</f>
        <v xml:space="preserve"> GECIVALDO</v>
      </c>
      <c r="AF172" s="44">
        <f>COUNTIFS('[1]Tempo parado'!H:H,"&gt;="&amp;MIP[[#This Row],[S.B Sitrack]],'[1]Tempo parado'!I:I,"&lt;="&amp;MIP[[#This Row],[C.B Sitrack]],'[1]Tempo parado'!B:B,MIP[[#This Row],[Placa]])</f>
        <v>0</v>
      </c>
      <c r="AG172" s="36"/>
      <c r="AH172" s="35"/>
      <c r="AI172" s="34"/>
      <c r="AJ172" s="34"/>
      <c r="AK17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7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72" s="32">
        <f>SUMIFS('[1]Tempo parado'!J:J,'[1]Tempo parado'!H:H,"&gt;="&amp;MIP[[#This Row],[S.B Sitrack]],'[1]Tempo parado'!I:I,"&lt;="&amp;MIP[[#This Row],[C.B Sitrack]],'[1]Tempo parado'!B:B,MIP[[#This Row],[Placa]])</f>
        <v>0</v>
      </c>
      <c r="AN172" s="32" t="str">
        <f>IFERROR(MIP[[#This Row],[Tempo parado]]/(MIP[[#This Row],[C.B Sitrack]]-MIP[[#This Row],[S.B Sitrack]]),"")</f>
        <v/>
      </c>
      <c r="AO172" s="30"/>
      <c r="AP172" s="44">
        <f>IF(AND(MIP[Exc]=0,MIP[Previsto / Realizado]="Realizado"),MIP[Sem],0)</f>
        <v>26</v>
      </c>
      <c r="AQ172" s="29">
        <f>IF(AND(MIP[Exc]=0,MIP[Previsto / Realizado]="Realizado",ISBLANK(MIP[[#This Row],[S.B Sitrack]])=FALSE,ISBLANK(MIP[[#This Row],[C.B Sitrack]])=FALSE),MIP[Sem],0)</f>
        <v>0</v>
      </c>
    </row>
    <row r="173" spans="1:43" s="47" customFormat="1" x14ac:dyDescent="0.25">
      <c r="A173" s="11"/>
      <c r="B173" s="44">
        <f>WEEKNUM(MIP[[#This Row],[Data]])</f>
        <v>26</v>
      </c>
      <c r="C173" s="45">
        <v>42917</v>
      </c>
      <c r="D173" s="45"/>
      <c r="E173" s="35" t="s">
        <v>405</v>
      </c>
      <c r="F173" s="35" t="s">
        <v>5</v>
      </c>
      <c r="G173" s="35"/>
      <c r="H173" s="44">
        <v>2</v>
      </c>
      <c r="I173" s="44">
        <v>5</v>
      </c>
      <c r="J173" s="44">
        <v>1</v>
      </c>
      <c r="K173" s="44">
        <v>0</v>
      </c>
      <c r="L173" s="44">
        <v>9</v>
      </c>
      <c r="M173" s="43">
        <v>0.625</v>
      </c>
      <c r="N173" s="43">
        <v>0.64583333333333337</v>
      </c>
      <c r="O173" s="43">
        <f>1+18/24/60</f>
        <v>1.0125</v>
      </c>
      <c r="P173" s="43">
        <f>1+48/24/60</f>
        <v>1.0333333333333334</v>
      </c>
      <c r="Q173" s="39"/>
      <c r="R173" s="42"/>
      <c r="S173" s="44">
        <f>MIP[[#This Row],[PT-1]]+MIP[[#This Row],[PT-2]]*2+MIP[[#This Row],[PT-3]]*3+MIP[[#This Row],[PT &gt; 3 Pontos]]</f>
        <v>16</v>
      </c>
      <c r="T17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173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173" s="41">
        <f>MIP[[#This Row],[Eficiência]]</f>
        <v>1.0808311656137746</v>
      </c>
      <c r="W17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73" s="39">
        <f>IF(MIP[[#This Row],[P.S]]-MIP[[#This Row],[P.E]]&lt;0,1+MIP[[#This Row],[P.S]]-MIP[[#This Row],[P.E]]-1/24,MIP[[#This Row],[P.S]]-MIP[[#This Row],[P.E]]-1/24)</f>
        <v>0.36666666666666675</v>
      </c>
      <c r="Y173" s="39">
        <f>MIP[[#This Row],[PT-1]]*$S$3+MIP[[#This Row],[PT-2]]*$T$3+MIP[[#This Row],[PT-3]]*$U$3+MIP[[#This Row],[PT &gt; 3 Pontos]]*$V$3</f>
        <v>0.35127012882447661</v>
      </c>
      <c r="Z173" s="39">
        <f>MIP[[#This Row],[HH disponível]]-MIP[[#This Row],[HH AC TOT]]</f>
        <v>0.3249999999999999</v>
      </c>
      <c r="AA173" s="38">
        <f>MIP[[#This Row],[HH Produtivo
Total]]/MIP[[#This Row],[HH Trabalhado]]</f>
        <v>1.0808311656137746</v>
      </c>
      <c r="AB173" s="38">
        <f>MIP[[#This Row],[HH Produtivo
Total]]/MIP[[#This Row],[HH disponível]]</f>
        <v>0.95800944224857232</v>
      </c>
      <c r="AC173" s="38">
        <f>MIP[[#This Row],[HH Trabalhado]]/MIP[[#This Row],[HH disponível]]</f>
        <v>0.88636363636363591</v>
      </c>
      <c r="AD173" s="37" t="str">
        <f>LEFT(MIP[[#This Row],[Equipe]], SEARCH("/",MIP[[#This Row],[Equipe]],1)-1)</f>
        <v xml:space="preserve">JOILSON </v>
      </c>
      <c r="AE173" s="37" t="str">
        <f>RIGHT(MIP[[#This Row],[Equipe]], LEN(MIP[[#This Row],[Equipe]])-SEARCH("/",MIP[[#This Row],[Equipe]],1))</f>
        <v xml:space="preserve"> GECIVALDO</v>
      </c>
      <c r="AF173" s="44">
        <f>COUNTIFS('[1]Tempo parado'!H:H,"&gt;="&amp;MIP[[#This Row],[S.B Sitrack]],'[1]Tempo parado'!I:I,"&lt;="&amp;MIP[[#This Row],[C.B Sitrack]],'[1]Tempo parado'!B:B,MIP[[#This Row],[Placa]])</f>
        <v>0</v>
      </c>
      <c r="AG173" s="36"/>
      <c r="AH173" s="35"/>
      <c r="AI173" s="34"/>
      <c r="AJ173" s="34"/>
      <c r="AK17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7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73" s="32">
        <f>SUMIFS('[1]Tempo parado'!J:J,'[1]Tempo parado'!H:H,"&gt;="&amp;MIP[[#This Row],[S.B Sitrack]],'[1]Tempo parado'!I:I,"&lt;="&amp;MIP[[#This Row],[C.B Sitrack]],'[1]Tempo parado'!B:B,MIP[[#This Row],[Placa]])</f>
        <v>0</v>
      </c>
      <c r="AN173" s="32" t="str">
        <f>IFERROR(MIP[[#This Row],[Tempo parado]]/(MIP[[#This Row],[C.B Sitrack]]-MIP[[#This Row],[S.B Sitrack]]),"")</f>
        <v/>
      </c>
      <c r="AO173" s="30"/>
      <c r="AP173" s="44">
        <f>IF(AND(MIP[Exc]=0,MIP[Previsto / Realizado]="Realizado"),MIP[Sem],0)</f>
        <v>0</v>
      </c>
      <c r="AQ173" s="29">
        <f>IF(AND(MIP[Exc]=0,MIP[Previsto / Realizado]="Realizado",ISBLANK(MIP[[#This Row],[S.B Sitrack]])=FALSE,ISBLANK(MIP[[#This Row],[C.B Sitrack]])=FALSE),MIP[Sem],0)</f>
        <v>0</v>
      </c>
    </row>
    <row r="174" spans="1:43" s="64" customFormat="1" x14ac:dyDescent="0.25">
      <c r="A174" s="11"/>
      <c r="B174" s="44">
        <f>WEEKNUM(MIP[[#This Row],[Data]])</f>
        <v>26</v>
      </c>
      <c r="C174" s="45">
        <v>42917</v>
      </c>
      <c r="D174" s="45"/>
      <c r="E174" s="35" t="s">
        <v>405</v>
      </c>
      <c r="F174" s="35" t="s">
        <v>2</v>
      </c>
      <c r="G174" s="35"/>
      <c r="H174" s="44">
        <v>2</v>
      </c>
      <c r="I174" s="44">
        <v>5</v>
      </c>
      <c r="J174" s="44">
        <v>1</v>
      </c>
      <c r="K174" s="44">
        <v>0</v>
      </c>
      <c r="L174" s="44">
        <v>9</v>
      </c>
      <c r="M174" s="43">
        <v>0.62638888888888888</v>
      </c>
      <c r="N174" s="43">
        <v>0.64583333333333337</v>
      </c>
      <c r="O174" s="43">
        <f>1+20/24/60</f>
        <v>1.0138888888888888</v>
      </c>
      <c r="P174" s="43">
        <f>1+56/24/60</f>
        <v>1.038888888888889</v>
      </c>
      <c r="Q174" s="39"/>
      <c r="R174" s="42"/>
      <c r="S174" s="44">
        <f>MIP[[#This Row],[PT-1]]+MIP[[#This Row],[PT-2]]*2+MIP[[#This Row],[PT-3]]*3+MIP[[#This Row],[PT &gt; 3 Pontos]]</f>
        <v>16</v>
      </c>
      <c r="T17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4.444444444444462E-2</v>
      </c>
      <c r="U174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4.444444444444462E-2</v>
      </c>
      <c r="V174" s="41">
        <f>MIP[[#This Row],[Eficiência]]</f>
        <v>1.0762318840579712</v>
      </c>
      <c r="W17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74" s="39">
        <f>IF(MIP[[#This Row],[P.S]]-MIP[[#This Row],[P.E]]&lt;0,1+MIP[[#This Row],[P.S]]-MIP[[#This Row],[P.E]]-1/24,MIP[[#This Row],[P.S]]-MIP[[#This Row],[P.E]]-1/24)</f>
        <v>0.3708333333333334</v>
      </c>
      <c r="Y174" s="39">
        <f>MIP[[#This Row],[PT-1]]*$S$3+MIP[[#This Row],[PT-2]]*$T$3+MIP[[#This Row],[PT-3]]*$U$3+MIP[[#This Row],[PT &gt; 3 Pontos]]*$V$3</f>
        <v>0.35127012882447661</v>
      </c>
      <c r="Z174" s="39">
        <f>MIP[[#This Row],[HH disponível]]-MIP[[#This Row],[HH AC TOT]]</f>
        <v>0.32638888888888878</v>
      </c>
      <c r="AA174" s="38">
        <f>MIP[[#This Row],[HH Produtivo
Total]]/MIP[[#This Row],[HH Trabalhado]]</f>
        <v>1.0762318840579712</v>
      </c>
      <c r="AB174" s="38">
        <f>MIP[[#This Row],[HH Produtivo
Total]]/MIP[[#This Row],[HH disponível]]</f>
        <v>0.94724529121207157</v>
      </c>
      <c r="AC174" s="38">
        <f>MIP[[#This Row],[HH Trabalhado]]/MIP[[#This Row],[HH disponível]]</f>
        <v>0.88014981273408199</v>
      </c>
      <c r="AD174" s="37" t="str">
        <f>LEFT(MIP[[#This Row],[Equipe]], SEARCH("/",MIP[[#This Row],[Equipe]],1)-1)</f>
        <v xml:space="preserve">JOILSON </v>
      </c>
      <c r="AE174" s="37" t="str">
        <f>RIGHT(MIP[[#This Row],[Equipe]], LEN(MIP[[#This Row],[Equipe]])-SEARCH("/",MIP[[#This Row],[Equipe]],1))</f>
        <v xml:space="preserve"> GECIVALDO</v>
      </c>
      <c r="AF174" s="44">
        <f>COUNTIFS('[1]Tempo parado'!H:H,"&gt;="&amp;MIP[[#This Row],[S.B Sitrack]],'[1]Tempo parado'!I:I,"&lt;="&amp;MIP[[#This Row],[C.B Sitrack]],'[1]Tempo parado'!B:B,MIP[[#This Row],[Placa]])</f>
        <v>0</v>
      </c>
      <c r="AG174" s="36"/>
      <c r="AH174" s="35"/>
      <c r="AI174" s="34"/>
      <c r="AJ174" s="34"/>
      <c r="AK17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7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74" s="32">
        <f>SUMIFS('[1]Tempo parado'!J:J,'[1]Tempo parado'!H:H,"&gt;="&amp;MIP[[#This Row],[S.B Sitrack]],'[1]Tempo parado'!I:I,"&lt;="&amp;MIP[[#This Row],[C.B Sitrack]],'[1]Tempo parado'!B:B,MIP[[#This Row],[Placa]])</f>
        <v>0</v>
      </c>
      <c r="AN174" s="32" t="str">
        <f>IFERROR(MIP[[#This Row],[Tempo parado]]/(MIP[[#This Row],[C.B Sitrack]]-MIP[[#This Row],[S.B Sitrack]]),"")</f>
        <v/>
      </c>
      <c r="AO174" s="30"/>
      <c r="AP174" s="44">
        <f>IF(AND(MIP[Exc]=0,MIP[Previsto / Realizado]="Realizado"),MIP[Sem],0)</f>
        <v>26</v>
      </c>
      <c r="AQ174" s="29">
        <f>IF(AND(MIP[Exc]=0,MIP[Previsto / Realizado]="Realizado",ISBLANK(MIP[[#This Row],[S.B Sitrack]])=FALSE,ISBLANK(MIP[[#This Row],[C.B Sitrack]])=FALSE),MIP[Sem],0)</f>
        <v>0</v>
      </c>
    </row>
    <row r="175" spans="1:43" s="47" customFormat="1" x14ac:dyDescent="0.25">
      <c r="A175" s="11"/>
      <c r="B175" s="44">
        <f>WEEKNUM(MIP[[#This Row],[Data]])</f>
        <v>27</v>
      </c>
      <c r="C175" s="45">
        <v>42918</v>
      </c>
      <c r="D175" s="45"/>
      <c r="E175" s="35" t="s">
        <v>3</v>
      </c>
      <c r="F175" s="35" t="s">
        <v>5</v>
      </c>
      <c r="G175" s="35"/>
      <c r="H175" s="44">
        <v>2</v>
      </c>
      <c r="I175" s="44">
        <v>11</v>
      </c>
      <c r="J175" s="44">
        <v>2</v>
      </c>
      <c r="K175" s="44">
        <v>0</v>
      </c>
      <c r="L175" s="44">
        <v>4</v>
      </c>
      <c r="M175" s="43">
        <v>0.625</v>
      </c>
      <c r="N175" s="43">
        <v>0.64583333333333337</v>
      </c>
      <c r="O175" s="43">
        <f>1+18/24/60</f>
        <v>1.0125</v>
      </c>
      <c r="P175" s="43">
        <f>1+48/24/60</f>
        <v>1.0333333333333334</v>
      </c>
      <c r="Q175" s="39"/>
      <c r="R175" s="42"/>
      <c r="S175" s="44">
        <f>MIP[[#This Row],[PT-1]]+MIP[[#This Row],[PT-2]]*2+MIP[[#This Row],[PT-3]]*3+MIP[[#This Row],[PT &gt; 3 Pontos]]</f>
        <v>19</v>
      </c>
      <c r="T17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175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175" s="41">
        <f>MIP[[#This Row],[Eficiência]]</f>
        <v>1.3664429485459075</v>
      </c>
      <c r="W17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75" s="39">
        <f>IF(MIP[[#This Row],[P.S]]-MIP[[#This Row],[P.E]]&lt;0,1+MIP[[#This Row],[P.S]]-MIP[[#This Row],[P.E]]-1/24,MIP[[#This Row],[P.S]]-MIP[[#This Row],[P.E]]-1/24)</f>
        <v>0.36666666666666675</v>
      </c>
      <c r="Y175" s="39">
        <f>MIP[[#This Row],[PT-1]]*$S$3+MIP[[#This Row],[PT-2]]*$T$3+MIP[[#This Row],[PT-3]]*$U$3+MIP[[#This Row],[PT &gt; 3 Pontos]]*$V$3</f>
        <v>0.44409395827741982</v>
      </c>
      <c r="Z175" s="39">
        <f>MIP[[#This Row],[HH disponível]]-MIP[[#This Row],[HH AC TOT]]</f>
        <v>0.3249999999999999</v>
      </c>
      <c r="AA175" s="38">
        <f>MIP[[#This Row],[HH Produtivo
Total]]/MIP[[#This Row],[HH Trabalhado]]</f>
        <v>1.3664429485459075</v>
      </c>
      <c r="AB175" s="38">
        <f>MIP[[#This Row],[HH Produtivo
Total]]/MIP[[#This Row],[HH disponível]]</f>
        <v>1.2111653407565992</v>
      </c>
      <c r="AC175" s="38">
        <f>MIP[[#This Row],[HH Trabalhado]]/MIP[[#This Row],[HH disponível]]</f>
        <v>0.88636363636363591</v>
      </c>
      <c r="AD175" s="37" t="str">
        <f>LEFT(MIP[[#This Row],[Equipe]], SEARCH("/",MIP[[#This Row],[Equipe]],1)-1)</f>
        <v xml:space="preserve">EDILTON </v>
      </c>
      <c r="AE175" s="37" t="str">
        <f>RIGHT(MIP[[#This Row],[Equipe]], LEN(MIP[[#This Row],[Equipe]])-SEARCH("/",MIP[[#This Row],[Equipe]],1))</f>
        <v xml:space="preserve"> GECIVALDO</v>
      </c>
      <c r="AF175" s="44">
        <f>COUNTIFS('[1]Tempo parado'!H:H,"&gt;="&amp;MIP[[#This Row],[S.B Sitrack]],'[1]Tempo parado'!I:I,"&lt;="&amp;MIP[[#This Row],[C.B Sitrack]],'[1]Tempo parado'!B:B,MIP[[#This Row],[Placa]])</f>
        <v>0</v>
      </c>
      <c r="AG175" s="36"/>
      <c r="AH175" s="35"/>
      <c r="AI175" s="34"/>
      <c r="AJ175" s="34"/>
      <c r="AK17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7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75" s="32">
        <f>SUMIFS('[1]Tempo parado'!J:J,'[1]Tempo parado'!H:H,"&gt;="&amp;MIP[[#This Row],[S.B Sitrack]],'[1]Tempo parado'!I:I,"&lt;="&amp;MIP[[#This Row],[C.B Sitrack]],'[1]Tempo parado'!B:B,MIP[[#This Row],[Placa]])</f>
        <v>0</v>
      </c>
      <c r="AN175" s="32" t="str">
        <f>IFERROR(MIP[[#This Row],[Tempo parado]]/(MIP[[#This Row],[C.B Sitrack]]-MIP[[#This Row],[S.B Sitrack]]),"")</f>
        <v/>
      </c>
      <c r="AO175" s="30"/>
      <c r="AP175" s="44">
        <f>IF(AND(MIP[Exc]=0,MIP[Previsto / Realizado]="Realizado"),MIP[Sem],0)</f>
        <v>0</v>
      </c>
      <c r="AQ175" s="29">
        <f>IF(AND(MIP[Exc]=0,MIP[Previsto / Realizado]="Realizado",ISBLANK(MIP[[#This Row],[S.B Sitrack]])=FALSE,ISBLANK(MIP[[#This Row],[C.B Sitrack]])=FALSE),MIP[Sem],0)</f>
        <v>0</v>
      </c>
    </row>
    <row r="176" spans="1:43" s="64" customFormat="1" x14ac:dyDescent="0.25">
      <c r="A176" s="11"/>
      <c r="B176" s="44">
        <f>WEEKNUM(MIP[[#This Row],[Data]])</f>
        <v>27</v>
      </c>
      <c r="C176" s="45">
        <v>42918</v>
      </c>
      <c r="D176" s="45"/>
      <c r="E176" s="35" t="s">
        <v>3</v>
      </c>
      <c r="F176" s="35" t="s">
        <v>2</v>
      </c>
      <c r="G176" s="35"/>
      <c r="H176" s="44">
        <v>2</v>
      </c>
      <c r="I176" s="44">
        <v>5</v>
      </c>
      <c r="J176" s="44">
        <v>1</v>
      </c>
      <c r="K176" s="44">
        <v>0</v>
      </c>
      <c r="L176" s="44">
        <v>0</v>
      </c>
      <c r="M176" s="43">
        <v>0.62361111111111112</v>
      </c>
      <c r="N176" s="43">
        <v>0.65416666666666667</v>
      </c>
      <c r="O176" s="43">
        <f>1+6/24/60</f>
        <v>1.0041666666666667</v>
      </c>
      <c r="P176" s="43">
        <f>1+33/24/60</f>
        <v>1.0229166666666667</v>
      </c>
      <c r="Q176" s="39"/>
      <c r="R176" s="42" t="s">
        <v>404</v>
      </c>
      <c r="S176" s="44">
        <f>MIP[[#This Row],[PT-1]]+MIP[[#This Row],[PT-2]]*2+MIP[[#This Row],[PT-3]]*3+MIP[[#This Row],[PT &gt; 3 Pontos]]</f>
        <v>7</v>
      </c>
      <c r="T17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4.9305555555555602E-2</v>
      </c>
      <c r="U176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4.9305555555555602E-2</v>
      </c>
      <c r="V176" s="41">
        <f>MIP[[#This Row],[Eficiência]]</f>
        <v>0.54823145156025566</v>
      </c>
      <c r="W17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76" s="39">
        <f>IF(MIP[[#This Row],[P.S]]-MIP[[#This Row],[P.E]]&lt;0,1+MIP[[#This Row],[P.S]]-MIP[[#This Row],[P.E]]-1/24,MIP[[#This Row],[P.S]]-MIP[[#This Row],[P.E]]-1/24)</f>
        <v>0.3576388888888889</v>
      </c>
      <c r="Y176" s="39">
        <f>MIP[[#This Row],[PT-1]]*$S$3+MIP[[#This Row],[PT-2]]*$T$3+MIP[[#This Row],[PT-3]]*$U$3+MIP[[#This Row],[PT &gt; 3 Pontos]]*$V$3</f>
        <v>0.16903803089774547</v>
      </c>
      <c r="Z176" s="39">
        <f>MIP[[#This Row],[HH disponível]]-MIP[[#This Row],[HH AC TOT]]</f>
        <v>0.30833333333333329</v>
      </c>
      <c r="AA176" s="38">
        <f>MIP[[#This Row],[HH Produtivo
Total]]/MIP[[#This Row],[HH Trabalhado]]</f>
        <v>0.54823145156025566</v>
      </c>
      <c r="AB176" s="38">
        <f>MIP[[#This Row],[HH Produtivo
Total]]/MIP[[#This Row],[HH disponível]]</f>
        <v>0.47265002814126889</v>
      </c>
      <c r="AC176" s="38">
        <f>MIP[[#This Row],[HH Trabalhado]]/MIP[[#This Row],[HH disponível]]</f>
        <v>0.86213592233009695</v>
      </c>
      <c r="AD176" s="37" t="str">
        <f>LEFT(MIP[[#This Row],[Equipe]], SEARCH("/",MIP[[#This Row],[Equipe]],1)-1)</f>
        <v xml:space="preserve">EDILTON </v>
      </c>
      <c r="AE176" s="37" t="str">
        <f>RIGHT(MIP[[#This Row],[Equipe]], LEN(MIP[[#This Row],[Equipe]])-SEARCH("/",MIP[[#This Row],[Equipe]],1))</f>
        <v xml:space="preserve"> GECIVALDO</v>
      </c>
      <c r="AF176" s="44">
        <f>COUNTIFS('[1]Tempo parado'!H:H,"&gt;="&amp;MIP[[#This Row],[S.B Sitrack]],'[1]Tempo parado'!I:I,"&lt;="&amp;MIP[[#This Row],[C.B Sitrack]],'[1]Tempo parado'!B:B,MIP[[#This Row],[Placa]])</f>
        <v>0</v>
      </c>
      <c r="AG176" s="36"/>
      <c r="AH176" s="35"/>
      <c r="AI176" s="34"/>
      <c r="AJ176" s="34"/>
      <c r="AK17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7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76" s="32">
        <f>SUMIFS('[1]Tempo parado'!J:J,'[1]Tempo parado'!H:H,"&gt;="&amp;MIP[[#This Row],[S.B Sitrack]],'[1]Tempo parado'!I:I,"&lt;="&amp;MIP[[#This Row],[C.B Sitrack]],'[1]Tempo parado'!B:B,MIP[[#This Row],[Placa]])</f>
        <v>0</v>
      </c>
      <c r="AN176" s="32" t="str">
        <f>IFERROR(MIP[[#This Row],[Tempo parado]]/(MIP[[#This Row],[C.B Sitrack]]-MIP[[#This Row],[S.B Sitrack]]),"")</f>
        <v/>
      </c>
      <c r="AO176" s="30"/>
      <c r="AP176" s="44">
        <f>IF(AND(MIP[Exc]=0,MIP[Previsto / Realizado]="Realizado"),MIP[Sem],0)</f>
        <v>27</v>
      </c>
      <c r="AQ176" s="29">
        <f>IF(AND(MIP[Exc]=0,MIP[Previsto / Realizado]="Realizado",ISBLANK(MIP[[#This Row],[S.B Sitrack]])=FALSE,ISBLANK(MIP[[#This Row],[C.B Sitrack]])=FALSE),MIP[Sem],0)</f>
        <v>0</v>
      </c>
    </row>
    <row r="177" spans="1:43" s="47" customFormat="1" x14ac:dyDescent="0.25">
      <c r="A177" s="11"/>
      <c r="B177" s="44">
        <f>WEEKNUM(MIP[[#This Row],[Data]])</f>
        <v>27</v>
      </c>
      <c r="C177" s="45">
        <v>42918</v>
      </c>
      <c r="D177" s="45"/>
      <c r="E177" s="35" t="s">
        <v>7</v>
      </c>
      <c r="F177" s="35" t="s">
        <v>5</v>
      </c>
      <c r="G177" s="35"/>
      <c r="H177" s="44">
        <v>2</v>
      </c>
      <c r="I177" s="44">
        <v>13</v>
      </c>
      <c r="J177" s="44">
        <v>2</v>
      </c>
      <c r="K177" s="44">
        <v>0</v>
      </c>
      <c r="L177" s="44">
        <v>0</v>
      </c>
      <c r="M177" s="43">
        <v>0.625</v>
      </c>
      <c r="N177" s="43">
        <v>0.64583333333333337</v>
      </c>
      <c r="O177" s="43">
        <f>1+18/24/60</f>
        <v>1.0125</v>
      </c>
      <c r="P177" s="43">
        <f>1+48/24/60</f>
        <v>1.0333333333333334</v>
      </c>
      <c r="Q177" s="39"/>
      <c r="R177" s="42"/>
      <c r="S177" s="44">
        <f>MIP[[#This Row],[PT-1]]+MIP[[#This Row],[PT-2]]*2+MIP[[#This Row],[PT-3]]*3+MIP[[#This Row],[PT &gt; 3 Pontos]]</f>
        <v>17</v>
      </c>
      <c r="T17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177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177" s="41">
        <f>MIP[[#This Row],[Eficiência]]</f>
        <v>1.2712419097609311</v>
      </c>
      <c r="W17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77" s="39">
        <f>IF(MIP[[#This Row],[P.S]]-MIP[[#This Row],[P.E]]&lt;0,1+MIP[[#This Row],[P.S]]-MIP[[#This Row],[P.E]]-1/24,MIP[[#This Row],[P.S]]-MIP[[#This Row],[P.E]]-1/24)</f>
        <v>0.36666666666666675</v>
      </c>
      <c r="Y177" s="39">
        <f>MIP[[#This Row],[PT-1]]*$S$3+MIP[[#This Row],[PT-2]]*$T$3+MIP[[#This Row],[PT-3]]*$U$3+MIP[[#This Row],[PT &gt; 3 Pontos]]*$V$3</f>
        <v>0.41315362067230249</v>
      </c>
      <c r="Z177" s="39">
        <f>MIP[[#This Row],[HH disponível]]-MIP[[#This Row],[HH AC TOT]]</f>
        <v>0.3249999999999999</v>
      </c>
      <c r="AA177" s="38">
        <f>MIP[[#This Row],[HH Produtivo
Total]]/MIP[[#This Row],[HH Trabalhado]]</f>
        <v>1.2712419097609311</v>
      </c>
      <c r="AB177" s="38">
        <f>MIP[[#This Row],[HH Produtivo
Total]]/MIP[[#This Row],[HH disponível]]</f>
        <v>1.1267826018335521</v>
      </c>
      <c r="AC177" s="38">
        <f>MIP[[#This Row],[HH Trabalhado]]/MIP[[#This Row],[HH disponível]]</f>
        <v>0.88636363636363591</v>
      </c>
      <c r="AD177" s="37" t="str">
        <f>LEFT(MIP[[#This Row],[Equipe]], SEARCH("/",MIP[[#This Row],[Equipe]],1)-1)</f>
        <v xml:space="preserve">ANDERSON </v>
      </c>
      <c r="AE177" s="37" t="str">
        <f>RIGHT(MIP[[#This Row],[Equipe]], LEN(MIP[[#This Row],[Equipe]])-SEARCH("/",MIP[[#This Row],[Equipe]],1))</f>
        <v xml:space="preserve"> MARCO</v>
      </c>
      <c r="AF177" s="44">
        <f>COUNTIFS('[1]Tempo parado'!H:H,"&gt;="&amp;MIP[[#This Row],[S.B Sitrack]],'[1]Tempo parado'!I:I,"&lt;="&amp;MIP[[#This Row],[C.B Sitrack]],'[1]Tempo parado'!B:B,MIP[[#This Row],[Placa]])</f>
        <v>0</v>
      </c>
      <c r="AG177" s="36"/>
      <c r="AH177" s="35"/>
      <c r="AI177" s="34"/>
      <c r="AJ177" s="34"/>
      <c r="AK17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7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77" s="32">
        <f>SUMIFS('[1]Tempo parado'!J:J,'[1]Tempo parado'!H:H,"&gt;="&amp;MIP[[#This Row],[S.B Sitrack]],'[1]Tempo parado'!I:I,"&lt;="&amp;MIP[[#This Row],[C.B Sitrack]],'[1]Tempo parado'!B:B,MIP[[#This Row],[Placa]])</f>
        <v>0</v>
      </c>
      <c r="AN177" s="32" t="str">
        <f>IFERROR(MIP[[#This Row],[Tempo parado]]/(MIP[[#This Row],[C.B Sitrack]]-MIP[[#This Row],[S.B Sitrack]]),"")</f>
        <v/>
      </c>
      <c r="AO177" s="30"/>
      <c r="AP177" s="44">
        <f>IF(AND(MIP[Exc]=0,MIP[Previsto / Realizado]="Realizado"),MIP[Sem],0)</f>
        <v>0</v>
      </c>
      <c r="AQ177" s="29">
        <f>IF(AND(MIP[Exc]=0,MIP[Previsto / Realizado]="Realizado",ISBLANK(MIP[[#This Row],[S.B Sitrack]])=FALSE,ISBLANK(MIP[[#This Row],[C.B Sitrack]])=FALSE),MIP[Sem],0)</f>
        <v>0</v>
      </c>
    </row>
    <row r="178" spans="1:43" s="64" customFormat="1" x14ac:dyDescent="0.25">
      <c r="A178" s="11"/>
      <c r="B178" s="44">
        <f>WEEKNUM(MIP[[#This Row],[Data]])</f>
        <v>27</v>
      </c>
      <c r="C178" s="45">
        <v>42918</v>
      </c>
      <c r="D178" s="45"/>
      <c r="E178" s="35" t="s">
        <v>7</v>
      </c>
      <c r="F178" s="35" t="s">
        <v>2</v>
      </c>
      <c r="G178" s="35"/>
      <c r="H178" s="44">
        <v>2</v>
      </c>
      <c r="I178" s="44">
        <v>6</v>
      </c>
      <c r="J178" s="44">
        <v>1</v>
      </c>
      <c r="K178" s="44">
        <v>0</v>
      </c>
      <c r="L178" s="44">
        <v>0</v>
      </c>
      <c r="M178" s="43">
        <v>0.63402777777777775</v>
      </c>
      <c r="N178" s="43">
        <v>0.65277777777777779</v>
      </c>
      <c r="O178" s="43">
        <f>1+44/24/60</f>
        <v>1.0305555555555554</v>
      </c>
      <c r="P178" s="43">
        <f>1+48/24/60</f>
        <v>1.0333333333333334</v>
      </c>
      <c r="Q178" s="39"/>
      <c r="R178" s="42" t="s">
        <v>370</v>
      </c>
      <c r="S178" s="44">
        <f>MIP[[#This Row],[PT-1]]+MIP[[#This Row],[PT-2]]*2+MIP[[#This Row],[PT-3]]*3+MIP[[#This Row],[PT &gt; 3 Pontos]]</f>
        <v>8</v>
      </c>
      <c r="T17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2.1527777777778034E-2</v>
      </c>
      <c r="U178" s="39">
        <f>IF(MIP[[#This Row],[P.S]]-MIP[[#This Row],[U.P]]&gt;=0,MIP[[#This Row],[P.S]]-MIP[[#This Row],[U.P]]+MIP[[#This Row],[S.B]]-MIP[[#This Row],[P.E]],1+MIP[[#This Row],[P.S]]-MIP[[#This Row],[U.P]]+MIP[[#This Row],[S.B]]-MIP[[#This Row],[P.E]])</f>
        <v>2.1527777777778034E-2</v>
      </c>
      <c r="V178" s="41">
        <f>MIP[[#This Row],[Eficiência]]</f>
        <v>0.5773801503174032</v>
      </c>
      <c r="W17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78" s="39">
        <f>IF(MIP[[#This Row],[P.S]]-MIP[[#This Row],[P.E]]&lt;0,1+MIP[[#This Row],[P.S]]-MIP[[#This Row],[P.E]]-1/24,MIP[[#This Row],[P.S]]-MIP[[#This Row],[P.E]]-1/24)</f>
        <v>0.35763888888888901</v>
      </c>
      <c r="Y178" s="39">
        <f>MIP[[#This Row],[PT-1]]*$S$3+MIP[[#This Row],[PT-2]]*$T$3+MIP[[#This Row],[PT-3]]*$U$3+MIP[[#This Row],[PT &gt; 3 Pontos]]*$V$3</f>
        <v>0.19406388385668266</v>
      </c>
      <c r="Z178" s="39">
        <f>MIP[[#This Row],[HH disponível]]-MIP[[#This Row],[HH AC TOT]]</f>
        <v>0.33611111111111097</v>
      </c>
      <c r="AA178" s="38">
        <f>MIP[[#This Row],[HH Produtivo
Total]]/MIP[[#This Row],[HH Trabalhado]]</f>
        <v>0.5773801503174032</v>
      </c>
      <c r="AB178" s="38">
        <f>MIP[[#This Row],[HH Produtivo
Total]]/MIP[[#This Row],[HH disponível]]</f>
        <v>0.54262522864781149</v>
      </c>
      <c r="AC178" s="38">
        <f>MIP[[#This Row],[HH Trabalhado]]/MIP[[#This Row],[HH disponível]]</f>
        <v>0.93980582524271772</v>
      </c>
      <c r="AD178" s="37" t="str">
        <f>LEFT(MIP[[#This Row],[Equipe]], SEARCH("/",MIP[[#This Row],[Equipe]],1)-1)</f>
        <v xml:space="preserve">ANDERSON </v>
      </c>
      <c r="AE178" s="37" t="str">
        <f>RIGHT(MIP[[#This Row],[Equipe]], LEN(MIP[[#This Row],[Equipe]])-SEARCH("/",MIP[[#This Row],[Equipe]],1))</f>
        <v xml:space="preserve"> MARCO</v>
      </c>
      <c r="AF178" s="44">
        <f>COUNTIFS('[1]Tempo parado'!H:H,"&gt;="&amp;MIP[[#This Row],[S.B Sitrack]],'[1]Tempo parado'!I:I,"&lt;="&amp;MIP[[#This Row],[C.B Sitrack]],'[1]Tempo parado'!B:B,MIP[[#This Row],[Placa]])</f>
        <v>0</v>
      </c>
      <c r="AG178" s="36"/>
      <c r="AH178" s="35"/>
      <c r="AI178" s="34"/>
      <c r="AJ178" s="34"/>
      <c r="AK17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7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78" s="32">
        <f>SUMIFS('[1]Tempo parado'!J:J,'[1]Tempo parado'!H:H,"&gt;="&amp;MIP[[#This Row],[S.B Sitrack]],'[1]Tempo parado'!I:I,"&lt;="&amp;MIP[[#This Row],[C.B Sitrack]],'[1]Tempo parado'!B:B,MIP[[#This Row],[Placa]])</f>
        <v>0</v>
      </c>
      <c r="AN178" s="32" t="str">
        <f>IFERROR(MIP[[#This Row],[Tempo parado]]/(MIP[[#This Row],[C.B Sitrack]]-MIP[[#This Row],[S.B Sitrack]]),"")</f>
        <v/>
      </c>
      <c r="AO178" s="30"/>
      <c r="AP178" s="44">
        <f>IF(AND(MIP[Exc]=0,MIP[Previsto / Realizado]="Realizado"),MIP[Sem],0)</f>
        <v>27</v>
      </c>
      <c r="AQ178" s="29">
        <f>IF(AND(MIP[Exc]=0,MIP[Previsto / Realizado]="Realizado",ISBLANK(MIP[[#This Row],[S.B Sitrack]])=FALSE,ISBLANK(MIP[[#This Row],[C.B Sitrack]])=FALSE),MIP[Sem],0)</f>
        <v>0</v>
      </c>
    </row>
    <row r="179" spans="1:43" s="47" customFormat="1" x14ac:dyDescent="0.25">
      <c r="A179" s="11"/>
      <c r="B179" s="44">
        <f>WEEKNUM(MIP[[#This Row],[Data]])</f>
        <v>27</v>
      </c>
      <c r="C179" s="45">
        <v>42919</v>
      </c>
      <c r="D179" s="45"/>
      <c r="E179" s="35" t="s">
        <v>10</v>
      </c>
      <c r="F179" s="35" t="s">
        <v>5</v>
      </c>
      <c r="G179" s="35"/>
      <c r="H179" s="44">
        <v>2</v>
      </c>
      <c r="I179" s="44">
        <v>4</v>
      </c>
      <c r="J179" s="44">
        <v>1</v>
      </c>
      <c r="K179" s="44">
        <v>0</v>
      </c>
      <c r="L179" s="44">
        <v>9</v>
      </c>
      <c r="M179" s="43">
        <v>0.25</v>
      </c>
      <c r="N179" s="43">
        <v>0.27083333333333331</v>
      </c>
      <c r="O179" s="43">
        <v>0.63750000000000007</v>
      </c>
      <c r="P179" s="43">
        <v>0.65833333333333333</v>
      </c>
      <c r="Q179" s="39"/>
      <c r="R179" s="42" t="s">
        <v>403</v>
      </c>
      <c r="S179" s="44">
        <f>MIP[[#This Row],[PT-1]]+MIP[[#This Row],[PT-2]]*2+MIP[[#This Row],[PT-3]]*3+MIP[[#This Row],[PT &gt; 3 Pontos]]</f>
        <v>15</v>
      </c>
      <c r="T17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179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179" s="41">
        <f>MIP[[#This Row],[Eficiência]]</f>
        <v>1.0038285411247367</v>
      </c>
      <c r="W17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79" s="39">
        <f>IF(MIP[[#This Row],[P.S]]-MIP[[#This Row],[P.E]]&lt;0,1+MIP[[#This Row],[P.S]]-MIP[[#This Row],[P.E]]-1/24,MIP[[#This Row],[P.S]]-MIP[[#This Row],[P.E]]-1/24)</f>
        <v>0.36666666666666664</v>
      </c>
      <c r="Y179" s="39">
        <f>MIP[[#This Row],[PT-1]]*$S$3+MIP[[#This Row],[PT-2]]*$T$3+MIP[[#This Row],[PT-3]]*$U$3+MIP[[#This Row],[PT &gt; 3 Pontos]]*$V$3</f>
        <v>0.3262442758655395</v>
      </c>
      <c r="Z179" s="39">
        <f>MIP[[#This Row],[HH disponível]]-MIP[[#This Row],[HH AC TOT]]</f>
        <v>0.32500000000000007</v>
      </c>
      <c r="AA179" s="38">
        <f>MIP[[#This Row],[HH Produtivo
Total]]/MIP[[#This Row],[HH Trabalhado]]</f>
        <v>1.0038285411247367</v>
      </c>
      <c r="AB179" s="38">
        <f>MIP[[#This Row],[HH Produtivo
Total]]/MIP[[#This Row],[HH disponível]]</f>
        <v>0.88975711599692597</v>
      </c>
      <c r="AC179" s="38">
        <f>MIP[[#This Row],[HH Trabalhado]]/MIP[[#This Row],[HH disponível]]</f>
        <v>0.88636363636363658</v>
      </c>
      <c r="AD179" s="37" t="str">
        <f>LEFT(MIP[[#This Row],[Equipe]], SEARCH("/",MIP[[#This Row],[Equipe]],1)-1)</f>
        <v xml:space="preserve">JOILSON </v>
      </c>
      <c r="AE179" s="37" t="str">
        <f>RIGHT(MIP[[#This Row],[Equipe]], LEN(MIP[[#This Row],[Equipe]])-SEARCH("/",MIP[[#This Row],[Equipe]],1))</f>
        <v xml:space="preserve"> VALDEI</v>
      </c>
      <c r="AF179" s="44">
        <f>COUNTIFS('[1]Tempo parado'!H:H,"&gt;="&amp;MIP[[#This Row],[S.B Sitrack]],'[1]Tempo parado'!I:I,"&lt;="&amp;MIP[[#This Row],[C.B Sitrack]],'[1]Tempo parado'!B:B,MIP[[#This Row],[Placa]])</f>
        <v>0</v>
      </c>
      <c r="AG179" s="36"/>
      <c r="AH179" s="35"/>
      <c r="AI179" s="34"/>
      <c r="AJ179" s="34"/>
      <c r="AK17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7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79" s="32">
        <f>SUMIFS('[1]Tempo parado'!J:J,'[1]Tempo parado'!H:H,"&gt;="&amp;MIP[[#This Row],[S.B Sitrack]],'[1]Tempo parado'!I:I,"&lt;="&amp;MIP[[#This Row],[C.B Sitrack]],'[1]Tempo parado'!B:B,MIP[[#This Row],[Placa]])</f>
        <v>0</v>
      </c>
      <c r="AN179" s="32" t="str">
        <f>IFERROR(MIP[[#This Row],[Tempo parado]]/(MIP[[#This Row],[C.B Sitrack]]-MIP[[#This Row],[S.B Sitrack]]),"")</f>
        <v/>
      </c>
      <c r="AO179" s="30"/>
      <c r="AP179" s="44">
        <f>IF(AND(MIP[Exc]=0,MIP[Previsto / Realizado]="Realizado"),MIP[Sem],0)</f>
        <v>0</v>
      </c>
      <c r="AQ179" s="29">
        <f>IF(AND(MIP[Exc]=0,MIP[Previsto / Realizado]="Realizado",ISBLANK(MIP[[#This Row],[S.B Sitrack]])=FALSE,ISBLANK(MIP[[#This Row],[C.B Sitrack]])=FALSE),MIP[Sem],0)</f>
        <v>0</v>
      </c>
    </row>
    <row r="180" spans="1:43" s="64" customFormat="1" x14ac:dyDescent="0.25">
      <c r="A180" s="11"/>
      <c r="B180" s="44">
        <f>WEEKNUM(MIP[[#This Row],[Data]])</f>
        <v>27</v>
      </c>
      <c r="C180" s="45">
        <v>42919</v>
      </c>
      <c r="D180" s="45"/>
      <c r="E180" s="35" t="s">
        <v>10</v>
      </c>
      <c r="F180" s="35" t="s">
        <v>2</v>
      </c>
      <c r="G180" s="35"/>
      <c r="H180" s="44">
        <v>2</v>
      </c>
      <c r="I180" s="44">
        <v>4</v>
      </c>
      <c r="J180" s="44">
        <v>1</v>
      </c>
      <c r="K180" s="44">
        <v>0</v>
      </c>
      <c r="L180" s="44">
        <f>5+2+2+2</f>
        <v>11</v>
      </c>
      <c r="M180" s="43">
        <v>0.2590277777777778</v>
      </c>
      <c r="N180" s="43">
        <v>0.2986111111111111</v>
      </c>
      <c r="O180" s="43">
        <v>0.65277777777777779</v>
      </c>
      <c r="P180" s="43">
        <v>0.66388888888888886</v>
      </c>
      <c r="Q180" s="39"/>
      <c r="R180" s="42" t="s">
        <v>402</v>
      </c>
      <c r="S180" s="44">
        <f>MIP[[#This Row],[PT-1]]+MIP[[#This Row],[PT-2]]*2+MIP[[#This Row],[PT-3]]*3+MIP[[#This Row],[PT &gt; 3 Pontos]]</f>
        <v>17</v>
      </c>
      <c r="T18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5.0694444444444375E-2</v>
      </c>
      <c r="U180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5.0694444444444375E-2</v>
      </c>
      <c r="V180" s="41">
        <f>MIP[[#This Row],[Eficiência]]</f>
        <v>1.1735689524065129</v>
      </c>
      <c r="W18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80" s="39">
        <f>IF(MIP[[#This Row],[P.S]]-MIP[[#This Row],[P.E]]&lt;0,1+MIP[[#This Row],[P.S]]-MIP[[#This Row],[P.E]]-1/24,MIP[[#This Row],[P.S]]-MIP[[#This Row],[P.E]]-1/24)</f>
        <v>0.36319444444444438</v>
      </c>
      <c r="Y180" s="39">
        <f>MIP[[#This Row],[PT-1]]*$S$3+MIP[[#This Row],[PT-2]]*$T$3+MIP[[#This Row],[PT-3]]*$U$3+MIP[[#This Row],[PT &gt; 3 Pontos]]*$V$3</f>
        <v>0.36674029762703531</v>
      </c>
      <c r="Z180" s="39">
        <f>MIP[[#This Row],[HH disponível]]-MIP[[#This Row],[HH AC TOT]]</f>
        <v>0.3125</v>
      </c>
      <c r="AA180" s="38">
        <f>MIP[[#This Row],[HH Produtivo
Total]]/MIP[[#This Row],[HH Trabalhado]]</f>
        <v>1.1735689524065129</v>
      </c>
      <c r="AB180" s="38">
        <f>MIP[[#This Row],[HH Produtivo
Total]]/MIP[[#This Row],[HH disponível]]</f>
        <v>1.009762960961627</v>
      </c>
      <c r="AC180" s="38">
        <f>MIP[[#This Row],[HH Trabalhado]]/MIP[[#This Row],[HH disponível]]</f>
        <v>0.86042065009560242</v>
      </c>
      <c r="AD180" s="37" t="str">
        <f>LEFT(MIP[[#This Row],[Equipe]], SEARCH("/",MIP[[#This Row],[Equipe]],1)-1)</f>
        <v xml:space="preserve">JOILSON </v>
      </c>
      <c r="AE180" s="37" t="str">
        <f>RIGHT(MIP[[#This Row],[Equipe]], LEN(MIP[[#This Row],[Equipe]])-SEARCH("/",MIP[[#This Row],[Equipe]],1))</f>
        <v xml:space="preserve"> VALDEI</v>
      </c>
      <c r="AF180" s="44">
        <f>COUNTIFS('[1]Tempo parado'!H:H,"&gt;="&amp;MIP[[#This Row],[S.B Sitrack]],'[1]Tempo parado'!I:I,"&lt;="&amp;MIP[[#This Row],[C.B Sitrack]],'[1]Tempo parado'!B:B,MIP[[#This Row],[Placa]])</f>
        <v>0</v>
      </c>
      <c r="AG180" s="36"/>
      <c r="AH180" s="35"/>
      <c r="AI180" s="34"/>
      <c r="AJ180" s="34"/>
      <c r="AK18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8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80" s="32">
        <f>SUMIFS('[1]Tempo parado'!J:J,'[1]Tempo parado'!H:H,"&gt;="&amp;MIP[[#This Row],[S.B Sitrack]],'[1]Tempo parado'!I:I,"&lt;="&amp;MIP[[#This Row],[C.B Sitrack]],'[1]Tempo parado'!B:B,MIP[[#This Row],[Placa]])</f>
        <v>0</v>
      </c>
      <c r="AN180" s="32" t="str">
        <f>IFERROR(MIP[[#This Row],[Tempo parado]]/(MIP[[#This Row],[C.B Sitrack]]-MIP[[#This Row],[S.B Sitrack]]),"")</f>
        <v/>
      </c>
      <c r="AO180" s="30"/>
      <c r="AP180" s="44">
        <f>IF(AND(MIP[Exc]=0,MIP[Previsto / Realizado]="Realizado"),MIP[Sem],0)</f>
        <v>27</v>
      </c>
      <c r="AQ180" s="29">
        <f>IF(AND(MIP[Exc]=0,MIP[Previsto / Realizado]="Realizado",ISBLANK(MIP[[#This Row],[S.B Sitrack]])=FALSE,ISBLANK(MIP[[#This Row],[C.B Sitrack]])=FALSE),MIP[Sem],0)</f>
        <v>0</v>
      </c>
    </row>
    <row r="181" spans="1:43" s="47" customFormat="1" x14ac:dyDescent="0.25">
      <c r="A181" s="11"/>
      <c r="B181" s="44">
        <f>WEEKNUM(MIP[[#This Row],[Data]])</f>
        <v>27</v>
      </c>
      <c r="C181" s="45">
        <v>42919</v>
      </c>
      <c r="D181" s="45"/>
      <c r="E181" s="35" t="s">
        <v>7</v>
      </c>
      <c r="F181" s="35" t="s">
        <v>5</v>
      </c>
      <c r="G181" s="35"/>
      <c r="H181" s="44">
        <v>2</v>
      </c>
      <c r="I181" s="44">
        <v>7</v>
      </c>
      <c r="J181" s="44">
        <v>3</v>
      </c>
      <c r="K181" s="44">
        <v>1</v>
      </c>
      <c r="L181" s="44">
        <v>0</v>
      </c>
      <c r="M181" s="43">
        <v>0.625</v>
      </c>
      <c r="N181" s="43">
        <v>0.64583333333333337</v>
      </c>
      <c r="O181" s="43">
        <f>1+18/24/60</f>
        <v>1.0125</v>
      </c>
      <c r="P181" s="43">
        <f>1+48/24/60</f>
        <v>1.0333333333333334</v>
      </c>
      <c r="Q181" s="39"/>
      <c r="R181" s="42"/>
      <c r="S181" s="44">
        <f>MIP[[#This Row],[PT-1]]+MIP[[#This Row],[PT-2]]*2+MIP[[#This Row],[PT-3]]*3+MIP[[#This Row],[PT &gt; 3 Pontos]]</f>
        <v>16</v>
      </c>
      <c r="T18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181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181" s="41">
        <f>MIP[[#This Row],[Eficiência]]</f>
        <v>1.1375352254428344</v>
      </c>
      <c r="W18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81" s="39">
        <f>IF(MIP[[#This Row],[P.S]]-MIP[[#This Row],[P.E]]&lt;0,1+MIP[[#This Row],[P.S]]-MIP[[#This Row],[P.E]]-1/24,MIP[[#This Row],[P.S]]-MIP[[#This Row],[P.E]]-1/24)</f>
        <v>0.36666666666666675</v>
      </c>
      <c r="Y181" s="39">
        <f>MIP[[#This Row],[PT-1]]*$S$3+MIP[[#This Row],[PT-2]]*$T$3+MIP[[#This Row],[PT-3]]*$U$3+MIP[[#This Row],[PT &gt; 3 Pontos]]*$V$3</f>
        <v>0.36969894826892102</v>
      </c>
      <c r="Z181" s="39">
        <f>MIP[[#This Row],[HH disponível]]-MIP[[#This Row],[HH AC TOT]]</f>
        <v>0.3249999999999999</v>
      </c>
      <c r="AA181" s="38">
        <f>MIP[[#This Row],[HH Produtivo
Total]]/MIP[[#This Row],[HH Trabalhado]]</f>
        <v>1.1375352254428344</v>
      </c>
      <c r="AB181" s="38">
        <f>MIP[[#This Row],[HH Produtivo
Total]]/MIP[[#This Row],[HH disponível]]</f>
        <v>1.008269858915239</v>
      </c>
      <c r="AC181" s="38">
        <f>MIP[[#This Row],[HH Trabalhado]]/MIP[[#This Row],[HH disponível]]</f>
        <v>0.88636363636363591</v>
      </c>
      <c r="AD181" s="37" t="str">
        <f>LEFT(MIP[[#This Row],[Equipe]], SEARCH("/",MIP[[#This Row],[Equipe]],1)-1)</f>
        <v xml:space="preserve">ANDERSON </v>
      </c>
      <c r="AE181" s="37" t="str">
        <f>RIGHT(MIP[[#This Row],[Equipe]], LEN(MIP[[#This Row],[Equipe]])-SEARCH("/",MIP[[#This Row],[Equipe]],1))</f>
        <v xml:space="preserve"> MARCO</v>
      </c>
      <c r="AF181" s="44">
        <f>COUNTIFS('[1]Tempo parado'!H:H,"&gt;="&amp;MIP[[#This Row],[S.B Sitrack]],'[1]Tempo parado'!I:I,"&lt;="&amp;MIP[[#This Row],[C.B Sitrack]],'[1]Tempo parado'!B:B,MIP[[#This Row],[Placa]])</f>
        <v>0</v>
      </c>
      <c r="AG181" s="36"/>
      <c r="AH181" s="35"/>
      <c r="AI181" s="34"/>
      <c r="AJ181" s="34"/>
      <c r="AK18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8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81" s="32">
        <f>SUMIFS('[1]Tempo parado'!J:J,'[1]Tempo parado'!H:H,"&gt;="&amp;MIP[[#This Row],[S.B Sitrack]],'[1]Tempo parado'!I:I,"&lt;="&amp;MIP[[#This Row],[C.B Sitrack]],'[1]Tempo parado'!B:B,MIP[[#This Row],[Placa]])</f>
        <v>0</v>
      </c>
      <c r="AN181" s="32" t="str">
        <f>IFERROR(MIP[[#This Row],[Tempo parado]]/(MIP[[#This Row],[C.B Sitrack]]-MIP[[#This Row],[S.B Sitrack]]),"")</f>
        <v/>
      </c>
      <c r="AO181" s="30"/>
      <c r="AP181" s="44">
        <f>IF(AND(MIP[Exc]=0,MIP[Previsto / Realizado]="Realizado"),MIP[Sem],0)</f>
        <v>0</v>
      </c>
      <c r="AQ181" s="29">
        <f>IF(AND(MIP[Exc]=0,MIP[Previsto / Realizado]="Realizado",ISBLANK(MIP[[#This Row],[S.B Sitrack]])=FALSE,ISBLANK(MIP[[#This Row],[C.B Sitrack]])=FALSE),MIP[Sem],0)</f>
        <v>0</v>
      </c>
    </row>
    <row r="182" spans="1:43" s="64" customFormat="1" x14ac:dyDescent="0.25">
      <c r="A182" s="11"/>
      <c r="B182" s="44">
        <f>WEEKNUM(MIP[[#This Row],[Data]])</f>
        <v>27</v>
      </c>
      <c r="C182" s="45">
        <v>42919</v>
      </c>
      <c r="D182" s="45"/>
      <c r="E182" s="35" t="s">
        <v>7</v>
      </c>
      <c r="F182" s="35" t="s">
        <v>2</v>
      </c>
      <c r="G182" s="35"/>
      <c r="H182" s="44">
        <v>2</v>
      </c>
      <c r="I182" s="44">
        <v>6</v>
      </c>
      <c r="J182" s="44">
        <v>3</v>
      </c>
      <c r="K182" s="44">
        <v>0</v>
      </c>
      <c r="L182" s="44">
        <v>0</v>
      </c>
      <c r="M182" s="43">
        <v>0.63263888888888886</v>
      </c>
      <c r="N182" s="43">
        <v>0.65972222222222221</v>
      </c>
      <c r="O182" s="43">
        <f>1+16/24/60</f>
        <v>1.0111111111111111</v>
      </c>
      <c r="P182" s="43">
        <f>1+49/24/60</f>
        <v>1.0340277777777778</v>
      </c>
      <c r="Q182" s="39"/>
      <c r="R182" s="42"/>
      <c r="S182" s="44">
        <f>MIP[[#This Row],[PT-1]]+MIP[[#This Row],[PT-2]]*2+MIP[[#This Row],[PT-3]]*3+MIP[[#This Row],[PT &gt; 3 Pontos]]</f>
        <v>12</v>
      </c>
      <c r="T18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5.0000000000000044E-2</v>
      </c>
      <c r="U182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5.0000000000000044E-2</v>
      </c>
      <c r="V182" s="41">
        <f>MIP[[#This Row],[Eficiência]]</f>
        <v>0.91011040163774592</v>
      </c>
      <c r="W18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82" s="39">
        <f>IF(MIP[[#This Row],[P.S]]-MIP[[#This Row],[P.E]]&lt;0,1+MIP[[#This Row],[P.S]]-MIP[[#This Row],[P.E]]-1/24,MIP[[#This Row],[P.S]]-MIP[[#This Row],[P.E]]-1/24)</f>
        <v>0.35972222222222222</v>
      </c>
      <c r="Y182" s="39">
        <f>MIP[[#This Row],[PT-1]]*$S$3+MIP[[#This Row],[PT-2]]*$T$3+MIP[[#This Row],[PT-3]]*$U$3+MIP[[#This Row],[PT &gt; 3 Pontos]]*$V$3</f>
        <v>0.28188141606280182</v>
      </c>
      <c r="Z182" s="39">
        <f>MIP[[#This Row],[HH disponível]]-MIP[[#This Row],[HH AC TOT]]</f>
        <v>0.30972222222222218</v>
      </c>
      <c r="AA182" s="38">
        <f>MIP[[#This Row],[HH Produtivo
Total]]/MIP[[#This Row],[HH Trabalhado]]</f>
        <v>0.91011040163774592</v>
      </c>
      <c r="AB182" s="38">
        <f>MIP[[#This Row],[HH Produtivo
Total]]/MIP[[#This Row],[HH disponível]]</f>
        <v>0.78360856974987381</v>
      </c>
      <c r="AC182" s="38">
        <f>MIP[[#This Row],[HH Trabalhado]]/MIP[[#This Row],[HH disponível]]</f>
        <v>0.86100386100386084</v>
      </c>
      <c r="AD182" s="37" t="str">
        <f>LEFT(MIP[[#This Row],[Equipe]], SEARCH("/",MIP[[#This Row],[Equipe]],1)-1)</f>
        <v xml:space="preserve">ANDERSON </v>
      </c>
      <c r="AE182" s="37" t="str">
        <f>RIGHT(MIP[[#This Row],[Equipe]], LEN(MIP[[#This Row],[Equipe]])-SEARCH("/",MIP[[#This Row],[Equipe]],1))</f>
        <v xml:space="preserve"> MARCO</v>
      </c>
      <c r="AF182" s="44">
        <f>COUNTIFS('[1]Tempo parado'!H:H,"&gt;="&amp;MIP[[#This Row],[S.B Sitrack]],'[1]Tempo parado'!I:I,"&lt;="&amp;MIP[[#This Row],[C.B Sitrack]],'[1]Tempo parado'!B:B,MIP[[#This Row],[Placa]])</f>
        <v>0</v>
      </c>
      <c r="AG182" s="36"/>
      <c r="AH182" s="35"/>
      <c r="AI182" s="34"/>
      <c r="AJ182" s="34"/>
      <c r="AK18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8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82" s="32">
        <f>SUMIFS('[1]Tempo parado'!J:J,'[1]Tempo parado'!H:H,"&gt;="&amp;MIP[[#This Row],[S.B Sitrack]],'[1]Tempo parado'!I:I,"&lt;="&amp;MIP[[#This Row],[C.B Sitrack]],'[1]Tempo parado'!B:B,MIP[[#This Row],[Placa]])</f>
        <v>0</v>
      </c>
      <c r="AN182" s="32" t="str">
        <f>IFERROR(MIP[[#This Row],[Tempo parado]]/(MIP[[#This Row],[C.B Sitrack]]-MIP[[#This Row],[S.B Sitrack]]),"")</f>
        <v/>
      </c>
      <c r="AO182" s="30"/>
      <c r="AP182" s="44">
        <f>IF(AND(MIP[Exc]=0,MIP[Previsto / Realizado]="Realizado"),MIP[Sem],0)</f>
        <v>27</v>
      </c>
      <c r="AQ182" s="29">
        <f>IF(AND(MIP[Exc]=0,MIP[Previsto / Realizado]="Realizado",ISBLANK(MIP[[#This Row],[S.B Sitrack]])=FALSE,ISBLANK(MIP[[#This Row],[C.B Sitrack]])=FALSE),MIP[Sem],0)</f>
        <v>0</v>
      </c>
    </row>
    <row r="183" spans="1:43" s="47" customFormat="1" x14ac:dyDescent="0.25">
      <c r="A183" s="11"/>
      <c r="B183" s="44">
        <f>WEEKNUM(MIP[[#This Row],[Data]])</f>
        <v>27</v>
      </c>
      <c r="C183" s="45">
        <v>42919</v>
      </c>
      <c r="D183" s="45"/>
      <c r="E183" s="35" t="s">
        <v>19</v>
      </c>
      <c r="F183" s="35" t="s">
        <v>5</v>
      </c>
      <c r="G183" s="35"/>
      <c r="H183" s="44">
        <v>2</v>
      </c>
      <c r="I183" s="44">
        <v>4</v>
      </c>
      <c r="J183" s="44">
        <v>1</v>
      </c>
      <c r="K183" s="44">
        <v>2</v>
      </c>
      <c r="L183" s="44">
        <v>12</v>
      </c>
      <c r="M183" s="43">
        <v>0.625</v>
      </c>
      <c r="N183" s="43">
        <v>0.64583333333333337</v>
      </c>
      <c r="O183" s="43">
        <f>1+18/24/60</f>
        <v>1.0125</v>
      </c>
      <c r="P183" s="43">
        <f>1+48/24/60</f>
        <v>1.0333333333333334</v>
      </c>
      <c r="Q183" s="39"/>
      <c r="R183" s="42"/>
      <c r="S183" s="44">
        <f>MIP[[#This Row],[PT-1]]+MIP[[#This Row],[PT-2]]*2+MIP[[#This Row],[PT-3]]*3+MIP[[#This Row],[PT &gt; 3 Pontos]]</f>
        <v>24</v>
      </c>
      <c r="T18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183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183" s="41">
        <f>MIP[[#This Row],[Eficiência]]</f>
        <v>1.577143590775838</v>
      </c>
      <c r="W18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83" s="39">
        <f>IF(MIP[[#This Row],[P.S]]-MIP[[#This Row],[P.E]]&lt;0,1+MIP[[#This Row],[P.S]]-MIP[[#This Row],[P.E]]-1/24,MIP[[#This Row],[P.S]]-MIP[[#This Row],[P.E]]-1/24)</f>
        <v>0.36666666666666675</v>
      </c>
      <c r="Y183" s="39">
        <f>MIP[[#This Row],[PT-1]]*$S$3+MIP[[#This Row],[PT-2]]*$T$3+MIP[[#This Row],[PT-3]]*$U$3+MIP[[#This Row],[PT &gt; 3 Pontos]]*$V$3</f>
        <v>0.51257166700214718</v>
      </c>
      <c r="Z183" s="39">
        <f>MIP[[#This Row],[HH disponível]]-MIP[[#This Row],[HH AC TOT]]</f>
        <v>0.3249999999999999</v>
      </c>
      <c r="AA183" s="38">
        <f>MIP[[#This Row],[HH Produtivo
Total]]/MIP[[#This Row],[HH Trabalhado]]</f>
        <v>1.577143590775838</v>
      </c>
      <c r="AB183" s="38">
        <f>MIP[[#This Row],[HH Produtivo
Total]]/MIP[[#This Row],[HH disponível]]</f>
        <v>1.3979227281876738</v>
      </c>
      <c r="AC183" s="38">
        <f>MIP[[#This Row],[HH Trabalhado]]/MIP[[#This Row],[HH disponível]]</f>
        <v>0.88636363636363591</v>
      </c>
      <c r="AD183" s="37" t="str">
        <f>LEFT(MIP[[#This Row],[Equipe]], SEARCH("/",MIP[[#This Row],[Equipe]],1)-1)</f>
        <v xml:space="preserve">ADEMÁRIO </v>
      </c>
      <c r="AE183" s="37" t="str">
        <f>RIGHT(MIP[[#This Row],[Equipe]], LEN(MIP[[#This Row],[Equipe]])-SEARCH("/",MIP[[#This Row],[Equipe]],1))</f>
        <v xml:space="preserve"> RONALDO</v>
      </c>
      <c r="AF183" s="44">
        <f>COUNTIFS('[1]Tempo parado'!H:H,"&gt;="&amp;MIP[[#This Row],[S.B Sitrack]],'[1]Tempo parado'!I:I,"&lt;="&amp;MIP[[#This Row],[C.B Sitrack]],'[1]Tempo parado'!B:B,MIP[[#This Row],[Placa]])</f>
        <v>0</v>
      </c>
      <c r="AG183" s="36"/>
      <c r="AH183" s="35"/>
      <c r="AI183" s="34"/>
      <c r="AJ183" s="34"/>
      <c r="AK18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8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83" s="32">
        <f>SUMIFS('[1]Tempo parado'!J:J,'[1]Tempo parado'!H:H,"&gt;="&amp;MIP[[#This Row],[S.B Sitrack]],'[1]Tempo parado'!I:I,"&lt;="&amp;MIP[[#This Row],[C.B Sitrack]],'[1]Tempo parado'!B:B,MIP[[#This Row],[Placa]])</f>
        <v>0</v>
      </c>
      <c r="AN183" s="32" t="str">
        <f>IFERROR(MIP[[#This Row],[Tempo parado]]/(MIP[[#This Row],[C.B Sitrack]]-MIP[[#This Row],[S.B Sitrack]]),"")</f>
        <v/>
      </c>
      <c r="AO183" s="30"/>
      <c r="AP183" s="44">
        <f>IF(AND(MIP[Exc]=0,MIP[Previsto / Realizado]="Realizado"),MIP[Sem],0)</f>
        <v>0</v>
      </c>
      <c r="AQ183" s="29">
        <f>IF(AND(MIP[Exc]=0,MIP[Previsto / Realizado]="Realizado",ISBLANK(MIP[[#This Row],[S.B Sitrack]])=FALSE,ISBLANK(MIP[[#This Row],[C.B Sitrack]])=FALSE),MIP[Sem],0)</f>
        <v>0</v>
      </c>
    </row>
    <row r="184" spans="1:43" s="64" customFormat="1" x14ac:dyDescent="0.25">
      <c r="A184" s="11"/>
      <c r="B184" s="44">
        <f>WEEKNUM(MIP[[#This Row],[Data]])</f>
        <v>27</v>
      </c>
      <c r="C184" s="45">
        <v>42919</v>
      </c>
      <c r="D184" s="45"/>
      <c r="E184" s="35" t="s">
        <v>19</v>
      </c>
      <c r="F184" s="35" t="s">
        <v>2</v>
      </c>
      <c r="G184" s="35"/>
      <c r="H184" s="44">
        <v>2</v>
      </c>
      <c r="I184" s="44">
        <v>4</v>
      </c>
      <c r="J184" s="44">
        <v>1</v>
      </c>
      <c r="K184" s="44">
        <v>2</v>
      </c>
      <c r="L184" s="44">
        <v>12</v>
      </c>
      <c r="M184" s="43">
        <v>0.67986111111111114</v>
      </c>
      <c r="N184" s="43">
        <v>0.68541666666666667</v>
      </c>
      <c r="O184" s="43">
        <f>1+32/24/60</f>
        <v>1.0222222222222221</v>
      </c>
      <c r="P184" s="43">
        <f>1+59/24/60</f>
        <v>1.0409722222222222</v>
      </c>
      <c r="Q184" s="39"/>
      <c r="R184" s="42"/>
      <c r="S184" s="44">
        <f>MIP[[#This Row],[PT-1]]+MIP[[#This Row],[PT-2]]*2+MIP[[#This Row],[PT-3]]*3+MIP[[#This Row],[PT &gt; 3 Pontos]]</f>
        <v>24</v>
      </c>
      <c r="T18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2.430555555555558E-2</v>
      </c>
      <c r="U184" s="39">
        <f>IF(MIP[[#This Row],[P.S]]-MIP[[#This Row],[U.P]]&gt;=0,MIP[[#This Row],[P.S]]-MIP[[#This Row],[U.P]]+MIP[[#This Row],[S.B]]-MIP[[#This Row],[P.E]],1+MIP[[#This Row],[P.S]]-MIP[[#This Row],[U.P]]+MIP[[#This Row],[S.B]]-MIP[[#This Row],[P.E]])</f>
        <v>2.430555555555558E-2</v>
      </c>
      <c r="V184" s="41">
        <f>MIP[[#This Row],[Eficiência]]</f>
        <v>1.7367134129013935</v>
      </c>
      <c r="W18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84" s="39">
        <f>IF(MIP[[#This Row],[P.S]]-MIP[[#This Row],[P.E]]&lt;0,1+MIP[[#This Row],[P.S]]-MIP[[#This Row],[P.E]]-1/24,MIP[[#This Row],[P.S]]-MIP[[#This Row],[P.E]]-1/24)</f>
        <v>0.31944444444444436</v>
      </c>
      <c r="Y184" s="39">
        <f>MIP[[#This Row],[PT-1]]*$S$3+MIP[[#This Row],[PT-2]]*$T$3+MIP[[#This Row],[PT-3]]*$U$3+MIP[[#This Row],[PT &gt; 3 Pontos]]*$V$3</f>
        <v>0.51257166700214718</v>
      </c>
      <c r="Z184" s="39">
        <f>MIP[[#This Row],[HH disponível]]-MIP[[#This Row],[HH AC TOT]]</f>
        <v>0.29513888888888878</v>
      </c>
      <c r="AA184" s="38">
        <f>MIP[[#This Row],[HH Produtivo
Total]]/MIP[[#This Row],[HH Trabalhado]]</f>
        <v>1.7367134129013935</v>
      </c>
      <c r="AB184" s="38">
        <f>MIP[[#This Row],[HH Produtivo
Total]]/MIP[[#This Row],[HH disponível]]</f>
        <v>1.6045721749632438</v>
      </c>
      <c r="AC184" s="38">
        <f>MIP[[#This Row],[HH Trabalhado]]/MIP[[#This Row],[HH disponível]]</f>
        <v>0.92391304347826075</v>
      </c>
      <c r="AD184" s="37" t="str">
        <f>LEFT(MIP[[#This Row],[Equipe]], SEARCH("/",MIP[[#This Row],[Equipe]],1)-1)</f>
        <v xml:space="preserve">ADEMÁRIO </v>
      </c>
      <c r="AE184" s="37" t="str">
        <f>RIGHT(MIP[[#This Row],[Equipe]], LEN(MIP[[#This Row],[Equipe]])-SEARCH("/",MIP[[#This Row],[Equipe]],1))</f>
        <v xml:space="preserve"> RONALDO</v>
      </c>
      <c r="AF184" s="44">
        <f>COUNTIFS('[1]Tempo parado'!H:H,"&gt;="&amp;MIP[[#This Row],[S.B Sitrack]],'[1]Tempo parado'!I:I,"&lt;="&amp;MIP[[#This Row],[C.B Sitrack]],'[1]Tempo parado'!B:B,MIP[[#This Row],[Placa]])</f>
        <v>0</v>
      </c>
      <c r="AG184" s="36"/>
      <c r="AH184" s="35"/>
      <c r="AI184" s="34"/>
      <c r="AJ184" s="34"/>
      <c r="AK18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8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84" s="32">
        <f>SUMIFS('[1]Tempo parado'!J:J,'[1]Tempo parado'!H:H,"&gt;="&amp;MIP[[#This Row],[S.B Sitrack]],'[1]Tempo parado'!I:I,"&lt;="&amp;MIP[[#This Row],[C.B Sitrack]],'[1]Tempo parado'!B:B,MIP[[#This Row],[Placa]])</f>
        <v>0</v>
      </c>
      <c r="AN184" s="32" t="str">
        <f>IFERROR(MIP[[#This Row],[Tempo parado]]/(MIP[[#This Row],[C.B Sitrack]]-MIP[[#This Row],[S.B Sitrack]]),"")</f>
        <v/>
      </c>
      <c r="AO184" s="30"/>
      <c r="AP184" s="44">
        <f>IF(AND(MIP[Exc]=0,MIP[Previsto / Realizado]="Realizado"),MIP[Sem],0)</f>
        <v>27</v>
      </c>
      <c r="AQ184" s="29">
        <f>IF(AND(MIP[Exc]=0,MIP[Previsto / Realizado]="Realizado",ISBLANK(MIP[[#This Row],[S.B Sitrack]])=FALSE,ISBLANK(MIP[[#This Row],[C.B Sitrack]])=FALSE),MIP[Sem],0)</f>
        <v>0</v>
      </c>
    </row>
    <row r="185" spans="1:43" s="47" customFormat="1" x14ac:dyDescent="0.25">
      <c r="A185" s="11"/>
      <c r="B185" s="44">
        <f>WEEKNUM(MIP[[#This Row],[Data]])</f>
        <v>27</v>
      </c>
      <c r="C185" s="45">
        <v>42919</v>
      </c>
      <c r="D185" s="45"/>
      <c r="E185" s="35" t="s">
        <v>389</v>
      </c>
      <c r="F185" s="35" t="s">
        <v>5</v>
      </c>
      <c r="G185" s="35"/>
      <c r="H185" s="44">
        <v>2</v>
      </c>
      <c r="I185" s="44">
        <v>8</v>
      </c>
      <c r="J185" s="44">
        <v>3</v>
      </c>
      <c r="K185" s="44">
        <v>1</v>
      </c>
      <c r="L185" s="44">
        <v>0</v>
      </c>
      <c r="M185" s="43">
        <v>0.625</v>
      </c>
      <c r="N185" s="43">
        <v>0.64583333333333337</v>
      </c>
      <c r="O185" s="43">
        <f>1+18/24/60</f>
        <v>1.0125</v>
      </c>
      <c r="P185" s="43">
        <f>1+48/24/60</f>
        <v>1.0333333333333334</v>
      </c>
      <c r="Q185" s="39"/>
      <c r="R185" s="42"/>
      <c r="S185" s="44">
        <f>MIP[[#This Row],[PT-1]]+MIP[[#This Row],[PT-2]]*2+MIP[[#This Row],[PT-3]]*3+MIP[[#This Row],[PT &gt; 3 Pontos]]</f>
        <v>17</v>
      </c>
      <c r="T18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185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185" s="41">
        <f>MIP[[#This Row],[Eficiência]]</f>
        <v>1.2145378499318717</v>
      </c>
      <c r="W18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85" s="39">
        <f>IF(MIP[[#This Row],[P.S]]-MIP[[#This Row],[P.E]]&lt;0,1+MIP[[#This Row],[P.S]]-MIP[[#This Row],[P.E]]-1/24,MIP[[#This Row],[P.S]]-MIP[[#This Row],[P.E]]-1/24)</f>
        <v>0.36666666666666675</v>
      </c>
      <c r="Y185" s="39">
        <f>MIP[[#This Row],[PT-1]]*$S$3+MIP[[#This Row],[PT-2]]*$T$3+MIP[[#This Row],[PT-3]]*$U$3+MIP[[#This Row],[PT &gt; 3 Pontos]]*$V$3</f>
        <v>0.39472480122785819</v>
      </c>
      <c r="Z185" s="39">
        <f>MIP[[#This Row],[HH disponível]]-MIP[[#This Row],[HH AC TOT]]</f>
        <v>0.3249999999999999</v>
      </c>
      <c r="AA185" s="38">
        <f>MIP[[#This Row],[HH Produtivo
Total]]/MIP[[#This Row],[HH Trabalhado]]</f>
        <v>1.2145378499318717</v>
      </c>
      <c r="AB185" s="38">
        <f>MIP[[#This Row],[HH Produtivo
Total]]/MIP[[#This Row],[HH disponível]]</f>
        <v>1.0765221851668858</v>
      </c>
      <c r="AC185" s="38">
        <f>MIP[[#This Row],[HH Trabalhado]]/MIP[[#This Row],[HH disponível]]</f>
        <v>0.88636363636363591</v>
      </c>
      <c r="AD185" s="37" t="str">
        <f>LEFT(MIP[[#This Row],[Equipe]], SEARCH("/",MIP[[#This Row],[Equipe]],1)-1)</f>
        <v xml:space="preserve">CLEBER </v>
      </c>
      <c r="AE185" s="37" t="str">
        <f>RIGHT(MIP[[#This Row],[Equipe]], LEN(MIP[[#This Row],[Equipe]])-SEARCH("/",MIP[[#This Row],[Equipe]],1))</f>
        <v xml:space="preserve"> HERVAL</v>
      </c>
      <c r="AF185" s="44">
        <f>COUNTIFS('[1]Tempo parado'!H:H,"&gt;="&amp;MIP[[#This Row],[S.B Sitrack]],'[1]Tempo parado'!I:I,"&lt;="&amp;MIP[[#This Row],[C.B Sitrack]],'[1]Tempo parado'!B:B,MIP[[#This Row],[Placa]])</f>
        <v>0</v>
      </c>
      <c r="AG185" s="36"/>
      <c r="AH185" s="35"/>
      <c r="AI185" s="34"/>
      <c r="AJ185" s="34"/>
      <c r="AK18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8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85" s="32">
        <f>SUMIFS('[1]Tempo parado'!J:J,'[1]Tempo parado'!H:H,"&gt;="&amp;MIP[[#This Row],[S.B Sitrack]],'[1]Tempo parado'!I:I,"&lt;="&amp;MIP[[#This Row],[C.B Sitrack]],'[1]Tempo parado'!B:B,MIP[[#This Row],[Placa]])</f>
        <v>0</v>
      </c>
      <c r="AN185" s="32" t="str">
        <f>IFERROR(MIP[[#This Row],[Tempo parado]]/(MIP[[#This Row],[C.B Sitrack]]-MIP[[#This Row],[S.B Sitrack]]),"")</f>
        <v/>
      </c>
      <c r="AO185" s="30"/>
      <c r="AP185" s="44">
        <f>IF(AND(MIP[Exc]=0,MIP[Previsto / Realizado]="Realizado"),MIP[Sem],0)</f>
        <v>0</v>
      </c>
      <c r="AQ185" s="29">
        <f>IF(AND(MIP[Exc]=0,MIP[Previsto / Realizado]="Realizado",ISBLANK(MIP[[#This Row],[S.B Sitrack]])=FALSE,ISBLANK(MIP[[#This Row],[C.B Sitrack]])=FALSE),MIP[Sem],0)</f>
        <v>0</v>
      </c>
    </row>
    <row r="186" spans="1:43" s="64" customFormat="1" x14ac:dyDescent="0.25">
      <c r="A186" s="11"/>
      <c r="B186" s="44">
        <f>WEEKNUM(MIP[[#This Row],[Data]])</f>
        <v>27</v>
      </c>
      <c r="C186" s="45">
        <v>42919</v>
      </c>
      <c r="D186" s="45"/>
      <c r="E186" s="35" t="s">
        <v>389</v>
      </c>
      <c r="F186" s="35" t="s">
        <v>2</v>
      </c>
      <c r="G186" s="35"/>
      <c r="H186" s="44">
        <v>2</v>
      </c>
      <c r="I186" s="44">
        <v>8</v>
      </c>
      <c r="J186" s="44">
        <v>3</v>
      </c>
      <c r="K186" s="44">
        <v>1</v>
      </c>
      <c r="L186" s="44">
        <v>0</v>
      </c>
      <c r="M186" s="43">
        <v>0.66388888888888886</v>
      </c>
      <c r="N186" s="43">
        <v>0.69444444444444453</v>
      </c>
      <c r="O186" s="43">
        <v>0.93055555555555547</v>
      </c>
      <c r="P186" s="43">
        <f>1+50/24/60</f>
        <v>1.0347222222222223</v>
      </c>
      <c r="Q186" s="39"/>
      <c r="R186" s="42"/>
      <c r="S186" s="44">
        <f>MIP[[#This Row],[PT-1]]+MIP[[#This Row],[PT-2]]*2+MIP[[#This Row],[PT-3]]*3+MIP[[#This Row],[PT &gt; 3 Pontos]]</f>
        <v>17</v>
      </c>
      <c r="T18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0.13472222222222252</v>
      </c>
      <c r="U186" s="39">
        <f>IF(MIP[[#This Row],[P.S]]-MIP[[#This Row],[U.P]]&gt;=0,MIP[[#This Row],[P.S]]-MIP[[#This Row],[U.P]]+MIP[[#This Row],[S.B]]-MIP[[#This Row],[P.E]],1+MIP[[#This Row],[P.S]]-MIP[[#This Row],[U.P]]+MIP[[#This Row],[S.B]]-MIP[[#This Row],[P.E]])</f>
        <v>0.13472222222222252</v>
      </c>
      <c r="V186" s="41">
        <f>MIP[[#This Row],[Eficiência]]</f>
        <v>2.0300132634575583</v>
      </c>
      <c r="W18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86" s="39">
        <f>IF(MIP[[#This Row],[P.S]]-MIP[[#This Row],[P.E]]&lt;0,1+MIP[[#This Row],[P.S]]-MIP[[#This Row],[P.E]]-1/24,MIP[[#This Row],[P.S]]-MIP[[#This Row],[P.E]]-1/24)</f>
        <v>0.32916666666666677</v>
      </c>
      <c r="Y186" s="39">
        <f>MIP[[#This Row],[PT-1]]*$S$3+MIP[[#This Row],[PT-2]]*$T$3+MIP[[#This Row],[PT-3]]*$U$3+MIP[[#This Row],[PT &gt; 3 Pontos]]*$V$3</f>
        <v>0.39472480122785819</v>
      </c>
      <c r="Z186" s="39">
        <f>MIP[[#This Row],[HH disponível]]-MIP[[#This Row],[HH AC TOT]]</f>
        <v>0.19444444444444425</v>
      </c>
      <c r="AA186" s="38">
        <f>MIP[[#This Row],[HH Produtivo
Total]]/MIP[[#This Row],[HH Trabalhado]]</f>
        <v>2.0300132634575583</v>
      </c>
      <c r="AB186" s="38">
        <f>MIP[[#This Row],[HH Produtivo
Total]]/MIP[[#This Row],[HH disponível]]</f>
        <v>1.1991639530972904</v>
      </c>
      <c r="AC186" s="38">
        <f>MIP[[#This Row],[HH Trabalhado]]/MIP[[#This Row],[HH disponível]]</f>
        <v>0.5907172995780583</v>
      </c>
      <c r="AD186" s="37" t="str">
        <f>LEFT(MIP[[#This Row],[Equipe]], SEARCH("/",MIP[[#This Row],[Equipe]],1)-1)</f>
        <v xml:space="preserve">CLEBER </v>
      </c>
      <c r="AE186" s="37" t="str">
        <f>RIGHT(MIP[[#This Row],[Equipe]], LEN(MIP[[#This Row],[Equipe]])-SEARCH("/",MIP[[#This Row],[Equipe]],1))</f>
        <v xml:space="preserve"> HERVAL</v>
      </c>
      <c r="AF186" s="44">
        <f>COUNTIFS('[1]Tempo parado'!H:H,"&gt;="&amp;MIP[[#This Row],[S.B Sitrack]],'[1]Tempo parado'!I:I,"&lt;="&amp;MIP[[#This Row],[C.B Sitrack]],'[1]Tempo parado'!B:B,MIP[[#This Row],[Placa]])</f>
        <v>0</v>
      </c>
      <c r="AG186" s="36"/>
      <c r="AH186" s="35"/>
      <c r="AI186" s="34"/>
      <c r="AJ186" s="34"/>
      <c r="AK18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8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86" s="32">
        <f>SUMIFS('[1]Tempo parado'!J:J,'[1]Tempo parado'!H:H,"&gt;="&amp;MIP[[#This Row],[S.B Sitrack]],'[1]Tempo parado'!I:I,"&lt;="&amp;MIP[[#This Row],[C.B Sitrack]],'[1]Tempo parado'!B:B,MIP[[#This Row],[Placa]])</f>
        <v>0</v>
      </c>
      <c r="AN186" s="32" t="str">
        <f>IFERROR(MIP[[#This Row],[Tempo parado]]/(MIP[[#This Row],[C.B Sitrack]]-MIP[[#This Row],[S.B Sitrack]]),"")</f>
        <v/>
      </c>
      <c r="AO186" s="30"/>
      <c r="AP186" s="44">
        <f>IF(AND(MIP[Exc]=0,MIP[Previsto / Realizado]="Realizado"),MIP[Sem],0)</f>
        <v>27</v>
      </c>
      <c r="AQ186" s="29">
        <f>IF(AND(MIP[Exc]=0,MIP[Previsto / Realizado]="Realizado",ISBLANK(MIP[[#This Row],[S.B Sitrack]])=FALSE,ISBLANK(MIP[[#This Row],[C.B Sitrack]])=FALSE),MIP[Sem],0)</f>
        <v>0</v>
      </c>
    </row>
    <row r="187" spans="1:43" s="47" customFormat="1" x14ac:dyDescent="0.25">
      <c r="A187" s="11"/>
      <c r="B187" s="44">
        <f>WEEKNUM(MIP[[#This Row],[Data]])</f>
        <v>27</v>
      </c>
      <c r="C187" s="45">
        <v>42920</v>
      </c>
      <c r="D187" s="45"/>
      <c r="E187" s="35" t="s">
        <v>10</v>
      </c>
      <c r="F187" s="35" t="s">
        <v>5</v>
      </c>
      <c r="G187" s="35"/>
      <c r="H187" s="44">
        <v>2</v>
      </c>
      <c r="I187" s="44">
        <v>9</v>
      </c>
      <c r="J187" s="44">
        <v>2</v>
      </c>
      <c r="K187" s="44">
        <v>2</v>
      </c>
      <c r="L187" s="44">
        <v>4</v>
      </c>
      <c r="M187" s="43">
        <v>0.25</v>
      </c>
      <c r="N187" s="43">
        <v>0.27083333333333331</v>
      </c>
      <c r="O187" s="43">
        <v>0.63750000000000007</v>
      </c>
      <c r="P187" s="43">
        <v>0.65833333333333333</v>
      </c>
      <c r="Q187" s="39"/>
      <c r="R187" s="42"/>
      <c r="S187" s="44">
        <f>MIP[[#This Row],[PT-1]]+MIP[[#This Row],[PT-2]]*2+MIP[[#This Row],[PT-3]]*3+MIP[[#This Row],[PT &gt; 3 Pontos]]</f>
        <v>23</v>
      </c>
      <c r="T18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187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187" s="41">
        <f>MIP[[#This Row],[Eficiência]]</f>
        <v>1.5988480333966437</v>
      </c>
      <c r="W18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87" s="39">
        <f>IF(MIP[[#This Row],[P.S]]-MIP[[#This Row],[P.E]]&lt;0,1+MIP[[#This Row],[P.S]]-MIP[[#This Row],[P.E]]-1/24,MIP[[#This Row],[P.S]]-MIP[[#This Row],[P.E]]-1/24)</f>
        <v>0.36666666666666664</v>
      </c>
      <c r="Y187" s="39">
        <f>MIP[[#This Row],[PT-1]]*$S$3+MIP[[#This Row],[PT-2]]*$T$3+MIP[[#This Row],[PT-3]]*$U$3+MIP[[#This Row],[PT &gt; 3 Pontos]]*$V$3</f>
        <v>0.51962561085390935</v>
      </c>
      <c r="Z187" s="39">
        <f>MIP[[#This Row],[HH disponível]]-MIP[[#This Row],[HH AC TOT]]</f>
        <v>0.32500000000000007</v>
      </c>
      <c r="AA187" s="38">
        <f>MIP[[#This Row],[HH Produtivo
Total]]/MIP[[#This Row],[HH Trabalhado]]</f>
        <v>1.5988480333966437</v>
      </c>
      <c r="AB187" s="38">
        <f>MIP[[#This Row],[HH Produtivo
Total]]/MIP[[#This Row],[HH disponível]]</f>
        <v>1.4171607568742983</v>
      </c>
      <c r="AC187" s="38">
        <f>MIP[[#This Row],[HH Trabalhado]]/MIP[[#This Row],[HH disponível]]</f>
        <v>0.88636363636363658</v>
      </c>
      <c r="AD187" s="37" t="str">
        <f>LEFT(MIP[[#This Row],[Equipe]], SEARCH("/",MIP[[#This Row],[Equipe]],1)-1)</f>
        <v xml:space="preserve">JOILSON </v>
      </c>
      <c r="AE187" s="37" t="str">
        <f>RIGHT(MIP[[#This Row],[Equipe]], LEN(MIP[[#This Row],[Equipe]])-SEARCH("/",MIP[[#This Row],[Equipe]],1))</f>
        <v xml:space="preserve"> VALDEI</v>
      </c>
      <c r="AF187" s="44">
        <f>COUNTIFS('[1]Tempo parado'!H:H,"&gt;="&amp;MIP[[#This Row],[S.B Sitrack]],'[1]Tempo parado'!I:I,"&lt;="&amp;MIP[[#This Row],[C.B Sitrack]],'[1]Tempo parado'!B:B,MIP[[#This Row],[Placa]])</f>
        <v>0</v>
      </c>
      <c r="AG187" s="36"/>
      <c r="AH187" s="35"/>
      <c r="AI187" s="34"/>
      <c r="AJ187" s="34"/>
      <c r="AK18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8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87" s="32">
        <f>SUMIFS('[1]Tempo parado'!J:J,'[1]Tempo parado'!H:H,"&gt;="&amp;MIP[[#This Row],[S.B Sitrack]],'[1]Tempo parado'!I:I,"&lt;="&amp;MIP[[#This Row],[C.B Sitrack]],'[1]Tempo parado'!B:B,MIP[[#This Row],[Placa]])</f>
        <v>0</v>
      </c>
      <c r="AN187" s="32" t="str">
        <f>IFERROR(MIP[[#This Row],[Tempo parado]]/(MIP[[#This Row],[C.B Sitrack]]-MIP[[#This Row],[S.B Sitrack]]),"")</f>
        <v/>
      </c>
      <c r="AO187" s="30"/>
      <c r="AP187" s="44">
        <f>IF(AND(MIP[Exc]=0,MIP[Previsto / Realizado]="Realizado"),MIP[Sem],0)</f>
        <v>0</v>
      </c>
      <c r="AQ187" s="29">
        <f>IF(AND(MIP[Exc]=0,MIP[Previsto / Realizado]="Realizado",ISBLANK(MIP[[#This Row],[S.B Sitrack]])=FALSE,ISBLANK(MIP[[#This Row],[C.B Sitrack]])=FALSE),MIP[Sem],0)</f>
        <v>0</v>
      </c>
    </row>
    <row r="188" spans="1:43" s="64" customFormat="1" x14ac:dyDescent="0.25">
      <c r="A188" s="11"/>
      <c r="B188" s="44">
        <f>WEEKNUM(MIP[[#This Row],[Data]])</f>
        <v>27</v>
      </c>
      <c r="C188" s="45">
        <v>42920</v>
      </c>
      <c r="D188" s="45"/>
      <c r="E188" s="35" t="s">
        <v>10</v>
      </c>
      <c r="F188" s="35" t="s">
        <v>2</v>
      </c>
      <c r="G188" s="35"/>
      <c r="H188" s="44">
        <v>2</v>
      </c>
      <c r="I188" s="44">
        <v>6</v>
      </c>
      <c r="J188" s="44">
        <v>1</v>
      </c>
      <c r="K188" s="44">
        <v>0</v>
      </c>
      <c r="L188" s="44">
        <v>3</v>
      </c>
      <c r="M188" s="43">
        <v>0.24861111111111112</v>
      </c>
      <c r="N188" s="43">
        <v>0.31041666666666667</v>
      </c>
      <c r="O188" s="43">
        <v>0.62222222222222223</v>
      </c>
      <c r="P188" s="43">
        <v>0.66041666666666665</v>
      </c>
      <c r="Q188" s="39"/>
      <c r="R188" s="42" t="s">
        <v>401</v>
      </c>
      <c r="S188" s="44">
        <f>MIP[[#This Row],[PT-1]]+MIP[[#This Row],[PT-2]]*2+MIP[[#This Row],[PT-3]]*3+MIP[[#This Row],[PT &gt; 3 Pontos]]</f>
        <v>11</v>
      </c>
      <c r="T18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9.9999999999999978E-2</v>
      </c>
      <c r="U188" s="39">
        <f>IF(MIP[[#This Row],[P.S]]-MIP[[#This Row],[U.P]]&gt;=0,MIP[[#This Row],[P.S]]-MIP[[#This Row],[U.P]]+MIP[[#This Row],[S.B]]-MIP[[#This Row],[P.E]],1+MIP[[#This Row],[P.S]]-MIP[[#This Row],[U.P]]+MIP[[#This Row],[S.B]]-MIP[[#This Row],[P.E]])</f>
        <v>9.9999999999999978E-2</v>
      </c>
      <c r="V188" s="41">
        <f>MIP[[#This Row],[Eficiência]]</f>
        <v>0.94324781428908477</v>
      </c>
      <c r="W18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88" s="39">
        <f>IF(MIP[[#This Row],[P.S]]-MIP[[#This Row],[P.E]]&lt;0,1+MIP[[#This Row],[P.S]]-MIP[[#This Row],[P.E]]-1/24,MIP[[#This Row],[P.S]]-MIP[[#This Row],[P.E]]-1/24)</f>
        <v>0.37013888888888885</v>
      </c>
      <c r="Y188" s="39">
        <f>MIP[[#This Row],[PT-1]]*$S$3+MIP[[#This Row],[PT-2]]*$T$3+MIP[[#This Row],[PT-3]]*$U$3+MIP[[#This Row],[PT &gt; 3 Pontos]]*$V$3</f>
        <v>0.25480791649892637</v>
      </c>
      <c r="Z188" s="39">
        <f>MIP[[#This Row],[HH disponível]]-MIP[[#This Row],[HH AC TOT]]</f>
        <v>0.27013888888888887</v>
      </c>
      <c r="AA188" s="38">
        <f>MIP[[#This Row],[HH Produtivo
Total]]/MIP[[#This Row],[HH Trabalhado]]</f>
        <v>0.94324781428908477</v>
      </c>
      <c r="AB188" s="38">
        <f>MIP[[#This Row],[HH Produtivo
Total]]/MIP[[#This Row],[HH disponível]]</f>
        <v>0.68841163181698684</v>
      </c>
      <c r="AC188" s="38">
        <f>MIP[[#This Row],[HH Trabalhado]]/MIP[[#This Row],[HH disponível]]</f>
        <v>0.72983114446529085</v>
      </c>
      <c r="AD188" s="37" t="str">
        <f>LEFT(MIP[[#This Row],[Equipe]], SEARCH("/",MIP[[#This Row],[Equipe]],1)-1)</f>
        <v xml:space="preserve">JOILSON </v>
      </c>
      <c r="AE188" s="37" t="str">
        <f>RIGHT(MIP[[#This Row],[Equipe]], LEN(MIP[[#This Row],[Equipe]])-SEARCH("/",MIP[[#This Row],[Equipe]],1))</f>
        <v xml:space="preserve"> VALDEI</v>
      </c>
      <c r="AF188" s="44">
        <f>COUNTIFS('[1]Tempo parado'!H:H,"&gt;="&amp;MIP[[#This Row],[S.B Sitrack]],'[1]Tempo parado'!I:I,"&lt;="&amp;MIP[[#This Row],[C.B Sitrack]],'[1]Tempo parado'!B:B,MIP[[#This Row],[Placa]])</f>
        <v>0</v>
      </c>
      <c r="AG188" s="36"/>
      <c r="AH188" s="35"/>
      <c r="AI188" s="34"/>
      <c r="AJ188" s="34"/>
      <c r="AK18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8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88" s="32">
        <f>SUMIFS('[1]Tempo parado'!J:J,'[1]Tempo parado'!H:H,"&gt;="&amp;MIP[[#This Row],[S.B Sitrack]],'[1]Tempo parado'!I:I,"&lt;="&amp;MIP[[#This Row],[C.B Sitrack]],'[1]Tempo parado'!B:B,MIP[[#This Row],[Placa]])</f>
        <v>0</v>
      </c>
      <c r="AN188" s="32" t="str">
        <f>IFERROR(MIP[[#This Row],[Tempo parado]]/(MIP[[#This Row],[C.B Sitrack]]-MIP[[#This Row],[S.B Sitrack]]),"")</f>
        <v/>
      </c>
      <c r="AO188" s="30"/>
      <c r="AP188" s="44">
        <f>IF(AND(MIP[Exc]=0,MIP[Previsto / Realizado]="Realizado"),MIP[Sem],0)</f>
        <v>27</v>
      </c>
      <c r="AQ188" s="29">
        <f>IF(AND(MIP[Exc]=0,MIP[Previsto / Realizado]="Realizado",ISBLANK(MIP[[#This Row],[S.B Sitrack]])=FALSE,ISBLANK(MIP[[#This Row],[C.B Sitrack]])=FALSE),MIP[Sem],0)</f>
        <v>0</v>
      </c>
    </row>
    <row r="189" spans="1:43" s="47" customFormat="1" x14ac:dyDescent="0.25">
      <c r="A189" s="11"/>
      <c r="B189" s="44">
        <f>WEEKNUM(MIP[[#This Row],[Data]])</f>
        <v>27</v>
      </c>
      <c r="C189" s="45">
        <v>42920</v>
      </c>
      <c r="D189" s="45"/>
      <c r="E189" s="35" t="s">
        <v>3</v>
      </c>
      <c r="F189" s="35" t="s">
        <v>5</v>
      </c>
      <c r="G189" s="35"/>
      <c r="H189" s="44">
        <v>2</v>
      </c>
      <c r="I189" s="44">
        <v>9</v>
      </c>
      <c r="J189" s="44">
        <v>4</v>
      </c>
      <c r="K189" s="44">
        <v>1</v>
      </c>
      <c r="L189" s="44">
        <v>0</v>
      </c>
      <c r="M189" s="43">
        <v>0.625</v>
      </c>
      <c r="N189" s="43">
        <v>0.64583333333333337</v>
      </c>
      <c r="O189" s="43">
        <f>1+18/24/60</f>
        <v>1.0125</v>
      </c>
      <c r="P189" s="43">
        <f>1+48/24/60</f>
        <v>1.0333333333333334</v>
      </c>
      <c r="Q189" s="39"/>
      <c r="R189" s="42"/>
      <c r="S189" s="44">
        <f>MIP[[#This Row],[PT-1]]+MIP[[#This Row],[PT-2]]*2+MIP[[#This Row],[PT-3]]*3+MIP[[#This Row],[PT &gt; 3 Pontos]]</f>
        <v>20</v>
      </c>
      <c r="T18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189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189" s="41">
        <f>MIP[[#This Row],[Eficiência]]</f>
        <v>1.426644370122631</v>
      </c>
      <c r="W18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89" s="39">
        <f>IF(MIP[[#This Row],[P.S]]-MIP[[#This Row],[P.E]]&lt;0,1+MIP[[#This Row],[P.S]]-MIP[[#This Row],[P.E]]-1/24,MIP[[#This Row],[P.S]]-MIP[[#This Row],[P.E]]-1/24)</f>
        <v>0.36666666666666675</v>
      </c>
      <c r="Y189" s="39">
        <f>MIP[[#This Row],[PT-1]]*$S$3+MIP[[#This Row],[PT-2]]*$T$3+MIP[[#This Row],[PT-3]]*$U$3+MIP[[#This Row],[PT &gt; 3 Pontos]]*$V$3</f>
        <v>0.46365942028985496</v>
      </c>
      <c r="Z189" s="39">
        <f>MIP[[#This Row],[HH disponível]]-MIP[[#This Row],[HH AC TOT]]</f>
        <v>0.3249999999999999</v>
      </c>
      <c r="AA189" s="38">
        <f>MIP[[#This Row],[HH Produtivo
Total]]/MIP[[#This Row],[HH Trabalhado]]</f>
        <v>1.426644370122631</v>
      </c>
      <c r="AB189" s="38">
        <f>MIP[[#This Row],[HH Produtivo
Total]]/MIP[[#This Row],[HH disponível]]</f>
        <v>1.2645256916996042</v>
      </c>
      <c r="AC189" s="38">
        <f>MIP[[#This Row],[HH Trabalhado]]/MIP[[#This Row],[HH disponível]]</f>
        <v>0.88636363636363591</v>
      </c>
      <c r="AD189" s="37" t="str">
        <f>LEFT(MIP[[#This Row],[Equipe]], SEARCH("/",MIP[[#This Row],[Equipe]],1)-1)</f>
        <v xml:space="preserve">EDILTON </v>
      </c>
      <c r="AE189" s="37" t="str">
        <f>RIGHT(MIP[[#This Row],[Equipe]], LEN(MIP[[#This Row],[Equipe]])-SEARCH("/",MIP[[#This Row],[Equipe]],1))</f>
        <v xml:space="preserve"> GECIVALDO</v>
      </c>
      <c r="AF189" s="44">
        <f>COUNTIFS('[1]Tempo parado'!H:H,"&gt;="&amp;MIP[[#This Row],[S.B Sitrack]],'[1]Tempo parado'!I:I,"&lt;="&amp;MIP[[#This Row],[C.B Sitrack]],'[1]Tempo parado'!B:B,MIP[[#This Row],[Placa]])</f>
        <v>0</v>
      </c>
      <c r="AG189" s="36"/>
      <c r="AH189" s="35"/>
      <c r="AI189" s="34"/>
      <c r="AJ189" s="34"/>
      <c r="AK18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8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89" s="32">
        <f>SUMIFS('[1]Tempo parado'!J:J,'[1]Tempo parado'!H:H,"&gt;="&amp;MIP[[#This Row],[S.B Sitrack]],'[1]Tempo parado'!I:I,"&lt;="&amp;MIP[[#This Row],[C.B Sitrack]],'[1]Tempo parado'!B:B,MIP[[#This Row],[Placa]])</f>
        <v>0</v>
      </c>
      <c r="AN189" s="32" t="str">
        <f>IFERROR(MIP[[#This Row],[Tempo parado]]/(MIP[[#This Row],[C.B Sitrack]]-MIP[[#This Row],[S.B Sitrack]]),"")</f>
        <v/>
      </c>
      <c r="AO189" s="30"/>
      <c r="AP189" s="44">
        <f>IF(AND(MIP[Exc]=0,MIP[Previsto / Realizado]="Realizado"),MIP[Sem],0)</f>
        <v>0</v>
      </c>
      <c r="AQ189" s="29">
        <f>IF(AND(MIP[Exc]=0,MIP[Previsto / Realizado]="Realizado",ISBLANK(MIP[[#This Row],[S.B Sitrack]])=FALSE,ISBLANK(MIP[[#This Row],[C.B Sitrack]])=FALSE),MIP[Sem],0)</f>
        <v>0</v>
      </c>
    </row>
    <row r="190" spans="1:43" s="64" customFormat="1" x14ac:dyDescent="0.25">
      <c r="A190" s="11"/>
      <c r="B190" s="44">
        <f>WEEKNUM(MIP[[#This Row],[Data]])</f>
        <v>27</v>
      </c>
      <c r="C190" s="45">
        <v>42920</v>
      </c>
      <c r="D190" s="45"/>
      <c r="E190" s="35" t="s">
        <v>3</v>
      </c>
      <c r="F190" s="35" t="s">
        <v>2</v>
      </c>
      <c r="G190" s="35"/>
      <c r="H190" s="44">
        <v>2</v>
      </c>
      <c r="I190" s="44">
        <v>5</v>
      </c>
      <c r="J190" s="44">
        <v>4</v>
      </c>
      <c r="K190" s="44">
        <v>0</v>
      </c>
      <c r="L190" s="44">
        <v>0</v>
      </c>
      <c r="M190" s="43">
        <v>0.62013888888888891</v>
      </c>
      <c r="N190" s="43">
        <v>0.65972222222222221</v>
      </c>
      <c r="O190" s="43">
        <f>1+22/24/60</f>
        <v>1.0152777777777777</v>
      </c>
      <c r="P190" s="43">
        <f>1+50/24/60</f>
        <v>1.0347222222222223</v>
      </c>
      <c r="Q190" s="39"/>
      <c r="R190" s="42" t="s">
        <v>400</v>
      </c>
      <c r="S190" s="44">
        <f>MIP[[#This Row],[PT-1]]+MIP[[#This Row],[PT-2]]*2+MIP[[#This Row],[PT-3]]*3+MIP[[#This Row],[PT &gt; 3 Pontos]]</f>
        <v>13</v>
      </c>
      <c r="T19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5.9027777777777901E-2</v>
      </c>
      <c r="U190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5.9027777777777901E-2</v>
      </c>
      <c r="V190" s="41">
        <f>MIP[[#This Row],[Eficiência]]</f>
        <v>0.95818724349108608</v>
      </c>
      <c r="W19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90" s="39">
        <f>IF(MIP[[#This Row],[P.S]]-MIP[[#This Row],[P.E]]&lt;0,1+MIP[[#This Row],[P.S]]-MIP[[#This Row],[P.E]]-1/24,MIP[[#This Row],[P.S]]-MIP[[#This Row],[P.E]]-1/24)</f>
        <v>0.37291666666666673</v>
      </c>
      <c r="Y190" s="39">
        <f>MIP[[#This Row],[PT-1]]*$S$3+MIP[[#This Row],[PT-2]]*$T$3+MIP[[#This Row],[PT-3]]*$U$3+MIP[[#This Row],[PT &gt; 3 Pontos]]*$V$3</f>
        <v>0.3007643292069242</v>
      </c>
      <c r="Z190" s="39">
        <f>MIP[[#This Row],[HH disponível]]-MIP[[#This Row],[HH AC TOT]]</f>
        <v>0.31388888888888883</v>
      </c>
      <c r="AA190" s="38">
        <f>MIP[[#This Row],[HH Produtivo
Total]]/MIP[[#This Row],[HH Trabalhado]]</f>
        <v>0.95818724349108608</v>
      </c>
      <c r="AB190" s="38">
        <f>MIP[[#This Row],[HH Produtivo
Total]]/MIP[[#This Row],[HH disponível]]</f>
        <v>0.80651887161633296</v>
      </c>
      <c r="AC190" s="38">
        <f>MIP[[#This Row],[HH Trabalhado]]/MIP[[#This Row],[HH disponível]]</f>
        <v>0.84171322160148943</v>
      </c>
      <c r="AD190" s="37" t="str">
        <f>LEFT(MIP[[#This Row],[Equipe]], SEARCH("/",MIP[[#This Row],[Equipe]],1)-1)</f>
        <v xml:space="preserve">EDILTON </v>
      </c>
      <c r="AE190" s="37" t="str">
        <f>RIGHT(MIP[[#This Row],[Equipe]], LEN(MIP[[#This Row],[Equipe]])-SEARCH("/",MIP[[#This Row],[Equipe]],1))</f>
        <v xml:space="preserve"> GECIVALDO</v>
      </c>
      <c r="AF190" s="44">
        <f>COUNTIFS('[1]Tempo parado'!H:H,"&gt;="&amp;MIP[[#This Row],[S.B Sitrack]],'[1]Tempo parado'!I:I,"&lt;="&amp;MIP[[#This Row],[C.B Sitrack]],'[1]Tempo parado'!B:B,MIP[[#This Row],[Placa]])</f>
        <v>0</v>
      </c>
      <c r="AG190" s="36"/>
      <c r="AH190" s="35"/>
      <c r="AI190" s="34"/>
      <c r="AJ190" s="34"/>
      <c r="AK19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9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90" s="32">
        <f>SUMIFS('[1]Tempo parado'!J:J,'[1]Tempo parado'!H:H,"&gt;="&amp;MIP[[#This Row],[S.B Sitrack]],'[1]Tempo parado'!I:I,"&lt;="&amp;MIP[[#This Row],[C.B Sitrack]],'[1]Tempo parado'!B:B,MIP[[#This Row],[Placa]])</f>
        <v>0</v>
      </c>
      <c r="AN190" s="32" t="str">
        <f>IFERROR(MIP[[#This Row],[Tempo parado]]/(MIP[[#This Row],[C.B Sitrack]]-MIP[[#This Row],[S.B Sitrack]]),"")</f>
        <v/>
      </c>
      <c r="AO190" s="30"/>
      <c r="AP190" s="44">
        <f>IF(AND(MIP[Exc]=0,MIP[Previsto / Realizado]="Realizado"),MIP[Sem],0)</f>
        <v>27</v>
      </c>
      <c r="AQ190" s="29">
        <f>IF(AND(MIP[Exc]=0,MIP[Previsto / Realizado]="Realizado",ISBLANK(MIP[[#This Row],[S.B Sitrack]])=FALSE,ISBLANK(MIP[[#This Row],[C.B Sitrack]])=FALSE),MIP[Sem],0)</f>
        <v>0</v>
      </c>
    </row>
    <row r="191" spans="1:43" s="47" customFormat="1" x14ac:dyDescent="0.25">
      <c r="A191" s="11"/>
      <c r="B191" s="44">
        <f>WEEKNUM(MIP[[#This Row],[Data]])</f>
        <v>27</v>
      </c>
      <c r="C191" s="45">
        <v>42920</v>
      </c>
      <c r="D191" s="45"/>
      <c r="E191" s="35" t="s">
        <v>19</v>
      </c>
      <c r="F191" s="35" t="s">
        <v>5</v>
      </c>
      <c r="G191" s="35"/>
      <c r="H191" s="44">
        <v>2</v>
      </c>
      <c r="I191" s="44">
        <v>6</v>
      </c>
      <c r="J191" s="44">
        <v>4</v>
      </c>
      <c r="K191" s="44">
        <v>1</v>
      </c>
      <c r="L191" s="44">
        <v>9</v>
      </c>
      <c r="M191" s="43">
        <v>0.625</v>
      </c>
      <c r="N191" s="43">
        <v>0.64583333333333337</v>
      </c>
      <c r="O191" s="43">
        <f>1+18/24/60</f>
        <v>1.0125</v>
      </c>
      <c r="P191" s="43">
        <f>1+48/24/60</f>
        <v>1.0333333333333334</v>
      </c>
      <c r="Q191" s="39"/>
      <c r="R191" s="42"/>
      <c r="S191" s="44">
        <f>MIP[[#This Row],[PT-1]]+MIP[[#This Row],[PT-2]]*2+MIP[[#This Row],[PT-3]]*3+MIP[[#This Row],[PT &gt; 3 Pontos]]</f>
        <v>26</v>
      </c>
      <c r="T19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191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191" s="41">
        <f>MIP[[#This Row],[Eficiência]]</f>
        <v>1.7563506441223837</v>
      </c>
      <c r="W19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91" s="39">
        <f>IF(MIP[[#This Row],[P.S]]-MIP[[#This Row],[P.E]]&lt;0,1+MIP[[#This Row],[P.S]]-MIP[[#This Row],[P.E]]-1/24,MIP[[#This Row],[P.S]]-MIP[[#This Row],[P.E]]-1/24)</f>
        <v>0.36666666666666675</v>
      </c>
      <c r="Y191" s="39">
        <f>MIP[[#This Row],[PT-1]]*$S$3+MIP[[#This Row],[PT-2]]*$T$3+MIP[[#This Row],[PT-3]]*$U$3+MIP[[#This Row],[PT &gt; 3 Pontos]]*$V$3</f>
        <v>0.57081395933977452</v>
      </c>
      <c r="Z191" s="39">
        <f>MIP[[#This Row],[HH disponível]]-MIP[[#This Row],[HH AC TOT]]</f>
        <v>0.3249999999999999</v>
      </c>
      <c r="AA191" s="38">
        <f>MIP[[#This Row],[HH Produtivo
Total]]/MIP[[#This Row],[HH Trabalhado]]</f>
        <v>1.7563506441223837</v>
      </c>
      <c r="AB191" s="38">
        <f>MIP[[#This Row],[HH Produtivo
Total]]/MIP[[#This Row],[HH disponível]]</f>
        <v>1.5567653436539302</v>
      </c>
      <c r="AC191" s="38">
        <f>MIP[[#This Row],[HH Trabalhado]]/MIP[[#This Row],[HH disponível]]</f>
        <v>0.88636363636363591</v>
      </c>
      <c r="AD191" s="37" t="str">
        <f>LEFT(MIP[[#This Row],[Equipe]], SEARCH("/",MIP[[#This Row],[Equipe]],1)-1)</f>
        <v xml:space="preserve">ADEMÁRIO </v>
      </c>
      <c r="AE191" s="37" t="str">
        <f>RIGHT(MIP[[#This Row],[Equipe]], LEN(MIP[[#This Row],[Equipe]])-SEARCH("/",MIP[[#This Row],[Equipe]],1))</f>
        <v xml:space="preserve"> RONALDO</v>
      </c>
      <c r="AF191" s="44">
        <f>COUNTIFS('[1]Tempo parado'!H:H,"&gt;="&amp;MIP[[#This Row],[S.B Sitrack]],'[1]Tempo parado'!I:I,"&lt;="&amp;MIP[[#This Row],[C.B Sitrack]],'[1]Tempo parado'!B:B,MIP[[#This Row],[Placa]])</f>
        <v>0</v>
      </c>
      <c r="AG191" s="36"/>
      <c r="AH191" s="35"/>
      <c r="AI191" s="34"/>
      <c r="AJ191" s="34"/>
      <c r="AK19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9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91" s="32">
        <f>SUMIFS('[1]Tempo parado'!J:J,'[1]Tempo parado'!H:H,"&gt;="&amp;MIP[[#This Row],[S.B Sitrack]],'[1]Tempo parado'!I:I,"&lt;="&amp;MIP[[#This Row],[C.B Sitrack]],'[1]Tempo parado'!B:B,MIP[[#This Row],[Placa]])</f>
        <v>0</v>
      </c>
      <c r="AN191" s="32" t="str">
        <f>IFERROR(MIP[[#This Row],[Tempo parado]]/(MIP[[#This Row],[C.B Sitrack]]-MIP[[#This Row],[S.B Sitrack]]),"")</f>
        <v/>
      </c>
      <c r="AO191" s="30"/>
      <c r="AP191" s="44">
        <f>IF(AND(MIP[Exc]=0,MIP[Previsto / Realizado]="Realizado"),MIP[Sem],0)</f>
        <v>0</v>
      </c>
      <c r="AQ191" s="29">
        <f>IF(AND(MIP[Exc]=0,MIP[Previsto / Realizado]="Realizado",ISBLANK(MIP[[#This Row],[S.B Sitrack]])=FALSE,ISBLANK(MIP[[#This Row],[C.B Sitrack]])=FALSE),MIP[Sem],0)</f>
        <v>0</v>
      </c>
    </row>
    <row r="192" spans="1:43" s="64" customFormat="1" x14ac:dyDescent="0.25">
      <c r="A192" s="11"/>
      <c r="B192" s="44">
        <f>WEEKNUM(MIP[[#This Row],[Data]])</f>
        <v>27</v>
      </c>
      <c r="C192" s="45">
        <v>42920</v>
      </c>
      <c r="D192" s="45"/>
      <c r="E192" s="35" t="s">
        <v>19</v>
      </c>
      <c r="F192" s="35" t="s">
        <v>2</v>
      </c>
      <c r="G192" s="35"/>
      <c r="H192" s="44">
        <v>2</v>
      </c>
      <c r="I192" s="44">
        <v>6</v>
      </c>
      <c r="J192" s="44">
        <v>1</v>
      </c>
      <c r="K192" s="44">
        <v>1</v>
      </c>
      <c r="L192" s="44">
        <v>0</v>
      </c>
      <c r="M192" s="43">
        <v>0.64027777777777783</v>
      </c>
      <c r="N192" s="43">
        <v>0.65972222222222221</v>
      </c>
      <c r="O192" s="43">
        <f>1+15/24/60</f>
        <v>1.0104166666666667</v>
      </c>
      <c r="P192" s="43">
        <f>1+50/24/60</f>
        <v>1.0347222222222223</v>
      </c>
      <c r="Q192" s="39"/>
      <c r="R192" s="42" t="s">
        <v>370</v>
      </c>
      <c r="S192" s="44">
        <f>MIP[[#This Row],[PT-1]]+MIP[[#This Row],[PT-2]]*2+MIP[[#This Row],[PT-3]]*3+MIP[[#This Row],[PT &gt; 3 Pontos]]</f>
        <v>11</v>
      </c>
      <c r="T19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4.3749999999999956E-2</v>
      </c>
      <c r="U192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4.3749999999999956E-2</v>
      </c>
      <c r="V192" s="41">
        <f>MIP[[#This Row],[Eficiência]]</f>
        <v>0.831173058133854</v>
      </c>
      <c r="W19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92" s="39">
        <f>IF(MIP[[#This Row],[P.S]]-MIP[[#This Row],[P.E]]&lt;0,1+MIP[[#This Row],[P.S]]-MIP[[#This Row],[P.E]]-1/24,MIP[[#This Row],[P.S]]-MIP[[#This Row],[P.E]]-1/24)</f>
        <v>0.3527777777777778</v>
      </c>
      <c r="Y192" s="39">
        <f>MIP[[#This Row],[PT-1]]*$S$3+MIP[[#This Row],[PT-2]]*$T$3+MIP[[#This Row],[PT-3]]*$U$3+MIP[[#This Row],[PT &gt; 3 Pontos]]*$V$3</f>
        <v>0.25685556310386465</v>
      </c>
      <c r="Z192" s="39">
        <f>MIP[[#This Row],[HH disponível]]-MIP[[#This Row],[HH AC TOT]]</f>
        <v>0.30902777777777785</v>
      </c>
      <c r="AA192" s="38">
        <f>MIP[[#This Row],[HH Produtivo
Total]]/MIP[[#This Row],[HH Trabalhado]]</f>
        <v>0.831173058133854</v>
      </c>
      <c r="AB192" s="38">
        <f>MIP[[#This Row],[HH Produtivo
Total]]/MIP[[#This Row],[HH disponível]]</f>
        <v>0.72809450958575805</v>
      </c>
      <c r="AC192" s="38">
        <f>MIP[[#This Row],[HH Trabalhado]]/MIP[[#This Row],[HH disponível]]</f>
        <v>0.87598425196850405</v>
      </c>
      <c r="AD192" s="37" t="str">
        <f>LEFT(MIP[[#This Row],[Equipe]], SEARCH("/",MIP[[#This Row],[Equipe]],1)-1)</f>
        <v xml:space="preserve">ADEMÁRIO </v>
      </c>
      <c r="AE192" s="37" t="str">
        <f>RIGHT(MIP[[#This Row],[Equipe]], LEN(MIP[[#This Row],[Equipe]])-SEARCH("/",MIP[[#This Row],[Equipe]],1))</f>
        <v xml:space="preserve"> RONALDO</v>
      </c>
      <c r="AF192" s="44">
        <f>COUNTIFS('[1]Tempo parado'!H:H,"&gt;="&amp;MIP[[#This Row],[S.B Sitrack]],'[1]Tempo parado'!I:I,"&lt;="&amp;MIP[[#This Row],[C.B Sitrack]],'[1]Tempo parado'!B:B,MIP[[#This Row],[Placa]])</f>
        <v>0</v>
      </c>
      <c r="AG192" s="36"/>
      <c r="AH192" s="35"/>
      <c r="AI192" s="34"/>
      <c r="AJ192" s="34"/>
      <c r="AK19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9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92" s="32">
        <f>SUMIFS('[1]Tempo parado'!J:J,'[1]Tempo parado'!H:H,"&gt;="&amp;MIP[[#This Row],[S.B Sitrack]],'[1]Tempo parado'!I:I,"&lt;="&amp;MIP[[#This Row],[C.B Sitrack]],'[1]Tempo parado'!B:B,MIP[[#This Row],[Placa]])</f>
        <v>0</v>
      </c>
      <c r="AN192" s="32" t="str">
        <f>IFERROR(MIP[[#This Row],[Tempo parado]]/(MIP[[#This Row],[C.B Sitrack]]-MIP[[#This Row],[S.B Sitrack]]),"")</f>
        <v/>
      </c>
      <c r="AO192" s="30"/>
      <c r="AP192" s="44">
        <f>IF(AND(MIP[Exc]=0,MIP[Previsto / Realizado]="Realizado"),MIP[Sem],0)</f>
        <v>27</v>
      </c>
      <c r="AQ192" s="29">
        <f>IF(AND(MIP[Exc]=0,MIP[Previsto / Realizado]="Realizado",ISBLANK(MIP[[#This Row],[S.B Sitrack]])=FALSE,ISBLANK(MIP[[#This Row],[C.B Sitrack]])=FALSE),MIP[Sem],0)</f>
        <v>0</v>
      </c>
    </row>
    <row r="193" spans="1:43" s="47" customFormat="1" x14ac:dyDescent="0.25">
      <c r="A193" s="11"/>
      <c r="B193" s="44">
        <f>WEEKNUM(MIP[[#This Row],[Data]])</f>
        <v>27</v>
      </c>
      <c r="C193" s="45">
        <v>42921</v>
      </c>
      <c r="D193" s="45"/>
      <c r="E193" s="35" t="s">
        <v>10</v>
      </c>
      <c r="F193" s="35" t="s">
        <v>5</v>
      </c>
      <c r="G193" s="35"/>
      <c r="H193" s="44">
        <v>2</v>
      </c>
      <c r="I193" s="44">
        <v>6</v>
      </c>
      <c r="J193" s="44">
        <v>2</v>
      </c>
      <c r="K193" s="44">
        <v>3</v>
      </c>
      <c r="L193" s="44">
        <v>0</v>
      </c>
      <c r="M193" s="43">
        <v>0.25</v>
      </c>
      <c r="N193" s="43">
        <v>0.27083333333333331</v>
      </c>
      <c r="O193" s="43">
        <v>0.63750000000000007</v>
      </c>
      <c r="P193" s="43">
        <v>0.65833333333333333</v>
      </c>
      <c r="Q193" s="39"/>
      <c r="R193" s="42"/>
      <c r="S193" s="44">
        <f>MIP[[#This Row],[PT-1]]+MIP[[#This Row],[PT-2]]*2+MIP[[#This Row],[PT-3]]*3+MIP[[#This Row],[PT &gt; 3 Pontos]]</f>
        <v>19</v>
      </c>
      <c r="T19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193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193" s="41">
        <f>MIP[[#This Row],[Eficiência]]</f>
        <v>1.3118390390808865</v>
      </c>
      <c r="W19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93" s="39">
        <f>IF(MIP[[#This Row],[P.S]]-MIP[[#This Row],[P.E]]&lt;0,1+MIP[[#This Row],[P.S]]-MIP[[#This Row],[P.E]]-1/24,MIP[[#This Row],[P.S]]-MIP[[#This Row],[P.E]]-1/24)</f>
        <v>0.36666666666666664</v>
      </c>
      <c r="Y193" s="39">
        <f>MIP[[#This Row],[PT-1]]*$S$3+MIP[[#This Row],[PT-2]]*$T$3+MIP[[#This Row],[PT-3]]*$U$3+MIP[[#This Row],[PT &gt; 3 Pontos]]*$V$3</f>
        <v>0.42634768770128822</v>
      </c>
      <c r="Z193" s="39">
        <f>MIP[[#This Row],[HH disponível]]-MIP[[#This Row],[HH AC TOT]]</f>
        <v>0.32500000000000007</v>
      </c>
      <c r="AA193" s="38">
        <f>MIP[[#This Row],[HH Produtivo
Total]]/MIP[[#This Row],[HH Trabalhado]]</f>
        <v>1.3118390390808865</v>
      </c>
      <c r="AB193" s="38">
        <f>MIP[[#This Row],[HH Produtivo
Total]]/MIP[[#This Row],[HH disponível]]</f>
        <v>1.1627664210035134</v>
      </c>
      <c r="AC193" s="38">
        <f>MIP[[#This Row],[HH Trabalhado]]/MIP[[#This Row],[HH disponível]]</f>
        <v>0.88636363636363658</v>
      </c>
      <c r="AD193" s="37" t="str">
        <f>LEFT(MIP[[#This Row],[Equipe]], SEARCH("/",MIP[[#This Row],[Equipe]],1)-1)</f>
        <v xml:space="preserve">JOILSON </v>
      </c>
      <c r="AE193" s="37" t="str">
        <f>RIGHT(MIP[[#This Row],[Equipe]], LEN(MIP[[#This Row],[Equipe]])-SEARCH("/",MIP[[#This Row],[Equipe]],1))</f>
        <v xml:space="preserve"> VALDEI</v>
      </c>
      <c r="AF193" s="44">
        <f>COUNTIFS('[1]Tempo parado'!H:H,"&gt;="&amp;MIP[[#This Row],[S.B Sitrack]],'[1]Tempo parado'!I:I,"&lt;="&amp;MIP[[#This Row],[C.B Sitrack]],'[1]Tempo parado'!B:B,MIP[[#This Row],[Placa]])</f>
        <v>0</v>
      </c>
      <c r="AG193" s="36"/>
      <c r="AH193" s="35"/>
      <c r="AI193" s="34"/>
      <c r="AJ193" s="34"/>
      <c r="AK19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9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93" s="32">
        <f>SUMIFS('[1]Tempo parado'!J:J,'[1]Tempo parado'!H:H,"&gt;="&amp;MIP[[#This Row],[S.B Sitrack]],'[1]Tempo parado'!I:I,"&lt;="&amp;MIP[[#This Row],[C.B Sitrack]],'[1]Tempo parado'!B:B,MIP[[#This Row],[Placa]])</f>
        <v>0</v>
      </c>
      <c r="AN193" s="32" t="str">
        <f>IFERROR(MIP[[#This Row],[Tempo parado]]/(MIP[[#This Row],[C.B Sitrack]]-MIP[[#This Row],[S.B Sitrack]]),"")</f>
        <v/>
      </c>
      <c r="AO193" s="30"/>
      <c r="AP193" s="44">
        <f>IF(AND(MIP[Exc]=0,MIP[Previsto / Realizado]="Realizado"),MIP[Sem],0)</f>
        <v>0</v>
      </c>
      <c r="AQ193" s="29">
        <f>IF(AND(MIP[Exc]=0,MIP[Previsto / Realizado]="Realizado",ISBLANK(MIP[[#This Row],[S.B Sitrack]])=FALSE,ISBLANK(MIP[[#This Row],[C.B Sitrack]])=FALSE),MIP[Sem],0)</f>
        <v>0</v>
      </c>
    </row>
    <row r="194" spans="1:43" s="64" customFormat="1" x14ac:dyDescent="0.25">
      <c r="A194" s="11"/>
      <c r="B194" s="44">
        <f>WEEKNUM(MIP[[#This Row],[Data]])</f>
        <v>27</v>
      </c>
      <c r="C194" s="45">
        <v>42921</v>
      </c>
      <c r="D194" s="45"/>
      <c r="E194" s="35" t="s">
        <v>10</v>
      </c>
      <c r="F194" s="35" t="s">
        <v>2</v>
      </c>
      <c r="G194" s="35"/>
      <c r="H194" s="44">
        <v>2</v>
      </c>
      <c r="I194" s="44">
        <v>5</v>
      </c>
      <c r="J194" s="44">
        <v>2</v>
      </c>
      <c r="K194" s="44">
        <v>2</v>
      </c>
      <c r="L194" s="44">
        <v>0</v>
      </c>
      <c r="M194" s="43">
        <v>0.24722222222222223</v>
      </c>
      <c r="N194" s="43">
        <v>0.27083333333333331</v>
      </c>
      <c r="O194" s="43">
        <v>0.65138888888888891</v>
      </c>
      <c r="P194" s="43">
        <v>0.70208333333333339</v>
      </c>
      <c r="Q194" s="39"/>
      <c r="R194" s="42"/>
      <c r="S194" s="44">
        <f>MIP[[#This Row],[PT-1]]+MIP[[#This Row],[PT-2]]*2+MIP[[#This Row],[PT-3]]*3+MIP[[#This Row],[PT &gt; 3 Pontos]]</f>
        <v>15</v>
      </c>
      <c r="T19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7.4305555555555569E-2</v>
      </c>
      <c r="U194" s="39">
        <f>IF(MIP[[#This Row],[P.S]]-MIP[[#This Row],[U.P]]&gt;=0,MIP[[#This Row],[P.S]]-MIP[[#This Row],[U.P]]+MIP[[#This Row],[S.B]]-MIP[[#This Row],[P.E]],1+MIP[[#This Row],[P.S]]-MIP[[#This Row],[U.P]]+MIP[[#This Row],[S.B]]-MIP[[#This Row],[P.E]])</f>
        <v>7.4305555555555569E-2</v>
      </c>
      <c r="V194" s="41">
        <f>MIP[[#This Row],[Eficiência]]</f>
        <v>0.99894144244476102</v>
      </c>
      <c r="W19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94" s="39">
        <f>IF(MIP[[#This Row],[P.S]]-MIP[[#This Row],[P.E]]&lt;0,1+MIP[[#This Row],[P.S]]-MIP[[#This Row],[P.E]]-1/24,MIP[[#This Row],[P.S]]-MIP[[#This Row],[P.E]]-1/24)</f>
        <v>0.41319444444444448</v>
      </c>
      <c r="Y194" s="39">
        <f>MIP[[#This Row],[PT-1]]*$S$3+MIP[[#This Row],[PT-2]]*$T$3+MIP[[#This Row],[PT-3]]*$U$3+MIP[[#This Row],[PT &gt; 3 Pontos]]*$V$3</f>
        <v>0.33853015549516902</v>
      </c>
      <c r="Z194" s="39">
        <f>MIP[[#This Row],[HH disponível]]-MIP[[#This Row],[HH AC TOT]]</f>
        <v>0.33888888888888891</v>
      </c>
      <c r="AA194" s="38">
        <f>MIP[[#This Row],[HH Produtivo
Total]]/MIP[[#This Row],[HH Trabalhado]]</f>
        <v>0.99894144244476102</v>
      </c>
      <c r="AB194" s="38">
        <f>MIP[[#This Row],[HH Produtivo
Total]]/MIP[[#This Row],[HH disponível]]</f>
        <v>0.8192998721227619</v>
      </c>
      <c r="AC194" s="38">
        <f>MIP[[#This Row],[HH Trabalhado]]/MIP[[#This Row],[HH disponível]]</f>
        <v>0.82016806722689073</v>
      </c>
      <c r="AD194" s="37" t="str">
        <f>LEFT(MIP[[#This Row],[Equipe]], SEARCH("/",MIP[[#This Row],[Equipe]],1)-1)</f>
        <v xml:space="preserve">JOILSON </v>
      </c>
      <c r="AE194" s="37" t="str">
        <f>RIGHT(MIP[[#This Row],[Equipe]], LEN(MIP[[#This Row],[Equipe]])-SEARCH("/",MIP[[#This Row],[Equipe]],1))</f>
        <v xml:space="preserve"> VALDEI</v>
      </c>
      <c r="AF194" s="44">
        <f>COUNTIFS('[1]Tempo parado'!H:H,"&gt;="&amp;MIP[[#This Row],[S.B Sitrack]],'[1]Tempo parado'!I:I,"&lt;="&amp;MIP[[#This Row],[C.B Sitrack]],'[1]Tempo parado'!B:B,MIP[[#This Row],[Placa]])</f>
        <v>0</v>
      </c>
      <c r="AG194" s="36"/>
      <c r="AH194" s="35"/>
      <c r="AI194" s="34"/>
      <c r="AJ194" s="34"/>
      <c r="AK19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9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94" s="32">
        <f>SUMIFS('[1]Tempo parado'!J:J,'[1]Tempo parado'!H:H,"&gt;="&amp;MIP[[#This Row],[S.B Sitrack]],'[1]Tempo parado'!I:I,"&lt;="&amp;MIP[[#This Row],[C.B Sitrack]],'[1]Tempo parado'!B:B,MIP[[#This Row],[Placa]])</f>
        <v>0</v>
      </c>
      <c r="AN194" s="32" t="str">
        <f>IFERROR(MIP[[#This Row],[Tempo parado]]/(MIP[[#This Row],[C.B Sitrack]]-MIP[[#This Row],[S.B Sitrack]]),"")</f>
        <v/>
      </c>
      <c r="AO194" s="30"/>
      <c r="AP194" s="44">
        <f>IF(AND(MIP[Exc]=0,MIP[Previsto / Realizado]="Realizado"),MIP[Sem],0)</f>
        <v>27</v>
      </c>
      <c r="AQ194" s="29">
        <f>IF(AND(MIP[Exc]=0,MIP[Previsto / Realizado]="Realizado",ISBLANK(MIP[[#This Row],[S.B Sitrack]])=FALSE,ISBLANK(MIP[[#This Row],[C.B Sitrack]])=FALSE),MIP[Sem],0)</f>
        <v>0</v>
      </c>
    </row>
    <row r="195" spans="1:43" s="47" customFormat="1" x14ac:dyDescent="0.25">
      <c r="A195" s="11"/>
      <c r="B195" s="44">
        <f>WEEKNUM(MIP[[#This Row],[Data]])</f>
        <v>27</v>
      </c>
      <c r="C195" s="45">
        <v>42921</v>
      </c>
      <c r="D195" s="45"/>
      <c r="E195" s="35" t="s">
        <v>3</v>
      </c>
      <c r="F195" s="35" t="s">
        <v>5</v>
      </c>
      <c r="G195" s="35"/>
      <c r="H195" s="44">
        <v>2</v>
      </c>
      <c r="I195" s="44">
        <v>1</v>
      </c>
      <c r="J195" s="44">
        <v>0</v>
      </c>
      <c r="K195" s="44">
        <v>2</v>
      </c>
      <c r="L195" s="44">
        <v>10</v>
      </c>
      <c r="M195" s="43">
        <v>0.625</v>
      </c>
      <c r="N195" s="43">
        <v>0.64583333333333337</v>
      </c>
      <c r="O195" s="43">
        <f>1+18/24/60</f>
        <v>1.0125</v>
      </c>
      <c r="P195" s="43">
        <f>1+48/24/60</f>
        <v>1.0333333333333334</v>
      </c>
      <c r="Q195" s="39"/>
      <c r="R195" s="42"/>
      <c r="S195" s="44">
        <f>MIP[[#This Row],[PT-1]]+MIP[[#This Row],[PT-2]]*2+MIP[[#This Row],[PT-3]]*3+MIP[[#This Row],[PT &gt; 3 Pontos]]</f>
        <v>17</v>
      </c>
      <c r="T19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195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195" s="41">
        <f>MIP[[#This Row],[Eficiência]]</f>
        <v>1.0864286777254779</v>
      </c>
      <c r="W19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95" s="39">
        <f>IF(MIP[[#This Row],[P.S]]-MIP[[#This Row],[P.E]]&lt;0,1+MIP[[#This Row],[P.S]]-MIP[[#This Row],[P.E]]-1/24,MIP[[#This Row],[P.S]]-MIP[[#This Row],[P.E]]-1/24)</f>
        <v>0.36666666666666675</v>
      </c>
      <c r="Y195" s="39">
        <f>MIP[[#This Row],[PT-1]]*$S$3+MIP[[#This Row],[PT-2]]*$T$3+MIP[[#This Row],[PT-3]]*$U$3+MIP[[#This Row],[PT &gt; 3 Pontos]]*$V$3</f>
        <v>0.35308932026078022</v>
      </c>
      <c r="Z195" s="39">
        <f>MIP[[#This Row],[HH disponível]]-MIP[[#This Row],[HH AC TOT]]</f>
        <v>0.3249999999999999</v>
      </c>
      <c r="AA195" s="38">
        <f>MIP[[#This Row],[HH Produtivo
Total]]/MIP[[#This Row],[HH Trabalhado]]</f>
        <v>1.0864286777254779</v>
      </c>
      <c r="AB195" s="38">
        <f>MIP[[#This Row],[HH Produtivo
Total]]/MIP[[#This Row],[HH disponível]]</f>
        <v>0.9629708734384913</v>
      </c>
      <c r="AC195" s="38">
        <f>MIP[[#This Row],[HH Trabalhado]]/MIP[[#This Row],[HH disponível]]</f>
        <v>0.88636363636363591</v>
      </c>
      <c r="AD195" s="37" t="str">
        <f>LEFT(MIP[[#This Row],[Equipe]], SEARCH("/",MIP[[#This Row],[Equipe]],1)-1)</f>
        <v xml:space="preserve">EDILTON </v>
      </c>
      <c r="AE195" s="37" t="str">
        <f>RIGHT(MIP[[#This Row],[Equipe]], LEN(MIP[[#This Row],[Equipe]])-SEARCH("/",MIP[[#This Row],[Equipe]],1))</f>
        <v xml:space="preserve"> GECIVALDO</v>
      </c>
      <c r="AF195" s="44">
        <f>COUNTIFS('[1]Tempo parado'!H:H,"&gt;="&amp;MIP[[#This Row],[S.B Sitrack]],'[1]Tempo parado'!I:I,"&lt;="&amp;MIP[[#This Row],[C.B Sitrack]],'[1]Tempo parado'!B:B,MIP[[#This Row],[Placa]])</f>
        <v>0</v>
      </c>
      <c r="AG195" s="36"/>
      <c r="AH195" s="35"/>
      <c r="AI195" s="34"/>
      <c r="AJ195" s="34"/>
      <c r="AK19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9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95" s="32">
        <f>SUMIFS('[1]Tempo parado'!J:J,'[1]Tempo parado'!H:H,"&gt;="&amp;MIP[[#This Row],[S.B Sitrack]],'[1]Tempo parado'!I:I,"&lt;="&amp;MIP[[#This Row],[C.B Sitrack]],'[1]Tempo parado'!B:B,MIP[[#This Row],[Placa]])</f>
        <v>0</v>
      </c>
      <c r="AN195" s="32" t="str">
        <f>IFERROR(MIP[[#This Row],[Tempo parado]]/(MIP[[#This Row],[C.B Sitrack]]-MIP[[#This Row],[S.B Sitrack]]),"")</f>
        <v/>
      </c>
      <c r="AO195" s="30"/>
      <c r="AP195" s="44">
        <f>IF(AND(MIP[Exc]=0,MIP[Previsto / Realizado]="Realizado"),MIP[Sem],0)</f>
        <v>0</v>
      </c>
      <c r="AQ195" s="29">
        <f>IF(AND(MIP[Exc]=0,MIP[Previsto / Realizado]="Realizado",ISBLANK(MIP[[#This Row],[S.B Sitrack]])=FALSE,ISBLANK(MIP[[#This Row],[C.B Sitrack]])=FALSE),MIP[Sem],0)</f>
        <v>0</v>
      </c>
    </row>
    <row r="196" spans="1:43" s="64" customFormat="1" x14ac:dyDescent="0.25">
      <c r="A196" s="11"/>
      <c r="B196" s="44">
        <f>WEEKNUM(MIP[[#This Row],[Data]])</f>
        <v>27</v>
      </c>
      <c r="C196" s="45">
        <v>42921</v>
      </c>
      <c r="D196" s="45"/>
      <c r="E196" s="35" t="s">
        <v>3</v>
      </c>
      <c r="F196" s="35" t="s">
        <v>2</v>
      </c>
      <c r="G196" s="35"/>
      <c r="H196" s="44">
        <v>2</v>
      </c>
      <c r="I196" s="44">
        <v>4</v>
      </c>
      <c r="J196" s="44">
        <v>1</v>
      </c>
      <c r="K196" s="44">
        <v>2</v>
      </c>
      <c r="L196" s="44">
        <v>0</v>
      </c>
      <c r="M196" s="43">
        <v>0.62708333333333333</v>
      </c>
      <c r="N196" s="43">
        <v>0.67499999999999993</v>
      </c>
      <c r="O196" s="43">
        <f>1+17/24/60</f>
        <v>1.0118055555555556</v>
      </c>
      <c r="P196" s="43">
        <f>1+48/24/60</f>
        <v>1.0333333333333334</v>
      </c>
      <c r="Q196" s="39"/>
      <c r="R196" s="42"/>
      <c r="S196" s="44">
        <f>MIP[[#This Row],[PT-1]]+MIP[[#This Row],[PT-2]]*2+MIP[[#This Row],[PT-3]]*3+MIP[[#This Row],[PT &gt; 3 Pontos]]</f>
        <v>12</v>
      </c>
      <c r="T19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6.944444444444442E-2</v>
      </c>
      <c r="U196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6.944444444444442E-2</v>
      </c>
      <c r="V196" s="41">
        <f>MIP[[#This Row],[Eficiência]]</f>
        <v>0.91345311167945387</v>
      </c>
      <c r="W19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96" s="39">
        <f>IF(MIP[[#This Row],[P.S]]-MIP[[#This Row],[P.E]]&lt;0,1+MIP[[#This Row],[P.S]]-MIP[[#This Row],[P.E]]-1/24,MIP[[#This Row],[P.S]]-MIP[[#This Row],[P.E]]-1/24)</f>
        <v>0.36458333333333343</v>
      </c>
      <c r="Y196" s="39">
        <f>MIP[[#This Row],[PT-1]]*$S$3+MIP[[#This Row],[PT-2]]*$T$3+MIP[[#This Row],[PT-3]]*$U$3+MIP[[#This Row],[PT &gt; 3 Pontos]]*$V$3</f>
        <v>0.26959553643317224</v>
      </c>
      <c r="Z196" s="39">
        <f>MIP[[#This Row],[HH disponível]]-MIP[[#This Row],[HH AC TOT]]</f>
        <v>0.29513888888888901</v>
      </c>
      <c r="AA196" s="38">
        <f>MIP[[#This Row],[HH Produtivo
Total]]/MIP[[#This Row],[HH Trabalhado]]</f>
        <v>0.91345311167945387</v>
      </c>
      <c r="AB196" s="38">
        <f>MIP[[#This Row],[HH Produtivo
Total]]/MIP[[#This Row],[HH disponível]]</f>
        <v>0.73946204278812944</v>
      </c>
      <c r="AC196" s="38">
        <f>MIP[[#This Row],[HH Trabalhado]]/MIP[[#This Row],[HH disponível]]</f>
        <v>0.80952380952380965</v>
      </c>
      <c r="AD196" s="37" t="str">
        <f>LEFT(MIP[[#This Row],[Equipe]], SEARCH("/",MIP[[#This Row],[Equipe]],1)-1)</f>
        <v xml:space="preserve">EDILTON </v>
      </c>
      <c r="AE196" s="37" t="str">
        <f>RIGHT(MIP[[#This Row],[Equipe]], LEN(MIP[[#This Row],[Equipe]])-SEARCH("/",MIP[[#This Row],[Equipe]],1))</f>
        <v xml:space="preserve"> GECIVALDO</v>
      </c>
      <c r="AF196" s="44">
        <f>COUNTIFS('[1]Tempo parado'!H:H,"&gt;="&amp;MIP[[#This Row],[S.B Sitrack]],'[1]Tempo parado'!I:I,"&lt;="&amp;MIP[[#This Row],[C.B Sitrack]],'[1]Tempo parado'!B:B,MIP[[#This Row],[Placa]])</f>
        <v>0</v>
      </c>
      <c r="AG196" s="36"/>
      <c r="AH196" s="35"/>
      <c r="AI196" s="34"/>
      <c r="AJ196" s="34"/>
      <c r="AK19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9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96" s="32">
        <f>SUMIFS('[1]Tempo parado'!J:J,'[1]Tempo parado'!H:H,"&gt;="&amp;MIP[[#This Row],[S.B Sitrack]],'[1]Tempo parado'!I:I,"&lt;="&amp;MIP[[#This Row],[C.B Sitrack]],'[1]Tempo parado'!B:B,MIP[[#This Row],[Placa]])</f>
        <v>0</v>
      </c>
      <c r="AN196" s="32" t="str">
        <f>IFERROR(MIP[[#This Row],[Tempo parado]]/(MIP[[#This Row],[C.B Sitrack]]-MIP[[#This Row],[S.B Sitrack]]),"")</f>
        <v/>
      </c>
      <c r="AO196" s="30"/>
      <c r="AP196" s="44">
        <f>IF(AND(MIP[Exc]=0,MIP[Previsto / Realizado]="Realizado"),MIP[Sem],0)</f>
        <v>27</v>
      </c>
      <c r="AQ196" s="29">
        <f>IF(AND(MIP[Exc]=0,MIP[Previsto / Realizado]="Realizado",ISBLANK(MIP[[#This Row],[S.B Sitrack]])=FALSE,ISBLANK(MIP[[#This Row],[C.B Sitrack]])=FALSE),MIP[Sem],0)</f>
        <v>0</v>
      </c>
    </row>
    <row r="197" spans="1:43" s="47" customFormat="1" x14ac:dyDescent="0.25">
      <c r="A197" s="11"/>
      <c r="B197" s="44">
        <f>WEEKNUM(MIP[[#This Row],[Data]])</f>
        <v>27</v>
      </c>
      <c r="C197" s="45">
        <v>42921</v>
      </c>
      <c r="D197" s="45"/>
      <c r="E197" s="35" t="s">
        <v>19</v>
      </c>
      <c r="F197" s="35" t="s">
        <v>5</v>
      </c>
      <c r="G197" s="35"/>
      <c r="H197" s="44">
        <v>2</v>
      </c>
      <c r="I197" s="44">
        <v>2</v>
      </c>
      <c r="J197" s="44">
        <v>2</v>
      </c>
      <c r="K197" s="44">
        <v>0</v>
      </c>
      <c r="L197" s="44">
        <v>10</v>
      </c>
      <c r="M197" s="43">
        <v>0.625</v>
      </c>
      <c r="N197" s="43">
        <v>0.64583333333333337</v>
      </c>
      <c r="O197" s="43">
        <f>1+18/24/60</f>
        <v>1.0125</v>
      </c>
      <c r="P197" s="43">
        <f>1+48/24/60</f>
        <v>1.0333333333333334</v>
      </c>
      <c r="Q197" s="39"/>
      <c r="R197" s="42"/>
      <c r="S197" s="44">
        <f>MIP[[#This Row],[PT-1]]+MIP[[#This Row],[PT-2]]*2+MIP[[#This Row],[PT-3]]*3+MIP[[#This Row],[PT &gt; 3 Pontos]]</f>
        <v>16</v>
      </c>
      <c r="T19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197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197" s="41">
        <f>MIP[[#This Row],[Eficiência]]</f>
        <v>1.0472287597891468</v>
      </c>
      <c r="W19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97" s="39">
        <f>IF(MIP[[#This Row],[P.S]]-MIP[[#This Row],[P.E]]&lt;0,1+MIP[[#This Row],[P.S]]-MIP[[#This Row],[P.E]]-1/24,MIP[[#This Row],[P.S]]-MIP[[#This Row],[P.E]]-1/24)</f>
        <v>0.36666666666666675</v>
      </c>
      <c r="Y197" s="39">
        <f>MIP[[#This Row],[PT-1]]*$S$3+MIP[[#This Row],[PT-2]]*$T$3+MIP[[#This Row],[PT-3]]*$U$3+MIP[[#This Row],[PT &gt; 3 Pontos]]*$V$3</f>
        <v>0.34034934693147262</v>
      </c>
      <c r="Z197" s="39">
        <f>MIP[[#This Row],[HH disponível]]-MIP[[#This Row],[HH AC TOT]]</f>
        <v>0.3249999999999999</v>
      </c>
      <c r="AA197" s="38">
        <f>MIP[[#This Row],[HH Produtivo
Total]]/MIP[[#This Row],[HH Trabalhado]]</f>
        <v>1.0472287597891468</v>
      </c>
      <c r="AB197" s="38">
        <f>MIP[[#This Row],[HH Produtivo
Total]]/MIP[[#This Row],[HH disponível]]</f>
        <v>0.92822549163128876</v>
      </c>
      <c r="AC197" s="38">
        <f>MIP[[#This Row],[HH Trabalhado]]/MIP[[#This Row],[HH disponível]]</f>
        <v>0.88636363636363591</v>
      </c>
      <c r="AD197" s="37" t="str">
        <f>LEFT(MIP[[#This Row],[Equipe]], SEARCH("/",MIP[[#This Row],[Equipe]],1)-1)</f>
        <v xml:space="preserve">ADEMÁRIO </v>
      </c>
      <c r="AE197" s="37" t="str">
        <f>RIGHT(MIP[[#This Row],[Equipe]], LEN(MIP[[#This Row],[Equipe]])-SEARCH("/",MIP[[#This Row],[Equipe]],1))</f>
        <v xml:space="preserve"> RONALDO</v>
      </c>
      <c r="AF197" s="44">
        <f>COUNTIFS('[1]Tempo parado'!H:H,"&gt;="&amp;MIP[[#This Row],[S.B Sitrack]],'[1]Tempo parado'!I:I,"&lt;="&amp;MIP[[#This Row],[C.B Sitrack]],'[1]Tempo parado'!B:B,MIP[[#This Row],[Placa]])</f>
        <v>0</v>
      </c>
      <c r="AG197" s="36"/>
      <c r="AH197" s="35"/>
      <c r="AI197" s="34"/>
      <c r="AJ197" s="34"/>
      <c r="AK19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9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97" s="32">
        <f>SUMIFS('[1]Tempo parado'!J:J,'[1]Tempo parado'!H:H,"&gt;="&amp;MIP[[#This Row],[S.B Sitrack]],'[1]Tempo parado'!I:I,"&lt;="&amp;MIP[[#This Row],[C.B Sitrack]],'[1]Tempo parado'!B:B,MIP[[#This Row],[Placa]])</f>
        <v>0</v>
      </c>
      <c r="AN197" s="32" t="str">
        <f>IFERROR(MIP[[#This Row],[Tempo parado]]/(MIP[[#This Row],[C.B Sitrack]]-MIP[[#This Row],[S.B Sitrack]]),"")</f>
        <v/>
      </c>
      <c r="AO197" s="30"/>
      <c r="AP197" s="44">
        <f>IF(AND(MIP[Exc]=0,MIP[Previsto / Realizado]="Realizado"),MIP[Sem],0)</f>
        <v>0</v>
      </c>
      <c r="AQ197" s="29">
        <f>IF(AND(MIP[Exc]=0,MIP[Previsto / Realizado]="Realizado",ISBLANK(MIP[[#This Row],[S.B Sitrack]])=FALSE,ISBLANK(MIP[[#This Row],[C.B Sitrack]])=FALSE),MIP[Sem],0)</f>
        <v>0</v>
      </c>
    </row>
    <row r="198" spans="1:43" s="64" customFormat="1" x14ac:dyDescent="0.25">
      <c r="A198" s="11"/>
      <c r="B198" s="44">
        <f>WEEKNUM(MIP[[#This Row],[Data]])</f>
        <v>27</v>
      </c>
      <c r="C198" s="45">
        <v>42921</v>
      </c>
      <c r="D198" s="45"/>
      <c r="E198" s="35" t="s">
        <v>19</v>
      </c>
      <c r="F198" s="35" t="s">
        <v>2</v>
      </c>
      <c r="G198" s="35"/>
      <c r="H198" s="44">
        <v>2</v>
      </c>
      <c r="I198" s="44">
        <v>3</v>
      </c>
      <c r="J198" s="44">
        <v>1</v>
      </c>
      <c r="K198" s="44">
        <v>0</v>
      </c>
      <c r="L198" s="44">
        <v>10</v>
      </c>
      <c r="M198" s="43">
        <v>0.63541666666666663</v>
      </c>
      <c r="N198" s="43">
        <v>0.66666666666666663</v>
      </c>
      <c r="O198" s="43">
        <f>1+30/24/60</f>
        <v>1.0208333333333333</v>
      </c>
      <c r="P198" s="43">
        <f>1+53/24/60</f>
        <v>1.0368055555555555</v>
      </c>
      <c r="Q198" s="39"/>
      <c r="R198" s="42" t="s">
        <v>399</v>
      </c>
      <c r="S198" s="44">
        <f>MIP[[#This Row],[PT-1]]+MIP[[#This Row],[PT-2]]*2+MIP[[#This Row],[PT-3]]*3+MIP[[#This Row],[PT &gt; 3 Pontos]]</f>
        <v>15</v>
      </c>
      <c r="T19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4.7222222222222276E-2</v>
      </c>
      <c r="U198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4.7222222222222276E-2</v>
      </c>
      <c r="V198" s="41">
        <f>MIP[[#This Row],[Eficiência]]</f>
        <v>1.0286925881195208</v>
      </c>
      <c r="W19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98" s="39">
        <f>IF(MIP[[#This Row],[P.S]]-MIP[[#This Row],[P.E]]&lt;0,1+MIP[[#This Row],[P.S]]-MIP[[#This Row],[P.E]]-1/24,MIP[[#This Row],[P.S]]-MIP[[#This Row],[P.E]]-1/24)</f>
        <v>0.35972222222222222</v>
      </c>
      <c r="Y198" s="39">
        <f>MIP[[#This Row],[PT-1]]*$S$3+MIP[[#This Row],[PT-2]]*$T$3+MIP[[#This Row],[PT-3]]*$U$3+MIP[[#This Row],[PT &gt; 3 Pontos]]*$V$3</f>
        <v>0.32146643378735018</v>
      </c>
      <c r="Z198" s="39">
        <f>MIP[[#This Row],[HH disponível]]-MIP[[#This Row],[HH AC TOT]]</f>
        <v>0.31249999999999994</v>
      </c>
      <c r="AA198" s="38">
        <f>MIP[[#This Row],[HH Produtivo
Total]]/MIP[[#This Row],[HH Trabalhado]]</f>
        <v>1.0286925881195208</v>
      </c>
      <c r="AB198" s="38">
        <f>MIP[[#This Row],[HH Produtivo
Total]]/MIP[[#This Row],[HH disponível]]</f>
        <v>0.8936518622659928</v>
      </c>
      <c r="AC198" s="38">
        <f>MIP[[#This Row],[HH Trabalhado]]/MIP[[#This Row],[HH disponível]]</f>
        <v>0.86872586872586854</v>
      </c>
      <c r="AD198" s="37" t="str">
        <f>LEFT(MIP[[#This Row],[Equipe]], SEARCH("/",MIP[[#This Row],[Equipe]],1)-1)</f>
        <v xml:space="preserve">ADEMÁRIO </v>
      </c>
      <c r="AE198" s="37" t="str">
        <f>RIGHT(MIP[[#This Row],[Equipe]], LEN(MIP[[#This Row],[Equipe]])-SEARCH("/",MIP[[#This Row],[Equipe]],1))</f>
        <v xml:space="preserve"> RONALDO</v>
      </c>
      <c r="AF198" s="44">
        <f>COUNTIFS('[1]Tempo parado'!H:H,"&gt;="&amp;MIP[[#This Row],[S.B Sitrack]],'[1]Tempo parado'!I:I,"&lt;="&amp;MIP[[#This Row],[C.B Sitrack]],'[1]Tempo parado'!B:B,MIP[[#This Row],[Placa]])</f>
        <v>0</v>
      </c>
      <c r="AG198" s="36"/>
      <c r="AH198" s="35"/>
      <c r="AI198" s="34"/>
      <c r="AJ198" s="34"/>
      <c r="AK19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9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98" s="32">
        <f>SUMIFS('[1]Tempo parado'!J:J,'[1]Tempo parado'!H:H,"&gt;="&amp;MIP[[#This Row],[S.B Sitrack]],'[1]Tempo parado'!I:I,"&lt;="&amp;MIP[[#This Row],[C.B Sitrack]],'[1]Tempo parado'!B:B,MIP[[#This Row],[Placa]])</f>
        <v>0</v>
      </c>
      <c r="AN198" s="32" t="str">
        <f>IFERROR(MIP[[#This Row],[Tempo parado]]/(MIP[[#This Row],[C.B Sitrack]]-MIP[[#This Row],[S.B Sitrack]]),"")</f>
        <v/>
      </c>
      <c r="AO198" s="30"/>
      <c r="AP198" s="44">
        <f>IF(AND(MIP[Exc]=0,MIP[Previsto / Realizado]="Realizado"),MIP[Sem],0)</f>
        <v>27</v>
      </c>
      <c r="AQ198" s="29">
        <f>IF(AND(MIP[Exc]=0,MIP[Previsto / Realizado]="Realizado",ISBLANK(MIP[[#This Row],[S.B Sitrack]])=FALSE,ISBLANK(MIP[[#This Row],[C.B Sitrack]])=FALSE),MIP[Sem],0)</f>
        <v>0</v>
      </c>
    </row>
    <row r="199" spans="1:43" s="47" customFormat="1" x14ac:dyDescent="0.25">
      <c r="A199" s="11"/>
      <c r="B199" s="44">
        <f>WEEKNUM(MIP[[#This Row],[Data]])</f>
        <v>27</v>
      </c>
      <c r="C199" s="45">
        <v>42922</v>
      </c>
      <c r="D199" s="45"/>
      <c r="E199" s="35" t="s">
        <v>3</v>
      </c>
      <c r="F199" s="35" t="s">
        <v>5</v>
      </c>
      <c r="G199" s="35"/>
      <c r="H199" s="44">
        <v>2</v>
      </c>
      <c r="I199" s="44">
        <v>7</v>
      </c>
      <c r="J199" s="44">
        <v>1</v>
      </c>
      <c r="K199" s="44">
        <v>0</v>
      </c>
      <c r="L199" s="44">
        <v>9</v>
      </c>
      <c r="M199" s="43">
        <v>0.625</v>
      </c>
      <c r="N199" s="43">
        <v>0.64583333333333337</v>
      </c>
      <c r="O199" s="43">
        <f>1+18/24/60</f>
        <v>1.0125</v>
      </c>
      <c r="P199" s="43">
        <f>1+48/24/60</f>
        <v>1.0333333333333334</v>
      </c>
      <c r="Q199" s="39"/>
      <c r="R199" s="42" t="s">
        <v>398</v>
      </c>
      <c r="S199" s="44">
        <f>MIP[[#This Row],[PT-1]]+MIP[[#This Row],[PT-2]]*2+MIP[[#This Row],[PT-3]]*3+MIP[[#This Row],[PT &gt; 3 Pontos]]</f>
        <v>18</v>
      </c>
      <c r="T19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199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199" s="41">
        <f>MIP[[#This Row],[Eficiência]]</f>
        <v>1.2348364145918498</v>
      </c>
      <c r="W19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199" s="39">
        <f>IF(MIP[[#This Row],[P.S]]-MIP[[#This Row],[P.E]]&lt;0,1+MIP[[#This Row],[P.S]]-MIP[[#This Row],[P.E]]-1/24,MIP[[#This Row],[P.S]]-MIP[[#This Row],[P.E]]-1/24)</f>
        <v>0.36666666666666675</v>
      </c>
      <c r="Y199" s="39">
        <f>MIP[[#This Row],[PT-1]]*$S$3+MIP[[#This Row],[PT-2]]*$T$3+MIP[[#This Row],[PT-3]]*$U$3+MIP[[#This Row],[PT &gt; 3 Pontos]]*$V$3</f>
        <v>0.40132183474235106</v>
      </c>
      <c r="Z199" s="39">
        <f>MIP[[#This Row],[HH disponível]]-MIP[[#This Row],[HH AC TOT]]</f>
        <v>0.3249999999999999</v>
      </c>
      <c r="AA199" s="38">
        <f>MIP[[#This Row],[HH Produtivo
Total]]/MIP[[#This Row],[HH Trabalhado]]</f>
        <v>1.2348364145918498</v>
      </c>
      <c r="AB199" s="38">
        <f>MIP[[#This Row],[HH Produtivo
Total]]/MIP[[#This Row],[HH disponível]]</f>
        <v>1.0945140947518663</v>
      </c>
      <c r="AC199" s="38">
        <f>MIP[[#This Row],[HH Trabalhado]]/MIP[[#This Row],[HH disponível]]</f>
        <v>0.88636363636363591</v>
      </c>
      <c r="AD199" s="37" t="str">
        <f>LEFT(MIP[[#This Row],[Equipe]], SEARCH("/",MIP[[#This Row],[Equipe]],1)-1)</f>
        <v xml:space="preserve">EDILTON </v>
      </c>
      <c r="AE199" s="37" t="str">
        <f>RIGHT(MIP[[#This Row],[Equipe]], LEN(MIP[[#This Row],[Equipe]])-SEARCH("/",MIP[[#This Row],[Equipe]],1))</f>
        <v xml:space="preserve"> GECIVALDO</v>
      </c>
      <c r="AF199" s="44">
        <f>COUNTIFS('[1]Tempo parado'!H:H,"&gt;="&amp;MIP[[#This Row],[S.B Sitrack]],'[1]Tempo parado'!I:I,"&lt;="&amp;MIP[[#This Row],[C.B Sitrack]],'[1]Tempo parado'!B:B,MIP[[#This Row],[Placa]])</f>
        <v>0</v>
      </c>
      <c r="AG199" s="36"/>
      <c r="AH199" s="35"/>
      <c r="AI199" s="34"/>
      <c r="AJ199" s="34"/>
      <c r="AK19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19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199" s="32">
        <f>SUMIFS('[1]Tempo parado'!J:J,'[1]Tempo parado'!H:H,"&gt;="&amp;MIP[[#This Row],[S.B Sitrack]],'[1]Tempo parado'!I:I,"&lt;="&amp;MIP[[#This Row],[C.B Sitrack]],'[1]Tempo parado'!B:B,MIP[[#This Row],[Placa]])</f>
        <v>0</v>
      </c>
      <c r="AN199" s="32" t="str">
        <f>IFERROR(MIP[[#This Row],[Tempo parado]]/(MIP[[#This Row],[C.B Sitrack]]-MIP[[#This Row],[S.B Sitrack]]),"")</f>
        <v/>
      </c>
      <c r="AO199" s="30"/>
      <c r="AP199" s="44">
        <f>IF(AND(MIP[Exc]=0,MIP[Previsto / Realizado]="Realizado"),MIP[Sem],0)</f>
        <v>0</v>
      </c>
      <c r="AQ199" s="29">
        <f>IF(AND(MIP[Exc]=0,MIP[Previsto / Realizado]="Realizado",ISBLANK(MIP[[#This Row],[S.B Sitrack]])=FALSE,ISBLANK(MIP[[#This Row],[C.B Sitrack]])=FALSE),MIP[Sem],0)</f>
        <v>0</v>
      </c>
    </row>
    <row r="200" spans="1:43" s="64" customFormat="1" x14ac:dyDescent="0.25">
      <c r="A200" s="11"/>
      <c r="B200" s="44">
        <f>WEEKNUM(MIP[[#This Row],[Data]])</f>
        <v>27</v>
      </c>
      <c r="C200" s="45">
        <v>42922</v>
      </c>
      <c r="D200" s="45"/>
      <c r="E200" s="35" t="s">
        <v>3</v>
      </c>
      <c r="F200" s="35" t="s">
        <v>2</v>
      </c>
      <c r="G200" s="35"/>
      <c r="H200" s="44">
        <v>2</v>
      </c>
      <c r="I200" s="44">
        <v>6</v>
      </c>
      <c r="J200" s="44">
        <v>1</v>
      </c>
      <c r="K200" s="44">
        <v>0</v>
      </c>
      <c r="L200" s="44">
        <v>9</v>
      </c>
      <c r="M200" s="43">
        <v>0.62708333333333333</v>
      </c>
      <c r="N200" s="43">
        <v>0.65625</v>
      </c>
      <c r="O200" s="43">
        <f>1+25/24/60</f>
        <v>1.0173611111111112</v>
      </c>
      <c r="P200" s="43">
        <f>1+51/24/60</f>
        <v>1.0354166666666667</v>
      </c>
      <c r="Q200" s="39"/>
      <c r="R200" s="42"/>
      <c r="S200" s="44">
        <f>MIP[[#This Row],[PT-1]]+MIP[[#This Row],[PT-2]]*2+MIP[[#This Row],[PT-3]]*3+MIP[[#This Row],[PT &gt; 3 Pontos]]</f>
        <v>17</v>
      </c>
      <c r="T20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4.7222222222222165E-2</v>
      </c>
      <c r="U200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4.7222222222222165E-2</v>
      </c>
      <c r="V200" s="41">
        <f>MIP[[#This Row],[Eficiência]]</f>
        <v>1.1779700299306868</v>
      </c>
      <c r="W20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00" s="39">
        <f>IF(MIP[[#This Row],[P.S]]-MIP[[#This Row],[P.E]]&lt;0,1+MIP[[#This Row],[P.S]]-MIP[[#This Row],[P.E]]-1/24,MIP[[#This Row],[P.S]]-MIP[[#This Row],[P.E]]-1/24)</f>
        <v>0.36666666666666664</v>
      </c>
      <c r="Y200" s="39">
        <f>MIP[[#This Row],[PT-1]]*$S$3+MIP[[#This Row],[PT-2]]*$T$3+MIP[[#This Row],[PT-3]]*$U$3+MIP[[#This Row],[PT &gt; 3 Pontos]]*$V$3</f>
        <v>0.37629598178341384</v>
      </c>
      <c r="Z200" s="39">
        <f>MIP[[#This Row],[HH disponível]]-MIP[[#This Row],[HH AC TOT]]</f>
        <v>0.31944444444444448</v>
      </c>
      <c r="AA200" s="38">
        <f>MIP[[#This Row],[HH Produtivo
Total]]/MIP[[#This Row],[HH Trabalhado]]</f>
        <v>1.1779700299306868</v>
      </c>
      <c r="AB200" s="38">
        <f>MIP[[#This Row],[HH Produtivo
Total]]/MIP[[#This Row],[HH disponível]]</f>
        <v>1.0262617685002196</v>
      </c>
      <c r="AC200" s="38">
        <f>MIP[[#This Row],[HH Trabalhado]]/MIP[[#This Row],[HH disponível]]</f>
        <v>0.87121212121212133</v>
      </c>
      <c r="AD200" s="37" t="str">
        <f>LEFT(MIP[[#This Row],[Equipe]], SEARCH("/",MIP[[#This Row],[Equipe]],1)-1)</f>
        <v xml:space="preserve">EDILTON </v>
      </c>
      <c r="AE200" s="37" t="str">
        <f>RIGHT(MIP[[#This Row],[Equipe]], LEN(MIP[[#This Row],[Equipe]])-SEARCH("/",MIP[[#This Row],[Equipe]],1))</f>
        <v xml:space="preserve"> GECIVALDO</v>
      </c>
      <c r="AF200" s="44">
        <f>COUNTIFS('[1]Tempo parado'!H:H,"&gt;="&amp;MIP[[#This Row],[S.B Sitrack]],'[1]Tempo parado'!I:I,"&lt;="&amp;MIP[[#This Row],[C.B Sitrack]],'[1]Tempo parado'!B:B,MIP[[#This Row],[Placa]])</f>
        <v>0</v>
      </c>
      <c r="AG200" s="36"/>
      <c r="AH200" s="35"/>
      <c r="AI200" s="34"/>
      <c r="AJ200" s="34"/>
      <c r="AK20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0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00" s="32">
        <f>SUMIFS('[1]Tempo parado'!J:J,'[1]Tempo parado'!H:H,"&gt;="&amp;MIP[[#This Row],[S.B Sitrack]],'[1]Tempo parado'!I:I,"&lt;="&amp;MIP[[#This Row],[C.B Sitrack]],'[1]Tempo parado'!B:B,MIP[[#This Row],[Placa]])</f>
        <v>0</v>
      </c>
      <c r="AN200" s="32" t="str">
        <f>IFERROR(MIP[[#This Row],[Tempo parado]]/(MIP[[#This Row],[C.B Sitrack]]-MIP[[#This Row],[S.B Sitrack]]),"")</f>
        <v/>
      </c>
      <c r="AO200" s="30"/>
      <c r="AP200" s="44">
        <f>IF(AND(MIP[Exc]=0,MIP[Previsto / Realizado]="Realizado"),MIP[Sem],0)</f>
        <v>27</v>
      </c>
      <c r="AQ200" s="29">
        <f>IF(AND(MIP[Exc]=0,MIP[Previsto / Realizado]="Realizado",ISBLANK(MIP[[#This Row],[S.B Sitrack]])=FALSE,ISBLANK(MIP[[#This Row],[C.B Sitrack]])=FALSE),MIP[Sem],0)</f>
        <v>0</v>
      </c>
    </row>
    <row r="201" spans="1:43" s="47" customFormat="1" x14ac:dyDescent="0.25">
      <c r="A201" s="11"/>
      <c r="B201" s="44">
        <f>WEEKNUM(MIP[[#This Row],[Data]])</f>
        <v>27</v>
      </c>
      <c r="C201" s="45">
        <v>42922</v>
      </c>
      <c r="D201" s="45"/>
      <c r="E201" s="35" t="s">
        <v>7</v>
      </c>
      <c r="F201" s="35" t="s">
        <v>5</v>
      </c>
      <c r="G201" s="35"/>
      <c r="H201" s="44">
        <v>2</v>
      </c>
      <c r="I201" s="44">
        <v>7</v>
      </c>
      <c r="J201" s="44">
        <v>4</v>
      </c>
      <c r="K201" s="44">
        <v>0</v>
      </c>
      <c r="L201" s="44">
        <v>8</v>
      </c>
      <c r="M201" s="43">
        <v>0.625</v>
      </c>
      <c r="N201" s="43">
        <v>0.64583333333333337</v>
      </c>
      <c r="O201" s="43">
        <f>1+18/24/60</f>
        <v>1.0125</v>
      </c>
      <c r="P201" s="43">
        <f>1+48/24/60</f>
        <v>1.0333333333333334</v>
      </c>
      <c r="Q201" s="39"/>
      <c r="R201" s="42"/>
      <c r="S201" s="44">
        <f>MIP[[#This Row],[PT-1]]+MIP[[#This Row],[PT-2]]*2+MIP[[#This Row],[PT-3]]*3+MIP[[#This Row],[PT &gt; 3 Pontos]]</f>
        <v>23</v>
      </c>
      <c r="T20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201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201" s="41">
        <f>MIP[[#This Row],[Eficiência]]</f>
        <v>1.5778465297562523</v>
      </c>
      <c r="W20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01" s="39">
        <f>IF(MIP[[#This Row],[P.S]]-MIP[[#This Row],[P.E]]&lt;0,1+MIP[[#This Row],[P.S]]-MIP[[#This Row],[P.E]]-1/24,MIP[[#This Row],[P.S]]-MIP[[#This Row],[P.E]]-1/24)</f>
        <v>0.36666666666666675</v>
      </c>
      <c r="Y201" s="39">
        <f>MIP[[#This Row],[PT-1]]*$S$3+MIP[[#This Row],[PT-2]]*$T$3+MIP[[#This Row],[PT-3]]*$U$3+MIP[[#This Row],[PT &gt; 3 Pontos]]*$V$3</f>
        <v>0.51280012217078186</v>
      </c>
      <c r="Z201" s="39">
        <f>MIP[[#This Row],[HH disponível]]-MIP[[#This Row],[HH AC TOT]]</f>
        <v>0.3249999999999999</v>
      </c>
      <c r="AA201" s="38">
        <f>MIP[[#This Row],[HH Produtivo
Total]]/MIP[[#This Row],[HH Trabalhado]]</f>
        <v>1.5778465297562523</v>
      </c>
      <c r="AB201" s="38">
        <f>MIP[[#This Row],[HH Produtivo
Total]]/MIP[[#This Row],[HH disponível]]</f>
        <v>1.3985457877384957</v>
      </c>
      <c r="AC201" s="38">
        <f>MIP[[#This Row],[HH Trabalhado]]/MIP[[#This Row],[HH disponível]]</f>
        <v>0.88636363636363591</v>
      </c>
      <c r="AD201" s="37" t="str">
        <f>LEFT(MIP[[#This Row],[Equipe]], SEARCH("/",MIP[[#This Row],[Equipe]],1)-1)</f>
        <v xml:space="preserve">ANDERSON </v>
      </c>
      <c r="AE201" s="37" t="str">
        <f>RIGHT(MIP[[#This Row],[Equipe]], LEN(MIP[[#This Row],[Equipe]])-SEARCH("/",MIP[[#This Row],[Equipe]],1))</f>
        <v xml:space="preserve"> MARCO</v>
      </c>
      <c r="AF201" s="44">
        <f>COUNTIFS('[1]Tempo parado'!H:H,"&gt;="&amp;MIP[[#This Row],[S.B Sitrack]],'[1]Tempo parado'!I:I,"&lt;="&amp;MIP[[#This Row],[C.B Sitrack]],'[1]Tempo parado'!B:B,MIP[[#This Row],[Placa]])</f>
        <v>0</v>
      </c>
      <c r="AG201" s="36"/>
      <c r="AH201" s="35"/>
      <c r="AI201" s="34"/>
      <c r="AJ201" s="34"/>
      <c r="AK20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0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01" s="32">
        <f>SUMIFS('[1]Tempo parado'!J:J,'[1]Tempo parado'!H:H,"&gt;="&amp;MIP[[#This Row],[S.B Sitrack]],'[1]Tempo parado'!I:I,"&lt;="&amp;MIP[[#This Row],[C.B Sitrack]],'[1]Tempo parado'!B:B,MIP[[#This Row],[Placa]])</f>
        <v>0</v>
      </c>
      <c r="AN201" s="32" t="str">
        <f>IFERROR(MIP[[#This Row],[Tempo parado]]/(MIP[[#This Row],[C.B Sitrack]]-MIP[[#This Row],[S.B Sitrack]]),"")</f>
        <v/>
      </c>
      <c r="AO201" s="30"/>
      <c r="AP201" s="44">
        <f>IF(AND(MIP[Exc]=0,MIP[Previsto / Realizado]="Realizado"),MIP[Sem],0)</f>
        <v>0</v>
      </c>
      <c r="AQ201" s="29">
        <f>IF(AND(MIP[Exc]=0,MIP[Previsto / Realizado]="Realizado",ISBLANK(MIP[[#This Row],[S.B Sitrack]])=FALSE,ISBLANK(MIP[[#This Row],[C.B Sitrack]])=FALSE),MIP[Sem],0)</f>
        <v>0</v>
      </c>
    </row>
    <row r="202" spans="1:43" s="64" customFormat="1" x14ac:dyDescent="0.25">
      <c r="A202" s="11"/>
      <c r="B202" s="44">
        <f>WEEKNUM(MIP[[#This Row],[Data]])</f>
        <v>27</v>
      </c>
      <c r="C202" s="45">
        <v>42922</v>
      </c>
      <c r="D202" s="45"/>
      <c r="E202" s="35" t="s">
        <v>7</v>
      </c>
      <c r="F202" s="35" t="s">
        <v>2</v>
      </c>
      <c r="G202" s="35"/>
      <c r="H202" s="44">
        <v>2</v>
      </c>
      <c r="I202" s="44">
        <v>4</v>
      </c>
      <c r="J202" s="44">
        <v>3</v>
      </c>
      <c r="K202" s="44">
        <v>0</v>
      </c>
      <c r="L202" s="44">
        <v>0</v>
      </c>
      <c r="M202" s="43">
        <v>0.62847222222222221</v>
      </c>
      <c r="N202" s="43">
        <v>0.67013888888888884</v>
      </c>
      <c r="O202" s="43">
        <f>1+24/24/60</f>
        <v>1.0166666666666666</v>
      </c>
      <c r="P202" s="43">
        <f>1+48/24/60</f>
        <v>1.0333333333333334</v>
      </c>
      <c r="Q202" s="39"/>
      <c r="R202" s="42" t="s">
        <v>370</v>
      </c>
      <c r="S202" s="44">
        <f>MIP[[#This Row],[PT-1]]+MIP[[#This Row],[PT-2]]*2+MIP[[#This Row],[PT-3]]*3+MIP[[#This Row],[PT &gt; 3 Pontos]]</f>
        <v>10</v>
      </c>
      <c r="T20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5.8333333333333459E-2</v>
      </c>
      <c r="U202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5.8333333333333459E-2</v>
      </c>
      <c r="V202" s="41">
        <f>MIP[[#This Row],[Eficiência]]</f>
        <v>0.7604436961473704</v>
      </c>
      <c r="W20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02" s="39">
        <f>IF(MIP[[#This Row],[P.S]]-MIP[[#This Row],[P.E]]&lt;0,1+MIP[[#This Row],[P.S]]-MIP[[#This Row],[P.E]]-1/24,MIP[[#This Row],[P.S]]-MIP[[#This Row],[P.E]]-1/24)</f>
        <v>0.36319444444444454</v>
      </c>
      <c r="Y202" s="39">
        <f>MIP[[#This Row],[PT-1]]*$S$3+MIP[[#This Row],[PT-2]]*$T$3+MIP[[#This Row],[PT-3]]*$U$3+MIP[[#This Row],[PT &gt; 3 Pontos]]*$V$3</f>
        <v>0.23182971014492748</v>
      </c>
      <c r="Z202" s="39">
        <f>MIP[[#This Row],[HH disponível]]-MIP[[#This Row],[HH AC TOT]]</f>
        <v>0.30486111111111108</v>
      </c>
      <c r="AA202" s="38">
        <f>MIP[[#This Row],[HH Produtivo
Total]]/MIP[[#This Row],[HH Trabalhado]]</f>
        <v>0.7604436961473704</v>
      </c>
      <c r="AB202" s="38">
        <f>MIP[[#This Row],[HH Produtivo
Total]]/MIP[[#This Row],[HH disponível]]</f>
        <v>0.63830742372599514</v>
      </c>
      <c r="AC202" s="38">
        <f>MIP[[#This Row],[HH Trabalhado]]/MIP[[#This Row],[HH disponível]]</f>
        <v>0.83938814531548722</v>
      </c>
      <c r="AD202" s="37" t="str">
        <f>LEFT(MIP[[#This Row],[Equipe]], SEARCH("/",MIP[[#This Row],[Equipe]],1)-1)</f>
        <v xml:space="preserve">ANDERSON </v>
      </c>
      <c r="AE202" s="37" t="str">
        <f>RIGHT(MIP[[#This Row],[Equipe]], LEN(MIP[[#This Row],[Equipe]])-SEARCH("/",MIP[[#This Row],[Equipe]],1))</f>
        <v xml:space="preserve"> MARCO</v>
      </c>
      <c r="AF202" s="44">
        <f>COUNTIFS('[1]Tempo parado'!H:H,"&gt;="&amp;MIP[[#This Row],[S.B Sitrack]],'[1]Tempo parado'!I:I,"&lt;="&amp;MIP[[#This Row],[C.B Sitrack]],'[1]Tempo parado'!B:B,MIP[[#This Row],[Placa]])</f>
        <v>0</v>
      </c>
      <c r="AG202" s="36"/>
      <c r="AH202" s="35"/>
      <c r="AI202" s="34"/>
      <c r="AJ202" s="34"/>
      <c r="AK20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0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02" s="32">
        <f>SUMIFS('[1]Tempo parado'!J:J,'[1]Tempo parado'!H:H,"&gt;="&amp;MIP[[#This Row],[S.B Sitrack]],'[1]Tempo parado'!I:I,"&lt;="&amp;MIP[[#This Row],[C.B Sitrack]],'[1]Tempo parado'!B:B,MIP[[#This Row],[Placa]])</f>
        <v>0</v>
      </c>
      <c r="AN202" s="32" t="str">
        <f>IFERROR(MIP[[#This Row],[Tempo parado]]/(MIP[[#This Row],[C.B Sitrack]]-MIP[[#This Row],[S.B Sitrack]]),"")</f>
        <v/>
      </c>
      <c r="AO202" s="30"/>
      <c r="AP202" s="44">
        <f>IF(AND(MIP[Exc]=0,MIP[Previsto / Realizado]="Realizado"),MIP[Sem],0)</f>
        <v>27</v>
      </c>
      <c r="AQ202" s="29">
        <f>IF(AND(MIP[Exc]=0,MIP[Previsto / Realizado]="Realizado",ISBLANK(MIP[[#This Row],[S.B Sitrack]])=FALSE,ISBLANK(MIP[[#This Row],[C.B Sitrack]])=FALSE),MIP[Sem],0)</f>
        <v>0</v>
      </c>
    </row>
    <row r="203" spans="1:43" s="47" customFormat="1" x14ac:dyDescent="0.25">
      <c r="A203" s="11"/>
      <c r="B203" s="44">
        <f>WEEKNUM(MIP[[#This Row],[Data]])</f>
        <v>27</v>
      </c>
      <c r="C203" s="45">
        <v>42923</v>
      </c>
      <c r="D203" s="45"/>
      <c r="E203" s="35" t="s">
        <v>397</v>
      </c>
      <c r="F203" s="35" t="s">
        <v>5</v>
      </c>
      <c r="G203" s="35"/>
      <c r="H203" s="44">
        <v>2</v>
      </c>
      <c r="I203" s="44">
        <v>6</v>
      </c>
      <c r="J203" s="44">
        <v>0</v>
      </c>
      <c r="K203" s="44">
        <v>1</v>
      </c>
      <c r="L203" s="44">
        <v>9</v>
      </c>
      <c r="M203" s="43">
        <v>0.25</v>
      </c>
      <c r="N203" s="43">
        <v>0.27083333333333331</v>
      </c>
      <c r="O203" s="43">
        <v>0.63750000000000007</v>
      </c>
      <c r="P203" s="43">
        <v>0.65833333333333333</v>
      </c>
      <c r="Q203" s="39"/>
      <c r="R203" s="42"/>
      <c r="S203" s="44">
        <f>MIP[[#This Row],[PT-1]]+MIP[[#This Row],[PT-2]]*2+MIP[[#This Row],[PT-3]]*3+MIP[[#This Row],[PT &gt; 3 Pontos]]</f>
        <v>18</v>
      </c>
      <c r="T20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203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203" s="41">
        <f>MIP[[#This Row],[Eficiência]]</f>
        <v>1.2159350613154958</v>
      </c>
      <c r="W20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03" s="39">
        <f>IF(MIP[[#This Row],[P.S]]-MIP[[#This Row],[P.E]]&lt;0,1+MIP[[#This Row],[P.S]]-MIP[[#This Row],[P.E]]-1/24,MIP[[#This Row],[P.S]]-MIP[[#This Row],[P.E]]-1/24)</f>
        <v>0.36666666666666664</v>
      </c>
      <c r="Y203" s="39">
        <f>MIP[[#This Row],[PT-1]]*$S$3+MIP[[#This Row],[PT-2]]*$T$3+MIP[[#This Row],[PT-3]]*$U$3+MIP[[#This Row],[PT &gt; 3 Pontos]]*$V$3</f>
        <v>0.39517889492753622</v>
      </c>
      <c r="Z203" s="39">
        <f>MIP[[#This Row],[HH disponível]]-MIP[[#This Row],[HH AC TOT]]</f>
        <v>0.32500000000000007</v>
      </c>
      <c r="AA203" s="38">
        <f>MIP[[#This Row],[HH Produtivo
Total]]/MIP[[#This Row],[HH Trabalhado]]</f>
        <v>1.2159350613154958</v>
      </c>
      <c r="AB203" s="38">
        <f>MIP[[#This Row],[HH Produtivo
Total]]/MIP[[#This Row],[HH disponível]]</f>
        <v>1.0777606225296443</v>
      </c>
      <c r="AC203" s="38">
        <f>MIP[[#This Row],[HH Trabalhado]]/MIP[[#This Row],[HH disponível]]</f>
        <v>0.88636363636363658</v>
      </c>
      <c r="AD203" s="37" t="str">
        <f>LEFT(MIP[[#This Row],[Equipe]], SEARCH("/",MIP[[#This Row],[Equipe]],1)-1)</f>
        <v xml:space="preserve">GERALDO </v>
      </c>
      <c r="AE203" s="37" t="str">
        <f>RIGHT(MIP[[#This Row],[Equipe]], LEN(MIP[[#This Row],[Equipe]])-SEARCH("/",MIP[[#This Row],[Equipe]],1))</f>
        <v xml:space="preserve"> VAGNER</v>
      </c>
      <c r="AF203" s="44">
        <f>COUNTIFS('[1]Tempo parado'!H:H,"&gt;="&amp;MIP[[#This Row],[S.B Sitrack]],'[1]Tempo parado'!I:I,"&lt;="&amp;MIP[[#This Row],[C.B Sitrack]],'[1]Tempo parado'!B:B,MIP[[#This Row],[Placa]])</f>
        <v>0</v>
      </c>
      <c r="AG203" s="36"/>
      <c r="AH203" s="35"/>
      <c r="AI203" s="34"/>
      <c r="AJ203" s="34"/>
      <c r="AK20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0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03" s="32">
        <f>SUMIFS('[1]Tempo parado'!J:J,'[1]Tempo parado'!H:H,"&gt;="&amp;MIP[[#This Row],[S.B Sitrack]],'[1]Tempo parado'!I:I,"&lt;="&amp;MIP[[#This Row],[C.B Sitrack]],'[1]Tempo parado'!B:B,MIP[[#This Row],[Placa]])</f>
        <v>0</v>
      </c>
      <c r="AN203" s="32" t="str">
        <f>IFERROR(MIP[[#This Row],[Tempo parado]]/(MIP[[#This Row],[C.B Sitrack]]-MIP[[#This Row],[S.B Sitrack]]),"")</f>
        <v/>
      </c>
      <c r="AO203" s="30"/>
      <c r="AP203" s="44">
        <f>IF(AND(MIP[Exc]=0,MIP[Previsto / Realizado]="Realizado"),MIP[Sem],0)</f>
        <v>0</v>
      </c>
      <c r="AQ203" s="29">
        <f>IF(AND(MIP[Exc]=0,MIP[Previsto / Realizado]="Realizado",ISBLANK(MIP[[#This Row],[S.B Sitrack]])=FALSE,ISBLANK(MIP[[#This Row],[C.B Sitrack]])=FALSE),MIP[Sem],0)</f>
        <v>0</v>
      </c>
    </row>
    <row r="204" spans="1:43" s="64" customFormat="1" x14ac:dyDescent="0.25">
      <c r="A204" s="11"/>
      <c r="B204" s="44">
        <f>WEEKNUM(MIP[[#This Row],[Data]])</f>
        <v>27</v>
      </c>
      <c r="C204" s="45">
        <v>42923</v>
      </c>
      <c r="D204" s="45"/>
      <c r="E204" s="35" t="s">
        <v>397</v>
      </c>
      <c r="F204" s="35" t="s">
        <v>2</v>
      </c>
      <c r="G204" s="35"/>
      <c r="H204" s="44">
        <v>2</v>
      </c>
      <c r="I204" s="44">
        <v>5</v>
      </c>
      <c r="J204" s="44">
        <v>0</v>
      </c>
      <c r="K204" s="44">
        <v>1</v>
      </c>
      <c r="L204" s="44">
        <v>0</v>
      </c>
      <c r="M204" s="43">
        <v>0.24652777777777779</v>
      </c>
      <c r="N204" s="43">
        <v>0.28472222222222221</v>
      </c>
      <c r="O204" s="43">
        <v>0.625</v>
      </c>
      <c r="P204" s="43">
        <v>0.67152777777777783</v>
      </c>
      <c r="Q204" s="39"/>
      <c r="R204" s="42" t="s">
        <v>370</v>
      </c>
      <c r="S204" s="44">
        <f>MIP[[#This Row],[PT-1]]+MIP[[#This Row],[PT-2]]*2+MIP[[#This Row],[PT-3]]*3+MIP[[#This Row],[PT &gt; 3 Pontos]]</f>
        <v>8</v>
      </c>
      <c r="T20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8.4722222222222254E-2</v>
      </c>
      <c r="U204" s="39">
        <f>IF(MIP[[#This Row],[P.S]]-MIP[[#This Row],[U.P]]&gt;=0,MIP[[#This Row],[P.S]]-MIP[[#This Row],[U.P]]+MIP[[#This Row],[S.B]]-MIP[[#This Row],[P.E]],1+MIP[[#This Row],[P.S]]-MIP[[#This Row],[U.P]]+MIP[[#This Row],[S.B]]-MIP[[#This Row],[P.E]])</f>
        <v>8.4722222222222254E-2</v>
      </c>
      <c r="V204" s="41">
        <f>MIP[[#This Row],[Eficiência]]</f>
        <v>0.62931664981462732</v>
      </c>
      <c r="W20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04" s="39">
        <f>IF(MIP[[#This Row],[P.S]]-MIP[[#This Row],[P.E]]&lt;0,1+MIP[[#This Row],[P.S]]-MIP[[#This Row],[P.E]]-1/24,MIP[[#This Row],[P.S]]-MIP[[#This Row],[P.E]]-1/24)</f>
        <v>0.38333333333333336</v>
      </c>
      <c r="Y204" s="39">
        <f>MIP[[#This Row],[PT-1]]*$S$3+MIP[[#This Row],[PT-2]]*$T$3+MIP[[#This Row],[PT-3]]*$U$3+MIP[[#This Row],[PT &gt; 3 Pontos]]*$V$3</f>
        <v>0.18792094404186788</v>
      </c>
      <c r="Z204" s="39">
        <f>MIP[[#This Row],[HH disponível]]-MIP[[#This Row],[HH AC TOT]]</f>
        <v>0.2986111111111111</v>
      </c>
      <c r="AA204" s="38">
        <f>MIP[[#This Row],[HH Produtivo
Total]]/MIP[[#This Row],[HH Trabalhado]]</f>
        <v>0.62931664981462732</v>
      </c>
      <c r="AB204" s="38">
        <f>MIP[[#This Row],[HH Produtivo
Total]]/MIP[[#This Row],[HH disponível]]</f>
        <v>0.49022854967443791</v>
      </c>
      <c r="AC204" s="38">
        <f>MIP[[#This Row],[HH Trabalhado]]/MIP[[#This Row],[HH disponível]]</f>
        <v>0.77898550724637672</v>
      </c>
      <c r="AD204" s="37" t="str">
        <f>LEFT(MIP[[#This Row],[Equipe]], SEARCH("/",MIP[[#This Row],[Equipe]],1)-1)</f>
        <v xml:space="preserve">GERALDO </v>
      </c>
      <c r="AE204" s="37" t="str">
        <f>RIGHT(MIP[[#This Row],[Equipe]], LEN(MIP[[#This Row],[Equipe]])-SEARCH("/",MIP[[#This Row],[Equipe]],1))</f>
        <v xml:space="preserve"> VAGNER</v>
      </c>
      <c r="AF204" s="44">
        <f>COUNTIFS('[1]Tempo parado'!H:H,"&gt;="&amp;MIP[[#This Row],[S.B Sitrack]],'[1]Tempo parado'!I:I,"&lt;="&amp;MIP[[#This Row],[C.B Sitrack]],'[1]Tempo parado'!B:B,MIP[[#This Row],[Placa]])</f>
        <v>0</v>
      </c>
      <c r="AG204" s="36"/>
      <c r="AH204" s="35"/>
      <c r="AI204" s="34"/>
      <c r="AJ204" s="34"/>
      <c r="AK20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0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04" s="32">
        <f>SUMIFS('[1]Tempo parado'!J:J,'[1]Tempo parado'!H:H,"&gt;="&amp;MIP[[#This Row],[S.B Sitrack]],'[1]Tempo parado'!I:I,"&lt;="&amp;MIP[[#This Row],[C.B Sitrack]],'[1]Tempo parado'!B:B,MIP[[#This Row],[Placa]])</f>
        <v>0</v>
      </c>
      <c r="AN204" s="32" t="str">
        <f>IFERROR(MIP[[#This Row],[Tempo parado]]/(MIP[[#This Row],[C.B Sitrack]]-MIP[[#This Row],[S.B Sitrack]]),"")</f>
        <v/>
      </c>
      <c r="AO204" s="30"/>
      <c r="AP204" s="44">
        <f>IF(AND(MIP[Exc]=0,MIP[Previsto / Realizado]="Realizado"),MIP[Sem],0)</f>
        <v>27</v>
      </c>
      <c r="AQ204" s="29">
        <f>IF(AND(MIP[Exc]=0,MIP[Previsto / Realizado]="Realizado",ISBLANK(MIP[[#This Row],[S.B Sitrack]])=FALSE,ISBLANK(MIP[[#This Row],[C.B Sitrack]])=FALSE),MIP[Sem],0)</f>
        <v>0</v>
      </c>
    </row>
    <row r="205" spans="1:43" s="47" customFormat="1" x14ac:dyDescent="0.25">
      <c r="A205" s="11"/>
      <c r="B205" s="44">
        <f>WEEKNUM(MIP[[#This Row],[Data]])</f>
        <v>27</v>
      </c>
      <c r="C205" s="45">
        <v>42923</v>
      </c>
      <c r="D205" s="45"/>
      <c r="E205" s="35" t="s">
        <v>10</v>
      </c>
      <c r="F205" s="35" t="s">
        <v>5</v>
      </c>
      <c r="G205" s="35"/>
      <c r="H205" s="44">
        <v>2</v>
      </c>
      <c r="I205" s="44">
        <v>8</v>
      </c>
      <c r="J205" s="44">
        <v>1</v>
      </c>
      <c r="K205" s="44">
        <v>1</v>
      </c>
      <c r="L205" s="44">
        <v>4</v>
      </c>
      <c r="M205" s="43">
        <v>0.25</v>
      </c>
      <c r="N205" s="43">
        <v>0.27083333333333331</v>
      </c>
      <c r="O205" s="43">
        <v>0.63750000000000007</v>
      </c>
      <c r="P205" s="43">
        <v>0.65833333333333333</v>
      </c>
      <c r="Q205" s="39"/>
      <c r="R205" s="42"/>
      <c r="S205" s="44">
        <f>MIP[[#This Row],[PT-1]]+MIP[[#This Row],[PT-2]]*2+MIP[[#This Row],[PT-3]]*3+MIP[[#This Row],[PT &gt; 3 Pontos]]</f>
        <v>17</v>
      </c>
      <c r="T20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205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205" s="41">
        <f>MIP[[#This Row],[Eficiência]]</f>
        <v>1.1935363462914788</v>
      </c>
      <c r="W20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05" s="39">
        <f>IF(MIP[[#This Row],[P.S]]-MIP[[#This Row],[P.E]]&lt;0,1+MIP[[#This Row],[P.S]]-MIP[[#This Row],[P.E]]-1/24,MIP[[#This Row],[P.S]]-MIP[[#This Row],[P.E]]-1/24)</f>
        <v>0.36666666666666664</v>
      </c>
      <c r="Y205" s="39">
        <f>MIP[[#This Row],[PT-1]]*$S$3+MIP[[#This Row],[PT-2]]*$T$3+MIP[[#This Row],[PT-3]]*$U$3+MIP[[#This Row],[PT &gt; 3 Pontos]]*$V$3</f>
        <v>0.38789931254473065</v>
      </c>
      <c r="Z205" s="39">
        <f>MIP[[#This Row],[HH disponível]]-MIP[[#This Row],[HH AC TOT]]</f>
        <v>0.32500000000000007</v>
      </c>
      <c r="AA205" s="38">
        <f>MIP[[#This Row],[HH Produtivo
Total]]/MIP[[#This Row],[HH Trabalhado]]</f>
        <v>1.1935363462914788</v>
      </c>
      <c r="AB205" s="38">
        <f>MIP[[#This Row],[HH Produtivo
Total]]/MIP[[#This Row],[HH disponível]]</f>
        <v>1.0579072160310836</v>
      </c>
      <c r="AC205" s="38">
        <f>MIP[[#This Row],[HH Trabalhado]]/MIP[[#This Row],[HH disponível]]</f>
        <v>0.88636363636363658</v>
      </c>
      <c r="AD205" s="37" t="str">
        <f>LEFT(MIP[[#This Row],[Equipe]], SEARCH("/",MIP[[#This Row],[Equipe]],1)-1)</f>
        <v xml:space="preserve">JOILSON </v>
      </c>
      <c r="AE205" s="37" t="str">
        <f>RIGHT(MIP[[#This Row],[Equipe]], LEN(MIP[[#This Row],[Equipe]])-SEARCH("/",MIP[[#This Row],[Equipe]],1))</f>
        <v xml:space="preserve"> VALDEI</v>
      </c>
      <c r="AF205" s="44">
        <f>COUNTIFS('[1]Tempo parado'!H:H,"&gt;="&amp;MIP[[#This Row],[S.B Sitrack]],'[1]Tempo parado'!I:I,"&lt;="&amp;MIP[[#This Row],[C.B Sitrack]],'[1]Tempo parado'!B:B,MIP[[#This Row],[Placa]])</f>
        <v>0</v>
      </c>
      <c r="AG205" s="36"/>
      <c r="AH205" s="35"/>
      <c r="AI205" s="34"/>
      <c r="AJ205" s="34"/>
      <c r="AK20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0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05" s="32">
        <f>SUMIFS('[1]Tempo parado'!J:J,'[1]Tempo parado'!H:H,"&gt;="&amp;MIP[[#This Row],[S.B Sitrack]],'[1]Tempo parado'!I:I,"&lt;="&amp;MIP[[#This Row],[C.B Sitrack]],'[1]Tempo parado'!B:B,MIP[[#This Row],[Placa]])</f>
        <v>0</v>
      </c>
      <c r="AN205" s="32" t="str">
        <f>IFERROR(MIP[[#This Row],[Tempo parado]]/(MIP[[#This Row],[C.B Sitrack]]-MIP[[#This Row],[S.B Sitrack]]),"")</f>
        <v/>
      </c>
      <c r="AO205" s="30"/>
      <c r="AP205" s="44">
        <f>IF(AND(MIP[Exc]=0,MIP[Previsto / Realizado]="Realizado"),MIP[Sem],0)</f>
        <v>0</v>
      </c>
      <c r="AQ205" s="29">
        <f>IF(AND(MIP[Exc]=0,MIP[Previsto / Realizado]="Realizado",ISBLANK(MIP[[#This Row],[S.B Sitrack]])=FALSE,ISBLANK(MIP[[#This Row],[C.B Sitrack]])=FALSE),MIP[Sem],0)</f>
        <v>0</v>
      </c>
    </row>
    <row r="206" spans="1:43" s="64" customFormat="1" x14ac:dyDescent="0.25">
      <c r="A206" s="11"/>
      <c r="B206" s="44">
        <f>WEEKNUM(MIP[[#This Row],[Data]])</f>
        <v>27</v>
      </c>
      <c r="C206" s="45">
        <v>42923</v>
      </c>
      <c r="D206" s="45"/>
      <c r="E206" s="35" t="s">
        <v>10</v>
      </c>
      <c r="F206" s="35" t="s">
        <v>2</v>
      </c>
      <c r="G206" s="35"/>
      <c r="H206" s="44">
        <v>2</v>
      </c>
      <c r="I206" s="44">
        <v>3</v>
      </c>
      <c r="J206" s="44">
        <v>1</v>
      </c>
      <c r="K206" s="44">
        <v>0</v>
      </c>
      <c r="L206" s="44">
        <v>4</v>
      </c>
      <c r="M206" s="43">
        <v>0.26180555555555557</v>
      </c>
      <c r="N206" s="43">
        <v>0.3125</v>
      </c>
      <c r="O206" s="43">
        <v>0.61111111111111105</v>
      </c>
      <c r="P206" s="43">
        <v>0.67569444444444438</v>
      </c>
      <c r="Q206" s="39"/>
      <c r="R206" s="42" t="s">
        <v>370</v>
      </c>
      <c r="S206" s="44">
        <f>MIP[[#This Row],[PT-1]]+MIP[[#This Row],[PT-2]]*2+MIP[[#This Row],[PT-3]]*3+MIP[[#This Row],[PT &gt; 3 Pontos]]</f>
        <v>9</v>
      </c>
      <c r="T20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0.11527777777777776</v>
      </c>
      <c r="U206" s="39">
        <f>IF(MIP[[#This Row],[P.S]]-MIP[[#This Row],[U.P]]&gt;=0,MIP[[#This Row],[P.S]]-MIP[[#This Row],[U.P]]+MIP[[#This Row],[S.B]]-MIP[[#This Row],[P.E]],1+MIP[[#This Row],[P.S]]-MIP[[#This Row],[U.P]]+MIP[[#This Row],[S.B]]-MIP[[#This Row],[P.E]])</f>
        <v>0.11527777777777776</v>
      </c>
      <c r="V206" s="41">
        <f>MIP[[#This Row],[Eficiência]]</f>
        <v>0.7782941909300608</v>
      </c>
      <c r="W20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06" s="39">
        <f>IF(MIP[[#This Row],[P.S]]-MIP[[#This Row],[P.E]]&lt;0,1+MIP[[#This Row],[P.S]]-MIP[[#This Row],[P.E]]-1/24,MIP[[#This Row],[P.S]]-MIP[[#This Row],[P.E]]-1/24)</f>
        <v>0.37222222222222212</v>
      </c>
      <c r="Y206" s="39">
        <f>MIP[[#This Row],[PT-1]]*$S$3+MIP[[#This Row],[PT-2]]*$T$3+MIP[[#This Row],[PT-3]]*$U$3+MIP[[#This Row],[PT &gt; 3 Pontos]]*$V$3</f>
        <v>0.19997836850286277</v>
      </c>
      <c r="Z206" s="39">
        <f>MIP[[#This Row],[HH disponível]]-MIP[[#This Row],[HH AC TOT]]</f>
        <v>0.25694444444444436</v>
      </c>
      <c r="AA206" s="38">
        <f>MIP[[#This Row],[HH Produtivo
Total]]/MIP[[#This Row],[HH Trabalhado]]</f>
        <v>0.7782941909300608</v>
      </c>
      <c r="AB206" s="38">
        <f>MIP[[#This Row],[HH Produtivo
Total]]/MIP[[#This Row],[HH disponível]]</f>
        <v>0.53725531836590013</v>
      </c>
      <c r="AC206" s="38">
        <f>MIP[[#This Row],[HH Trabalhado]]/MIP[[#This Row],[HH disponível]]</f>
        <v>0.69029850746268651</v>
      </c>
      <c r="AD206" s="37" t="str">
        <f>LEFT(MIP[[#This Row],[Equipe]], SEARCH("/",MIP[[#This Row],[Equipe]],1)-1)</f>
        <v xml:space="preserve">JOILSON </v>
      </c>
      <c r="AE206" s="37" t="str">
        <f>RIGHT(MIP[[#This Row],[Equipe]], LEN(MIP[[#This Row],[Equipe]])-SEARCH("/",MIP[[#This Row],[Equipe]],1))</f>
        <v xml:space="preserve"> VALDEI</v>
      </c>
      <c r="AF206" s="44">
        <f>COUNTIFS('[1]Tempo parado'!H:H,"&gt;="&amp;MIP[[#This Row],[S.B Sitrack]],'[1]Tempo parado'!I:I,"&lt;="&amp;MIP[[#This Row],[C.B Sitrack]],'[1]Tempo parado'!B:B,MIP[[#This Row],[Placa]])</f>
        <v>0</v>
      </c>
      <c r="AG206" s="36"/>
      <c r="AH206" s="35"/>
      <c r="AI206" s="34"/>
      <c r="AJ206" s="34"/>
      <c r="AK20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0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06" s="32">
        <f>SUMIFS('[1]Tempo parado'!J:J,'[1]Tempo parado'!H:H,"&gt;="&amp;MIP[[#This Row],[S.B Sitrack]],'[1]Tempo parado'!I:I,"&lt;="&amp;MIP[[#This Row],[C.B Sitrack]],'[1]Tempo parado'!B:B,MIP[[#This Row],[Placa]])</f>
        <v>0</v>
      </c>
      <c r="AN206" s="32" t="str">
        <f>IFERROR(MIP[[#This Row],[Tempo parado]]/(MIP[[#This Row],[C.B Sitrack]]-MIP[[#This Row],[S.B Sitrack]]),"")</f>
        <v/>
      </c>
      <c r="AO206" s="30"/>
      <c r="AP206" s="44">
        <f>IF(AND(MIP[Exc]=0,MIP[Previsto / Realizado]="Realizado"),MIP[Sem],0)</f>
        <v>27</v>
      </c>
      <c r="AQ206" s="29">
        <f>IF(AND(MIP[Exc]=0,MIP[Previsto / Realizado]="Realizado",ISBLANK(MIP[[#This Row],[S.B Sitrack]])=FALSE,ISBLANK(MIP[[#This Row],[C.B Sitrack]])=FALSE),MIP[Sem],0)</f>
        <v>0</v>
      </c>
    </row>
    <row r="207" spans="1:43" s="47" customFormat="1" x14ac:dyDescent="0.25">
      <c r="A207" s="11"/>
      <c r="B207" s="44">
        <f>WEEKNUM(MIP[[#This Row],[Data]])</f>
        <v>27</v>
      </c>
      <c r="C207" s="45">
        <v>42923</v>
      </c>
      <c r="D207" s="45"/>
      <c r="E207" s="35" t="s">
        <v>389</v>
      </c>
      <c r="F207" s="35" t="s">
        <v>5</v>
      </c>
      <c r="G207" s="35"/>
      <c r="H207" s="44">
        <v>2</v>
      </c>
      <c r="I207" s="44">
        <v>7</v>
      </c>
      <c r="J207" s="44">
        <v>0</v>
      </c>
      <c r="K207" s="44">
        <v>1</v>
      </c>
      <c r="L207" s="44">
        <v>7</v>
      </c>
      <c r="M207" s="43">
        <v>0.625</v>
      </c>
      <c r="N207" s="43">
        <v>0.64583333333333337</v>
      </c>
      <c r="O207" s="43">
        <f>1+18/24/60</f>
        <v>1.0125</v>
      </c>
      <c r="P207" s="43">
        <f>1+48/24/60</f>
        <v>1.0333333333333334</v>
      </c>
      <c r="Q207" s="39"/>
      <c r="R207" s="42"/>
      <c r="S207" s="44">
        <f>MIP[[#This Row],[PT-1]]+MIP[[#This Row],[PT-2]]*2+MIP[[#This Row],[PT-3]]*3+MIP[[#This Row],[PT &gt; 3 Pontos]]</f>
        <v>17</v>
      </c>
      <c r="T20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207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207" s="41">
        <f>MIP[[#This Row],[Eficiência]]</f>
        <v>1.1683345419230085</v>
      </c>
      <c r="W20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07" s="39">
        <f>IF(MIP[[#This Row],[P.S]]-MIP[[#This Row],[P.E]]&lt;0,1+MIP[[#This Row],[P.S]]-MIP[[#This Row],[P.E]]-1/24,MIP[[#This Row],[P.S]]-MIP[[#This Row],[P.E]]-1/24)</f>
        <v>0.36666666666666675</v>
      </c>
      <c r="Y207" s="39">
        <f>MIP[[#This Row],[PT-1]]*$S$3+MIP[[#This Row],[PT-2]]*$T$3+MIP[[#This Row],[PT-3]]*$U$3+MIP[[#This Row],[PT &gt; 3 Pontos]]*$V$3</f>
        <v>0.37970872612497764</v>
      </c>
      <c r="Z207" s="39">
        <f>MIP[[#This Row],[HH disponível]]-MIP[[#This Row],[HH AC TOT]]</f>
        <v>0.3249999999999999</v>
      </c>
      <c r="AA207" s="38">
        <f>MIP[[#This Row],[HH Produtivo
Total]]/MIP[[#This Row],[HH Trabalhado]]</f>
        <v>1.1683345419230085</v>
      </c>
      <c r="AB207" s="38">
        <f>MIP[[#This Row],[HH Produtivo
Total]]/MIP[[#This Row],[HH disponível]]</f>
        <v>1.0355692530681206</v>
      </c>
      <c r="AC207" s="38">
        <f>MIP[[#This Row],[HH Trabalhado]]/MIP[[#This Row],[HH disponível]]</f>
        <v>0.88636363636363591</v>
      </c>
      <c r="AD207" s="37" t="str">
        <f>LEFT(MIP[[#This Row],[Equipe]], SEARCH("/",MIP[[#This Row],[Equipe]],1)-1)</f>
        <v xml:space="preserve">CLEBER </v>
      </c>
      <c r="AE207" s="37" t="str">
        <f>RIGHT(MIP[[#This Row],[Equipe]], LEN(MIP[[#This Row],[Equipe]])-SEARCH("/",MIP[[#This Row],[Equipe]],1))</f>
        <v xml:space="preserve"> HERVAL</v>
      </c>
      <c r="AF207" s="44">
        <f>COUNTIFS('[1]Tempo parado'!H:H,"&gt;="&amp;MIP[[#This Row],[S.B Sitrack]],'[1]Tempo parado'!I:I,"&lt;="&amp;MIP[[#This Row],[C.B Sitrack]],'[1]Tempo parado'!B:B,MIP[[#This Row],[Placa]])</f>
        <v>0</v>
      </c>
      <c r="AG207" s="36"/>
      <c r="AH207" s="35"/>
      <c r="AI207" s="34"/>
      <c r="AJ207" s="34"/>
      <c r="AK20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0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07" s="32">
        <f>SUMIFS('[1]Tempo parado'!J:J,'[1]Tempo parado'!H:H,"&gt;="&amp;MIP[[#This Row],[S.B Sitrack]],'[1]Tempo parado'!I:I,"&lt;="&amp;MIP[[#This Row],[C.B Sitrack]],'[1]Tempo parado'!B:B,MIP[[#This Row],[Placa]])</f>
        <v>0</v>
      </c>
      <c r="AN207" s="32" t="str">
        <f>IFERROR(MIP[[#This Row],[Tempo parado]]/(MIP[[#This Row],[C.B Sitrack]]-MIP[[#This Row],[S.B Sitrack]]),"")</f>
        <v/>
      </c>
      <c r="AO207" s="30"/>
      <c r="AP207" s="44">
        <f>IF(AND(MIP[Exc]=0,MIP[Previsto / Realizado]="Realizado"),MIP[Sem],0)</f>
        <v>0</v>
      </c>
      <c r="AQ207" s="29">
        <f>IF(AND(MIP[Exc]=0,MIP[Previsto / Realizado]="Realizado",ISBLANK(MIP[[#This Row],[S.B Sitrack]])=FALSE,ISBLANK(MIP[[#This Row],[C.B Sitrack]])=FALSE),MIP[Sem],0)</f>
        <v>0</v>
      </c>
    </row>
    <row r="208" spans="1:43" s="64" customFormat="1" x14ac:dyDescent="0.25">
      <c r="A208" s="11"/>
      <c r="B208" s="44">
        <f>WEEKNUM(MIP[[#This Row],[Data]])</f>
        <v>27</v>
      </c>
      <c r="C208" s="45">
        <v>42923</v>
      </c>
      <c r="D208" s="45"/>
      <c r="E208" s="35" t="s">
        <v>389</v>
      </c>
      <c r="F208" s="35" t="s">
        <v>2</v>
      </c>
      <c r="G208" s="35"/>
      <c r="H208" s="44">
        <v>2</v>
      </c>
      <c r="I208" s="44">
        <v>5</v>
      </c>
      <c r="J208" s="44">
        <v>0</v>
      </c>
      <c r="K208" s="44">
        <v>1</v>
      </c>
      <c r="L208" s="44">
        <v>0</v>
      </c>
      <c r="M208" s="43">
        <v>0.64722222222222225</v>
      </c>
      <c r="N208" s="43">
        <v>0.69444444444444453</v>
      </c>
      <c r="O208" s="43">
        <v>0.89930555555555547</v>
      </c>
      <c r="P208" s="43">
        <f>1+48/24/60</f>
        <v>1.0333333333333334</v>
      </c>
      <c r="Q208" s="39"/>
      <c r="R208" s="42"/>
      <c r="S208" s="44">
        <f>MIP[[#This Row],[PT-1]]+MIP[[#This Row],[PT-2]]*2+MIP[[#This Row],[PT-3]]*3+MIP[[#This Row],[PT &gt; 3 Pontos]]</f>
        <v>8</v>
      </c>
      <c r="T20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0.18125000000000024</v>
      </c>
      <c r="U208" s="39">
        <f>IF(MIP[[#This Row],[P.S]]-MIP[[#This Row],[U.P]]&gt;=0,MIP[[#This Row],[P.S]]-MIP[[#This Row],[U.P]]+MIP[[#This Row],[S.B]]-MIP[[#This Row],[P.E]],1+MIP[[#This Row],[P.S]]-MIP[[#This Row],[U.P]]+MIP[[#This Row],[S.B]]-MIP[[#This Row],[P.E]])</f>
        <v>0.18125000000000024</v>
      </c>
      <c r="V208" s="41">
        <f>MIP[[#This Row],[Eficiência]]</f>
        <v>1.1515155720012342</v>
      </c>
      <c r="W20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08" s="39">
        <f>IF(MIP[[#This Row],[P.S]]-MIP[[#This Row],[P.E]]&lt;0,1+MIP[[#This Row],[P.S]]-MIP[[#This Row],[P.E]]-1/24,MIP[[#This Row],[P.S]]-MIP[[#This Row],[P.E]]-1/24)</f>
        <v>0.3444444444444445</v>
      </c>
      <c r="Y208" s="39">
        <f>MIP[[#This Row],[PT-1]]*$S$3+MIP[[#This Row],[PT-2]]*$T$3+MIP[[#This Row],[PT-3]]*$U$3+MIP[[#This Row],[PT &gt; 3 Pontos]]*$V$3</f>
        <v>0.18792094404186788</v>
      </c>
      <c r="Z208" s="39">
        <f>MIP[[#This Row],[HH disponível]]-MIP[[#This Row],[HH AC TOT]]</f>
        <v>0.16319444444444425</v>
      </c>
      <c r="AA208" s="38">
        <f>MIP[[#This Row],[HH Produtivo
Total]]/MIP[[#This Row],[HH Trabalhado]]</f>
        <v>1.1515155720012342</v>
      </c>
      <c r="AB208" s="38">
        <f>MIP[[#This Row],[HH Produtivo
Total]]/MIP[[#This Row],[HH disponível]]</f>
        <v>0.54557693431510024</v>
      </c>
      <c r="AC208" s="38">
        <f>MIP[[#This Row],[HH Trabalhado]]/MIP[[#This Row],[HH disponível]]</f>
        <v>0.47379032258064452</v>
      </c>
      <c r="AD208" s="37" t="str">
        <f>LEFT(MIP[[#This Row],[Equipe]], SEARCH("/",MIP[[#This Row],[Equipe]],1)-1)</f>
        <v xml:space="preserve">CLEBER </v>
      </c>
      <c r="AE208" s="37" t="str">
        <f>RIGHT(MIP[[#This Row],[Equipe]], LEN(MIP[[#This Row],[Equipe]])-SEARCH("/",MIP[[#This Row],[Equipe]],1))</f>
        <v xml:space="preserve"> HERVAL</v>
      </c>
      <c r="AF208" s="44">
        <f>COUNTIFS('[1]Tempo parado'!H:H,"&gt;="&amp;MIP[[#This Row],[S.B Sitrack]],'[1]Tempo parado'!I:I,"&lt;="&amp;MIP[[#This Row],[C.B Sitrack]],'[1]Tempo parado'!B:B,MIP[[#This Row],[Placa]])</f>
        <v>0</v>
      </c>
      <c r="AG208" s="36"/>
      <c r="AH208" s="35"/>
      <c r="AI208" s="34"/>
      <c r="AJ208" s="34"/>
      <c r="AK20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0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08" s="32">
        <f>SUMIFS('[1]Tempo parado'!J:J,'[1]Tempo parado'!H:H,"&gt;="&amp;MIP[[#This Row],[S.B Sitrack]],'[1]Tempo parado'!I:I,"&lt;="&amp;MIP[[#This Row],[C.B Sitrack]],'[1]Tempo parado'!B:B,MIP[[#This Row],[Placa]])</f>
        <v>0</v>
      </c>
      <c r="AN208" s="32" t="str">
        <f>IFERROR(MIP[[#This Row],[Tempo parado]]/(MIP[[#This Row],[C.B Sitrack]]-MIP[[#This Row],[S.B Sitrack]]),"")</f>
        <v/>
      </c>
      <c r="AO208" s="30"/>
      <c r="AP208" s="44">
        <f>IF(AND(MIP[Exc]=0,MIP[Previsto / Realizado]="Realizado"),MIP[Sem],0)</f>
        <v>27</v>
      </c>
      <c r="AQ208" s="29">
        <f>IF(AND(MIP[Exc]=0,MIP[Previsto / Realizado]="Realizado",ISBLANK(MIP[[#This Row],[S.B Sitrack]])=FALSE,ISBLANK(MIP[[#This Row],[C.B Sitrack]])=FALSE),MIP[Sem],0)</f>
        <v>0</v>
      </c>
    </row>
    <row r="209" spans="1:43" s="47" customFormat="1" x14ac:dyDescent="0.25">
      <c r="A209" s="11"/>
      <c r="B209" s="44">
        <f>WEEKNUM(MIP[[#This Row],[Data]])</f>
        <v>27</v>
      </c>
      <c r="C209" s="45">
        <v>42923</v>
      </c>
      <c r="D209" s="45"/>
      <c r="E209" s="35" t="s">
        <v>7</v>
      </c>
      <c r="F209" s="35" t="s">
        <v>5</v>
      </c>
      <c r="G209" s="35"/>
      <c r="H209" s="44">
        <v>2</v>
      </c>
      <c r="I209" s="44">
        <v>9</v>
      </c>
      <c r="J209" s="44">
        <v>3</v>
      </c>
      <c r="K209" s="44">
        <v>0</v>
      </c>
      <c r="L209" s="44">
        <v>4</v>
      </c>
      <c r="M209" s="43">
        <v>0.625</v>
      </c>
      <c r="N209" s="43">
        <v>0.64583333333333337</v>
      </c>
      <c r="O209" s="43">
        <f>1+18/24/60</f>
        <v>1.0125</v>
      </c>
      <c r="P209" s="43">
        <f>1+48/24/60</f>
        <v>1.0333333333333334</v>
      </c>
      <c r="Q209" s="39"/>
      <c r="R209" s="42"/>
      <c r="S209" s="44">
        <f>MIP[[#This Row],[PT-1]]+MIP[[#This Row],[PT-2]]*2+MIP[[#This Row],[PT-3]]*3+MIP[[#This Row],[PT &gt; 3 Pontos]]</f>
        <v>19</v>
      </c>
      <c r="T20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209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209" s="41">
        <f>MIP[[#This Row],[Eficiência]]</f>
        <v>1.3475415952695542</v>
      </c>
      <c r="W20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09" s="39">
        <f>IF(MIP[[#This Row],[P.S]]-MIP[[#This Row],[P.E]]&lt;0,1+MIP[[#This Row],[P.S]]-MIP[[#This Row],[P.E]]-1/24,MIP[[#This Row],[P.S]]-MIP[[#This Row],[P.E]]-1/24)</f>
        <v>0.36666666666666675</v>
      </c>
      <c r="Y209" s="39">
        <f>MIP[[#This Row],[PT-1]]*$S$3+MIP[[#This Row],[PT-2]]*$T$3+MIP[[#This Row],[PT-3]]*$U$3+MIP[[#This Row],[PT &gt; 3 Pontos]]*$V$3</f>
        <v>0.43795101846260498</v>
      </c>
      <c r="Z209" s="39">
        <f>MIP[[#This Row],[HH disponível]]-MIP[[#This Row],[HH AC TOT]]</f>
        <v>0.3249999999999999</v>
      </c>
      <c r="AA209" s="38">
        <f>MIP[[#This Row],[HH Produtivo
Total]]/MIP[[#This Row],[HH Trabalhado]]</f>
        <v>1.3475415952695542</v>
      </c>
      <c r="AB209" s="38">
        <f>MIP[[#This Row],[HH Produtivo
Total]]/MIP[[#This Row],[HH disponível]]</f>
        <v>1.194411868534377</v>
      </c>
      <c r="AC209" s="38">
        <f>MIP[[#This Row],[HH Trabalhado]]/MIP[[#This Row],[HH disponível]]</f>
        <v>0.88636363636363591</v>
      </c>
      <c r="AD209" s="37" t="str">
        <f>LEFT(MIP[[#This Row],[Equipe]], SEARCH("/",MIP[[#This Row],[Equipe]],1)-1)</f>
        <v xml:space="preserve">ANDERSON </v>
      </c>
      <c r="AE209" s="37" t="str">
        <f>RIGHT(MIP[[#This Row],[Equipe]], LEN(MIP[[#This Row],[Equipe]])-SEARCH("/",MIP[[#This Row],[Equipe]],1))</f>
        <v xml:space="preserve"> MARCO</v>
      </c>
      <c r="AF209" s="44">
        <f>COUNTIFS('[1]Tempo parado'!H:H,"&gt;="&amp;MIP[[#This Row],[S.B Sitrack]],'[1]Tempo parado'!I:I,"&lt;="&amp;MIP[[#This Row],[C.B Sitrack]],'[1]Tempo parado'!B:B,MIP[[#This Row],[Placa]])</f>
        <v>0</v>
      </c>
      <c r="AG209" s="36"/>
      <c r="AH209" s="35"/>
      <c r="AI209" s="34"/>
      <c r="AJ209" s="34"/>
      <c r="AK20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0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09" s="32">
        <f>SUMIFS('[1]Tempo parado'!J:J,'[1]Tempo parado'!H:H,"&gt;="&amp;MIP[[#This Row],[S.B Sitrack]],'[1]Tempo parado'!I:I,"&lt;="&amp;MIP[[#This Row],[C.B Sitrack]],'[1]Tempo parado'!B:B,MIP[[#This Row],[Placa]])</f>
        <v>0</v>
      </c>
      <c r="AN209" s="32" t="str">
        <f>IFERROR(MIP[[#This Row],[Tempo parado]]/(MIP[[#This Row],[C.B Sitrack]]-MIP[[#This Row],[S.B Sitrack]]),"")</f>
        <v/>
      </c>
      <c r="AO209" s="30"/>
      <c r="AP209" s="44">
        <f>IF(AND(MIP[Exc]=0,MIP[Previsto / Realizado]="Realizado"),MIP[Sem],0)</f>
        <v>0</v>
      </c>
      <c r="AQ209" s="29">
        <f>IF(AND(MIP[Exc]=0,MIP[Previsto / Realizado]="Realizado",ISBLANK(MIP[[#This Row],[S.B Sitrack]])=FALSE,ISBLANK(MIP[[#This Row],[C.B Sitrack]])=FALSE),MIP[Sem],0)</f>
        <v>0</v>
      </c>
    </row>
    <row r="210" spans="1:43" s="64" customFormat="1" x14ac:dyDescent="0.25">
      <c r="A210" s="11"/>
      <c r="B210" s="44">
        <f>WEEKNUM(MIP[[#This Row],[Data]])</f>
        <v>27</v>
      </c>
      <c r="C210" s="45">
        <v>42923</v>
      </c>
      <c r="D210" s="45"/>
      <c r="E210" s="35" t="s">
        <v>7</v>
      </c>
      <c r="F210" s="35" t="s">
        <v>2</v>
      </c>
      <c r="G210" s="35"/>
      <c r="H210" s="44">
        <v>2</v>
      </c>
      <c r="I210" s="44">
        <v>6</v>
      </c>
      <c r="J210" s="44">
        <v>2</v>
      </c>
      <c r="K210" s="44">
        <v>0</v>
      </c>
      <c r="L210" s="44">
        <v>4</v>
      </c>
      <c r="M210" s="43">
        <v>0.62777777777777777</v>
      </c>
      <c r="N210" s="43">
        <v>0.71527777777777779</v>
      </c>
      <c r="O210" s="43">
        <f>1+20/24/60</f>
        <v>1.0138888888888888</v>
      </c>
      <c r="P210" s="43">
        <f>1+53/24/60</f>
        <v>1.0368055555555555</v>
      </c>
      <c r="Q210" s="39"/>
      <c r="R210" s="42"/>
      <c r="S210" s="44">
        <f>MIP[[#This Row],[PT-1]]+MIP[[#This Row],[PT-2]]*2+MIP[[#This Row],[PT-3]]*3+MIP[[#This Row],[PT &gt; 3 Pontos]]</f>
        <v>14</v>
      </c>
      <c r="T21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0.11041666666666672</v>
      </c>
      <c r="U210" s="39">
        <f>IF(MIP[[#This Row],[P.S]]-MIP[[#This Row],[U.P]]&gt;=0,MIP[[#This Row],[P.S]]-MIP[[#This Row],[U.P]]+MIP[[#This Row],[S.B]]-MIP[[#This Row],[P.E]],1+MIP[[#This Row],[P.S]]-MIP[[#This Row],[U.P]]+MIP[[#This Row],[S.B]]-MIP[[#This Row],[P.E]])</f>
        <v>0.11041666666666672</v>
      </c>
      <c r="V210" s="41">
        <f>MIP[[#This Row],[Eficiência]]</f>
        <v>1.2413761043652352</v>
      </c>
      <c r="W21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10" s="39">
        <f>IF(MIP[[#This Row],[P.S]]-MIP[[#This Row],[P.E]]&lt;0,1+MIP[[#This Row],[P.S]]-MIP[[#This Row],[P.E]]-1/24,MIP[[#This Row],[P.S]]-MIP[[#This Row],[P.E]]-1/24)</f>
        <v>0.36736111111111108</v>
      </c>
      <c r="Y210" s="39">
        <f>MIP[[#This Row],[PT-1]]*$S$3+MIP[[#This Row],[PT-2]]*$T$3+MIP[[#This Row],[PT-3]]*$U$3+MIP[[#This Row],[PT &gt; 3 Pontos]]*$V$3</f>
        <v>0.31896469348273393</v>
      </c>
      <c r="Z210" s="39">
        <f>MIP[[#This Row],[HH disponível]]-MIP[[#This Row],[HH AC TOT]]</f>
        <v>0.25694444444444436</v>
      </c>
      <c r="AA210" s="38">
        <f>MIP[[#This Row],[HH Produtivo
Total]]/MIP[[#This Row],[HH Trabalhado]]</f>
        <v>1.2413761043652352</v>
      </c>
      <c r="AB210" s="38">
        <f>MIP[[#This Row],[HH Produtivo
Total]]/MIP[[#This Row],[HH disponível]]</f>
        <v>0.86825927904562739</v>
      </c>
      <c r="AC210" s="38">
        <f>MIP[[#This Row],[HH Trabalhado]]/MIP[[#This Row],[HH disponível]]</f>
        <v>0.6994328922495272</v>
      </c>
      <c r="AD210" s="37" t="str">
        <f>LEFT(MIP[[#This Row],[Equipe]], SEARCH("/",MIP[[#This Row],[Equipe]],1)-1)</f>
        <v xml:space="preserve">ANDERSON </v>
      </c>
      <c r="AE210" s="37" t="str">
        <f>RIGHT(MIP[[#This Row],[Equipe]], LEN(MIP[[#This Row],[Equipe]])-SEARCH("/",MIP[[#This Row],[Equipe]],1))</f>
        <v xml:space="preserve"> MARCO</v>
      </c>
      <c r="AF210" s="44">
        <f>COUNTIFS('[1]Tempo parado'!H:H,"&gt;="&amp;MIP[[#This Row],[S.B Sitrack]],'[1]Tempo parado'!I:I,"&lt;="&amp;MIP[[#This Row],[C.B Sitrack]],'[1]Tempo parado'!B:B,MIP[[#This Row],[Placa]])</f>
        <v>0</v>
      </c>
      <c r="AG210" s="36"/>
      <c r="AH210" s="35"/>
      <c r="AI210" s="34"/>
      <c r="AJ210" s="34"/>
      <c r="AK21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1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10" s="32">
        <f>SUMIFS('[1]Tempo parado'!J:J,'[1]Tempo parado'!H:H,"&gt;="&amp;MIP[[#This Row],[S.B Sitrack]],'[1]Tempo parado'!I:I,"&lt;="&amp;MIP[[#This Row],[C.B Sitrack]],'[1]Tempo parado'!B:B,MIP[[#This Row],[Placa]])</f>
        <v>0</v>
      </c>
      <c r="AN210" s="32" t="str">
        <f>IFERROR(MIP[[#This Row],[Tempo parado]]/(MIP[[#This Row],[C.B Sitrack]]-MIP[[#This Row],[S.B Sitrack]]),"")</f>
        <v/>
      </c>
      <c r="AO210" s="30"/>
      <c r="AP210" s="44">
        <f>IF(AND(MIP[Exc]=0,MIP[Previsto / Realizado]="Realizado"),MIP[Sem],0)</f>
        <v>27</v>
      </c>
      <c r="AQ210" s="29">
        <f>IF(AND(MIP[Exc]=0,MIP[Previsto / Realizado]="Realizado",ISBLANK(MIP[[#This Row],[S.B Sitrack]])=FALSE,ISBLANK(MIP[[#This Row],[C.B Sitrack]])=FALSE),MIP[Sem],0)</f>
        <v>0</v>
      </c>
    </row>
    <row r="211" spans="1:43" s="47" customFormat="1" x14ac:dyDescent="0.25">
      <c r="A211" s="11"/>
      <c r="B211" s="44">
        <f>WEEKNUM(MIP[[#This Row],[Data]])</f>
        <v>27</v>
      </c>
      <c r="C211" s="45">
        <v>42923</v>
      </c>
      <c r="D211" s="45"/>
      <c r="E211" s="35" t="s">
        <v>3</v>
      </c>
      <c r="F211" s="35" t="s">
        <v>5</v>
      </c>
      <c r="G211" s="35"/>
      <c r="H211" s="44">
        <v>2</v>
      </c>
      <c r="I211" s="44">
        <v>8</v>
      </c>
      <c r="J211" s="44">
        <v>2</v>
      </c>
      <c r="K211" s="44">
        <v>0</v>
      </c>
      <c r="L211" s="44">
        <v>0</v>
      </c>
      <c r="M211" s="43">
        <v>0.625</v>
      </c>
      <c r="N211" s="43">
        <v>0.64583333333333337</v>
      </c>
      <c r="O211" s="43">
        <f>1+18/24/60</f>
        <v>1.0125</v>
      </c>
      <c r="P211" s="43">
        <f>1+48/24/60</f>
        <v>1.0333333333333334</v>
      </c>
      <c r="Q211" s="39"/>
      <c r="R211" s="42"/>
      <c r="S211" s="44">
        <f>MIP[[#This Row],[PT-1]]+MIP[[#This Row],[PT-2]]*2+MIP[[#This Row],[PT-3]]*3+MIP[[#This Row],[PT &gt; 3 Pontos]]</f>
        <v>12</v>
      </c>
      <c r="T21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211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211" s="41">
        <f>MIP[[#This Row],[Eficiência]]</f>
        <v>0.88622878731574362</v>
      </c>
      <c r="W21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11" s="39">
        <f>IF(MIP[[#This Row],[P.S]]-MIP[[#This Row],[P.E]]&lt;0,1+MIP[[#This Row],[P.S]]-MIP[[#This Row],[P.E]]-1/24,MIP[[#This Row],[P.S]]-MIP[[#This Row],[P.E]]-1/24)</f>
        <v>0.36666666666666675</v>
      </c>
      <c r="Y211" s="39">
        <f>MIP[[#This Row],[PT-1]]*$S$3+MIP[[#This Row],[PT-2]]*$T$3+MIP[[#This Row],[PT-3]]*$U$3+MIP[[#This Row],[PT &gt; 3 Pontos]]*$V$3</f>
        <v>0.2880243558776166</v>
      </c>
      <c r="Z211" s="39">
        <f>MIP[[#This Row],[HH disponível]]-MIP[[#This Row],[HH AC TOT]]</f>
        <v>0.3249999999999999</v>
      </c>
      <c r="AA211" s="38">
        <f>MIP[[#This Row],[HH Produtivo
Total]]/MIP[[#This Row],[HH Trabalhado]]</f>
        <v>0.88622878731574362</v>
      </c>
      <c r="AB211" s="38">
        <f>MIP[[#This Row],[HH Produtivo
Total]]/MIP[[#This Row],[HH disponível]]</f>
        <v>0.78552097057531778</v>
      </c>
      <c r="AC211" s="38">
        <f>MIP[[#This Row],[HH Trabalhado]]/MIP[[#This Row],[HH disponível]]</f>
        <v>0.88636363636363591</v>
      </c>
      <c r="AD211" s="37" t="str">
        <f>LEFT(MIP[[#This Row],[Equipe]], SEARCH("/",MIP[[#This Row],[Equipe]],1)-1)</f>
        <v xml:space="preserve">EDILTON </v>
      </c>
      <c r="AE211" s="37" t="str">
        <f>RIGHT(MIP[[#This Row],[Equipe]], LEN(MIP[[#This Row],[Equipe]])-SEARCH("/",MIP[[#This Row],[Equipe]],1))</f>
        <v xml:space="preserve"> GECIVALDO</v>
      </c>
      <c r="AF211" s="44">
        <f>COUNTIFS('[1]Tempo parado'!H:H,"&gt;="&amp;MIP[[#This Row],[S.B Sitrack]],'[1]Tempo parado'!I:I,"&lt;="&amp;MIP[[#This Row],[C.B Sitrack]],'[1]Tempo parado'!B:B,MIP[[#This Row],[Placa]])</f>
        <v>0</v>
      </c>
      <c r="AG211" s="36"/>
      <c r="AH211" s="35"/>
      <c r="AI211" s="34"/>
      <c r="AJ211" s="34"/>
      <c r="AK21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1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11" s="32">
        <f>SUMIFS('[1]Tempo parado'!J:J,'[1]Tempo parado'!H:H,"&gt;="&amp;MIP[[#This Row],[S.B Sitrack]],'[1]Tempo parado'!I:I,"&lt;="&amp;MIP[[#This Row],[C.B Sitrack]],'[1]Tempo parado'!B:B,MIP[[#This Row],[Placa]])</f>
        <v>0</v>
      </c>
      <c r="AN211" s="32" t="str">
        <f>IFERROR(MIP[[#This Row],[Tempo parado]]/(MIP[[#This Row],[C.B Sitrack]]-MIP[[#This Row],[S.B Sitrack]]),"")</f>
        <v/>
      </c>
      <c r="AO211" s="30"/>
      <c r="AP211" s="44">
        <f>IF(AND(MIP[Exc]=0,MIP[Previsto / Realizado]="Realizado"),MIP[Sem],0)</f>
        <v>0</v>
      </c>
      <c r="AQ211" s="29">
        <f>IF(AND(MIP[Exc]=0,MIP[Previsto / Realizado]="Realizado",ISBLANK(MIP[[#This Row],[S.B Sitrack]])=FALSE,ISBLANK(MIP[[#This Row],[C.B Sitrack]])=FALSE),MIP[Sem],0)</f>
        <v>0</v>
      </c>
    </row>
    <row r="212" spans="1:43" s="64" customFormat="1" x14ac:dyDescent="0.25">
      <c r="A212" s="11"/>
      <c r="B212" s="44">
        <f>WEEKNUM(MIP[[#This Row],[Data]])</f>
        <v>27</v>
      </c>
      <c r="C212" s="45">
        <v>42923</v>
      </c>
      <c r="D212" s="45"/>
      <c r="E212" s="35" t="s">
        <v>3</v>
      </c>
      <c r="F212" s="35" t="s">
        <v>2</v>
      </c>
      <c r="G212" s="35"/>
      <c r="H212" s="44">
        <v>2</v>
      </c>
      <c r="I212" s="44">
        <v>8</v>
      </c>
      <c r="J212" s="44">
        <v>1</v>
      </c>
      <c r="K212" s="44">
        <v>0</v>
      </c>
      <c r="L212" s="44">
        <v>0</v>
      </c>
      <c r="M212" s="43">
        <v>0.62222222222222223</v>
      </c>
      <c r="N212" s="43">
        <v>0.69444444444444453</v>
      </c>
      <c r="O212" s="43">
        <v>0.96180555555555547</v>
      </c>
      <c r="P212" s="43">
        <f>1+48/24/60</f>
        <v>1.0333333333333334</v>
      </c>
      <c r="Q212" s="39"/>
      <c r="R212" s="42"/>
      <c r="S212" s="44">
        <f>MIP[[#This Row],[PT-1]]+MIP[[#This Row],[PT-2]]*2+MIP[[#This Row],[PT-3]]*3+MIP[[#This Row],[PT &gt; 3 Pontos]]</f>
        <v>10</v>
      </c>
      <c r="T21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0.14375000000000027</v>
      </c>
      <c r="U212" s="39">
        <f>IF(MIP[[#This Row],[P.S]]-MIP[[#This Row],[U.P]]&gt;=0,MIP[[#This Row],[P.S]]-MIP[[#This Row],[U.P]]+MIP[[#This Row],[S.B]]-MIP[[#This Row],[P.E]],1+MIP[[#This Row],[P.S]]-MIP[[#This Row],[U.P]]+MIP[[#This Row],[S.B]]-MIP[[#This Row],[P.E]])</f>
        <v>0.14375000000000027</v>
      </c>
      <c r="V212" s="41">
        <f>MIP[[#This Row],[Eficiência]]</f>
        <v>1.081619843924192</v>
      </c>
      <c r="W21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12" s="39">
        <f>IF(MIP[[#This Row],[P.S]]-MIP[[#This Row],[P.E]]&lt;0,1+MIP[[#This Row],[P.S]]-MIP[[#This Row],[P.E]]-1/24,MIP[[#This Row],[P.S]]-MIP[[#This Row],[P.E]]-1/24)</f>
        <v>0.36944444444444452</v>
      </c>
      <c r="Y212" s="39">
        <f>MIP[[#This Row],[PT-1]]*$S$3+MIP[[#This Row],[PT-2]]*$T$3+MIP[[#This Row],[PT-3]]*$U$3+MIP[[#This Row],[PT &gt; 3 Pontos]]*$V$3</f>
        <v>0.24411558977455702</v>
      </c>
      <c r="Z212" s="39">
        <f>MIP[[#This Row],[HH disponível]]-MIP[[#This Row],[HH AC TOT]]</f>
        <v>0.22569444444444425</v>
      </c>
      <c r="AA212" s="38">
        <f>MIP[[#This Row],[HH Produtivo
Total]]/MIP[[#This Row],[HH Trabalhado]]</f>
        <v>1.081619843924192</v>
      </c>
      <c r="AB212" s="38">
        <f>MIP[[#This Row],[HH Produtivo
Total]]/MIP[[#This Row],[HH disponível]]</f>
        <v>0.66076400239729705</v>
      </c>
      <c r="AC212" s="38">
        <f>MIP[[#This Row],[HH Trabalhado]]/MIP[[#This Row],[HH disponível]]</f>
        <v>0.61090225563909706</v>
      </c>
      <c r="AD212" s="37" t="str">
        <f>LEFT(MIP[[#This Row],[Equipe]], SEARCH("/",MIP[[#This Row],[Equipe]],1)-1)</f>
        <v xml:space="preserve">EDILTON </v>
      </c>
      <c r="AE212" s="37" t="str">
        <f>RIGHT(MIP[[#This Row],[Equipe]], LEN(MIP[[#This Row],[Equipe]])-SEARCH("/",MIP[[#This Row],[Equipe]],1))</f>
        <v xml:space="preserve"> GECIVALDO</v>
      </c>
      <c r="AF212" s="44">
        <f>COUNTIFS('[1]Tempo parado'!H:H,"&gt;="&amp;MIP[[#This Row],[S.B Sitrack]],'[1]Tempo parado'!I:I,"&lt;="&amp;MIP[[#This Row],[C.B Sitrack]],'[1]Tempo parado'!B:B,MIP[[#This Row],[Placa]])</f>
        <v>0</v>
      </c>
      <c r="AG212" s="36"/>
      <c r="AH212" s="35"/>
      <c r="AI212" s="34"/>
      <c r="AJ212" s="34"/>
      <c r="AK21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1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12" s="32">
        <f>SUMIFS('[1]Tempo parado'!J:J,'[1]Tempo parado'!H:H,"&gt;="&amp;MIP[[#This Row],[S.B Sitrack]],'[1]Tempo parado'!I:I,"&lt;="&amp;MIP[[#This Row],[C.B Sitrack]],'[1]Tempo parado'!B:B,MIP[[#This Row],[Placa]])</f>
        <v>0</v>
      </c>
      <c r="AN212" s="32" t="str">
        <f>IFERROR(MIP[[#This Row],[Tempo parado]]/(MIP[[#This Row],[C.B Sitrack]]-MIP[[#This Row],[S.B Sitrack]]),"")</f>
        <v/>
      </c>
      <c r="AO212" s="30"/>
      <c r="AP212" s="44">
        <f>IF(AND(MIP[Exc]=0,MIP[Previsto / Realizado]="Realizado"),MIP[Sem],0)</f>
        <v>27</v>
      </c>
      <c r="AQ212" s="29">
        <f>IF(AND(MIP[Exc]=0,MIP[Previsto / Realizado]="Realizado",ISBLANK(MIP[[#This Row],[S.B Sitrack]])=FALSE,ISBLANK(MIP[[#This Row],[C.B Sitrack]])=FALSE),MIP[Sem],0)</f>
        <v>0</v>
      </c>
    </row>
    <row r="213" spans="1:43" s="47" customFormat="1" x14ac:dyDescent="0.25">
      <c r="A213" s="11"/>
      <c r="B213" s="44">
        <f>WEEKNUM(MIP[[#This Row],[Data]])</f>
        <v>27</v>
      </c>
      <c r="C213" s="45">
        <v>42924</v>
      </c>
      <c r="D213" s="45"/>
      <c r="E213" s="35" t="s">
        <v>10</v>
      </c>
      <c r="F213" s="35" t="s">
        <v>5</v>
      </c>
      <c r="G213" s="35"/>
      <c r="H213" s="44">
        <v>2</v>
      </c>
      <c r="I213" s="44">
        <v>2</v>
      </c>
      <c r="J213" s="44">
        <v>2</v>
      </c>
      <c r="K213" s="44">
        <v>0</v>
      </c>
      <c r="L213" s="44">
        <v>10</v>
      </c>
      <c r="M213" s="43">
        <v>0.25</v>
      </c>
      <c r="N213" s="43">
        <v>0.27083333333333331</v>
      </c>
      <c r="O213" s="43">
        <v>0.63750000000000007</v>
      </c>
      <c r="P213" s="43">
        <v>0.65833333333333333</v>
      </c>
      <c r="Q213" s="39"/>
      <c r="R213" s="42"/>
      <c r="S213" s="44">
        <f>MIP[[#This Row],[PT-1]]+MIP[[#This Row],[PT-2]]*2+MIP[[#This Row],[PT-3]]*3+MIP[[#This Row],[PT &gt; 3 Pontos]]</f>
        <v>16</v>
      </c>
      <c r="T21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213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213" s="41">
        <f>MIP[[#This Row],[Eficiência]]</f>
        <v>1.0472287597891463</v>
      </c>
      <c r="W21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13" s="39">
        <f>IF(MIP[[#This Row],[P.S]]-MIP[[#This Row],[P.E]]&lt;0,1+MIP[[#This Row],[P.S]]-MIP[[#This Row],[P.E]]-1/24,MIP[[#This Row],[P.S]]-MIP[[#This Row],[P.E]]-1/24)</f>
        <v>0.36666666666666664</v>
      </c>
      <c r="Y213" s="39">
        <f>MIP[[#This Row],[PT-1]]*$S$3+MIP[[#This Row],[PT-2]]*$T$3+MIP[[#This Row],[PT-3]]*$U$3+MIP[[#This Row],[PT &gt; 3 Pontos]]*$V$3</f>
        <v>0.34034934693147262</v>
      </c>
      <c r="Z213" s="39">
        <f>MIP[[#This Row],[HH disponível]]-MIP[[#This Row],[HH AC TOT]]</f>
        <v>0.32500000000000007</v>
      </c>
      <c r="AA213" s="38">
        <f>MIP[[#This Row],[HH Produtivo
Total]]/MIP[[#This Row],[HH Trabalhado]]</f>
        <v>1.0472287597891463</v>
      </c>
      <c r="AB213" s="38">
        <f>MIP[[#This Row],[HH Produtivo
Total]]/MIP[[#This Row],[HH disponível]]</f>
        <v>0.92822549163128898</v>
      </c>
      <c r="AC213" s="38">
        <f>MIP[[#This Row],[HH Trabalhado]]/MIP[[#This Row],[HH disponível]]</f>
        <v>0.88636363636363658</v>
      </c>
      <c r="AD213" s="37" t="str">
        <f>LEFT(MIP[[#This Row],[Equipe]], SEARCH("/",MIP[[#This Row],[Equipe]],1)-1)</f>
        <v xml:space="preserve">JOILSON </v>
      </c>
      <c r="AE213" s="37" t="str">
        <f>RIGHT(MIP[[#This Row],[Equipe]], LEN(MIP[[#This Row],[Equipe]])-SEARCH("/",MIP[[#This Row],[Equipe]],1))</f>
        <v xml:space="preserve"> VALDEI</v>
      </c>
      <c r="AF213" s="44">
        <f>COUNTIFS('[1]Tempo parado'!H:H,"&gt;="&amp;MIP[[#This Row],[S.B Sitrack]],'[1]Tempo parado'!I:I,"&lt;="&amp;MIP[[#This Row],[C.B Sitrack]],'[1]Tempo parado'!B:B,MIP[[#This Row],[Placa]])</f>
        <v>0</v>
      </c>
      <c r="AG213" s="36"/>
      <c r="AH213" s="35"/>
      <c r="AI213" s="34"/>
      <c r="AJ213" s="34"/>
      <c r="AK21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1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13" s="32">
        <f>SUMIFS('[1]Tempo parado'!J:J,'[1]Tempo parado'!H:H,"&gt;="&amp;MIP[[#This Row],[S.B Sitrack]],'[1]Tempo parado'!I:I,"&lt;="&amp;MIP[[#This Row],[C.B Sitrack]],'[1]Tempo parado'!B:B,MIP[[#This Row],[Placa]])</f>
        <v>0</v>
      </c>
      <c r="AN213" s="32" t="str">
        <f>IFERROR(MIP[[#This Row],[Tempo parado]]/(MIP[[#This Row],[C.B Sitrack]]-MIP[[#This Row],[S.B Sitrack]]),"")</f>
        <v/>
      </c>
      <c r="AO213" s="30"/>
      <c r="AP213" s="44">
        <f>IF(AND(MIP[Exc]=0,MIP[Previsto / Realizado]="Realizado"),MIP[Sem],0)</f>
        <v>0</v>
      </c>
      <c r="AQ213" s="29">
        <f>IF(AND(MIP[Exc]=0,MIP[Previsto / Realizado]="Realizado",ISBLANK(MIP[[#This Row],[S.B Sitrack]])=FALSE,ISBLANK(MIP[[#This Row],[C.B Sitrack]])=FALSE),MIP[Sem],0)</f>
        <v>0</v>
      </c>
    </row>
    <row r="214" spans="1:43" s="64" customFormat="1" x14ac:dyDescent="0.25">
      <c r="A214" s="11"/>
      <c r="B214" s="44">
        <f>WEEKNUM(MIP[[#This Row],[Data]])</f>
        <v>27</v>
      </c>
      <c r="C214" s="45">
        <v>42924</v>
      </c>
      <c r="D214" s="45"/>
      <c r="E214" s="35" t="s">
        <v>10</v>
      </c>
      <c r="F214" s="35" t="s">
        <v>2</v>
      </c>
      <c r="G214" s="35"/>
      <c r="H214" s="44">
        <v>2</v>
      </c>
      <c r="I214" s="44">
        <v>1</v>
      </c>
      <c r="J214" s="44">
        <v>2</v>
      </c>
      <c r="K214" s="44">
        <v>0</v>
      </c>
      <c r="L214" s="44">
        <v>10</v>
      </c>
      <c r="M214" s="43">
        <v>0.24861111111111112</v>
      </c>
      <c r="N214" s="43">
        <v>0.29166666666666669</v>
      </c>
      <c r="O214" s="43">
        <v>0.59166666666666667</v>
      </c>
      <c r="P214" s="43">
        <v>0.66111111111111109</v>
      </c>
      <c r="Q214" s="39"/>
      <c r="R214" s="42"/>
      <c r="S214" s="44">
        <f>MIP[[#This Row],[PT-1]]+MIP[[#This Row],[PT-2]]*2+MIP[[#This Row],[PT-3]]*3+MIP[[#This Row],[PT &gt; 3 Pontos]]</f>
        <v>15</v>
      </c>
      <c r="T21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0.11249999999999999</v>
      </c>
      <c r="U214" s="39">
        <f>IF(MIP[[#This Row],[P.S]]-MIP[[#This Row],[U.P]]&gt;=0,MIP[[#This Row],[P.S]]-MIP[[#This Row],[U.P]]+MIP[[#This Row],[S.B]]-MIP[[#This Row],[P.E]],1+MIP[[#This Row],[P.S]]-MIP[[#This Row],[U.P]]+MIP[[#This Row],[S.B]]-MIP[[#This Row],[P.E]])</f>
        <v>0.11249999999999999</v>
      </c>
      <c r="V214" s="41">
        <f>MIP[[#This Row],[Eficiência]]</f>
        <v>1.2206070734420729</v>
      </c>
      <c r="W21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14" s="39">
        <f>IF(MIP[[#This Row],[P.S]]-MIP[[#This Row],[P.E]]&lt;0,1+MIP[[#This Row],[P.S]]-MIP[[#This Row],[P.E]]-1/24,MIP[[#This Row],[P.S]]-MIP[[#This Row],[P.E]]-1/24)</f>
        <v>0.37083333333333329</v>
      </c>
      <c r="Y214" s="39">
        <f>MIP[[#This Row],[PT-1]]*$S$3+MIP[[#This Row],[PT-2]]*$T$3+MIP[[#This Row],[PT-3]]*$U$3+MIP[[#This Row],[PT &gt; 3 Pontos]]*$V$3</f>
        <v>0.31532349397253545</v>
      </c>
      <c r="Z214" s="39">
        <f>MIP[[#This Row],[HH disponível]]-MIP[[#This Row],[HH AC TOT]]</f>
        <v>0.2583333333333333</v>
      </c>
      <c r="AA214" s="38">
        <f>MIP[[#This Row],[HH Produtivo
Total]]/MIP[[#This Row],[HH Trabalhado]]</f>
        <v>1.2206070734420729</v>
      </c>
      <c r="AB214" s="38">
        <f>MIP[[#This Row],[HH Produtivo
Total]]/MIP[[#This Row],[HH disponível]]</f>
        <v>0.85031054554391594</v>
      </c>
      <c r="AC214" s="38">
        <f>MIP[[#This Row],[HH Trabalhado]]/MIP[[#This Row],[HH disponível]]</f>
        <v>0.6966292134831461</v>
      </c>
      <c r="AD214" s="37" t="str">
        <f>LEFT(MIP[[#This Row],[Equipe]], SEARCH("/",MIP[[#This Row],[Equipe]],1)-1)</f>
        <v xml:space="preserve">JOILSON </v>
      </c>
      <c r="AE214" s="37" t="str">
        <f>RIGHT(MIP[[#This Row],[Equipe]], LEN(MIP[[#This Row],[Equipe]])-SEARCH("/",MIP[[#This Row],[Equipe]],1))</f>
        <v xml:space="preserve"> VALDEI</v>
      </c>
      <c r="AF214" s="44">
        <f>COUNTIFS('[1]Tempo parado'!H:H,"&gt;="&amp;MIP[[#This Row],[S.B Sitrack]],'[1]Tempo parado'!I:I,"&lt;="&amp;MIP[[#This Row],[C.B Sitrack]],'[1]Tempo parado'!B:B,MIP[[#This Row],[Placa]])</f>
        <v>0</v>
      </c>
      <c r="AG214" s="36"/>
      <c r="AH214" s="35"/>
      <c r="AI214" s="34"/>
      <c r="AJ214" s="34"/>
      <c r="AK21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1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14" s="32">
        <f>SUMIFS('[1]Tempo parado'!J:J,'[1]Tempo parado'!H:H,"&gt;="&amp;MIP[[#This Row],[S.B Sitrack]],'[1]Tempo parado'!I:I,"&lt;="&amp;MIP[[#This Row],[C.B Sitrack]],'[1]Tempo parado'!B:B,MIP[[#This Row],[Placa]])</f>
        <v>0</v>
      </c>
      <c r="AN214" s="32" t="str">
        <f>IFERROR(MIP[[#This Row],[Tempo parado]]/(MIP[[#This Row],[C.B Sitrack]]-MIP[[#This Row],[S.B Sitrack]]),"")</f>
        <v/>
      </c>
      <c r="AO214" s="30"/>
      <c r="AP214" s="44">
        <f>IF(AND(MIP[Exc]=0,MIP[Previsto / Realizado]="Realizado"),MIP[Sem],0)</f>
        <v>27</v>
      </c>
      <c r="AQ214" s="29">
        <f>IF(AND(MIP[Exc]=0,MIP[Previsto / Realizado]="Realizado",ISBLANK(MIP[[#This Row],[S.B Sitrack]])=FALSE,ISBLANK(MIP[[#This Row],[C.B Sitrack]])=FALSE),MIP[Sem],0)</f>
        <v>0</v>
      </c>
    </row>
    <row r="215" spans="1:43" s="47" customFormat="1" x14ac:dyDescent="0.25">
      <c r="A215" s="11"/>
      <c r="B215" s="44">
        <f>WEEKNUM(MIP[[#This Row],[Data]])</f>
        <v>27</v>
      </c>
      <c r="C215" s="45">
        <v>42924</v>
      </c>
      <c r="D215" s="45"/>
      <c r="E215" s="35" t="s">
        <v>19</v>
      </c>
      <c r="F215" s="35" t="s">
        <v>5</v>
      </c>
      <c r="G215" s="35"/>
      <c r="H215" s="44">
        <v>2</v>
      </c>
      <c r="I215" s="44">
        <v>3</v>
      </c>
      <c r="J215" s="44">
        <v>1</v>
      </c>
      <c r="K215" s="44">
        <v>0</v>
      </c>
      <c r="L215" s="44">
        <v>8</v>
      </c>
      <c r="M215" s="43">
        <v>0.625</v>
      </c>
      <c r="N215" s="43">
        <v>0.64583333333333337</v>
      </c>
      <c r="O215" s="43">
        <f>1+18/24/60</f>
        <v>1.0125</v>
      </c>
      <c r="P215" s="43">
        <f>1+48/24/60</f>
        <v>1.0333333333333334</v>
      </c>
      <c r="Q215" s="39"/>
      <c r="R215" s="42"/>
      <c r="S215" s="44">
        <f>MIP[[#This Row],[PT-1]]+MIP[[#This Row],[PT-2]]*2+MIP[[#This Row],[PT-3]]*3+MIP[[#This Row],[PT &gt; 3 Pontos]]</f>
        <v>13</v>
      </c>
      <c r="T21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215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215" s="41">
        <f>MIP[[#This Row],[Eficiência]]</f>
        <v>0.86452434469493677</v>
      </c>
      <c r="W21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15" s="39">
        <f>IF(MIP[[#This Row],[P.S]]-MIP[[#This Row],[P.E]]&lt;0,1+MIP[[#This Row],[P.S]]-MIP[[#This Row],[P.E]]-1/24,MIP[[#This Row],[P.S]]-MIP[[#This Row],[P.E]]-1/24)</f>
        <v>0.36666666666666675</v>
      </c>
      <c r="Y215" s="39">
        <f>MIP[[#This Row],[PT-1]]*$S$3+MIP[[#This Row],[PT-2]]*$T$3+MIP[[#This Row],[PT-3]]*$U$3+MIP[[#This Row],[PT &gt; 3 Pontos]]*$V$3</f>
        <v>0.28097041202585438</v>
      </c>
      <c r="Z215" s="39">
        <f>MIP[[#This Row],[HH disponível]]-MIP[[#This Row],[HH AC TOT]]</f>
        <v>0.3249999999999999</v>
      </c>
      <c r="AA215" s="38">
        <f>MIP[[#This Row],[HH Produtivo
Total]]/MIP[[#This Row],[HH Trabalhado]]</f>
        <v>0.86452434469493677</v>
      </c>
      <c r="AB215" s="38">
        <f>MIP[[#This Row],[HH Produtivo
Total]]/MIP[[#This Row],[HH disponível]]</f>
        <v>0.76628294188869361</v>
      </c>
      <c r="AC215" s="38">
        <f>MIP[[#This Row],[HH Trabalhado]]/MIP[[#This Row],[HH disponível]]</f>
        <v>0.88636363636363591</v>
      </c>
      <c r="AD215" s="37" t="str">
        <f>LEFT(MIP[[#This Row],[Equipe]], SEARCH("/",MIP[[#This Row],[Equipe]],1)-1)</f>
        <v xml:space="preserve">ADEMÁRIO </v>
      </c>
      <c r="AE215" s="37" t="str">
        <f>RIGHT(MIP[[#This Row],[Equipe]], LEN(MIP[[#This Row],[Equipe]])-SEARCH("/",MIP[[#This Row],[Equipe]],1))</f>
        <v xml:space="preserve"> RONALDO</v>
      </c>
      <c r="AF215" s="44">
        <f>COUNTIFS('[1]Tempo parado'!H:H,"&gt;="&amp;MIP[[#This Row],[S.B Sitrack]],'[1]Tempo parado'!I:I,"&lt;="&amp;MIP[[#This Row],[C.B Sitrack]],'[1]Tempo parado'!B:B,MIP[[#This Row],[Placa]])</f>
        <v>0</v>
      </c>
      <c r="AG215" s="36"/>
      <c r="AH215" s="35"/>
      <c r="AI215" s="34"/>
      <c r="AJ215" s="34"/>
      <c r="AK21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1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15" s="32">
        <f>SUMIFS('[1]Tempo parado'!J:J,'[1]Tempo parado'!H:H,"&gt;="&amp;MIP[[#This Row],[S.B Sitrack]],'[1]Tempo parado'!I:I,"&lt;="&amp;MIP[[#This Row],[C.B Sitrack]],'[1]Tempo parado'!B:B,MIP[[#This Row],[Placa]])</f>
        <v>0</v>
      </c>
      <c r="AN215" s="32" t="str">
        <f>IFERROR(MIP[[#This Row],[Tempo parado]]/(MIP[[#This Row],[C.B Sitrack]]-MIP[[#This Row],[S.B Sitrack]]),"")</f>
        <v/>
      </c>
      <c r="AO215" s="30"/>
      <c r="AP215" s="44">
        <f>IF(AND(MIP[Exc]=0,MIP[Previsto / Realizado]="Realizado"),MIP[Sem],0)</f>
        <v>0</v>
      </c>
      <c r="AQ215" s="29">
        <f>IF(AND(MIP[Exc]=0,MIP[Previsto / Realizado]="Realizado",ISBLANK(MIP[[#This Row],[S.B Sitrack]])=FALSE,ISBLANK(MIP[[#This Row],[C.B Sitrack]])=FALSE),MIP[Sem],0)</f>
        <v>0</v>
      </c>
    </row>
    <row r="216" spans="1:43" s="64" customFormat="1" x14ac:dyDescent="0.25">
      <c r="A216" s="11"/>
      <c r="B216" s="44">
        <f>WEEKNUM(MIP[[#This Row],[Data]])</f>
        <v>27</v>
      </c>
      <c r="C216" s="45">
        <v>42924</v>
      </c>
      <c r="D216" s="45"/>
      <c r="E216" s="35" t="s">
        <v>19</v>
      </c>
      <c r="F216" s="35" t="s">
        <v>2</v>
      </c>
      <c r="G216" s="35"/>
      <c r="H216" s="44">
        <v>2</v>
      </c>
      <c r="I216" s="44">
        <v>3</v>
      </c>
      <c r="J216" s="44">
        <v>1</v>
      </c>
      <c r="K216" s="44">
        <v>0</v>
      </c>
      <c r="L216" s="44">
        <v>8</v>
      </c>
      <c r="M216" s="43">
        <v>0.64374999999999993</v>
      </c>
      <c r="N216" s="43">
        <v>0.66319444444444442</v>
      </c>
      <c r="O216" s="43">
        <f>1+32/24/60</f>
        <v>1.0222222222222221</v>
      </c>
      <c r="P216" s="43">
        <f>1+52/24/60</f>
        <v>1.0361111111111112</v>
      </c>
      <c r="Q216" s="39"/>
      <c r="R216" s="42" t="s">
        <v>370</v>
      </c>
      <c r="S216" s="44">
        <f>MIP[[#This Row],[PT-1]]+MIP[[#This Row],[PT-2]]*2+MIP[[#This Row],[PT-3]]*3+MIP[[#This Row],[PT &gt; 3 Pontos]]</f>
        <v>13</v>
      </c>
      <c r="T21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3.3333333333333548E-2</v>
      </c>
      <c r="U216" s="39">
        <f>IF(MIP[[#This Row],[P.S]]-MIP[[#This Row],[U.P]]&gt;=0,MIP[[#This Row],[P.S]]-MIP[[#This Row],[U.P]]+MIP[[#This Row],[S.B]]-MIP[[#This Row],[P.E]],1+MIP[[#This Row],[P.S]]-MIP[[#This Row],[U.P]]+MIP[[#This Row],[S.B]]-MIP[[#This Row],[P.E]])</f>
        <v>3.3333333333333548E-2</v>
      </c>
      <c r="V216" s="41">
        <f>MIP[[#This Row],[Eficiência]]</f>
        <v>0.88533346458912554</v>
      </c>
      <c r="W21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16" s="39">
        <f>IF(MIP[[#This Row],[P.S]]-MIP[[#This Row],[P.E]]&lt;0,1+MIP[[#This Row],[P.S]]-MIP[[#This Row],[P.E]]-1/24,MIP[[#This Row],[P.S]]-MIP[[#This Row],[P.E]]-1/24)</f>
        <v>0.35069444444444459</v>
      </c>
      <c r="Y216" s="39">
        <f>MIP[[#This Row],[PT-1]]*$S$3+MIP[[#This Row],[PT-2]]*$T$3+MIP[[#This Row],[PT-3]]*$U$3+MIP[[#This Row],[PT &gt; 3 Pontos]]*$V$3</f>
        <v>0.28097041202585438</v>
      </c>
      <c r="Z216" s="39">
        <f>MIP[[#This Row],[HH disponível]]-MIP[[#This Row],[HH AC TOT]]</f>
        <v>0.31736111111111104</v>
      </c>
      <c r="AA216" s="38">
        <f>MIP[[#This Row],[HH Produtivo
Total]]/MIP[[#This Row],[HH Trabalhado]]</f>
        <v>0.88533346458912554</v>
      </c>
      <c r="AB216" s="38">
        <f>MIP[[#This Row],[HH Produtivo
Total]]/MIP[[#This Row],[HH disponível]]</f>
        <v>0.80118295706382203</v>
      </c>
      <c r="AC216" s="38">
        <f>MIP[[#This Row],[HH Trabalhado]]/MIP[[#This Row],[HH disponível]]</f>
        <v>0.90495049504950442</v>
      </c>
      <c r="AD216" s="37" t="str">
        <f>LEFT(MIP[[#This Row],[Equipe]], SEARCH("/",MIP[[#This Row],[Equipe]],1)-1)</f>
        <v xml:space="preserve">ADEMÁRIO </v>
      </c>
      <c r="AE216" s="37" t="str">
        <f>RIGHT(MIP[[#This Row],[Equipe]], LEN(MIP[[#This Row],[Equipe]])-SEARCH("/",MIP[[#This Row],[Equipe]],1))</f>
        <v xml:space="preserve"> RONALDO</v>
      </c>
      <c r="AF216" s="44">
        <f>COUNTIFS('[1]Tempo parado'!H:H,"&gt;="&amp;MIP[[#This Row],[S.B Sitrack]],'[1]Tempo parado'!I:I,"&lt;="&amp;MIP[[#This Row],[C.B Sitrack]],'[1]Tempo parado'!B:B,MIP[[#This Row],[Placa]])</f>
        <v>0</v>
      </c>
      <c r="AG216" s="36"/>
      <c r="AH216" s="35"/>
      <c r="AI216" s="34"/>
      <c r="AJ216" s="34"/>
      <c r="AK21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1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16" s="32">
        <f>SUMIFS('[1]Tempo parado'!J:J,'[1]Tempo parado'!H:H,"&gt;="&amp;MIP[[#This Row],[S.B Sitrack]],'[1]Tempo parado'!I:I,"&lt;="&amp;MIP[[#This Row],[C.B Sitrack]],'[1]Tempo parado'!B:B,MIP[[#This Row],[Placa]])</f>
        <v>0</v>
      </c>
      <c r="AN216" s="32" t="str">
        <f>IFERROR(MIP[[#This Row],[Tempo parado]]/(MIP[[#This Row],[C.B Sitrack]]-MIP[[#This Row],[S.B Sitrack]]),"")</f>
        <v/>
      </c>
      <c r="AO216" s="30"/>
      <c r="AP216" s="44">
        <f>IF(AND(MIP[Exc]=0,MIP[Previsto / Realizado]="Realizado"),MIP[Sem],0)</f>
        <v>27</v>
      </c>
      <c r="AQ216" s="29">
        <f>IF(AND(MIP[Exc]=0,MIP[Previsto / Realizado]="Realizado",ISBLANK(MIP[[#This Row],[S.B Sitrack]])=FALSE,ISBLANK(MIP[[#This Row],[C.B Sitrack]])=FALSE),MIP[Sem],0)</f>
        <v>0</v>
      </c>
    </row>
    <row r="217" spans="1:43" s="47" customFormat="1" x14ac:dyDescent="0.25">
      <c r="A217" s="11"/>
      <c r="B217" s="44">
        <f>WEEKNUM(MIP[[#This Row],[Data]])</f>
        <v>28</v>
      </c>
      <c r="C217" s="45">
        <v>42925</v>
      </c>
      <c r="D217" s="45"/>
      <c r="E217" s="35" t="s">
        <v>19</v>
      </c>
      <c r="F217" s="35" t="s">
        <v>5</v>
      </c>
      <c r="G217" s="35"/>
      <c r="H217" s="44">
        <v>2</v>
      </c>
      <c r="I217" s="44">
        <v>4</v>
      </c>
      <c r="J217" s="44">
        <v>0</v>
      </c>
      <c r="K217" s="44">
        <v>0</v>
      </c>
      <c r="L217" s="44">
        <v>4</v>
      </c>
      <c r="M217" s="43">
        <v>0.625</v>
      </c>
      <c r="N217" s="43">
        <v>0.64583333333333337</v>
      </c>
      <c r="O217" s="43">
        <f>1+18/24/60</f>
        <v>1.0125</v>
      </c>
      <c r="P217" s="43">
        <f>1+48/24/60</f>
        <v>1.0333333333333334</v>
      </c>
      <c r="Q217" s="39"/>
      <c r="R217" s="42"/>
      <c r="S217" s="44">
        <f>MIP[[#This Row],[PT-1]]+MIP[[#This Row],[PT-2]]*2+MIP[[#This Row],[PT-3]]*3+MIP[[#This Row],[PT &gt; 3 Pontos]]</f>
        <v>8</v>
      </c>
      <c r="T21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217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217" s="41">
        <f>MIP[[#This Row],[Eficiência]]</f>
        <v>0.5572167857192013</v>
      </c>
      <c r="W21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17" s="39">
        <f>IF(MIP[[#This Row],[P.S]]-MIP[[#This Row],[P.E]]&lt;0,1+MIP[[#This Row],[P.S]]-MIP[[#This Row],[P.E]]-1/24,MIP[[#This Row],[P.S]]-MIP[[#This Row],[P.E]]-1/24)</f>
        <v>0.36666666666666675</v>
      </c>
      <c r="Y217" s="39">
        <f>MIP[[#This Row],[PT-1]]*$S$3+MIP[[#This Row],[PT-2]]*$T$3+MIP[[#This Row],[PT-3]]*$U$3+MIP[[#This Row],[PT &gt; 3 Pontos]]*$V$3</f>
        <v>0.18109545535874036</v>
      </c>
      <c r="Z217" s="39">
        <f>MIP[[#This Row],[HH disponível]]-MIP[[#This Row],[HH AC TOT]]</f>
        <v>0.3249999999999999</v>
      </c>
      <c r="AA217" s="38">
        <f>MIP[[#This Row],[HH Produtivo
Total]]/MIP[[#This Row],[HH Trabalhado]]</f>
        <v>0.5572167857192013</v>
      </c>
      <c r="AB217" s="38">
        <f>MIP[[#This Row],[HH Produtivo
Total]]/MIP[[#This Row],[HH disponível]]</f>
        <v>0.49389669643292816</v>
      </c>
      <c r="AC217" s="38">
        <f>MIP[[#This Row],[HH Trabalhado]]/MIP[[#This Row],[HH disponível]]</f>
        <v>0.88636363636363591</v>
      </c>
      <c r="AD217" s="37" t="str">
        <f>LEFT(MIP[[#This Row],[Equipe]], SEARCH("/",MIP[[#This Row],[Equipe]],1)-1)</f>
        <v xml:space="preserve">ADEMÁRIO </v>
      </c>
      <c r="AE217" s="37" t="str">
        <f>RIGHT(MIP[[#This Row],[Equipe]], LEN(MIP[[#This Row],[Equipe]])-SEARCH("/",MIP[[#This Row],[Equipe]],1))</f>
        <v xml:space="preserve"> RONALDO</v>
      </c>
      <c r="AF217" s="44">
        <f>COUNTIFS('[1]Tempo parado'!H:H,"&gt;="&amp;MIP[[#This Row],[S.B Sitrack]],'[1]Tempo parado'!I:I,"&lt;="&amp;MIP[[#This Row],[C.B Sitrack]],'[1]Tempo parado'!B:B,MIP[[#This Row],[Placa]])</f>
        <v>0</v>
      </c>
      <c r="AG217" s="36"/>
      <c r="AH217" s="35"/>
      <c r="AI217" s="34"/>
      <c r="AJ217" s="34"/>
      <c r="AK21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1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17" s="32">
        <f>SUMIFS('[1]Tempo parado'!J:J,'[1]Tempo parado'!H:H,"&gt;="&amp;MIP[[#This Row],[S.B Sitrack]],'[1]Tempo parado'!I:I,"&lt;="&amp;MIP[[#This Row],[C.B Sitrack]],'[1]Tempo parado'!B:B,MIP[[#This Row],[Placa]])</f>
        <v>0</v>
      </c>
      <c r="AN217" s="32" t="str">
        <f>IFERROR(MIP[[#This Row],[Tempo parado]]/(MIP[[#This Row],[C.B Sitrack]]-MIP[[#This Row],[S.B Sitrack]]),"")</f>
        <v/>
      </c>
      <c r="AO217" s="30"/>
      <c r="AP217" s="44">
        <f>IF(AND(MIP[Exc]=0,MIP[Previsto / Realizado]="Realizado"),MIP[Sem],0)</f>
        <v>0</v>
      </c>
      <c r="AQ217" s="29">
        <f>IF(AND(MIP[Exc]=0,MIP[Previsto / Realizado]="Realizado",ISBLANK(MIP[[#This Row],[S.B Sitrack]])=FALSE,ISBLANK(MIP[[#This Row],[C.B Sitrack]])=FALSE),MIP[Sem],0)</f>
        <v>0</v>
      </c>
    </row>
    <row r="218" spans="1:43" s="64" customFormat="1" x14ac:dyDescent="0.25">
      <c r="A218" s="11"/>
      <c r="B218" s="44">
        <f>WEEKNUM(MIP[[#This Row],[Data]])</f>
        <v>28</v>
      </c>
      <c r="C218" s="45">
        <v>42925</v>
      </c>
      <c r="D218" s="45"/>
      <c r="E218" s="35" t="s">
        <v>19</v>
      </c>
      <c r="F218" s="35" t="s">
        <v>2</v>
      </c>
      <c r="G218" s="35"/>
      <c r="H218" s="44">
        <v>2</v>
      </c>
      <c r="I218" s="44">
        <v>4</v>
      </c>
      <c r="J218" s="44">
        <v>0</v>
      </c>
      <c r="K218" s="44">
        <v>0</v>
      </c>
      <c r="L218" s="44">
        <v>4</v>
      </c>
      <c r="M218" s="43">
        <v>0.62083333333333335</v>
      </c>
      <c r="N218" s="43">
        <v>0.65694444444444444</v>
      </c>
      <c r="O218" s="43">
        <f>1+18/24/60</f>
        <v>1.0125</v>
      </c>
      <c r="P218" s="43">
        <f>1+48/24/60</f>
        <v>1.0333333333333334</v>
      </c>
      <c r="Q218" s="39"/>
      <c r="R218" s="42" t="s">
        <v>370</v>
      </c>
      <c r="S218" s="44">
        <f>MIP[[#This Row],[PT-1]]+MIP[[#This Row],[PT-2]]*2+MIP[[#This Row],[PT-3]]*3+MIP[[#This Row],[PT &gt; 3 Pontos]]</f>
        <v>8</v>
      </c>
      <c r="T21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5.6944444444444575E-2</v>
      </c>
      <c r="U218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5.6944444444444575E-2</v>
      </c>
      <c r="V218" s="41">
        <f>MIP[[#This Row],[Eficiência]]</f>
        <v>0.5769412737092614</v>
      </c>
      <c r="W21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18" s="39">
        <f>IF(MIP[[#This Row],[P.S]]-MIP[[#This Row],[P.E]]&lt;0,1+MIP[[#This Row],[P.S]]-MIP[[#This Row],[P.E]]-1/24,MIP[[#This Row],[P.S]]-MIP[[#This Row],[P.E]]-1/24)</f>
        <v>0.3708333333333334</v>
      </c>
      <c r="Y218" s="39">
        <f>MIP[[#This Row],[PT-1]]*$S$3+MIP[[#This Row],[PT-2]]*$T$3+MIP[[#This Row],[PT-3]]*$U$3+MIP[[#This Row],[PT &gt; 3 Pontos]]*$V$3</f>
        <v>0.18109545535874036</v>
      </c>
      <c r="Z218" s="39">
        <f>MIP[[#This Row],[HH disponível]]-MIP[[#This Row],[HH AC TOT]]</f>
        <v>0.31388888888888883</v>
      </c>
      <c r="AA218" s="38">
        <f>MIP[[#This Row],[HH Produtivo
Total]]/MIP[[#This Row],[HH Trabalhado]]</f>
        <v>0.5769412737092614</v>
      </c>
      <c r="AB218" s="38">
        <f>MIP[[#This Row],[HH Produtivo
Total]]/MIP[[#This Row],[HH disponível]]</f>
        <v>0.48834729534941212</v>
      </c>
      <c r="AC218" s="38">
        <f>MIP[[#This Row],[HH Trabalhado]]/MIP[[#This Row],[HH disponível]]</f>
        <v>0.8464419475655427</v>
      </c>
      <c r="AD218" s="37" t="str">
        <f>LEFT(MIP[[#This Row],[Equipe]], SEARCH("/",MIP[[#This Row],[Equipe]],1)-1)</f>
        <v xml:space="preserve">ADEMÁRIO </v>
      </c>
      <c r="AE218" s="37" t="str">
        <f>RIGHT(MIP[[#This Row],[Equipe]], LEN(MIP[[#This Row],[Equipe]])-SEARCH("/",MIP[[#This Row],[Equipe]],1))</f>
        <v xml:space="preserve"> RONALDO</v>
      </c>
      <c r="AF218" s="44">
        <f>COUNTIFS('[1]Tempo parado'!H:H,"&gt;="&amp;MIP[[#This Row],[S.B Sitrack]],'[1]Tempo parado'!I:I,"&lt;="&amp;MIP[[#This Row],[C.B Sitrack]],'[1]Tempo parado'!B:B,MIP[[#This Row],[Placa]])</f>
        <v>0</v>
      </c>
      <c r="AG218" s="36"/>
      <c r="AH218" s="35"/>
      <c r="AI218" s="34"/>
      <c r="AJ218" s="34"/>
      <c r="AK21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1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18" s="32">
        <f>SUMIFS('[1]Tempo parado'!J:J,'[1]Tempo parado'!H:H,"&gt;="&amp;MIP[[#This Row],[S.B Sitrack]],'[1]Tempo parado'!I:I,"&lt;="&amp;MIP[[#This Row],[C.B Sitrack]],'[1]Tempo parado'!B:B,MIP[[#This Row],[Placa]])</f>
        <v>0</v>
      </c>
      <c r="AN218" s="32" t="str">
        <f>IFERROR(MIP[[#This Row],[Tempo parado]]/(MIP[[#This Row],[C.B Sitrack]]-MIP[[#This Row],[S.B Sitrack]]),"")</f>
        <v/>
      </c>
      <c r="AO218" s="30"/>
      <c r="AP218" s="44">
        <f>IF(AND(MIP[Exc]=0,MIP[Previsto / Realizado]="Realizado"),MIP[Sem],0)</f>
        <v>28</v>
      </c>
      <c r="AQ218" s="29">
        <f>IF(AND(MIP[Exc]=0,MIP[Previsto / Realizado]="Realizado",ISBLANK(MIP[[#This Row],[S.B Sitrack]])=FALSE,ISBLANK(MIP[[#This Row],[C.B Sitrack]])=FALSE),MIP[Sem],0)</f>
        <v>0</v>
      </c>
    </row>
    <row r="219" spans="1:43" s="47" customFormat="1" x14ac:dyDescent="0.25">
      <c r="A219" s="11"/>
      <c r="B219" s="44">
        <f>WEEKNUM(MIP[[#This Row],[Data]])</f>
        <v>28</v>
      </c>
      <c r="C219" s="45">
        <v>42926</v>
      </c>
      <c r="D219" s="45"/>
      <c r="E219" s="35" t="s">
        <v>3</v>
      </c>
      <c r="F219" s="35" t="s">
        <v>5</v>
      </c>
      <c r="G219" s="35"/>
      <c r="H219" s="44">
        <v>2</v>
      </c>
      <c r="I219" s="44">
        <v>10</v>
      </c>
      <c r="J219" s="44">
        <v>4</v>
      </c>
      <c r="K219" s="44">
        <v>0</v>
      </c>
      <c r="L219" s="44">
        <v>4</v>
      </c>
      <c r="M219" s="43">
        <v>0.625</v>
      </c>
      <c r="N219" s="43">
        <v>0.64583333333333337</v>
      </c>
      <c r="O219" s="43">
        <f>1+18/24/60</f>
        <v>1.0125</v>
      </c>
      <c r="P219" s="43">
        <f>1+48/24/60</f>
        <v>1.0333333333333334</v>
      </c>
      <c r="Q219" s="39"/>
      <c r="R219" s="42"/>
      <c r="S219" s="44">
        <f>MIP[[#This Row],[PT-1]]+MIP[[#This Row],[PT-2]]*2+MIP[[#This Row],[PT-3]]*3+MIP[[#This Row],[PT &gt; 3 Pontos]]</f>
        <v>22</v>
      </c>
      <c r="T21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219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219" s="41">
        <f>MIP[[#This Row],[Eficiência]]</f>
        <v>1.5596481154603135</v>
      </c>
      <c r="W21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19" s="39">
        <f>IF(MIP[[#This Row],[P.S]]-MIP[[#This Row],[P.E]]&lt;0,1+MIP[[#This Row],[P.S]]-MIP[[#This Row],[P.E]]-1/24,MIP[[#This Row],[P.S]]-MIP[[#This Row],[P.E]]-1/24)</f>
        <v>0.36666666666666675</v>
      </c>
      <c r="Y219" s="39">
        <f>MIP[[#This Row],[PT-1]]*$S$3+MIP[[#This Row],[PT-2]]*$T$3+MIP[[#This Row],[PT-3]]*$U$3+MIP[[#This Row],[PT &gt; 3 Pontos]]*$V$3</f>
        <v>0.5068856375246017</v>
      </c>
      <c r="Z219" s="39">
        <f>MIP[[#This Row],[HH disponível]]-MIP[[#This Row],[HH AC TOT]]</f>
        <v>0.3249999999999999</v>
      </c>
      <c r="AA219" s="38">
        <f>MIP[[#This Row],[HH Produtivo
Total]]/MIP[[#This Row],[HH Trabalhado]]</f>
        <v>1.5596481154603135</v>
      </c>
      <c r="AB219" s="38">
        <f>MIP[[#This Row],[HH Produtivo
Total]]/MIP[[#This Row],[HH disponível]]</f>
        <v>1.3824153750670951</v>
      </c>
      <c r="AC219" s="38">
        <f>MIP[[#This Row],[HH Trabalhado]]/MIP[[#This Row],[HH disponível]]</f>
        <v>0.88636363636363591</v>
      </c>
      <c r="AD219" s="37" t="str">
        <f>LEFT(MIP[[#This Row],[Equipe]], SEARCH("/",MIP[[#This Row],[Equipe]],1)-1)</f>
        <v xml:space="preserve">EDILTON </v>
      </c>
      <c r="AE219" s="37" t="str">
        <f>RIGHT(MIP[[#This Row],[Equipe]], LEN(MIP[[#This Row],[Equipe]])-SEARCH("/",MIP[[#This Row],[Equipe]],1))</f>
        <v xml:space="preserve"> GECIVALDO</v>
      </c>
      <c r="AF219" s="44">
        <f>COUNTIFS('[1]Tempo parado'!H:H,"&gt;="&amp;MIP[[#This Row],[S.B Sitrack]],'[1]Tempo parado'!I:I,"&lt;="&amp;MIP[[#This Row],[C.B Sitrack]],'[1]Tempo parado'!B:B,MIP[[#This Row],[Placa]])</f>
        <v>0</v>
      </c>
      <c r="AG219" s="36"/>
      <c r="AH219" s="35"/>
      <c r="AI219" s="34"/>
      <c r="AJ219" s="34"/>
      <c r="AK21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1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19" s="32">
        <f>SUMIFS('[1]Tempo parado'!J:J,'[1]Tempo parado'!H:H,"&gt;="&amp;MIP[[#This Row],[S.B Sitrack]],'[1]Tempo parado'!I:I,"&lt;="&amp;MIP[[#This Row],[C.B Sitrack]],'[1]Tempo parado'!B:B,MIP[[#This Row],[Placa]])</f>
        <v>0</v>
      </c>
      <c r="AN219" s="32" t="str">
        <f>IFERROR(MIP[[#This Row],[Tempo parado]]/(MIP[[#This Row],[C.B Sitrack]]-MIP[[#This Row],[S.B Sitrack]]),"")</f>
        <v/>
      </c>
      <c r="AO219" s="30"/>
      <c r="AP219" s="44">
        <f>IF(AND(MIP[Exc]=0,MIP[Previsto / Realizado]="Realizado"),MIP[Sem],0)</f>
        <v>0</v>
      </c>
      <c r="AQ219" s="29">
        <f>IF(AND(MIP[Exc]=0,MIP[Previsto / Realizado]="Realizado",ISBLANK(MIP[[#This Row],[S.B Sitrack]])=FALSE,ISBLANK(MIP[[#This Row],[C.B Sitrack]])=FALSE),MIP[Sem],0)</f>
        <v>0</v>
      </c>
    </row>
    <row r="220" spans="1:43" s="64" customFormat="1" x14ac:dyDescent="0.25">
      <c r="A220" s="11"/>
      <c r="B220" s="44">
        <f>WEEKNUM(MIP[[#This Row],[Data]])</f>
        <v>28</v>
      </c>
      <c r="C220" s="45">
        <v>42926</v>
      </c>
      <c r="D220" s="45"/>
      <c r="E220" s="35" t="s">
        <v>3</v>
      </c>
      <c r="F220" s="35" t="s">
        <v>2</v>
      </c>
      <c r="G220" s="35"/>
      <c r="H220" s="44">
        <v>2</v>
      </c>
      <c r="I220" s="44">
        <v>6</v>
      </c>
      <c r="J220" s="44">
        <v>4</v>
      </c>
      <c r="K220" s="44">
        <v>0</v>
      </c>
      <c r="L220" s="44">
        <v>4</v>
      </c>
      <c r="M220" s="43">
        <v>0.61041666666666672</v>
      </c>
      <c r="N220" s="43">
        <v>0.67152777777777783</v>
      </c>
      <c r="O220" s="43">
        <f>1+22/24/60</f>
        <v>1.0152777777777777</v>
      </c>
      <c r="P220" s="43">
        <f>1+54/24/60</f>
        <v>1.0375000000000001</v>
      </c>
      <c r="Q220" s="39"/>
      <c r="R220" s="42"/>
      <c r="S220" s="44">
        <f>MIP[[#This Row],[PT-1]]+MIP[[#This Row],[PT-2]]*2+MIP[[#This Row],[PT-3]]*3+MIP[[#This Row],[PT &gt; 3 Pontos]]</f>
        <v>18</v>
      </c>
      <c r="T22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8.3333333333333481E-2</v>
      </c>
      <c r="U220" s="39">
        <f>IF(MIP[[#This Row],[P.S]]-MIP[[#This Row],[U.P]]&gt;=0,MIP[[#This Row],[P.S]]-MIP[[#This Row],[U.P]]+MIP[[#This Row],[S.B]]-MIP[[#This Row],[P.E]],1+MIP[[#This Row],[P.S]]-MIP[[#This Row],[U.P]]+MIP[[#This Row],[S.B]]-MIP[[#This Row],[P.E]])</f>
        <v>8.3333333333333481E-2</v>
      </c>
      <c r="V220" s="41">
        <f>MIP[[#This Row],[Eficiência]]</f>
        <v>1.3465894367631002</v>
      </c>
      <c r="W22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20" s="39">
        <f>IF(MIP[[#This Row],[P.S]]-MIP[[#This Row],[P.E]]&lt;0,1+MIP[[#This Row],[P.S]]-MIP[[#This Row],[P.E]]-1/24,MIP[[#This Row],[P.S]]-MIP[[#This Row],[P.E]]-1/24)</f>
        <v>0.38541666666666669</v>
      </c>
      <c r="Y220" s="39">
        <f>MIP[[#This Row],[PT-1]]*$S$3+MIP[[#This Row],[PT-2]]*$T$3+MIP[[#This Row],[PT-3]]*$U$3+MIP[[#This Row],[PT &gt; 3 Pontos]]*$V$3</f>
        <v>0.40678222568885303</v>
      </c>
      <c r="Z220" s="39">
        <f>MIP[[#This Row],[HH disponível]]-MIP[[#This Row],[HH AC TOT]]</f>
        <v>0.3020833333333332</v>
      </c>
      <c r="AA220" s="38">
        <f>MIP[[#This Row],[HH Produtivo
Total]]/MIP[[#This Row],[HH Trabalhado]]</f>
        <v>1.3465894367631002</v>
      </c>
      <c r="AB220" s="38">
        <f>MIP[[#This Row],[HH Produtivo
Total]]/MIP[[#This Row],[HH disponível]]</f>
        <v>1.0554349639494565</v>
      </c>
      <c r="AC220" s="38">
        <f>MIP[[#This Row],[HH Trabalhado]]/MIP[[#This Row],[HH disponível]]</f>
        <v>0.78378378378378344</v>
      </c>
      <c r="AD220" s="37" t="str">
        <f>LEFT(MIP[[#This Row],[Equipe]], SEARCH("/",MIP[[#This Row],[Equipe]],1)-1)</f>
        <v xml:space="preserve">EDILTON </v>
      </c>
      <c r="AE220" s="37" t="str">
        <f>RIGHT(MIP[[#This Row],[Equipe]], LEN(MIP[[#This Row],[Equipe]])-SEARCH("/",MIP[[#This Row],[Equipe]],1))</f>
        <v xml:space="preserve"> GECIVALDO</v>
      </c>
      <c r="AF220" s="44">
        <f>COUNTIFS('[1]Tempo parado'!H:H,"&gt;="&amp;MIP[[#This Row],[S.B Sitrack]],'[1]Tempo parado'!I:I,"&lt;="&amp;MIP[[#This Row],[C.B Sitrack]],'[1]Tempo parado'!B:B,MIP[[#This Row],[Placa]])</f>
        <v>0</v>
      </c>
      <c r="AG220" s="36"/>
      <c r="AH220" s="35"/>
      <c r="AI220" s="34"/>
      <c r="AJ220" s="34"/>
      <c r="AK22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2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20" s="32">
        <f>SUMIFS('[1]Tempo parado'!J:J,'[1]Tempo parado'!H:H,"&gt;="&amp;MIP[[#This Row],[S.B Sitrack]],'[1]Tempo parado'!I:I,"&lt;="&amp;MIP[[#This Row],[C.B Sitrack]],'[1]Tempo parado'!B:B,MIP[[#This Row],[Placa]])</f>
        <v>0</v>
      </c>
      <c r="AN220" s="32" t="str">
        <f>IFERROR(MIP[[#This Row],[Tempo parado]]/(MIP[[#This Row],[C.B Sitrack]]-MIP[[#This Row],[S.B Sitrack]]),"")</f>
        <v/>
      </c>
      <c r="AO220" s="30"/>
      <c r="AP220" s="44">
        <f>IF(AND(MIP[Exc]=0,MIP[Previsto / Realizado]="Realizado"),MIP[Sem],0)</f>
        <v>28</v>
      </c>
      <c r="AQ220" s="29">
        <f>IF(AND(MIP[Exc]=0,MIP[Previsto / Realizado]="Realizado",ISBLANK(MIP[[#This Row],[S.B Sitrack]])=FALSE,ISBLANK(MIP[[#This Row],[C.B Sitrack]])=FALSE),MIP[Sem],0)</f>
        <v>0</v>
      </c>
    </row>
    <row r="221" spans="1:43" s="47" customFormat="1" x14ac:dyDescent="0.25">
      <c r="A221" s="11"/>
      <c r="B221" s="44">
        <f>WEEKNUM(MIP[[#This Row],[Data]])</f>
        <v>28</v>
      </c>
      <c r="C221" s="45">
        <v>42926</v>
      </c>
      <c r="D221" s="45"/>
      <c r="E221" s="35" t="s">
        <v>389</v>
      </c>
      <c r="F221" s="35" t="s">
        <v>5</v>
      </c>
      <c r="G221" s="35"/>
      <c r="H221" s="44">
        <v>2</v>
      </c>
      <c r="I221" s="44">
        <v>4</v>
      </c>
      <c r="J221" s="44">
        <v>1</v>
      </c>
      <c r="K221" s="44">
        <v>0</v>
      </c>
      <c r="L221" s="44">
        <v>7</v>
      </c>
      <c r="M221" s="43">
        <v>0.625</v>
      </c>
      <c r="N221" s="43">
        <v>0.64583333333333337</v>
      </c>
      <c r="O221" s="43">
        <f>1+18/24/60</f>
        <v>1.0125</v>
      </c>
      <c r="P221" s="43">
        <f>1+48/24/60</f>
        <v>1.0333333333333334</v>
      </c>
      <c r="Q221" s="39"/>
      <c r="R221" s="42"/>
      <c r="S221" s="44">
        <f>MIP[[#This Row],[PT-1]]+MIP[[#This Row],[PT-2]]*2+MIP[[#This Row],[PT-3]]*3+MIP[[#This Row],[PT &gt; 3 Pontos]]</f>
        <v>13</v>
      </c>
      <c r="T22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221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221" s="41">
        <f>MIP[[#This Row],[Eficiência]]</f>
        <v>0.87922539724321169</v>
      </c>
      <c r="W22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21" s="39">
        <f>IF(MIP[[#This Row],[P.S]]-MIP[[#This Row],[P.E]]&lt;0,1+MIP[[#This Row],[P.S]]-MIP[[#This Row],[P.E]]-1/24,MIP[[#This Row],[P.S]]-MIP[[#This Row],[P.E]]-1/24)</f>
        <v>0.36666666666666675</v>
      </c>
      <c r="Y221" s="39">
        <f>MIP[[#This Row],[PT-1]]*$S$3+MIP[[#This Row],[PT-2]]*$T$3+MIP[[#This Row],[PT-3]]*$U$3+MIP[[#This Row],[PT &gt; 3 Pontos]]*$V$3</f>
        <v>0.2857482541040437</v>
      </c>
      <c r="Z221" s="39">
        <f>MIP[[#This Row],[HH disponível]]-MIP[[#This Row],[HH AC TOT]]</f>
        <v>0.3249999999999999</v>
      </c>
      <c r="AA221" s="38">
        <f>MIP[[#This Row],[HH Produtivo
Total]]/MIP[[#This Row],[HH Trabalhado]]</f>
        <v>0.87922539724321169</v>
      </c>
      <c r="AB221" s="38">
        <f>MIP[[#This Row],[HH Produtivo
Total]]/MIP[[#This Row],[HH disponível]]</f>
        <v>0.77931342028375539</v>
      </c>
      <c r="AC221" s="38">
        <f>MIP[[#This Row],[HH Trabalhado]]/MIP[[#This Row],[HH disponível]]</f>
        <v>0.88636363636363591</v>
      </c>
      <c r="AD221" s="37" t="str">
        <f>LEFT(MIP[[#This Row],[Equipe]], SEARCH("/",MIP[[#This Row],[Equipe]],1)-1)</f>
        <v xml:space="preserve">CLEBER </v>
      </c>
      <c r="AE221" s="37" t="str">
        <f>RIGHT(MIP[[#This Row],[Equipe]], LEN(MIP[[#This Row],[Equipe]])-SEARCH("/",MIP[[#This Row],[Equipe]],1))</f>
        <v xml:space="preserve"> HERVAL</v>
      </c>
      <c r="AF221" s="44">
        <f>COUNTIFS('[1]Tempo parado'!H:H,"&gt;="&amp;MIP[[#This Row],[S.B Sitrack]],'[1]Tempo parado'!I:I,"&lt;="&amp;MIP[[#This Row],[C.B Sitrack]],'[1]Tempo parado'!B:B,MIP[[#This Row],[Placa]])</f>
        <v>0</v>
      </c>
      <c r="AG221" s="36"/>
      <c r="AH221" s="35"/>
      <c r="AI221" s="34"/>
      <c r="AJ221" s="34"/>
      <c r="AK22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2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21" s="32">
        <f>SUMIFS('[1]Tempo parado'!J:J,'[1]Tempo parado'!H:H,"&gt;="&amp;MIP[[#This Row],[S.B Sitrack]],'[1]Tempo parado'!I:I,"&lt;="&amp;MIP[[#This Row],[C.B Sitrack]],'[1]Tempo parado'!B:B,MIP[[#This Row],[Placa]])</f>
        <v>0</v>
      </c>
      <c r="AN221" s="32" t="str">
        <f>IFERROR(MIP[[#This Row],[Tempo parado]]/(MIP[[#This Row],[C.B Sitrack]]-MIP[[#This Row],[S.B Sitrack]]),"")</f>
        <v/>
      </c>
      <c r="AO221" s="30"/>
      <c r="AP221" s="44">
        <f>IF(AND(MIP[Exc]=0,MIP[Previsto / Realizado]="Realizado"),MIP[Sem],0)</f>
        <v>0</v>
      </c>
      <c r="AQ221" s="29">
        <f>IF(AND(MIP[Exc]=0,MIP[Previsto / Realizado]="Realizado",ISBLANK(MIP[[#This Row],[S.B Sitrack]])=FALSE,ISBLANK(MIP[[#This Row],[C.B Sitrack]])=FALSE),MIP[Sem],0)</f>
        <v>0</v>
      </c>
    </row>
    <row r="222" spans="1:43" s="64" customFormat="1" x14ac:dyDescent="0.25">
      <c r="A222" s="11"/>
      <c r="B222" s="44">
        <f>WEEKNUM(MIP[[#This Row],[Data]])</f>
        <v>28</v>
      </c>
      <c r="C222" s="45">
        <v>42926</v>
      </c>
      <c r="D222" s="45"/>
      <c r="E222" s="35" t="s">
        <v>389</v>
      </c>
      <c r="F222" s="35" t="s">
        <v>2</v>
      </c>
      <c r="G222" s="35"/>
      <c r="H222" s="44">
        <v>2</v>
      </c>
      <c r="I222" s="44">
        <v>4</v>
      </c>
      <c r="J222" s="44">
        <v>1</v>
      </c>
      <c r="K222" s="44">
        <v>0</v>
      </c>
      <c r="L222" s="44">
        <v>9</v>
      </c>
      <c r="M222" s="43">
        <v>0.64513888888888882</v>
      </c>
      <c r="N222" s="43">
        <v>0.6777777777777777</v>
      </c>
      <c r="O222" s="43">
        <v>0.93263888888888891</v>
      </c>
      <c r="P222" s="43">
        <f>1+49/24/60</f>
        <v>1.0340277777777778</v>
      </c>
      <c r="Q222" s="39"/>
      <c r="R222" s="42"/>
      <c r="S222" s="44">
        <f>MIP[[#This Row],[PT-1]]+MIP[[#This Row],[PT-2]]*2+MIP[[#This Row],[PT-3]]*3+MIP[[#This Row],[PT &gt; 3 Pontos]]</f>
        <v>15</v>
      </c>
      <c r="T22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0.13402777777777775</v>
      </c>
      <c r="U222" s="39">
        <f>IF(MIP[[#This Row],[P.S]]-MIP[[#This Row],[U.P]]&gt;=0,MIP[[#This Row],[P.S]]-MIP[[#This Row],[U.P]]+MIP[[#This Row],[S.B]]-MIP[[#This Row],[P.E]],1+MIP[[#This Row],[P.S]]-MIP[[#This Row],[U.P]]+MIP[[#This Row],[S.B]]-MIP[[#This Row],[P.E]])</f>
        <v>0.13402777777777775</v>
      </c>
      <c r="V222" s="41">
        <f>MIP[[#This Row],[Eficiência]]</f>
        <v>1.5302663102487841</v>
      </c>
      <c r="W22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22" s="39">
        <f>IF(MIP[[#This Row],[P.S]]-MIP[[#This Row],[P.E]]&lt;0,1+MIP[[#This Row],[P.S]]-MIP[[#This Row],[P.E]]-1/24,MIP[[#This Row],[P.S]]-MIP[[#This Row],[P.E]]-1/24)</f>
        <v>0.34722222222222227</v>
      </c>
      <c r="Y222" s="39">
        <f>MIP[[#This Row],[PT-1]]*$S$3+MIP[[#This Row],[PT-2]]*$T$3+MIP[[#This Row],[PT-3]]*$U$3+MIP[[#This Row],[PT &gt; 3 Pontos]]*$V$3</f>
        <v>0.3262442758655395</v>
      </c>
      <c r="Z222" s="39">
        <f>MIP[[#This Row],[HH disponível]]-MIP[[#This Row],[HH AC TOT]]</f>
        <v>0.21319444444444452</v>
      </c>
      <c r="AA222" s="38">
        <f>MIP[[#This Row],[HH Produtivo
Total]]/MIP[[#This Row],[HH Trabalhado]]</f>
        <v>1.5302663102487841</v>
      </c>
      <c r="AB222" s="38">
        <f>MIP[[#This Row],[HH Produtivo
Total]]/MIP[[#This Row],[HH disponível]]</f>
        <v>0.93958351449275368</v>
      </c>
      <c r="AC222" s="38">
        <f>MIP[[#This Row],[HH Trabalhado]]/MIP[[#This Row],[HH disponível]]</f>
        <v>0.6140000000000001</v>
      </c>
      <c r="AD222" s="37" t="str">
        <f>LEFT(MIP[[#This Row],[Equipe]], SEARCH("/",MIP[[#This Row],[Equipe]],1)-1)</f>
        <v xml:space="preserve">CLEBER </v>
      </c>
      <c r="AE222" s="37" t="str">
        <f>RIGHT(MIP[[#This Row],[Equipe]], LEN(MIP[[#This Row],[Equipe]])-SEARCH("/",MIP[[#This Row],[Equipe]],1))</f>
        <v xml:space="preserve"> HERVAL</v>
      </c>
      <c r="AF222" s="44">
        <f>COUNTIFS('[1]Tempo parado'!H:H,"&gt;="&amp;MIP[[#This Row],[S.B Sitrack]],'[1]Tempo parado'!I:I,"&lt;="&amp;MIP[[#This Row],[C.B Sitrack]],'[1]Tempo parado'!B:B,MIP[[#This Row],[Placa]])</f>
        <v>0</v>
      </c>
      <c r="AG222" s="36"/>
      <c r="AH222" s="35"/>
      <c r="AI222" s="34"/>
      <c r="AJ222" s="34"/>
      <c r="AK22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2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22" s="32">
        <f>SUMIFS('[1]Tempo parado'!J:J,'[1]Tempo parado'!H:H,"&gt;="&amp;MIP[[#This Row],[S.B Sitrack]],'[1]Tempo parado'!I:I,"&lt;="&amp;MIP[[#This Row],[C.B Sitrack]],'[1]Tempo parado'!B:B,MIP[[#This Row],[Placa]])</f>
        <v>0</v>
      </c>
      <c r="AN222" s="32" t="str">
        <f>IFERROR(MIP[[#This Row],[Tempo parado]]/(MIP[[#This Row],[C.B Sitrack]]-MIP[[#This Row],[S.B Sitrack]]),"")</f>
        <v/>
      </c>
      <c r="AO222" s="30"/>
      <c r="AP222" s="44">
        <f>IF(AND(MIP[Exc]=0,MIP[Previsto / Realizado]="Realizado"),MIP[Sem],0)</f>
        <v>28</v>
      </c>
      <c r="AQ222" s="29">
        <f>IF(AND(MIP[Exc]=0,MIP[Previsto / Realizado]="Realizado",ISBLANK(MIP[[#This Row],[S.B Sitrack]])=FALSE,ISBLANK(MIP[[#This Row],[C.B Sitrack]])=FALSE),MIP[Sem],0)</f>
        <v>0</v>
      </c>
    </row>
    <row r="223" spans="1:43" s="47" customFormat="1" x14ac:dyDescent="0.25">
      <c r="A223" s="11"/>
      <c r="B223" s="44">
        <f>WEEKNUM(MIP[[#This Row],[Data]])</f>
        <v>28</v>
      </c>
      <c r="C223" s="45">
        <v>42926</v>
      </c>
      <c r="D223" s="45"/>
      <c r="E223" s="35" t="s">
        <v>19</v>
      </c>
      <c r="F223" s="35" t="s">
        <v>5</v>
      </c>
      <c r="G223" s="35"/>
      <c r="H223" s="44">
        <v>2</v>
      </c>
      <c r="I223" s="44">
        <v>5</v>
      </c>
      <c r="J223" s="44">
        <v>1</v>
      </c>
      <c r="K223" s="44">
        <v>1</v>
      </c>
      <c r="L223" s="44">
        <v>0</v>
      </c>
      <c r="M223" s="43">
        <v>0.625</v>
      </c>
      <c r="N223" s="43">
        <v>0.64583333333333337</v>
      </c>
      <c r="O223" s="43">
        <f>1+18/24/60</f>
        <v>1.0125</v>
      </c>
      <c r="P223" s="43">
        <f>1+48/24/60</f>
        <v>1.0333333333333334</v>
      </c>
      <c r="Q223" s="39"/>
      <c r="R223" s="42"/>
      <c r="S223" s="44">
        <f>MIP[[#This Row],[PT-1]]+MIP[[#This Row],[PT-2]]*2+MIP[[#This Row],[PT-3]]*3+MIP[[#This Row],[PT &gt; 3 Pontos]]</f>
        <v>10</v>
      </c>
      <c r="T22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223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223" s="41">
        <f>MIP[[#This Row],[Eficiência]]</f>
        <v>0.71332218506131551</v>
      </c>
      <c r="W22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23" s="39">
        <f>IF(MIP[[#This Row],[P.S]]-MIP[[#This Row],[P.E]]&lt;0,1+MIP[[#This Row],[P.S]]-MIP[[#This Row],[P.E]]-1/24,MIP[[#This Row],[P.S]]-MIP[[#This Row],[P.E]]-1/24)</f>
        <v>0.36666666666666675</v>
      </c>
      <c r="Y223" s="39">
        <f>MIP[[#This Row],[PT-1]]*$S$3+MIP[[#This Row],[PT-2]]*$T$3+MIP[[#This Row],[PT-3]]*$U$3+MIP[[#This Row],[PT &gt; 3 Pontos]]*$V$3</f>
        <v>0.23182971014492745</v>
      </c>
      <c r="Z223" s="39">
        <f>MIP[[#This Row],[HH disponível]]-MIP[[#This Row],[HH AC TOT]]</f>
        <v>0.3249999999999999</v>
      </c>
      <c r="AA223" s="38">
        <f>MIP[[#This Row],[HH Produtivo
Total]]/MIP[[#This Row],[HH Trabalhado]]</f>
        <v>0.71332218506131551</v>
      </c>
      <c r="AB223" s="38">
        <f>MIP[[#This Row],[HH Produtivo
Total]]/MIP[[#This Row],[HH disponível]]</f>
        <v>0.63226284584980197</v>
      </c>
      <c r="AC223" s="38">
        <f>MIP[[#This Row],[HH Trabalhado]]/MIP[[#This Row],[HH disponível]]</f>
        <v>0.88636363636363591</v>
      </c>
      <c r="AD223" s="37" t="str">
        <f>LEFT(MIP[[#This Row],[Equipe]], SEARCH("/",MIP[[#This Row],[Equipe]],1)-1)</f>
        <v xml:space="preserve">ADEMÁRIO </v>
      </c>
      <c r="AE223" s="37" t="str">
        <f>RIGHT(MIP[[#This Row],[Equipe]], LEN(MIP[[#This Row],[Equipe]])-SEARCH("/",MIP[[#This Row],[Equipe]],1))</f>
        <v xml:space="preserve"> RONALDO</v>
      </c>
      <c r="AF223" s="44">
        <f>COUNTIFS('[1]Tempo parado'!H:H,"&gt;="&amp;MIP[[#This Row],[S.B Sitrack]],'[1]Tempo parado'!I:I,"&lt;="&amp;MIP[[#This Row],[C.B Sitrack]],'[1]Tempo parado'!B:B,MIP[[#This Row],[Placa]])</f>
        <v>0</v>
      </c>
      <c r="AG223" s="36"/>
      <c r="AH223" s="35"/>
      <c r="AI223" s="34"/>
      <c r="AJ223" s="34"/>
      <c r="AK22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2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23" s="32">
        <f>SUMIFS('[1]Tempo parado'!J:J,'[1]Tempo parado'!H:H,"&gt;="&amp;MIP[[#This Row],[S.B Sitrack]],'[1]Tempo parado'!I:I,"&lt;="&amp;MIP[[#This Row],[C.B Sitrack]],'[1]Tempo parado'!B:B,MIP[[#This Row],[Placa]])</f>
        <v>0</v>
      </c>
      <c r="AN223" s="32" t="str">
        <f>IFERROR(MIP[[#This Row],[Tempo parado]]/(MIP[[#This Row],[C.B Sitrack]]-MIP[[#This Row],[S.B Sitrack]]),"")</f>
        <v/>
      </c>
      <c r="AO223" s="30"/>
      <c r="AP223" s="44">
        <f>IF(AND(MIP[Exc]=0,MIP[Previsto / Realizado]="Realizado"),MIP[Sem],0)</f>
        <v>0</v>
      </c>
      <c r="AQ223" s="29">
        <f>IF(AND(MIP[Exc]=0,MIP[Previsto / Realizado]="Realizado",ISBLANK(MIP[[#This Row],[S.B Sitrack]])=FALSE,ISBLANK(MIP[[#This Row],[C.B Sitrack]])=FALSE),MIP[Sem],0)</f>
        <v>0</v>
      </c>
    </row>
    <row r="224" spans="1:43" s="64" customFormat="1" x14ac:dyDescent="0.25">
      <c r="A224" s="11"/>
      <c r="B224" s="44">
        <f>WEEKNUM(MIP[[#This Row],[Data]])</f>
        <v>28</v>
      </c>
      <c r="C224" s="45">
        <v>42926</v>
      </c>
      <c r="D224" s="45"/>
      <c r="E224" s="35" t="s">
        <v>19</v>
      </c>
      <c r="F224" s="35" t="s">
        <v>2</v>
      </c>
      <c r="G224" s="35"/>
      <c r="H224" s="44">
        <v>2</v>
      </c>
      <c r="I224" s="44">
        <v>4</v>
      </c>
      <c r="J224" s="44">
        <v>1</v>
      </c>
      <c r="K224" s="44">
        <v>1</v>
      </c>
      <c r="L224" s="44">
        <v>2</v>
      </c>
      <c r="M224" s="43">
        <v>0.62847222222222221</v>
      </c>
      <c r="N224" s="43">
        <v>0.6777777777777777</v>
      </c>
      <c r="O224" s="43">
        <f>1+30/24/60</f>
        <v>1.0208333333333333</v>
      </c>
      <c r="P224" s="43">
        <f>1+58/24/60</f>
        <v>1.0402777777777779</v>
      </c>
      <c r="Q224" s="39"/>
      <c r="R224" s="42" t="s">
        <v>396</v>
      </c>
      <c r="S224" s="44">
        <f>MIP[[#This Row],[PT-1]]+MIP[[#This Row],[PT-2]]*2+MIP[[#This Row],[PT-3]]*3+MIP[[#This Row],[PT &gt; 3 Pontos]]</f>
        <v>11</v>
      </c>
      <c r="T22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6.8750000000000089E-2</v>
      </c>
      <c r="U224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6.8750000000000089E-2</v>
      </c>
      <c r="V224" s="41">
        <f>MIP[[#This Row],[Eficiência]]</f>
        <v>0.82053416056308759</v>
      </c>
      <c r="W22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24" s="39">
        <f>IF(MIP[[#This Row],[P.S]]-MIP[[#This Row],[P.E]]&lt;0,1+MIP[[#This Row],[P.S]]-MIP[[#This Row],[P.E]]-1/24,MIP[[#This Row],[P.S]]-MIP[[#This Row],[P.E]]-1/24)</f>
        <v>0.37013888888888896</v>
      </c>
      <c r="Y224" s="39">
        <f>MIP[[#This Row],[PT-1]]*$S$3+MIP[[#This Row],[PT-2]]*$T$3+MIP[[#This Row],[PT-3]]*$U$3+MIP[[#This Row],[PT &gt; 3 Pontos]]*$V$3</f>
        <v>0.24729987894748612</v>
      </c>
      <c r="Z224" s="39">
        <f>MIP[[#This Row],[HH disponível]]-MIP[[#This Row],[HH AC TOT]]</f>
        <v>0.30138888888888887</v>
      </c>
      <c r="AA224" s="38">
        <f>MIP[[#This Row],[HH Produtivo
Total]]/MIP[[#This Row],[HH Trabalhado]]</f>
        <v>0.82053416056308759</v>
      </c>
      <c r="AB224" s="38">
        <f>MIP[[#This Row],[HH Produtivo
Total]]/MIP[[#This Row],[HH disponível]]</f>
        <v>0.66812725269114437</v>
      </c>
      <c r="AC224" s="38">
        <f>MIP[[#This Row],[HH Trabalhado]]/MIP[[#This Row],[HH disponível]]</f>
        <v>0.81425891181988719</v>
      </c>
      <c r="AD224" s="37" t="str">
        <f>LEFT(MIP[[#This Row],[Equipe]], SEARCH("/",MIP[[#This Row],[Equipe]],1)-1)</f>
        <v xml:space="preserve">ADEMÁRIO </v>
      </c>
      <c r="AE224" s="37" t="str">
        <f>RIGHT(MIP[[#This Row],[Equipe]], LEN(MIP[[#This Row],[Equipe]])-SEARCH("/",MIP[[#This Row],[Equipe]],1))</f>
        <v xml:space="preserve"> RONALDO</v>
      </c>
      <c r="AF224" s="44">
        <f>COUNTIFS('[1]Tempo parado'!H:H,"&gt;="&amp;MIP[[#This Row],[S.B Sitrack]],'[1]Tempo parado'!I:I,"&lt;="&amp;MIP[[#This Row],[C.B Sitrack]],'[1]Tempo parado'!B:B,MIP[[#This Row],[Placa]])</f>
        <v>0</v>
      </c>
      <c r="AG224" s="36"/>
      <c r="AH224" s="35"/>
      <c r="AI224" s="34"/>
      <c r="AJ224" s="34"/>
      <c r="AK22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2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24" s="32">
        <f>SUMIFS('[1]Tempo parado'!J:J,'[1]Tempo parado'!H:H,"&gt;="&amp;MIP[[#This Row],[S.B Sitrack]],'[1]Tempo parado'!I:I,"&lt;="&amp;MIP[[#This Row],[C.B Sitrack]],'[1]Tempo parado'!B:B,MIP[[#This Row],[Placa]])</f>
        <v>0</v>
      </c>
      <c r="AN224" s="32" t="str">
        <f>IFERROR(MIP[[#This Row],[Tempo parado]]/(MIP[[#This Row],[C.B Sitrack]]-MIP[[#This Row],[S.B Sitrack]]),"")</f>
        <v/>
      </c>
      <c r="AO224" s="30"/>
      <c r="AP224" s="44">
        <f>IF(AND(MIP[Exc]=0,MIP[Previsto / Realizado]="Realizado"),MIP[Sem],0)</f>
        <v>28</v>
      </c>
      <c r="AQ224" s="29">
        <f>IF(AND(MIP[Exc]=0,MIP[Previsto / Realizado]="Realizado",ISBLANK(MIP[[#This Row],[S.B Sitrack]])=FALSE,ISBLANK(MIP[[#This Row],[C.B Sitrack]])=FALSE),MIP[Sem],0)</f>
        <v>0</v>
      </c>
    </row>
    <row r="225" spans="1:43" s="47" customFormat="1" x14ac:dyDescent="0.25">
      <c r="A225" s="11"/>
      <c r="B225" s="44">
        <f>WEEKNUM(MIP[[#This Row],[Data]])</f>
        <v>28</v>
      </c>
      <c r="C225" s="45">
        <v>42927</v>
      </c>
      <c r="D225" s="45"/>
      <c r="E225" s="35" t="s">
        <v>10</v>
      </c>
      <c r="F225" s="35" t="s">
        <v>5</v>
      </c>
      <c r="G225" s="35"/>
      <c r="H225" s="44">
        <v>2</v>
      </c>
      <c r="I225" s="44">
        <v>10</v>
      </c>
      <c r="J225" s="44">
        <v>0</v>
      </c>
      <c r="K225" s="44">
        <v>0</v>
      </c>
      <c r="L225" s="44">
        <v>0</v>
      </c>
      <c r="M225" s="43">
        <v>0.25</v>
      </c>
      <c r="N225" s="43">
        <v>0.27083333333333331</v>
      </c>
      <c r="O225" s="43">
        <v>0.63750000000000007</v>
      </c>
      <c r="P225" s="43">
        <v>0.65833333333333333</v>
      </c>
      <c r="Q225" s="39"/>
      <c r="R225" s="42" t="s">
        <v>395</v>
      </c>
      <c r="S225" s="44">
        <f>MIP[[#This Row],[PT-1]]+MIP[[#This Row],[PT-2]]*2+MIP[[#This Row],[PT-3]]*3+MIP[[#This Row],[PT &gt; 3 Pontos]]</f>
        <v>10</v>
      </c>
      <c r="T22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225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225" s="41">
        <f>MIP[[#This Row],[Eficiência]]</f>
        <v>0.77002624489037452</v>
      </c>
      <c r="W22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25" s="39">
        <f>IF(MIP[[#This Row],[P.S]]-MIP[[#This Row],[P.E]]&lt;0,1+MIP[[#This Row],[P.S]]-MIP[[#This Row],[P.E]]-1/24,MIP[[#This Row],[P.S]]-MIP[[#This Row],[P.E]]-1/24)</f>
        <v>0.36666666666666664</v>
      </c>
      <c r="Y225" s="39">
        <f>MIP[[#This Row],[PT-1]]*$S$3+MIP[[#This Row],[PT-2]]*$T$3+MIP[[#This Row],[PT-3]]*$U$3+MIP[[#This Row],[PT &gt; 3 Pontos]]*$V$3</f>
        <v>0.25025852958937178</v>
      </c>
      <c r="Z225" s="39">
        <f>MIP[[#This Row],[HH disponível]]-MIP[[#This Row],[HH AC TOT]]</f>
        <v>0.32500000000000007</v>
      </c>
      <c r="AA225" s="38">
        <f>MIP[[#This Row],[HH Produtivo
Total]]/MIP[[#This Row],[HH Trabalhado]]</f>
        <v>0.77002624489037452</v>
      </c>
      <c r="AB225" s="38">
        <f>MIP[[#This Row],[HH Produtivo
Total]]/MIP[[#This Row],[HH disponível]]</f>
        <v>0.68252326251646855</v>
      </c>
      <c r="AC225" s="38">
        <f>MIP[[#This Row],[HH Trabalhado]]/MIP[[#This Row],[HH disponível]]</f>
        <v>0.88636363636363658</v>
      </c>
      <c r="AD225" s="37" t="str">
        <f>LEFT(MIP[[#This Row],[Equipe]], SEARCH("/",MIP[[#This Row],[Equipe]],1)-1)</f>
        <v xml:space="preserve">JOILSON </v>
      </c>
      <c r="AE225" s="37" t="str">
        <f>RIGHT(MIP[[#This Row],[Equipe]], LEN(MIP[[#This Row],[Equipe]])-SEARCH("/",MIP[[#This Row],[Equipe]],1))</f>
        <v xml:space="preserve"> VALDEI</v>
      </c>
      <c r="AF225" s="44">
        <f>COUNTIFS('[1]Tempo parado'!H:H,"&gt;="&amp;MIP[[#This Row],[S.B Sitrack]],'[1]Tempo parado'!I:I,"&lt;="&amp;MIP[[#This Row],[C.B Sitrack]],'[1]Tempo parado'!B:B,MIP[[#This Row],[Placa]])</f>
        <v>0</v>
      </c>
      <c r="AG225" s="36"/>
      <c r="AH225" s="35"/>
      <c r="AI225" s="34"/>
      <c r="AJ225" s="34"/>
      <c r="AK22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2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25" s="32">
        <f>SUMIFS('[1]Tempo parado'!J:J,'[1]Tempo parado'!H:H,"&gt;="&amp;MIP[[#This Row],[S.B Sitrack]],'[1]Tempo parado'!I:I,"&lt;="&amp;MIP[[#This Row],[C.B Sitrack]],'[1]Tempo parado'!B:B,MIP[[#This Row],[Placa]])</f>
        <v>0</v>
      </c>
      <c r="AN225" s="32" t="str">
        <f>IFERROR(MIP[[#This Row],[Tempo parado]]/(MIP[[#This Row],[C.B Sitrack]]-MIP[[#This Row],[S.B Sitrack]]),"")</f>
        <v/>
      </c>
      <c r="AO225" s="30"/>
      <c r="AP225" s="44">
        <f>IF(AND(MIP[Exc]=0,MIP[Previsto / Realizado]="Realizado"),MIP[Sem],0)</f>
        <v>0</v>
      </c>
      <c r="AQ225" s="29">
        <f>IF(AND(MIP[Exc]=0,MIP[Previsto / Realizado]="Realizado",ISBLANK(MIP[[#This Row],[S.B Sitrack]])=FALSE,ISBLANK(MIP[[#This Row],[C.B Sitrack]])=FALSE),MIP[Sem],0)</f>
        <v>0</v>
      </c>
    </row>
    <row r="226" spans="1:43" s="64" customFormat="1" x14ac:dyDescent="0.25">
      <c r="A226" s="11"/>
      <c r="B226" s="44">
        <f>WEEKNUM(MIP[[#This Row],[Data]])</f>
        <v>28</v>
      </c>
      <c r="C226" s="45">
        <v>42927</v>
      </c>
      <c r="D226" s="45"/>
      <c r="E226" s="35" t="s">
        <v>10</v>
      </c>
      <c r="F226" s="35" t="s">
        <v>2</v>
      </c>
      <c r="G226" s="35"/>
      <c r="H226" s="44">
        <v>2</v>
      </c>
      <c r="I226" s="44">
        <f>7+1</f>
        <v>8</v>
      </c>
      <c r="J226" s="44">
        <v>0</v>
      </c>
      <c r="K226" s="44">
        <v>0</v>
      </c>
      <c r="L226" s="44">
        <v>0</v>
      </c>
      <c r="M226" s="43">
        <v>0.25</v>
      </c>
      <c r="N226" s="43">
        <v>0.2986111111111111</v>
      </c>
      <c r="O226" s="43">
        <v>0.64583333333333337</v>
      </c>
      <c r="P226" s="43">
        <v>0.65833333333333333</v>
      </c>
      <c r="Q226" s="39"/>
      <c r="R226" s="42" t="s">
        <v>394</v>
      </c>
      <c r="S226" s="44">
        <f>MIP[[#This Row],[PT-1]]+MIP[[#This Row],[PT-2]]*2+MIP[[#This Row],[PT-3]]*3+MIP[[#This Row],[PT &gt; 3 Pontos]]</f>
        <v>8</v>
      </c>
      <c r="T22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6.1111111111111061E-2</v>
      </c>
      <c r="U226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6.1111111111111061E-2</v>
      </c>
      <c r="V226" s="41">
        <f>MIP[[#This Row],[Eficiência]]</f>
        <v>0.65522233201580982</v>
      </c>
      <c r="W22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26" s="39">
        <f>IF(MIP[[#This Row],[P.S]]-MIP[[#This Row],[P.E]]&lt;0,1+MIP[[#This Row],[P.S]]-MIP[[#This Row],[P.E]]-1/24,MIP[[#This Row],[P.S]]-MIP[[#This Row],[P.E]]-1/24)</f>
        <v>0.36666666666666664</v>
      </c>
      <c r="Y226" s="39">
        <f>MIP[[#This Row],[PT-1]]*$S$3+MIP[[#This Row],[PT-2]]*$T$3+MIP[[#This Row],[PT-3]]*$U$3+MIP[[#This Row],[PT &gt; 3 Pontos]]*$V$3</f>
        <v>0.20020682367149745</v>
      </c>
      <c r="Z226" s="39">
        <f>MIP[[#This Row],[HH disponível]]-MIP[[#This Row],[HH AC TOT]]</f>
        <v>0.30555555555555558</v>
      </c>
      <c r="AA226" s="38">
        <f>MIP[[#This Row],[HH Produtivo
Total]]/MIP[[#This Row],[HH Trabalhado]]</f>
        <v>0.65522233201580982</v>
      </c>
      <c r="AB226" s="38">
        <f>MIP[[#This Row],[HH Produtivo
Total]]/MIP[[#This Row],[HH disponível]]</f>
        <v>0.54601861001317487</v>
      </c>
      <c r="AC226" s="38">
        <f>MIP[[#This Row],[HH Trabalhado]]/MIP[[#This Row],[HH disponível]]</f>
        <v>0.83333333333333348</v>
      </c>
      <c r="AD226" s="37" t="str">
        <f>LEFT(MIP[[#This Row],[Equipe]], SEARCH("/",MIP[[#This Row],[Equipe]],1)-1)</f>
        <v xml:space="preserve">JOILSON </v>
      </c>
      <c r="AE226" s="37" t="str">
        <f>RIGHT(MIP[[#This Row],[Equipe]], LEN(MIP[[#This Row],[Equipe]])-SEARCH("/",MIP[[#This Row],[Equipe]],1))</f>
        <v xml:space="preserve"> VALDEI</v>
      </c>
      <c r="AF226" s="44">
        <f>COUNTIFS('[1]Tempo parado'!H:H,"&gt;="&amp;MIP[[#This Row],[S.B Sitrack]],'[1]Tempo parado'!I:I,"&lt;="&amp;MIP[[#This Row],[C.B Sitrack]],'[1]Tempo parado'!B:B,MIP[[#This Row],[Placa]])</f>
        <v>0</v>
      </c>
      <c r="AG226" s="36"/>
      <c r="AH226" s="35"/>
      <c r="AI226" s="34"/>
      <c r="AJ226" s="34"/>
      <c r="AK22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2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26" s="32">
        <f>SUMIFS('[1]Tempo parado'!J:J,'[1]Tempo parado'!H:H,"&gt;="&amp;MIP[[#This Row],[S.B Sitrack]],'[1]Tempo parado'!I:I,"&lt;="&amp;MIP[[#This Row],[C.B Sitrack]],'[1]Tempo parado'!B:B,MIP[[#This Row],[Placa]])</f>
        <v>0</v>
      </c>
      <c r="AN226" s="32" t="str">
        <f>IFERROR(MIP[[#This Row],[Tempo parado]]/(MIP[[#This Row],[C.B Sitrack]]-MIP[[#This Row],[S.B Sitrack]]),"")</f>
        <v/>
      </c>
      <c r="AO226" s="30"/>
      <c r="AP226" s="44">
        <f>IF(AND(MIP[Exc]=0,MIP[Previsto / Realizado]="Realizado"),MIP[Sem],0)</f>
        <v>28</v>
      </c>
      <c r="AQ226" s="29">
        <f>IF(AND(MIP[Exc]=0,MIP[Previsto / Realizado]="Realizado",ISBLANK(MIP[[#This Row],[S.B Sitrack]])=FALSE,ISBLANK(MIP[[#This Row],[C.B Sitrack]])=FALSE),MIP[Sem],0)</f>
        <v>0</v>
      </c>
    </row>
    <row r="227" spans="1:43" s="47" customFormat="1" x14ac:dyDescent="0.25">
      <c r="A227" s="11"/>
      <c r="B227" s="44">
        <f>WEEKNUM(MIP[[#This Row],[Data]])</f>
        <v>28</v>
      </c>
      <c r="C227" s="45">
        <v>42927</v>
      </c>
      <c r="D227" s="45"/>
      <c r="E227" s="35" t="s">
        <v>3</v>
      </c>
      <c r="F227" s="35" t="s">
        <v>5</v>
      </c>
      <c r="G227" s="35"/>
      <c r="H227" s="44">
        <v>2</v>
      </c>
      <c r="I227" s="44">
        <v>4</v>
      </c>
      <c r="J227" s="44">
        <v>1</v>
      </c>
      <c r="K227" s="44">
        <v>2</v>
      </c>
      <c r="L227" s="44">
        <v>0</v>
      </c>
      <c r="M227" s="43">
        <v>0.625</v>
      </c>
      <c r="N227" s="43">
        <v>0.64583333333333337</v>
      </c>
      <c r="O227" s="43">
        <f>1+18/24/60</f>
        <v>1.0125</v>
      </c>
      <c r="P227" s="43">
        <f>1+48/24/60</f>
        <v>1.0333333333333334</v>
      </c>
      <c r="Q227" s="39"/>
      <c r="R227" s="42"/>
      <c r="S227" s="44">
        <f>MIP[[#This Row],[PT-1]]+MIP[[#This Row],[PT-2]]*2+MIP[[#This Row],[PT-3]]*3+MIP[[#This Row],[PT &gt; 3 Pontos]]</f>
        <v>12</v>
      </c>
      <c r="T22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227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227" s="41">
        <f>MIP[[#This Row],[Eficiência]]</f>
        <v>0.82952472748668404</v>
      </c>
      <c r="W22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27" s="39">
        <f>IF(MIP[[#This Row],[P.S]]-MIP[[#This Row],[P.E]]&lt;0,1+MIP[[#This Row],[P.S]]-MIP[[#This Row],[P.E]]-1/24,MIP[[#This Row],[P.S]]-MIP[[#This Row],[P.E]]-1/24)</f>
        <v>0.36666666666666675</v>
      </c>
      <c r="Y227" s="39">
        <f>MIP[[#This Row],[PT-1]]*$S$3+MIP[[#This Row],[PT-2]]*$T$3+MIP[[#This Row],[PT-3]]*$U$3+MIP[[#This Row],[PT &gt; 3 Pontos]]*$V$3</f>
        <v>0.26959553643317224</v>
      </c>
      <c r="Z227" s="39">
        <f>MIP[[#This Row],[HH disponível]]-MIP[[#This Row],[HH AC TOT]]</f>
        <v>0.3249999999999999</v>
      </c>
      <c r="AA227" s="38">
        <f>MIP[[#This Row],[HH Produtivo
Total]]/MIP[[#This Row],[HH Trabalhado]]</f>
        <v>0.82952472748668404</v>
      </c>
      <c r="AB227" s="38">
        <f>MIP[[#This Row],[HH Produtivo
Total]]/MIP[[#This Row],[HH disponível]]</f>
        <v>0.73526055390865142</v>
      </c>
      <c r="AC227" s="38">
        <f>MIP[[#This Row],[HH Trabalhado]]/MIP[[#This Row],[HH disponível]]</f>
        <v>0.88636363636363591</v>
      </c>
      <c r="AD227" s="37" t="str">
        <f>LEFT(MIP[[#This Row],[Equipe]], SEARCH("/",MIP[[#This Row],[Equipe]],1)-1)</f>
        <v xml:space="preserve">EDILTON </v>
      </c>
      <c r="AE227" s="37" t="str">
        <f>RIGHT(MIP[[#This Row],[Equipe]], LEN(MIP[[#This Row],[Equipe]])-SEARCH("/",MIP[[#This Row],[Equipe]],1))</f>
        <v xml:space="preserve"> GECIVALDO</v>
      </c>
      <c r="AF227" s="44">
        <f>COUNTIFS('[1]Tempo parado'!H:H,"&gt;="&amp;MIP[[#This Row],[S.B Sitrack]],'[1]Tempo parado'!I:I,"&lt;="&amp;MIP[[#This Row],[C.B Sitrack]],'[1]Tempo parado'!B:B,MIP[[#This Row],[Placa]])</f>
        <v>0</v>
      </c>
      <c r="AG227" s="36"/>
      <c r="AH227" s="35"/>
      <c r="AI227" s="34"/>
      <c r="AJ227" s="34"/>
      <c r="AK22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2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27" s="32">
        <f>SUMIFS('[1]Tempo parado'!J:J,'[1]Tempo parado'!H:H,"&gt;="&amp;MIP[[#This Row],[S.B Sitrack]],'[1]Tempo parado'!I:I,"&lt;="&amp;MIP[[#This Row],[C.B Sitrack]],'[1]Tempo parado'!B:B,MIP[[#This Row],[Placa]])</f>
        <v>0</v>
      </c>
      <c r="AN227" s="32" t="str">
        <f>IFERROR(MIP[[#This Row],[Tempo parado]]/(MIP[[#This Row],[C.B Sitrack]]-MIP[[#This Row],[S.B Sitrack]]),"")</f>
        <v/>
      </c>
      <c r="AO227" s="30"/>
      <c r="AP227" s="44">
        <f>IF(AND(MIP[Exc]=0,MIP[Previsto / Realizado]="Realizado"),MIP[Sem],0)</f>
        <v>0</v>
      </c>
      <c r="AQ227" s="29">
        <f>IF(AND(MIP[Exc]=0,MIP[Previsto / Realizado]="Realizado",ISBLANK(MIP[[#This Row],[S.B Sitrack]])=FALSE,ISBLANK(MIP[[#This Row],[C.B Sitrack]])=FALSE),MIP[Sem],0)</f>
        <v>0</v>
      </c>
    </row>
    <row r="228" spans="1:43" s="64" customFormat="1" x14ac:dyDescent="0.25">
      <c r="A228" s="11"/>
      <c r="B228" s="44">
        <f>WEEKNUM(MIP[[#This Row],[Data]])</f>
        <v>28</v>
      </c>
      <c r="C228" s="45">
        <v>42927</v>
      </c>
      <c r="D228" s="45"/>
      <c r="E228" s="35" t="s">
        <v>3</v>
      </c>
      <c r="F228" s="35" t="s">
        <v>2</v>
      </c>
      <c r="G228" s="35"/>
      <c r="H228" s="44">
        <v>2</v>
      </c>
      <c r="I228" s="44">
        <v>3</v>
      </c>
      <c r="J228" s="44">
        <v>1</v>
      </c>
      <c r="K228" s="44">
        <v>2</v>
      </c>
      <c r="L228" s="44">
        <v>0</v>
      </c>
      <c r="M228" s="43">
        <v>0.62430555555555556</v>
      </c>
      <c r="N228" s="43">
        <v>0.65486111111111112</v>
      </c>
      <c r="O228" s="43">
        <f>1+16/24/60</f>
        <v>1.0111111111111111</v>
      </c>
      <c r="P228" s="43">
        <f>1+50/24/60</f>
        <v>1.0347222222222223</v>
      </c>
      <c r="Q228" s="39"/>
      <c r="R228" s="42" t="s">
        <v>393</v>
      </c>
      <c r="S228" s="44">
        <f>MIP[[#This Row],[PT-1]]+MIP[[#This Row],[PT-2]]*2+MIP[[#This Row],[PT-3]]*3+MIP[[#This Row],[PT &gt; 3 Pontos]]</f>
        <v>11</v>
      </c>
      <c r="T22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5.4166666666666807E-2</v>
      </c>
      <c r="U228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5.4166666666666807E-2</v>
      </c>
      <c r="V228" s="41">
        <f>MIP[[#This Row],[Eficiência]]</f>
        <v>0.77744005342803224</v>
      </c>
      <c r="W22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28" s="39">
        <f>IF(MIP[[#This Row],[P.S]]-MIP[[#This Row],[P.E]]&lt;0,1+MIP[[#This Row],[P.S]]-MIP[[#This Row],[P.E]]-1/24,MIP[[#This Row],[P.S]]-MIP[[#This Row],[P.E]]-1/24)</f>
        <v>0.36875000000000008</v>
      </c>
      <c r="Y228" s="39">
        <f>MIP[[#This Row],[PT-1]]*$S$3+MIP[[#This Row],[PT-2]]*$T$3+MIP[[#This Row],[PT-3]]*$U$3+MIP[[#This Row],[PT &gt; 3 Pontos]]*$V$3</f>
        <v>0.24456968347423511</v>
      </c>
      <c r="Z228" s="39">
        <f>MIP[[#This Row],[HH disponível]]-MIP[[#This Row],[HH AC TOT]]</f>
        <v>0.31458333333333327</v>
      </c>
      <c r="AA228" s="38">
        <f>MIP[[#This Row],[HH Produtivo
Total]]/MIP[[#This Row],[HH Trabalhado]]</f>
        <v>0.77744005342803224</v>
      </c>
      <c r="AB228" s="38">
        <f>MIP[[#This Row],[HH Produtivo
Total]]/MIP[[#This Row],[HH disponível]]</f>
        <v>0.66323981959114586</v>
      </c>
      <c r="AC228" s="38">
        <f>MIP[[#This Row],[HH Trabalhado]]/MIP[[#This Row],[HH disponível]]</f>
        <v>0.85310734463276805</v>
      </c>
      <c r="AD228" s="37" t="str">
        <f>LEFT(MIP[[#This Row],[Equipe]], SEARCH("/",MIP[[#This Row],[Equipe]],1)-1)</f>
        <v xml:space="preserve">EDILTON </v>
      </c>
      <c r="AE228" s="37" t="str">
        <f>RIGHT(MIP[[#This Row],[Equipe]], LEN(MIP[[#This Row],[Equipe]])-SEARCH("/",MIP[[#This Row],[Equipe]],1))</f>
        <v xml:space="preserve"> GECIVALDO</v>
      </c>
      <c r="AF228" s="44">
        <f>COUNTIFS('[1]Tempo parado'!H:H,"&gt;="&amp;MIP[[#This Row],[S.B Sitrack]],'[1]Tempo parado'!I:I,"&lt;="&amp;MIP[[#This Row],[C.B Sitrack]],'[1]Tempo parado'!B:B,MIP[[#This Row],[Placa]])</f>
        <v>0</v>
      </c>
      <c r="AG228" s="36"/>
      <c r="AH228" s="35"/>
      <c r="AI228" s="34"/>
      <c r="AJ228" s="34"/>
      <c r="AK22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2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28" s="32">
        <f>SUMIFS('[1]Tempo parado'!J:J,'[1]Tempo parado'!H:H,"&gt;="&amp;MIP[[#This Row],[S.B Sitrack]],'[1]Tempo parado'!I:I,"&lt;="&amp;MIP[[#This Row],[C.B Sitrack]],'[1]Tempo parado'!B:B,MIP[[#This Row],[Placa]])</f>
        <v>0</v>
      </c>
      <c r="AN228" s="32" t="str">
        <f>IFERROR(MIP[[#This Row],[Tempo parado]]/(MIP[[#This Row],[C.B Sitrack]]-MIP[[#This Row],[S.B Sitrack]]),"")</f>
        <v/>
      </c>
      <c r="AO228" s="30"/>
      <c r="AP228" s="44">
        <f>IF(AND(MIP[Exc]=0,MIP[Previsto / Realizado]="Realizado"),MIP[Sem],0)</f>
        <v>28</v>
      </c>
      <c r="AQ228" s="29">
        <f>IF(AND(MIP[Exc]=0,MIP[Previsto / Realizado]="Realizado",ISBLANK(MIP[[#This Row],[S.B Sitrack]])=FALSE,ISBLANK(MIP[[#This Row],[C.B Sitrack]])=FALSE),MIP[Sem],0)</f>
        <v>0</v>
      </c>
    </row>
    <row r="229" spans="1:43" s="47" customFormat="1" x14ac:dyDescent="0.25">
      <c r="A229" s="11"/>
      <c r="B229" s="44">
        <f>WEEKNUM(MIP[[#This Row],[Data]])</f>
        <v>28</v>
      </c>
      <c r="C229" s="45">
        <v>42927</v>
      </c>
      <c r="D229" s="45"/>
      <c r="E229" s="35" t="s">
        <v>7</v>
      </c>
      <c r="F229" s="35" t="s">
        <v>5</v>
      </c>
      <c r="G229" s="35"/>
      <c r="H229" s="44">
        <v>2</v>
      </c>
      <c r="I229" s="44">
        <v>3</v>
      </c>
      <c r="J229" s="44">
        <v>0</v>
      </c>
      <c r="K229" s="44">
        <v>0</v>
      </c>
      <c r="L229" s="44">
        <v>5</v>
      </c>
      <c r="M229" s="43">
        <v>0.625</v>
      </c>
      <c r="N229" s="43">
        <v>0.64583333333333337</v>
      </c>
      <c r="O229" s="43">
        <f>1+18/24/60</f>
        <v>1.0125</v>
      </c>
      <c r="P229" s="43">
        <f>1+48/24/60</f>
        <v>1.0333333333333334</v>
      </c>
      <c r="Q229" s="39"/>
      <c r="R229" s="42" t="s">
        <v>392</v>
      </c>
      <c r="S229" s="44">
        <f>MIP[[#This Row],[PT-1]]+MIP[[#This Row],[PT-2]]*2+MIP[[#This Row],[PT-3]]*3+MIP[[#This Row],[PT &gt; 3 Pontos]]</f>
        <v>8</v>
      </c>
      <c r="T22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229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229" s="41">
        <f>MIP[[#This Row],[Eficiência]]</f>
        <v>0.5425157331709265</v>
      </c>
      <c r="W22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29" s="39">
        <f>IF(MIP[[#This Row],[P.S]]-MIP[[#This Row],[P.E]]&lt;0,1+MIP[[#This Row],[P.S]]-MIP[[#This Row],[P.E]]-1/24,MIP[[#This Row],[P.S]]-MIP[[#This Row],[P.E]]-1/24)</f>
        <v>0.36666666666666675</v>
      </c>
      <c r="Y229" s="39">
        <f>MIP[[#This Row],[PT-1]]*$S$3+MIP[[#This Row],[PT-2]]*$T$3+MIP[[#This Row],[PT-3]]*$U$3+MIP[[#This Row],[PT &gt; 3 Pontos]]*$V$3</f>
        <v>0.17631761328055107</v>
      </c>
      <c r="Z229" s="39">
        <f>MIP[[#This Row],[HH disponível]]-MIP[[#This Row],[HH AC TOT]]</f>
        <v>0.3249999999999999</v>
      </c>
      <c r="AA229" s="38">
        <f>MIP[[#This Row],[HH Produtivo
Total]]/MIP[[#This Row],[HH Trabalhado]]</f>
        <v>0.5425157331709265</v>
      </c>
      <c r="AB229" s="38">
        <f>MIP[[#This Row],[HH Produtivo
Total]]/MIP[[#This Row],[HH disponível]]</f>
        <v>0.48086621803786644</v>
      </c>
      <c r="AC229" s="38">
        <f>MIP[[#This Row],[HH Trabalhado]]/MIP[[#This Row],[HH disponível]]</f>
        <v>0.88636363636363591</v>
      </c>
      <c r="AD229" s="37" t="str">
        <f>LEFT(MIP[[#This Row],[Equipe]], SEARCH("/",MIP[[#This Row],[Equipe]],1)-1)</f>
        <v xml:space="preserve">ANDERSON </v>
      </c>
      <c r="AE229" s="37" t="str">
        <f>RIGHT(MIP[[#This Row],[Equipe]], LEN(MIP[[#This Row],[Equipe]])-SEARCH("/",MIP[[#This Row],[Equipe]],1))</f>
        <v xml:space="preserve"> MARCO</v>
      </c>
      <c r="AF229" s="44">
        <f>COUNTIFS('[1]Tempo parado'!H:H,"&gt;="&amp;MIP[[#This Row],[S.B Sitrack]],'[1]Tempo parado'!I:I,"&lt;="&amp;MIP[[#This Row],[C.B Sitrack]],'[1]Tempo parado'!B:B,MIP[[#This Row],[Placa]])</f>
        <v>0</v>
      </c>
      <c r="AG229" s="36"/>
      <c r="AH229" s="35"/>
      <c r="AI229" s="34"/>
      <c r="AJ229" s="34"/>
      <c r="AK22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2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29" s="32">
        <f>SUMIFS('[1]Tempo parado'!J:J,'[1]Tempo parado'!H:H,"&gt;="&amp;MIP[[#This Row],[S.B Sitrack]],'[1]Tempo parado'!I:I,"&lt;="&amp;MIP[[#This Row],[C.B Sitrack]],'[1]Tempo parado'!B:B,MIP[[#This Row],[Placa]])</f>
        <v>0</v>
      </c>
      <c r="AN229" s="32" t="str">
        <f>IFERROR(MIP[[#This Row],[Tempo parado]]/(MIP[[#This Row],[C.B Sitrack]]-MIP[[#This Row],[S.B Sitrack]]),"")</f>
        <v/>
      </c>
      <c r="AO229" s="30"/>
      <c r="AP229" s="44">
        <f>IF(AND(MIP[Exc]=0,MIP[Previsto / Realizado]="Realizado"),MIP[Sem],0)</f>
        <v>0</v>
      </c>
      <c r="AQ229" s="29">
        <f>IF(AND(MIP[Exc]=0,MIP[Previsto / Realizado]="Realizado",ISBLANK(MIP[[#This Row],[S.B Sitrack]])=FALSE,ISBLANK(MIP[[#This Row],[C.B Sitrack]])=FALSE),MIP[Sem],0)</f>
        <v>0</v>
      </c>
    </row>
    <row r="230" spans="1:43" s="64" customFormat="1" x14ac:dyDescent="0.25">
      <c r="A230" s="11"/>
      <c r="B230" s="44">
        <f>WEEKNUM(MIP[[#This Row],[Data]])</f>
        <v>28</v>
      </c>
      <c r="C230" s="45">
        <v>42927</v>
      </c>
      <c r="D230" s="45"/>
      <c r="E230" s="35" t="s">
        <v>7</v>
      </c>
      <c r="F230" s="35" t="s">
        <v>2</v>
      </c>
      <c r="G230" s="35"/>
      <c r="H230" s="44">
        <v>2</v>
      </c>
      <c r="I230" s="44">
        <v>3</v>
      </c>
      <c r="J230" s="44">
        <v>0</v>
      </c>
      <c r="K230" s="44">
        <v>0</v>
      </c>
      <c r="L230" s="44">
        <f>5+7</f>
        <v>12</v>
      </c>
      <c r="M230" s="43">
        <v>0.6333333333333333</v>
      </c>
      <c r="N230" s="43">
        <v>0.66319444444444442</v>
      </c>
      <c r="O230" s="43">
        <f>1+0/24/60</f>
        <v>1</v>
      </c>
      <c r="P230" s="43">
        <f>1+50/24/60</f>
        <v>1.0347222222222223</v>
      </c>
      <c r="Q230" s="39"/>
      <c r="R230" s="42" t="s">
        <v>391</v>
      </c>
      <c r="S230" s="44">
        <f>MIP[[#This Row],[PT-1]]+MIP[[#This Row],[PT-2]]*2+MIP[[#This Row],[PT-3]]*3+MIP[[#This Row],[PT &gt; 3 Pontos]]</f>
        <v>15</v>
      </c>
      <c r="T23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6.4583333333333437E-2</v>
      </c>
      <c r="U230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6.4583333333333437E-2</v>
      </c>
      <c r="V230" s="41">
        <f>MIP[[#This Row],[Eficiência]]</f>
        <v>1.077640736004547</v>
      </c>
      <c r="W23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30" s="39">
        <f>IF(MIP[[#This Row],[P.S]]-MIP[[#This Row],[P.E]]&lt;0,1+MIP[[#This Row],[P.S]]-MIP[[#This Row],[P.E]]-1/24,MIP[[#This Row],[P.S]]-MIP[[#This Row],[P.E]]-1/24)</f>
        <v>0.35972222222222233</v>
      </c>
      <c r="Y230" s="39">
        <f>MIP[[#This Row],[PT-1]]*$S$3+MIP[[#This Row],[PT-2]]*$T$3+MIP[[#This Row],[PT-3]]*$U$3+MIP[[#This Row],[PT &gt; 3 Pontos]]*$V$3</f>
        <v>0.31805368944578644</v>
      </c>
      <c r="Z230" s="39">
        <f>MIP[[#This Row],[HH disponível]]-MIP[[#This Row],[HH AC TOT]]</f>
        <v>0.2951388888888889</v>
      </c>
      <c r="AA230" s="38">
        <f>MIP[[#This Row],[HH Produtivo
Total]]/MIP[[#This Row],[HH Trabalhado]]</f>
        <v>1.077640736004547</v>
      </c>
      <c r="AB230" s="38">
        <f>MIP[[#This Row],[HH Produtivo
Total]]/MIP[[#This Row],[HH disponível]]</f>
        <v>0.8841646965288269</v>
      </c>
      <c r="AC230" s="38">
        <f>MIP[[#This Row],[HH Trabalhado]]/MIP[[#This Row],[HH disponível]]</f>
        <v>0.82046332046332027</v>
      </c>
      <c r="AD230" s="37" t="str">
        <f>LEFT(MIP[[#This Row],[Equipe]], SEARCH("/",MIP[[#This Row],[Equipe]],1)-1)</f>
        <v xml:space="preserve">ANDERSON </v>
      </c>
      <c r="AE230" s="37" t="str">
        <f>RIGHT(MIP[[#This Row],[Equipe]], LEN(MIP[[#This Row],[Equipe]])-SEARCH("/",MIP[[#This Row],[Equipe]],1))</f>
        <v xml:space="preserve"> MARCO</v>
      </c>
      <c r="AF230" s="44">
        <f>COUNTIFS('[1]Tempo parado'!H:H,"&gt;="&amp;MIP[[#This Row],[S.B Sitrack]],'[1]Tempo parado'!I:I,"&lt;="&amp;MIP[[#This Row],[C.B Sitrack]],'[1]Tempo parado'!B:B,MIP[[#This Row],[Placa]])</f>
        <v>0</v>
      </c>
      <c r="AG230" s="36"/>
      <c r="AH230" s="35"/>
      <c r="AI230" s="34"/>
      <c r="AJ230" s="34"/>
      <c r="AK23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3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30" s="32">
        <f>SUMIFS('[1]Tempo parado'!J:J,'[1]Tempo parado'!H:H,"&gt;="&amp;MIP[[#This Row],[S.B Sitrack]],'[1]Tempo parado'!I:I,"&lt;="&amp;MIP[[#This Row],[C.B Sitrack]],'[1]Tempo parado'!B:B,MIP[[#This Row],[Placa]])</f>
        <v>0</v>
      </c>
      <c r="AN230" s="32" t="str">
        <f>IFERROR(MIP[[#This Row],[Tempo parado]]/(MIP[[#This Row],[C.B Sitrack]]-MIP[[#This Row],[S.B Sitrack]]),"")</f>
        <v/>
      </c>
      <c r="AO230" s="30"/>
      <c r="AP230" s="44">
        <f>IF(AND(MIP[Exc]=0,MIP[Previsto / Realizado]="Realizado"),MIP[Sem],0)</f>
        <v>28</v>
      </c>
      <c r="AQ230" s="29">
        <f>IF(AND(MIP[Exc]=0,MIP[Previsto / Realizado]="Realizado",ISBLANK(MIP[[#This Row],[S.B Sitrack]])=FALSE,ISBLANK(MIP[[#This Row],[C.B Sitrack]])=FALSE),MIP[Sem],0)</f>
        <v>0</v>
      </c>
    </row>
    <row r="231" spans="1:43" s="47" customFormat="1" x14ac:dyDescent="0.25">
      <c r="A231" s="11"/>
      <c r="B231" s="44">
        <f>WEEKNUM(MIP[[#This Row],[Data]])</f>
        <v>28</v>
      </c>
      <c r="C231" s="45">
        <v>42927</v>
      </c>
      <c r="D231" s="45"/>
      <c r="E231" s="35" t="s">
        <v>389</v>
      </c>
      <c r="F231" s="35" t="s">
        <v>5</v>
      </c>
      <c r="G231" s="35"/>
      <c r="H231" s="44">
        <v>2</v>
      </c>
      <c r="I231" s="44">
        <v>4</v>
      </c>
      <c r="J231" s="44">
        <v>1</v>
      </c>
      <c r="K231" s="44">
        <v>0</v>
      </c>
      <c r="L231" s="44">
        <v>0</v>
      </c>
      <c r="M231" s="43">
        <v>0.625</v>
      </c>
      <c r="N231" s="43">
        <v>0.64583333333333337</v>
      </c>
      <c r="O231" s="43">
        <f>1+18/24/60</f>
        <v>1.0125</v>
      </c>
      <c r="P231" s="43">
        <f>1+48/24/60</f>
        <v>1.0333333333333334</v>
      </c>
      <c r="Q231" s="39"/>
      <c r="R231" s="42" t="s">
        <v>390</v>
      </c>
      <c r="S231" s="44">
        <f>MIP[[#This Row],[PT-1]]+MIP[[#This Row],[PT-2]]*2+MIP[[#This Row],[PT-3]]*3+MIP[[#This Row],[PT &gt; 3 Pontos]]</f>
        <v>6</v>
      </c>
      <c r="T23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231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231" s="41">
        <f>MIP[[#This Row],[Eficiência]]</f>
        <v>0.44311439365787181</v>
      </c>
      <c r="W23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31" s="39">
        <f>IF(MIP[[#This Row],[P.S]]-MIP[[#This Row],[P.E]]&lt;0,1+MIP[[#This Row],[P.S]]-MIP[[#This Row],[P.E]]-1/24,MIP[[#This Row],[P.S]]-MIP[[#This Row],[P.E]]-1/24)</f>
        <v>0.36666666666666675</v>
      </c>
      <c r="Y231" s="39">
        <f>MIP[[#This Row],[PT-1]]*$S$3+MIP[[#This Row],[PT-2]]*$T$3+MIP[[#This Row],[PT-3]]*$U$3+MIP[[#This Row],[PT &gt; 3 Pontos]]*$V$3</f>
        <v>0.1440121779388083</v>
      </c>
      <c r="Z231" s="39">
        <f>MIP[[#This Row],[HH disponível]]-MIP[[#This Row],[HH AC TOT]]</f>
        <v>0.3249999999999999</v>
      </c>
      <c r="AA231" s="38">
        <f>MIP[[#This Row],[HH Produtivo
Total]]/MIP[[#This Row],[HH Trabalhado]]</f>
        <v>0.44311439365787181</v>
      </c>
      <c r="AB231" s="38">
        <f>MIP[[#This Row],[HH Produtivo
Total]]/MIP[[#This Row],[HH disponível]]</f>
        <v>0.39276048528765889</v>
      </c>
      <c r="AC231" s="38">
        <f>MIP[[#This Row],[HH Trabalhado]]/MIP[[#This Row],[HH disponível]]</f>
        <v>0.88636363636363591</v>
      </c>
      <c r="AD231" s="37" t="str">
        <f>LEFT(MIP[[#This Row],[Equipe]], SEARCH("/",MIP[[#This Row],[Equipe]],1)-1)</f>
        <v xml:space="preserve">CLEBER </v>
      </c>
      <c r="AE231" s="37" t="str">
        <f>RIGHT(MIP[[#This Row],[Equipe]], LEN(MIP[[#This Row],[Equipe]])-SEARCH("/",MIP[[#This Row],[Equipe]],1))</f>
        <v xml:space="preserve"> HERVAL</v>
      </c>
      <c r="AF231" s="44">
        <f>COUNTIFS('[1]Tempo parado'!H:H,"&gt;="&amp;MIP[[#This Row],[S.B Sitrack]],'[1]Tempo parado'!I:I,"&lt;="&amp;MIP[[#This Row],[C.B Sitrack]],'[1]Tempo parado'!B:B,MIP[[#This Row],[Placa]])</f>
        <v>0</v>
      </c>
      <c r="AG231" s="36"/>
      <c r="AH231" s="35"/>
      <c r="AI231" s="34"/>
      <c r="AJ231" s="34"/>
      <c r="AK23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3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31" s="32">
        <f>SUMIFS('[1]Tempo parado'!J:J,'[1]Tempo parado'!H:H,"&gt;="&amp;MIP[[#This Row],[S.B Sitrack]],'[1]Tempo parado'!I:I,"&lt;="&amp;MIP[[#This Row],[C.B Sitrack]],'[1]Tempo parado'!B:B,MIP[[#This Row],[Placa]])</f>
        <v>0</v>
      </c>
      <c r="AN231" s="32" t="str">
        <f>IFERROR(MIP[[#This Row],[Tempo parado]]/(MIP[[#This Row],[C.B Sitrack]]-MIP[[#This Row],[S.B Sitrack]]),"")</f>
        <v/>
      </c>
      <c r="AO231" s="30"/>
      <c r="AP231" s="44">
        <f>IF(AND(MIP[Exc]=0,MIP[Previsto / Realizado]="Realizado"),MIP[Sem],0)</f>
        <v>0</v>
      </c>
      <c r="AQ231" s="29">
        <f>IF(AND(MIP[Exc]=0,MIP[Previsto / Realizado]="Realizado",ISBLANK(MIP[[#This Row],[S.B Sitrack]])=FALSE,ISBLANK(MIP[[#This Row],[C.B Sitrack]])=FALSE),MIP[Sem],0)</f>
        <v>0</v>
      </c>
    </row>
    <row r="232" spans="1:43" s="64" customFormat="1" x14ac:dyDescent="0.25">
      <c r="A232" s="11"/>
      <c r="B232" s="44">
        <f>WEEKNUM(MIP[[#This Row],[Data]])</f>
        <v>28</v>
      </c>
      <c r="C232" s="45">
        <v>42927</v>
      </c>
      <c r="D232" s="45"/>
      <c r="E232" s="35" t="s">
        <v>389</v>
      </c>
      <c r="F232" s="35" t="s">
        <v>2</v>
      </c>
      <c r="G232" s="35"/>
      <c r="H232" s="44">
        <v>2</v>
      </c>
      <c r="I232" s="44">
        <v>4</v>
      </c>
      <c r="J232" s="44">
        <v>1</v>
      </c>
      <c r="K232" s="44">
        <v>0</v>
      </c>
      <c r="L232" s="44">
        <v>11</v>
      </c>
      <c r="M232" s="43">
        <v>0.62777777777777777</v>
      </c>
      <c r="N232" s="43">
        <v>0.67013888888888884</v>
      </c>
      <c r="O232" s="43">
        <v>0.9784722222222223</v>
      </c>
      <c r="P232" s="43">
        <f>1+51/24/60</f>
        <v>1.0354166666666667</v>
      </c>
      <c r="Q232" s="39"/>
      <c r="R232" s="42" t="s">
        <v>388</v>
      </c>
      <c r="S232" s="44">
        <f>MIP[[#This Row],[PT-1]]+MIP[[#This Row],[PT-2]]*2+MIP[[#This Row],[PT-3]]*3+MIP[[#This Row],[PT &gt; 3 Pontos]]</f>
        <v>17</v>
      </c>
      <c r="T23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9.9305555555555425E-2</v>
      </c>
      <c r="U232" s="39">
        <f>IF(MIP[[#This Row],[P.S]]-MIP[[#This Row],[U.P]]&gt;=0,MIP[[#This Row],[P.S]]-MIP[[#This Row],[U.P]]+MIP[[#This Row],[S.B]]-MIP[[#This Row],[P.E]],1+MIP[[#This Row],[P.S]]-MIP[[#This Row],[U.P]]+MIP[[#This Row],[S.B]]-MIP[[#This Row],[P.E]])</f>
        <v>9.9305555555555425E-2</v>
      </c>
      <c r="V232" s="41">
        <f>MIP[[#This Row],[Eficiência]]</f>
        <v>1.3752761161013818</v>
      </c>
      <c r="W23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32" s="39">
        <f>IF(MIP[[#This Row],[P.S]]-MIP[[#This Row],[P.E]]&lt;0,1+MIP[[#This Row],[P.S]]-MIP[[#This Row],[P.E]]-1/24,MIP[[#This Row],[P.S]]-MIP[[#This Row],[P.E]]-1/24)</f>
        <v>0.3659722222222222</v>
      </c>
      <c r="Y232" s="39">
        <f>MIP[[#This Row],[PT-1]]*$S$3+MIP[[#This Row],[PT-2]]*$T$3+MIP[[#This Row],[PT-3]]*$U$3+MIP[[#This Row],[PT &gt; 3 Pontos]]*$V$3</f>
        <v>0.36674029762703531</v>
      </c>
      <c r="Z232" s="39">
        <f>MIP[[#This Row],[HH disponível]]-MIP[[#This Row],[HH AC TOT]]</f>
        <v>0.26666666666666677</v>
      </c>
      <c r="AA232" s="38">
        <f>MIP[[#This Row],[HH Produtivo
Total]]/MIP[[#This Row],[HH Trabalhado]]</f>
        <v>1.3752761161013818</v>
      </c>
      <c r="AB232" s="38">
        <f>MIP[[#This Row],[HH Produtivo
Total]]/MIP[[#This Row],[HH disponível]]</f>
        <v>1.0020987259638157</v>
      </c>
      <c r="AC232" s="38">
        <f>MIP[[#This Row],[HH Trabalhado]]/MIP[[#This Row],[HH disponível]]</f>
        <v>0.72865275142315022</v>
      </c>
      <c r="AD232" s="37" t="str">
        <f>LEFT(MIP[[#This Row],[Equipe]], SEARCH("/",MIP[[#This Row],[Equipe]],1)-1)</f>
        <v xml:space="preserve">CLEBER </v>
      </c>
      <c r="AE232" s="37" t="str">
        <f>RIGHT(MIP[[#This Row],[Equipe]], LEN(MIP[[#This Row],[Equipe]])-SEARCH("/",MIP[[#This Row],[Equipe]],1))</f>
        <v xml:space="preserve"> HERVAL</v>
      </c>
      <c r="AF232" s="44">
        <f>COUNTIFS('[1]Tempo parado'!H:H,"&gt;="&amp;MIP[[#This Row],[S.B Sitrack]],'[1]Tempo parado'!I:I,"&lt;="&amp;MIP[[#This Row],[C.B Sitrack]],'[1]Tempo parado'!B:B,MIP[[#This Row],[Placa]])</f>
        <v>0</v>
      </c>
      <c r="AG232" s="36"/>
      <c r="AH232" s="35"/>
      <c r="AI232" s="34"/>
      <c r="AJ232" s="34"/>
      <c r="AK23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3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32" s="32">
        <f>SUMIFS('[1]Tempo parado'!J:J,'[1]Tempo parado'!H:H,"&gt;="&amp;MIP[[#This Row],[S.B Sitrack]],'[1]Tempo parado'!I:I,"&lt;="&amp;MIP[[#This Row],[C.B Sitrack]],'[1]Tempo parado'!B:B,MIP[[#This Row],[Placa]])</f>
        <v>0</v>
      </c>
      <c r="AN232" s="32" t="str">
        <f>IFERROR(MIP[[#This Row],[Tempo parado]]/(MIP[[#This Row],[C.B Sitrack]]-MIP[[#This Row],[S.B Sitrack]]),"")</f>
        <v/>
      </c>
      <c r="AO232" s="30"/>
      <c r="AP232" s="44">
        <f>IF(AND(MIP[Exc]=0,MIP[Previsto / Realizado]="Realizado"),MIP[Sem],0)</f>
        <v>28</v>
      </c>
      <c r="AQ232" s="29">
        <f>IF(AND(MIP[Exc]=0,MIP[Previsto / Realizado]="Realizado",ISBLANK(MIP[[#This Row],[S.B Sitrack]])=FALSE,ISBLANK(MIP[[#This Row],[C.B Sitrack]])=FALSE),MIP[Sem],0)</f>
        <v>0</v>
      </c>
    </row>
    <row r="233" spans="1:43" s="47" customFormat="1" x14ac:dyDescent="0.25">
      <c r="A233" s="11"/>
      <c r="B233" s="44">
        <f>WEEKNUM(MIP[[#This Row],[Data]])</f>
        <v>28</v>
      </c>
      <c r="C233" s="45">
        <v>42928</v>
      </c>
      <c r="D233" s="45"/>
      <c r="E233" s="35" t="s">
        <v>384</v>
      </c>
      <c r="F233" s="35" t="s">
        <v>5</v>
      </c>
      <c r="G233" s="35"/>
      <c r="H233" s="44">
        <v>2</v>
      </c>
      <c r="I233" s="44">
        <v>4</v>
      </c>
      <c r="J233" s="44">
        <v>2</v>
      </c>
      <c r="K233" s="44">
        <v>1</v>
      </c>
      <c r="L233" s="44">
        <v>0</v>
      </c>
      <c r="M233" s="43">
        <v>0.25</v>
      </c>
      <c r="N233" s="43">
        <v>0.27083333333333331</v>
      </c>
      <c r="O233" s="43">
        <v>0.63750000000000007</v>
      </c>
      <c r="P233" s="43">
        <v>0.65833333333333333</v>
      </c>
      <c r="Q233" s="39"/>
      <c r="R233" s="42"/>
      <c r="S233" s="44">
        <f>MIP[[#This Row],[PT-1]]+MIP[[#This Row],[PT-2]]*2+MIP[[#This Row],[PT-3]]*3+MIP[[#This Row],[PT &gt; 3 Pontos]]</f>
        <v>11</v>
      </c>
      <c r="T23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233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233" s="41">
        <f>MIP[[#This Row],[Eficiência]]</f>
        <v>0.77142345627399944</v>
      </c>
      <c r="W23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33" s="39">
        <f>IF(MIP[[#This Row],[P.S]]-MIP[[#This Row],[P.E]]&lt;0,1+MIP[[#This Row],[P.S]]-MIP[[#This Row],[P.E]]-1/24,MIP[[#This Row],[P.S]]-MIP[[#This Row],[P.E]]-1/24)</f>
        <v>0.36666666666666664</v>
      </c>
      <c r="Y233" s="39">
        <f>MIP[[#This Row],[PT-1]]*$S$3+MIP[[#This Row],[PT-2]]*$T$3+MIP[[#This Row],[PT-3]]*$U$3+MIP[[#This Row],[PT &gt; 3 Pontos]]*$V$3</f>
        <v>0.25071262328904986</v>
      </c>
      <c r="Z233" s="39">
        <f>MIP[[#This Row],[HH disponível]]-MIP[[#This Row],[HH AC TOT]]</f>
        <v>0.32500000000000007</v>
      </c>
      <c r="AA233" s="38">
        <f>MIP[[#This Row],[HH Produtivo
Total]]/MIP[[#This Row],[HH Trabalhado]]</f>
        <v>0.77142345627399944</v>
      </c>
      <c r="AB233" s="38">
        <f>MIP[[#This Row],[HH Produtivo
Total]]/MIP[[#This Row],[HH disponível]]</f>
        <v>0.68376169987922697</v>
      </c>
      <c r="AC233" s="38">
        <f>MIP[[#This Row],[HH Trabalhado]]/MIP[[#This Row],[HH disponível]]</f>
        <v>0.88636363636363658</v>
      </c>
      <c r="AD233" s="37" t="str">
        <f>LEFT(MIP[[#This Row],[Equipe]], SEARCH("/",MIP[[#This Row],[Equipe]],1)-1)</f>
        <v xml:space="preserve">GERALDO </v>
      </c>
      <c r="AE233" s="37" t="str">
        <f>RIGHT(MIP[[#This Row],[Equipe]], LEN(MIP[[#This Row],[Equipe]])-SEARCH("/",MIP[[#This Row],[Equipe]],1))</f>
        <v xml:space="preserve"> VALDEI</v>
      </c>
      <c r="AF233" s="44">
        <f>COUNTIFS('[1]Tempo parado'!H:H,"&gt;="&amp;MIP[[#This Row],[S.B Sitrack]],'[1]Tempo parado'!I:I,"&lt;="&amp;MIP[[#This Row],[C.B Sitrack]],'[1]Tempo parado'!B:B,MIP[[#This Row],[Placa]])</f>
        <v>0</v>
      </c>
      <c r="AG233" s="36"/>
      <c r="AH233" s="35"/>
      <c r="AI233" s="34"/>
      <c r="AJ233" s="34"/>
      <c r="AK23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3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33" s="32">
        <f>SUMIFS('[1]Tempo parado'!J:J,'[1]Tempo parado'!H:H,"&gt;="&amp;MIP[[#This Row],[S.B Sitrack]],'[1]Tempo parado'!I:I,"&lt;="&amp;MIP[[#This Row],[C.B Sitrack]],'[1]Tempo parado'!B:B,MIP[[#This Row],[Placa]])</f>
        <v>0</v>
      </c>
      <c r="AN233" s="32" t="str">
        <f>IFERROR(MIP[[#This Row],[Tempo parado]]/(MIP[[#This Row],[C.B Sitrack]]-MIP[[#This Row],[S.B Sitrack]]),"")</f>
        <v/>
      </c>
      <c r="AO233" s="30"/>
      <c r="AP233" s="44">
        <f>IF(AND(MIP[Exc]=0,MIP[Previsto / Realizado]="Realizado"),MIP[Sem],0)</f>
        <v>0</v>
      </c>
      <c r="AQ233" s="29">
        <f>IF(AND(MIP[Exc]=0,MIP[Previsto / Realizado]="Realizado",ISBLANK(MIP[[#This Row],[S.B Sitrack]])=FALSE,ISBLANK(MIP[[#This Row],[C.B Sitrack]])=FALSE),MIP[Sem],0)</f>
        <v>0</v>
      </c>
    </row>
    <row r="234" spans="1:43" s="64" customFormat="1" x14ac:dyDescent="0.25">
      <c r="A234" s="11"/>
      <c r="B234" s="44">
        <f>WEEKNUM(MIP[[#This Row],[Data]])</f>
        <v>28</v>
      </c>
      <c r="C234" s="45">
        <v>42928</v>
      </c>
      <c r="D234" s="45"/>
      <c r="E234" s="35" t="s">
        <v>384</v>
      </c>
      <c r="F234" s="35" t="s">
        <v>2</v>
      </c>
      <c r="G234" s="35"/>
      <c r="H234" s="44">
        <v>2</v>
      </c>
      <c r="I234" s="44">
        <v>4</v>
      </c>
      <c r="J234" s="44">
        <v>1</v>
      </c>
      <c r="K234" s="44">
        <v>0</v>
      </c>
      <c r="L234" s="44">
        <v>0</v>
      </c>
      <c r="M234" s="43">
        <v>0.24236111111111111</v>
      </c>
      <c r="N234" s="43">
        <v>0.2951388888888889</v>
      </c>
      <c r="O234" s="43">
        <v>0.6</v>
      </c>
      <c r="P234" s="43">
        <v>0.61111111111111105</v>
      </c>
      <c r="Q234" s="39"/>
      <c r="R234" s="42" t="s">
        <v>370</v>
      </c>
      <c r="S234" s="44">
        <f>MIP[[#This Row],[PT-1]]+MIP[[#This Row],[PT-2]]*2+MIP[[#This Row],[PT-3]]*3+MIP[[#This Row],[PT &gt; 3 Pontos]]</f>
        <v>6</v>
      </c>
      <c r="T23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6.3888888888888856E-2</v>
      </c>
      <c r="U234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6.3888888888888856E-2</v>
      </c>
      <c r="V234" s="41">
        <f>MIP[[#This Row],[Eficiência]]</f>
        <v>0.54717028029520842</v>
      </c>
      <c r="W23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34" s="39">
        <f>IF(MIP[[#This Row],[P.S]]-MIP[[#This Row],[P.E]]&lt;0,1+MIP[[#This Row],[P.S]]-MIP[[#This Row],[P.E]]-1/24,MIP[[#This Row],[P.S]]-MIP[[#This Row],[P.E]]-1/24)</f>
        <v>0.32708333333333323</v>
      </c>
      <c r="Y234" s="39">
        <f>MIP[[#This Row],[PT-1]]*$S$3+MIP[[#This Row],[PT-2]]*$T$3+MIP[[#This Row],[PT-3]]*$U$3+MIP[[#This Row],[PT &gt; 3 Pontos]]*$V$3</f>
        <v>0.1440121779388083</v>
      </c>
      <c r="Z234" s="39">
        <f>MIP[[#This Row],[HH disponível]]-MIP[[#This Row],[HH AC TOT]]</f>
        <v>0.2631944444444444</v>
      </c>
      <c r="AA234" s="38">
        <f>MIP[[#This Row],[HH Produtivo
Total]]/MIP[[#This Row],[HH Trabalhado]]</f>
        <v>0.54717028029520842</v>
      </c>
      <c r="AB234" s="38">
        <f>MIP[[#This Row],[HH Produtivo
Total]]/MIP[[#This Row],[HH disponível]]</f>
        <v>0.44029200898489174</v>
      </c>
      <c r="AC234" s="38">
        <f>MIP[[#This Row],[HH Trabalhado]]/MIP[[#This Row],[HH disponível]]</f>
        <v>0.80467091295116788</v>
      </c>
      <c r="AD234" s="37" t="str">
        <f>LEFT(MIP[[#This Row],[Equipe]], SEARCH("/",MIP[[#This Row],[Equipe]],1)-1)</f>
        <v xml:space="preserve">GERALDO </v>
      </c>
      <c r="AE234" s="37" t="str">
        <f>RIGHT(MIP[[#This Row],[Equipe]], LEN(MIP[[#This Row],[Equipe]])-SEARCH("/",MIP[[#This Row],[Equipe]],1))</f>
        <v xml:space="preserve"> VALDEI</v>
      </c>
      <c r="AF234" s="44">
        <f>COUNTIFS('[1]Tempo parado'!H:H,"&gt;="&amp;MIP[[#This Row],[S.B Sitrack]],'[1]Tempo parado'!I:I,"&lt;="&amp;MIP[[#This Row],[C.B Sitrack]],'[1]Tempo parado'!B:B,MIP[[#This Row],[Placa]])</f>
        <v>0</v>
      </c>
      <c r="AG234" s="36"/>
      <c r="AH234" s="35"/>
      <c r="AI234" s="34"/>
      <c r="AJ234" s="34"/>
      <c r="AK23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3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34" s="32">
        <f>SUMIFS('[1]Tempo parado'!J:J,'[1]Tempo parado'!H:H,"&gt;="&amp;MIP[[#This Row],[S.B Sitrack]],'[1]Tempo parado'!I:I,"&lt;="&amp;MIP[[#This Row],[C.B Sitrack]],'[1]Tempo parado'!B:B,MIP[[#This Row],[Placa]])</f>
        <v>0</v>
      </c>
      <c r="AN234" s="32" t="str">
        <f>IFERROR(MIP[[#This Row],[Tempo parado]]/(MIP[[#This Row],[C.B Sitrack]]-MIP[[#This Row],[S.B Sitrack]]),"")</f>
        <v/>
      </c>
      <c r="AO234" s="30"/>
      <c r="AP234" s="44">
        <f>IF(AND(MIP[Exc]=0,MIP[Previsto / Realizado]="Realizado"),MIP[Sem],0)</f>
        <v>28</v>
      </c>
      <c r="AQ234" s="29">
        <f>IF(AND(MIP[Exc]=0,MIP[Previsto / Realizado]="Realizado",ISBLANK(MIP[[#This Row],[S.B Sitrack]])=FALSE,ISBLANK(MIP[[#This Row],[C.B Sitrack]])=FALSE),MIP[Sem],0)</f>
        <v>0</v>
      </c>
    </row>
    <row r="235" spans="1:43" s="47" customFormat="1" x14ac:dyDescent="0.25">
      <c r="A235" s="11"/>
      <c r="B235" s="44">
        <f>WEEKNUM(MIP[[#This Row],[Data]])</f>
        <v>28</v>
      </c>
      <c r="C235" s="45">
        <v>42928</v>
      </c>
      <c r="D235" s="45"/>
      <c r="E235" s="35" t="s">
        <v>3</v>
      </c>
      <c r="F235" s="35" t="s">
        <v>5</v>
      </c>
      <c r="G235" s="35"/>
      <c r="H235" s="44">
        <v>2</v>
      </c>
      <c r="I235" s="44">
        <v>2</v>
      </c>
      <c r="J235" s="44">
        <v>1</v>
      </c>
      <c r="K235" s="44">
        <v>1</v>
      </c>
      <c r="L235" s="44">
        <v>12</v>
      </c>
      <c r="M235" s="43">
        <v>0.625</v>
      </c>
      <c r="N235" s="43">
        <v>0.64583333333333337</v>
      </c>
      <c r="O235" s="43">
        <f>1+18/24/60</f>
        <v>1.0125</v>
      </c>
      <c r="P235" s="43">
        <f>1+48/24/60</f>
        <v>1.0333333333333334</v>
      </c>
      <c r="Q235" s="39"/>
      <c r="R235" s="42"/>
      <c r="S235" s="44">
        <f>MIP[[#This Row],[PT-1]]+MIP[[#This Row],[PT-2]]*2+MIP[[#This Row],[PT-3]]*3+MIP[[#This Row],[PT &gt; 3 Pontos]]</f>
        <v>19</v>
      </c>
      <c r="T23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235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235" s="41">
        <f>MIP[[#This Row],[Eficiência]]</f>
        <v>1.2299331748833569</v>
      </c>
      <c r="W23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35" s="39">
        <f>IF(MIP[[#This Row],[P.S]]-MIP[[#This Row],[P.E]]&lt;0,1+MIP[[#This Row],[P.S]]-MIP[[#This Row],[P.E]]-1/24,MIP[[#This Row],[P.S]]-MIP[[#This Row],[P.E]]-1/24)</f>
        <v>0.36666666666666675</v>
      </c>
      <c r="Y235" s="39">
        <f>MIP[[#This Row],[PT-1]]*$S$3+MIP[[#This Row],[PT-2]]*$T$3+MIP[[#This Row],[PT-3]]*$U$3+MIP[[#This Row],[PT &gt; 3 Pontos]]*$V$3</f>
        <v>0.39972828183709086</v>
      </c>
      <c r="Z235" s="39">
        <f>MIP[[#This Row],[HH disponível]]-MIP[[#This Row],[HH AC TOT]]</f>
        <v>0.3249999999999999</v>
      </c>
      <c r="AA235" s="38">
        <f>MIP[[#This Row],[HH Produtivo
Total]]/MIP[[#This Row],[HH Trabalhado]]</f>
        <v>1.2299331748833569</v>
      </c>
      <c r="AB235" s="38">
        <f>MIP[[#This Row],[HH Produtivo
Total]]/MIP[[#This Row],[HH disponível]]</f>
        <v>1.0901680413738839</v>
      </c>
      <c r="AC235" s="38">
        <f>MIP[[#This Row],[HH Trabalhado]]/MIP[[#This Row],[HH disponível]]</f>
        <v>0.88636363636363591</v>
      </c>
      <c r="AD235" s="37" t="str">
        <f>LEFT(MIP[[#This Row],[Equipe]], SEARCH("/",MIP[[#This Row],[Equipe]],1)-1)</f>
        <v xml:space="preserve">EDILTON </v>
      </c>
      <c r="AE235" s="37" t="str">
        <f>RIGHT(MIP[[#This Row],[Equipe]], LEN(MIP[[#This Row],[Equipe]])-SEARCH("/",MIP[[#This Row],[Equipe]],1))</f>
        <v xml:space="preserve"> GECIVALDO</v>
      </c>
      <c r="AF235" s="44">
        <f>COUNTIFS('[1]Tempo parado'!H:H,"&gt;="&amp;MIP[[#This Row],[S.B Sitrack]],'[1]Tempo parado'!I:I,"&lt;="&amp;MIP[[#This Row],[C.B Sitrack]],'[1]Tempo parado'!B:B,MIP[[#This Row],[Placa]])</f>
        <v>0</v>
      </c>
      <c r="AG235" s="36"/>
      <c r="AH235" s="35"/>
      <c r="AI235" s="34"/>
      <c r="AJ235" s="34"/>
      <c r="AK23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3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35" s="32">
        <f>SUMIFS('[1]Tempo parado'!J:J,'[1]Tempo parado'!H:H,"&gt;="&amp;MIP[[#This Row],[S.B Sitrack]],'[1]Tempo parado'!I:I,"&lt;="&amp;MIP[[#This Row],[C.B Sitrack]],'[1]Tempo parado'!B:B,MIP[[#This Row],[Placa]])</f>
        <v>0</v>
      </c>
      <c r="AN235" s="32" t="str">
        <f>IFERROR(MIP[[#This Row],[Tempo parado]]/(MIP[[#This Row],[C.B Sitrack]]-MIP[[#This Row],[S.B Sitrack]]),"")</f>
        <v/>
      </c>
      <c r="AO235" s="30"/>
      <c r="AP235" s="44">
        <f>IF(AND(MIP[Exc]=0,MIP[Previsto / Realizado]="Realizado"),MIP[Sem],0)</f>
        <v>0</v>
      </c>
      <c r="AQ235" s="29">
        <f>IF(AND(MIP[Exc]=0,MIP[Previsto / Realizado]="Realizado",ISBLANK(MIP[[#This Row],[S.B Sitrack]])=FALSE,ISBLANK(MIP[[#This Row],[C.B Sitrack]])=FALSE),MIP[Sem],0)</f>
        <v>0</v>
      </c>
    </row>
    <row r="236" spans="1:43" s="64" customFormat="1" x14ac:dyDescent="0.25">
      <c r="A236" s="11"/>
      <c r="B236" s="44">
        <f>WEEKNUM(MIP[[#This Row],[Data]])</f>
        <v>28</v>
      </c>
      <c r="C236" s="45">
        <v>42928</v>
      </c>
      <c r="D236" s="45"/>
      <c r="E236" s="35" t="s">
        <v>3</v>
      </c>
      <c r="F236" s="35" t="s">
        <v>2</v>
      </c>
      <c r="G236" s="35"/>
      <c r="H236" s="44">
        <v>2</v>
      </c>
      <c r="I236" s="44">
        <v>2</v>
      </c>
      <c r="J236" s="44">
        <v>1</v>
      </c>
      <c r="K236" s="44">
        <v>1</v>
      </c>
      <c r="L236" s="44">
        <v>10</v>
      </c>
      <c r="M236" s="43">
        <v>0.63124999999999998</v>
      </c>
      <c r="N236" s="43">
        <v>0.67013888888888884</v>
      </c>
      <c r="O236" s="43">
        <f>1+27/24/60</f>
        <v>1.01875</v>
      </c>
      <c r="P236" s="43">
        <f>1+39/24/60</f>
        <v>1.0270833333333333</v>
      </c>
      <c r="Q236" s="39"/>
      <c r="R236" s="42"/>
      <c r="S236" s="44">
        <f>MIP[[#This Row],[PT-1]]+MIP[[#This Row],[PT-2]]*2+MIP[[#This Row],[PT-3]]*3+MIP[[#This Row],[PT &gt; 3 Pontos]]</f>
        <v>17</v>
      </c>
      <c r="T23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4.7222222222222165E-2</v>
      </c>
      <c r="U236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4.7222222222222165E-2</v>
      </c>
      <c r="V236" s="41">
        <f>MIP[[#This Row],[Eficiência]]</f>
        <v>1.1703494445901734</v>
      </c>
      <c r="W23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36" s="39">
        <f>IF(MIP[[#This Row],[P.S]]-MIP[[#This Row],[P.E]]&lt;0,1+MIP[[#This Row],[P.S]]-MIP[[#This Row],[P.E]]-1/24,MIP[[#This Row],[P.S]]-MIP[[#This Row],[P.E]]-1/24)</f>
        <v>0.35416666666666669</v>
      </c>
      <c r="Y236" s="39">
        <f>MIP[[#This Row],[PT-1]]*$S$3+MIP[[#This Row],[PT-2]]*$T$3+MIP[[#This Row],[PT-3]]*$U$3+MIP[[#This Row],[PT &gt; 3 Pontos]]*$V$3</f>
        <v>0.359232260075595</v>
      </c>
      <c r="Z236" s="39">
        <f>MIP[[#This Row],[HH disponível]]-MIP[[#This Row],[HH AC TOT]]</f>
        <v>0.30694444444444452</v>
      </c>
      <c r="AA236" s="38">
        <f>MIP[[#This Row],[HH Produtivo
Total]]/MIP[[#This Row],[HH Trabalhado]]</f>
        <v>1.1703494445901734</v>
      </c>
      <c r="AB236" s="38">
        <f>MIP[[#This Row],[HH Produtivo
Total]]/MIP[[#This Row],[HH disponível]]</f>
        <v>1.0143028519781505</v>
      </c>
      <c r="AC236" s="38">
        <f>MIP[[#This Row],[HH Trabalhado]]/MIP[[#This Row],[HH disponível]]</f>
        <v>0.86666666666666681</v>
      </c>
      <c r="AD236" s="37" t="str">
        <f>LEFT(MIP[[#This Row],[Equipe]], SEARCH("/",MIP[[#This Row],[Equipe]],1)-1)</f>
        <v xml:space="preserve">EDILTON </v>
      </c>
      <c r="AE236" s="37" t="str">
        <f>RIGHT(MIP[[#This Row],[Equipe]], LEN(MIP[[#This Row],[Equipe]])-SEARCH("/",MIP[[#This Row],[Equipe]],1))</f>
        <v xml:space="preserve"> GECIVALDO</v>
      </c>
      <c r="AF236" s="44">
        <f>COUNTIFS('[1]Tempo parado'!H:H,"&gt;="&amp;MIP[[#This Row],[S.B Sitrack]],'[1]Tempo parado'!I:I,"&lt;="&amp;MIP[[#This Row],[C.B Sitrack]],'[1]Tempo parado'!B:B,MIP[[#This Row],[Placa]])</f>
        <v>0</v>
      </c>
      <c r="AG236" s="36"/>
      <c r="AH236" s="35"/>
      <c r="AI236" s="34"/>
      <c r="AJ236" s="34"/>
      <c r="AK23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3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36" s="32">
        <f>SUMIFS('[1]Tempo parado'!J:J,'[1]Tempo parado'!H:H,"&gt;="&amp;MIP[[#This Row],[S.B Sitrack]],'[1]Tempo parado'!I:I,"&lt;="&amp;MIP[[#This Row],[C.B Sitrack]],'[1]Tempo parado'!B:B,MIP[[#This Row],[Placa]])</f>
        <v>0</v>
      </c>
      <c r="AN236" s="32" t="str">
        <f>IFERROR(MIP[[#This Row],[Tempo parado]]/(MIP[[#This Row],[C.B Sitrack]]-MIP[[#This Row],[S.B Sitrack]]),"")</f>
        <v/>
      </c>
      <c r="AO236" s="30"/>
      <c r="AP236" s="44">
        <f>IF(AND(MIP[Exc]=0,MIP[Previsto / Realizado]="Realizado"),MIP[Sem],0)</f>
        <v>28</v>
      </c>
      <c r="AQ236" s="29">
        <f>IF(AND(MIP[Exc]=0,MIP[Previsto / Realizado]="Realizado",ISBLANK(MIP[[#This Row],[S.B Sitrack]])=FALSE,ISBLANK(MIP[[#This Row],[C.B Sitrack]])=FALSE),MIP[Sem],0)</f>
        <v>0</v>
      </c>
    </row>
    <row r="237" spans="1:43" s="47" customFormat="1" x14ac:dyDescent="0.25">
      <c r="A237" s="11"/>
      <c r="B237" s="44">
        <f>WEEKNUM(MIP[[#This Row],[Data]])</f>
        <v>28</v>
      </c>
      <c r="C237" s="45">
        <v>42928</v>
      </c>
      <c r="D237" s="45"/>
      <c r="E237" s="35" t="s">
        <v>19</v>
      </c>
      <c r="F237" s="35" t="s">
        <v>5</v>
      </c>
      <c r="G237" s="35"/>
      <c r="H237" s="44">
        <v>2</v>
      </c>
      <c r="I237" s="44">
        <v>0</v>
      </c>
      <c r="J237" s="44">
        <v>2</v>
      </c>
      <c r="K237" s="44">
        <v>2</v>
      </c>
      <c r="L237" s="44">
        <v>8</v>
      </c>
      <c r="M237" s="43">
        <v>0.625</v>
      </c>
      <c r="N237" s="43">
        <v>0.64583333333333337</v>
      </c>
      <c r="O237" s="43">
        <f>1+18/24/60</f>
        <v>1.0125</v>
      </c>
      <c r="P237" s="43">
        <f>1+48/24/60</f>
        <v>1.0333333333333334</v>
      </c>
      <c r="Q237" s="39"/>
      <c r="R237" s="42"/>
      <c r="S237" s="44">
        <f>MIP[[#This Row],[PT-1]]+MIP[[#This Row],[PT-2]]*2+MIP[[#This Row],[PT-3]]*3+MIP[[#This Row],[PT &gt; 3 Pontos]]</f>
        <v>18</v>
      </c>
      <c r="T23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237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237" s="41">
        <f>MIP[[#This Row],[Eficiência]]</f>
        <v>1.1550307007583585</v>
      </c>
      <c r="W23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37" s="39">
        <f>IF(MIP[[#This Row],[P.S]]-MIP[[#This Row],[P.E]]&lt;0,1+MIP[[#This Row],[P.S]]-MIP[[#This Row],[P.E]]-1/24,MIP[[#This Row],[P.S]]-MIP[[#This Row],[P.E]]-1/24)</f>
        <v>0.36666666666666675</v>
      </c>
      <c r="Y237" s="39">
        <f>MIP[[#This Row],[PT-1]]*$S$3+MIP[[#This Row],[PT-2]]*$T$3+MIP[[#This Row],[PT-3]]*$U$3+MIP[[#This Row],[PT &gt; 3 Pontos]]*$V$3</f>
        <v>0.3753849777464664</v>
      </c>
      <c r="Z237" s="39">
        <f>MIP[[#This Row],[HH disponível]]-MIP[[#This Row],[HH AC TOT]]</f>
        <v>0.3249999999999999</v>
      </c>
      <c r="AA237" s="38">
        <f>MIP[[#This Row],[HH Produtivo
Total]]/MIP[[#This Row],[HH Trabalhado]]</f>
        <v>1.1550307007583585</v>
      </c>
      <c r="AB237" s="38">
        <f>MIP[[#This Row],[HH Produtivo
Total]]/MIP[[#This Row],[HH disponível]]</f>
        <v>1.0237772120358173</v>
      </c>
      <c r="AC237" s="38">
        <f>MIP[[#This Row],[HH Trabalhado]]/MIP[[#This Row],[HH disponível]]</f>
        <v>0.88636363636363591</v>
      </c>
      <c r="AD237" s="37" t="str">
        <f>LEFT(MIP[[#This Row],[Equipe]], SEARCH("/",MIP[[#This Row],[Equipe]],1)-1)</f>
        <v xml:space="preserve">ADEMÁRIO </v>
      </c>
      <c r="AE237" s="37" t="str">
        <f>RIGHT(MIP[[#This Row],[Equipe]], LEN(MIP[[#This Row],[Equipe]])-SEARCH("/",MIP[[#This Row],[Equipe]],1))</f>
        <v xml:space="preserve"> RONALDO</v>
      </c>
      <c r="AF237" s="44">
        <f>COUNTIFS('[1]Tempo parado'!H:H,"&gt;="&amp;MIP[[#This Row],[S.B Sitrack]],'[1]Tempo parado'!I:I,"&lt;="&amp;MIP[[#This Row],[C.B Sitrack]],'[1]Tempo parado'!B:B,MIP[[#This Row],[Placa]])</f>
        <v>0</v>
      </c>
      <c r="AG237" s="36"/>
      <c r="AH237" s="35"/>
      <c r="AI237" s="34"/>
      <c r="AJ237" s="34"/>
      <c r="AK23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3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37" s="32">
        <f>SUMIFS('[1]Tempo parado'!J:J,'[1]Tempo parado'!H:H,"&gt;="&amp;MIP[[#This Row],[S.B Sitrack]],'[1]Tempo parado'!I:I,"&lt;="&amp;MIP[[#This Row],[C.B Sitrack]],'[1]Tempo parado'!B:B,MIP[[#This Row],[Placa]])</f>
        <v>0</v>
      </c>
      <c r="AN237" s="32" t="str">
        <f>IFERROR(MIP[[#This Row],[Tempo parado]]/(MIP[[#This Row],[C.B Sitrack]]-MIP[[#This Row],[S.B Sitrack]]),"")</f>
        <v/>
      </c>
      <c r="AO237" s="30"/>
      <c r="AP237" s="44">
        <f>IF(AND(MIP[Exc]=0,MIP[Previsto / Realizado]="Realizado"),MIP[Sem],0)</f>
        <v>0</v>
      </c>
      <c r="AQ237" s="29">
        <f>IF(AND(MIP[Exc]=0,MIP[Previsto / Realizado]="Realizado",ISBLANK(MIP[[#This Row],[S.B Sitrack]])=FALSE,ISBLANK(MIP[[#This Row],[C.B Sitrack]])=FALSE),MIP[Sem],0)</f>
        <v>0</v>
      </c>
    </row>
    <row r="238" spans="1:43" s="64" customFormat="1" x14ac:dyDescent="0.25">
      <c r="A238" s="11"/>
      <c r="B238" s="44">
        <f>WEEKNUM(MIP[[#This Row],[Data]])</f>
        <v>28</v>
      </c>
      <c r="C238" s="45">
        <v>42928</v>
      </c>
      <c r="D238" s="45"/>
      <c r="E238" s="35" t="s">
        <v>19</v>
      </c>
      <c r="F238" s="35" t="s">
        <v>2</v>
      </c>
      <c r="G238" s="35"/>
      <c r="H238" s="44">
        <v>2</v>
      </c>
      <c r="I238" s="44">
        <v>0</v>
      </c>
      <c r="J238" s="44">
        <v>0</v>
      </c>
      <c r="K238" s="44">
        <v>0</v>
      </c>
      <c r="L238" s="44">
        <v>16</v>
      </c>
      <c r="M238" s="43">
        <v>0.65138888888888891</v>
      </c>
      <c r="N238" s="43">
        <v>0.67013888888888884</v>
      </c>
      <c r="O238" s="43">
        <f>1+37/24/60</f>
        <v>1.0256944444444445</v>
      </c>
      <c r="P238" s="43">
        <f>1+67/24/60</f>
        <v>1.0465277777777777</v>
      </c>
      <c r="Q238" s="39"/>
      <c r="R238" s="42" t="s">
        <v>387</v>
      </c>
      <c r="S238" s="44">
        <f>MIP[[#This Row],[PT-1]]+MIP[[#This Row],[PT-2]]*2+MIP[[#This Row],[PT-3]]*3+MIP[[#This Row],[PT &gt; 3 Pontos]]</f>
        <v>16</v>
      </c>
      <c r="T23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3.9583333333333193E-2</v>
      </c>
      <c r="U238" s="39">
        <f>IF(MIP[[#This Row],[P.S]]-MIP[[#This Row],[U.P]]&gt;=0,MIP[[#This Row],[P.S]]-MIP[[#This Row],[U.P]]+MIP[[#This Row],[S.B]]-MIP[[#This Row],[P.E]],1+MIP[[#This Row],[P.S]]-MIP[[#This Row],[U.P]]+MIP[[#This Row],[S.B]]-MIP[[#This Row],[P.E]])</f>
        <v>3.9583333333333193E-2</v>
      </c>
      <c r="V238" s="41">
        <f>MIP[[#This Row],[Eficiência]]</f>
        <v>1.0321109971071498</v>
      </c>
      <c r="W23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38" s="39">
        <f>IF(MIP[[#This Row],[P.S]]-MIP[[#This Row],[P.E]]&lt;0,1+MIP[[#This Row],[P.S]]-MIP[[#This Row],[P.E]]-1/24,MIP[[#This Row],[P.S]]-MIP[[#This Row],[P.E]]-1/24)</f>
        <v>0.35347222222222213</v>
      </c>
      <c r="Y238" s="39">
        <f>MIP[[#This Row],[PT-1]]*$S$3+MIP[[#This Row],[PT-2]]*$T$3+MIP[[#This Row],[PT-3]]*$U$3+MIP[[#This Row],[PT &gt; 3 Pontos]]*$V$3</f>
        <v>0.32396817409196654</v>
      </c>
      <c r="Z238" s="39">
        <f>MIP[[#This Row],[HH disponível]]-MIP[[#This Row],[HH AC TOT]]</f>
        <v>0.31388888888888894</v>
      </c>
      <c r="AA238" s="38">
        <f>MIP[[#This Row],[HH Produtivo
Total]]/MIP[[#This Row],[HH Trabalhado]]</f>
        <v>1.0321109971071498</v>
      </c>
      <c r="AB238" s="38">
        <f>MIP[[#This Row],[HH Produtivo
Total]]/MIP[[#This Row],[HH disponível]]</f>
        <v>0.91653078721499404</v>
      </c>
      <c r="AC238" s="38">
        <f>MIP[[#This Row],[HH Trabalhado]]/MIP[[#This Row],[HH disponível]]</f>
        <v>0.88801571709233829</v>
      </c>
      <c r="AD238" s="37" t="str">
        <f>LEFT(MIP[[#This Row],[Equipe]], SEARCH("/",MIP[[#This Row],[Equipe]],1)-1)</f>
        <v xml:space="preserve">ADEMÁRIO </v>
      </c>
      <c r="AE238" s="37" t="str">
        <f>RIGHT(MIP[[#This Row],[Equipe]], LEN(MIP[[#This Row],[Equipe]])-SEARCH("/",MIP[[#This Row],[Equipe]],1))</f>
        <v xml:space="preserve"> RONALDO</v>
      </c>
      <c r="AF238" s="44">
        <f>COUNTIFS('[1]Tempo parado'!H:H,"&gt;="&amp;MIP[[#This Row],[S.B Sitrack]],'[1]Tempo parado'!I:I,"&lt;="&amp;MIP[[#This Row],[C.B Sitrack]],'[1]Tempo parado'!B:B,MIP[[#This Row],[Placa]])</f>
        <v>0</v>
      </c>
      <c r="AG238" s="36"/>
      <c r="AH238" s="35"/>
      <c r="AI238" s="34"/>
      <c r="AJ238" s="34"/>
      <c r="AK23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3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38" s="32">
        <f>SUMIFS('[1]Tempo parado'!J:J,'[1]Tempo parado'!H:H,"&gt;="&amp;MIP[[#This Row],[S.B Sitrack]],'[1]Tempo parado'!I:I,"&lt;="&amp;MIP[[#This Row],[C.B Sitrack]],'[1]Tempo parado'!B:B,MIP[[#This Row],[Placa]])</f>
        <v>0</v>
      </c>
      <c r="AN238" s="32" t="str">
        <f>IFERROR(MIP[[#This Row],[Tempo parado]]/(MIP[[#This Row],[C.B Sitrack]]-MIP[[#This Row],[S.B Sitrack]]),"")</f>
        <v/>
      </c>
      <c r="AO238" s="30"/>
      <c r="AP238" s="44">
        <f>IF(AND(MIP[Exc]=0,MIP[Previsto / Realizado]="Realizado"),MIP[Sem],0)</f>
        <v>28</v>
      </c>
      <c r="AQ238" s="29">
        <f>IF(AND(MIP[Exc]=0,MIP[Previsto / Realizado]="Realizado",ISBLANK(MIP[[#This Row],[S.B Sitrack]])=FALSE,ISBLANK(MIP[[#This Row],[C.B Sitrack]])=FALSE),MIP[Sem],0)</f>
        <v>0</v>
      </c>
    </row>
    <row r="239" spans="1:43" s="47" customFormat="1" x14ac:dyDescent="0.25">
      <c r="A239" s="11"/>
      <c r="B239" s="44">
        <f>WEEKNUM(MIP[[#This Row],[Data]])</f>
        <v>28</v>
      </c>
      <c r="C239" s="45">
        <v>42929</v>
      </c>
      <c r="D239" s="45"/>
      <c r="E239" s="35" t="s">
        <v>7</v>
      </c>
      <c r="F239" s="35" t="s">
        <v>5</v>
      </c>
      <c r="G239" s="35"/>
      <c r="H239" s="44">
        <v>2</v>
      </c>
      <c r="I239" s="44">
        <v>7</v>
      </c>
      <c r="J239" s="44">
        <v>2</v>
      </c>
      <c r="K239" s="44">
        <v>1</v>
      </c>
      <c r="L239" s="44">
        <v>0</v>
      </c>
      <c r="M239" s="43">
        <v>0.625</v>
      </c>
      <c r="N239" s="43">
        <v>0.64583333333333337</v>
      </c>
      <c r="O239" s="43">
        <f>1+18/24/60</f>
        <v>1.0125</v>
      </c>
      <c r="P239" s="43">
        <f>1+48/24/60</f>
        <v>1.0333333333333334</v>
      </c>
      <c r="Q239" s="39"/>
      <c r="R239" s="42"/>
      <c r="S239" s="44">
        <f>MIP[[#This Row],[PT-1]]+MIP[[#This Row],[PT-2]]*2+MIP[[#This Row],[PT-3]]*3+MIP[[#This Row],[PT &gt; 3 Pontos]]</f>
        <v>14</v>
      </c>
      <c r="T23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239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239" s="41">
        <f>MIP[[#This Row],[Eficiência]]</f>
        <v>1.0024313297411123</v>
      </c>
      <c r="W23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39" s="39">
        <f>IF(MIP[[#This Row],[P.S]]-MIP[[#This Row],[P.E]]&lt;0,1+MIP[[#This Row],[P.S]]-MIP[[#This Row],[P.E]]-1/24,MIP[[#This Row],[P.S]]-MIP[[#This Row],[P.E]]-1/24)</f>
        <v>0.36666666666666675</v>
      </c>
      <c r="Y239" s="39">
        <f>MIP[[#This Row],[PT-1]]*$S$3+MIP[[#This Row],[PT-2]]*$T$3+MIP[[#This Row],[PT-3]]*$U$3+MIP[[#This Row],[PT &gt; 3 Pontos]]*$V$3</f>
        <v>0.32579018216586142</v>
      </c>
      <c r="Z239" s="39">
        <f>MIP[[#This Row],[HH disponível]]-MIP[[#This Row],[HH AC TOT]]</f>
        <v>0.3249999999999999</v>
      </c>
      <c r="AA239" s="38">
        <f>MIP[[#This Row],[HH Produtivo
Total]]/MIP[[#This Row],[HH Trabalhado]]</f>
        <v>1.0024313297411123</v>
      </c>
      <c r="AB239" s="38">
        <f>MIP[[#This Row],[HH Produtivo
Total]]/MIP[[#This Row],[HH disponível]]</f>
        <v>0.88851867863416734</v>
      </c>
      <c r="AC239" s="38">
        <f>MIP[[#This Row],[HH Trabalhado]]/MIP[[#This Row],[HH disponível]]</f>
        <v>0.88636363636363591</v>
      </c>
      <c r="AD239" s="37" t="str">
        <f>LEFT(MIP[[#This Row],[Equipe]], SEARCH("/",MIP[[#This Row],[Equipe]],1)-1)</f>
        <v xml:space="preserve">ANDERSON </v>
      </c>
      <c r="AE239" s="37" t="str">
        <f>RIGHT(MIP[[#This Row],[Equipe]], LEN(MIP[[#This Row],[Equipe]])-SEARCH("/",MIP[[#This Row],[Equipe]],1))</f>
        <v xml:space="preserve"> MARCO</v>
      </c>
      <c r="AF239" s="44">
        <f>COUNTIFS('[1]Tempo parado'!H:H,"&gt;="&amp;MIP[[#This Row],[S.B Sitrack]],'[1]Tempo parado'!I:I,"&lt;="&amp;MIP[[#This Row],[C.B Sitrack]],'[1]Tempo parado'!B:B,MIP[[#This Row],[Placa]])</f>
        <v>0</v>
      </c>
      <c r="AG239" s="36"/>
      <c r="AH239" s="35"/>
      <c r="AI239" s="34"/>
      <c r="AJ239" s="34"/>
      <c r="AK23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3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39" s="32">
        <f>SUMIFS('[1]Tempo parado'!J:J,'[1]Tempo parado'!H:H,"&gt;="&amp;MIP[[#This Row],[S.B Sitrack]],'[1]Tempo parado'!I:I,"&lt;="&amp;MIP[[#This Row],[C.B Sitrack]],'[1]Tempo parado'!B:B,MIP[[#This Row],[Placa]])</f>
        <v>0</v>
      </c>
      <c r="AN239" s="32" t="str">
        <f>IFERROR(MIP[[#This Row],[Tempo parado]]/(MIP[[#This Row],[C.B Sitrack]]-MIP[[#This Row],[S.B Sitrack]]),"")</f>
        <v/>
      </c>
      <c r="AO239" s="30"/>
      <c r="AP239" s="44">
        <f>IF(AND(MIP[Exc]=0,MIP[Previsto / Realizado]="Realizado"),MIP[Sem],0)</f>
        <v>0</v>
      </c>
      <c r="AQ239" s="29">
        <f>IF(AND(MIP[Exc]=0,MIP[Previsto / Realizado]="Realizado",ISBLANK(MIP[[#This Row],[S.B Sitrack]])=FALSE,ISBLANK(MIP[[#This Row],[C.B Sitrack]])=FALSE),MIP[Sem],0)</f>
        <v>0</v>
      </c>
    </row>
    <row r="240" spans="1:43" s="64" customFormat="1" x14ac:dyDescent="0.25">
      <c r="A240" s="11"/>
      <c r="B240" s="44">
        <f>WEEKNUM(MIP[[#This Row],[Data]])</f>
        <v>28</v>
      </c>
      <c r="C240" s="45">
        <v>42929</v>
      </c>
      <c r="D240" s="45"/>
      <c r="E240" s="35" t="s">
        <v>7</v>
      </c>
      <c r="F240" s="35" t="s">
        <v>2</v>
      </c>
      <c r="G240" s="35"/>
      <c r="H240" s="44">
        <v>2</v>
      </c>
      <c r="I240" s="44">
        <v>6</v>
      </c>
      <c r="J240" s="44">
        <v>1</v>
      </c>
      <c r="K240" s="44">
        <v>1</v>
      </c>
      <c r="L240" s="44">
        <v>0</v>
      </c>
      <c r="M240" s="43">
        <v>0.62430555555555556</v>
      </c>
      <c r="N240" s="43">
        <v>0.65138888888888891</v>
      </c>
      <c r="O240" s="43">
        <f>1+18/24/60</f>
        <v>1.0125</v>
      </c>
      <c r="P240" s="43">
        <f>1+48/24/60</f>
        <v>1.0333333333333334</v>
      </c>
      <c r="Q240" s="39"/>
      <c r="R240" s="42"/>
      <c r="S240" s="44">
        <f>MIP[[#This Row],[PT-1]]+MIP[[#This Row],[PT-2]]*2+MIP[[#This Row],[PT-3]]*3+MIP[[#This Row],[PT &gt; 3 Pontos]]</f>
        <v>11</v>
      </c>
      <c r="T24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4.7916666666666829E-2</v>
      </c>
      <c r="U240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4.7916666666666829E-2</v>
      </c>
      <c r="V240" s="41">
        <f>MIP[[#This Row],[Eficiência]]</f>
        <v>0.80406958884688084</v>
      </c>
      <c r="W24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40" s="39">
        <f>IF(MIP[[#This Row],[P.S]]-MIP[[#This Row],[P.E]]&lt;0,1+MIP[[#This Row],[P.S]]-MIP[[#This Row],[P.E]]-1/24,MIP[[#This Row],[P.S]]-MIP[[#This Row],[P.E]]-1/24)</f>
        <v>0.36736111111111119</v>
      </c>
      <c r="Y240" s="39">
        <f>MIP[[#This Row],[PT-1]]*$S$3+MIP[[#This Row],[PT-2]]*$T$3+MIP[[#This Row],[PT-3]]*$U$3+MIP[[#This Row],[PT &gt; 3 Pontos]]*$V$3</f>
        <v>0.25685556310386465</v>
      </c>
      <c r="Z240" s="39">
        <f>MIP[[#This Row],[HH disponível]]-MIP[[#This Row],[HH AC TOT]]</f>
        <v>0.31944444444444436</v>
      </c>
      <c r="AA240" s="38">
        <f>MIP[[#This Row],[HH Produtivo
Total]]/MIP[[#This Row],[HH Trabalhado]]</f>
        <v>0.80406958884688084</v>
      </c>
      <c r="AB240" s="38">
        <f>MIP[[#This Row],[HH Produtivo
Total]]/MIP[[#This Row],[HH disponível]]</f>
        <v>0.69919094682337435</v>
      </c>
      <c r="AC240" s="38">
        <f>MIP[[#This Row],[HH Trabalhado]]/MIP[[#This Row],[HH disponível]]</f>
        <v>0.86956521739130388</v>
      </c>
      <c r="AD240" s="37" t="str">
        <f>LEFT(MIP[[#This Row],[Equipe]], SEARCH("/",MIP[[#This Row],[Equipe]],1)-1)</f>
        <v xml:space="preserve">ANDERSON </v>
      </c>
      <c r="AE240" s="37" t="str">
        <f>RIGHT(MIP[[#This Row],[Equipe]], LEN(MIP[[#This Row],[Equipe]])-SEARCH("/",MIP[[#This Row],[Equipe]],1))</f>
        <v xml:space="preserve"> MARCO</v>
      </c>
      <c r="AF240" s="44">
        <f>COUNTIFS('[1]Tempo parado'!H:H,"&gt;="&amp;MIP[[#This Row],[S.B Sitrack]],'[1]Tempo parado'!I:I,"&lt;="&amp;MIP[[#This Row],[C.B Sitrack]],'[1]Tempo parado'!B:B,MIP[[#This Row],[Placa]])</f>
        <v>0</v>
      </c>
      <c r="AG240" s="36"/>
      <c r="AH240" s="35"/>
      <c r="AI240" s="34"/>
      <c r="AJ240" s="34"/>
      <c r="AK24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4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40" s="32">
        <f>SUMIFS('[1]Tempo parado'!J:J,'[1]Tempo parado'!H:H,"&gt;="&amp;MIP[[#This Row],[S.B Sitrack]],'[1]Tempo parado'!I:I,"&lt;="&amp;MIP[[#This Row],[C.B Sitrack]],'[1]Tempo parado'!B:B,MIP[[#This Row],[Placa]])</f>
        <v>0</v>
      </c>
      <c r="AN240" s="32" t="str">
        <f>IFERROR(MIP[[#This Row],[Tempo parado]]/(MIP[[#This Row],[C.B Sitrack]]-MIP[[#This Row],[S.B Sitrack]]),"")</f>
        <v/>
      </c>
      <c r="AO240" s="30"/>
      <c r="AP240" s="44">
        <f>IF(AND(MIP[Exc]=0,MIP[Previsto / Realizado]="Realizado"),MIP[Sem],0)</f>
        <v>28</v>
      </c>
      <c r="AQ240" s="29">
        <f>IF(AND(MIP[Exc]=0,MIP[Previsto / Realizado]="Realizado",ISBLANK(MIP[[#This Row],[S.B Sitrack]])=FALSE,ISBLANK(MIP[[#This Row],[C.B Sitrack]])=FALSE),MIP[Sem],0)</f>
        <v>0</v>
      </c>
    </row>
    <row r="241" spans="1:43" s="47" customFormat="1" x14ac:dyDescent="0.25">
      <c r="A241" s="11"/>
      <c r="B241" s="44">
        <f>WEEKNUM(MIP[[#This Row],[Data]])</f>
        <v>28</v>
      </c>
      <c r="C241" s="45">
        <v>42929</v>
      </c>
      <c r="D241" s="45"/>
      <c r="E241" s="35" t="s">
        <v>19</v>
      </c>
      <c r="F241" s="35" t="s">
        <v>5</v>
      </c>
      <c r="G241" s="35"/>
      <c r="H241" s="44">
        <v>2</v>
      </c>
      <c r="I241" s="44">
        <v>6</v>
      </c>
      <c r="J241" s="44">
        <v>1</v>
      </c>
      <c r="K241" s="44">
        <v>2</v>
      </c>
      <c r="L241" s="44">
        <v>0</v>
      </c>
      <c r="M241" s="43">
        <v>0.625</v>
      </c>
      <c r="N241" s="43">
        <v>0.64583333333333337</v>
      </c>
      <c r="O241" s="43">
        <f>1+18/24/60</f>
        <v>1.0125</v>
      </c>
      <c r="P241" s="43">
        <f>1+48/24/60</f>
        <v>1.0333333333333334</v>
      </c>
      <c r="Q241" s="39"/>
      <c r="R241" s="42" t="s">
        <v>386</v>
      </c>
      <c r="S241" s="29">
        <f>MIP[[#This Row],[PT-1]]+MIP[[#This Row],[PT-2]]*2+MIP[[#This Row],[PT-3]]*3+MIP[[#This Row],[PT &gt; 3 Pontos]]</f>
        <v>14</v>
      </c>
      <c r="T24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241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241" s="41">
        <f>MIP[[#This Row],[Eficiência]]</f>
        <v>0.98352997646475915</v>
      </c>
      <c r="W24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41" s="39">
        <f>IF(MIP[[#This Row],[P.S]]-MIP[[#This Row],[P.E]]&lt;0,1+MIP[[#This Row],[P.S]]-MIP[[#This Row],[P.E]]-1/24,MIP[[#This Row],[P.S]]-MIP[[#This Row],[P.E]]-1/24)</f>
        <v>0.36666666666666675</v>
      </c>
      <c r="Y241" s="39">
        <f>MIP[[#This Row],[PT-1]]*$S$3+MIP[[#This Row],[PT-2]]*$T$3+MIP[[#This Row],[PT-3]]*$U$3+MIP[[#This Row],[PT &gt; 3 Pontos]]*$V$3</f>
        <v>0.31964724235104663</v>
      </c>
      <c r="Z241" s="39">
        <f>MIP[[#This Row],[HH disponível]]-MIP[[#This Row],[HH AC TOT]]</f>
        <v>0.3249999999999999</v>
      </c>
      <c r="AA241" s="38">
        <f>MIP[[#This Row],[HH Produtivo
Total]]/MIP[[#This Row],[HH Trabalhado]]</f>
        <v>0.98352997646475915</v>
      </c>
      <c r="AB241" s="38">
        <f>MIP[[#This Row],[HH Produtivo
Total]]/MIP[[#This Row],[HH disponível]]</f>
        <v>0.87176520641194521</v>
      </c>
      <c r="AC241" s="38">
        <f>MIP[[#This Row],[HH Trabalhado]]/MIP[[#This Row],[HH disponível]]</f>
        <v>0.88636363636363591</v>
      </c>
      <c r="AD241" s="37" t="str">
        <f>LEFT(MIP[[#This Row],[Equipe]], SEARCH("/",MIP[[#This Row],[Equipe]],1)-1)</f>
        <v xml:space="preserve">ADEMÁRIO </v>
      </c>
      <c r="AE241" s="37" t="str">
        <f>RIGHT(MIP[[#This Row],[Equipe]], LEN(MIP[[#This Row],[Equipe]])-SEARCH("/",MIP[[#This Row],[Equipe]],1))</f>
        <v xml:space="preserve"> RONALDO</v>
      </c>
      <c r="AF241" s="44">
        <f>COUNTIFS('[1]Tempo parado'!H:H,"&gt;="&amp;MIP[[#This Row],[S.B Sitrack]],'[1]Tempo parado'!I:I,"&lt;="&amp;MIP[[#This Row],[C.B Sitrack]],'[1]Tempo parado'!B:B,MIP[[#This Row],[Placa]])</f>
        <v>0</v>
      </c>
      <c r="AG241" s="36"/>
      <c r="AH241" s="35"/>
      <c r="AI241" s="34"/>
      <c r="AJ241" s="34"/>
      <c r="AK24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4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41" s="32">
        <f>SUMIFS('[1]Tempo parado'!J:J,'[1]Tempo parado'!H:H,"&gt;="&amp;MIP[[#This Row],[S.B Sitrack]],'[1]Tempo parado'!I:I,"&lt;="&amp;MIP[[#This Row],[C.B Sitrack]],'[1]Tempo parado'!B:B,MIP[[#This Row],[Placa]])</f>
        <v>0</v>
      </c>
      <c r="AN241" s="32" t="str">
        <f>IFERROR(MIP[[#This Row],[Tempo parado]]/(MIP[[#This Row],[C.B Sitrack]]-MIP[[#This Row],[S.B Sitrack]]),"")</f>
        <v/>
      </c>
      <c r="AO241" s="30"/>
      <c r="AP241" s="44">
        <f>IF(AND(MIP[Exc]=0,MIP[Previsto / Realizado]="Realizado"),MIP[Sem],0)</f>
        <v>0</v>
      </c>
      <c r="AQ241" s="29">
        <f>IF(AND(MIP[Exc]=0,MIP[Previsto / Realizado]="Realizado",ISBLANK(MIP[[#This Row],[S.B Sitrack]])=FALSE,ISBLANK(MIP[[#This Row],[C.B Sitrack]])=FALSE),MIP[Sem],0)</f>
        <v>0</v>
      </c>
    </row>
    <row r="242" spans="1:43" s="64" customFormat="1" x14ac:dyDescent="0.25">
      <c r="A242" s="11"/>
      <c r="B242" s="44">
        <f>WEEKNUM(MIP[[#This Row],[Data]])</f>
        <v>28</v>
      </c>
      <c r="C242" s="45">
        <v>42929</v>
      </c>
      <c r="D242" s="45"/>
      <c r="E242" s="35" t="s">
        <v>19</v>
      </c>
      <c r="F242" s="35" t="s">
        <v>2</v>
      </c>
      <c r="G242" s="35"/>
      <c r="H242" s="44">
        <v>2</v>
      </c>
      <c r="I242" s="44">
        <v>6</v>
      </c>
      <c r="J242" s="44">
        <v>1</v>
      </c>
      <c r="K242" s="44">
        <v>1</v>
      </c>
      <c r="L242" s="44">
        <v>0</v>
      </c>
      <c r="M242" s="43">
        <v>0.62916666666666665</v>
      </c>
      <c r="N242" s="43">
        <v>0.65833333333333333</v>
      </c>
      <c r="O242" s="43">
        <f>1+10/24/60</f>
        <v>1.0069444444444444</v>
      </c>
      <c r="P242" s="43">
        <f>1+52/24/60</f>
        <v>1.0361111111111112</v>
      </c>
      <c r="Q242" s="39"/>
      <c r="R242" s="42" t="s">
        <v>385</v>
      </c>
      <c r="S242" s="29">
        <f>MIP[[#This Row],[PT-1]]+MIP[[#This Row],[PT-2]]*2+MIP[[#This Row],[PT-3]]*3+MIP[[#This Row],[PT &gt; 3 Pontos]]</f>
        <v>11</v>
      </c>
      <c r="T24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5.8333333333333459E-2</v>
      </c>
      <c r="U242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5.8333333333333459E-2</v>
      </c>
      <c r="V242" s="41">
        <f>MIP[[#This Row],[Eficiência]]</f>
        <v>0.83681450422978543</v>
      </c>
      <c r="W24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42" s="39">
        <f>IF(MIP[[#This Row],[P.S]]-MIP[[#This Row],[P.E]]&lt;0,1+MIP[[#This Row],[P.S]]-MIP[[#This Row],[P.E]]-1/24,MIP[[#This Row],[P.S]]-MIP[[#This Row],[P.E]]-1/24)</f>
        <v>0.36527777777777787</v>
      </c>
      <c r="Y242" s="39">
        <f>MIP[[#This Row],[PT-1]]*$S$3+MIP[[#This Row],[PT-2]]*$T$3+MIP[[#This Row],[PT-3]]*$U$3+MIP[[#This Row],[PT &gt; 3 Pontos]]*$V$3</f>
        <v>0.25685556310386465</v>
      </c>
      <c r="Z242" s="39">
        <f>MIP[[#This Row],[HH disponível]]-MIP[[#This Row],[HH AC TOT]]</f>
        <v>0.30694444444444441</v>
      </c>
      <c r="AA242" s="38">
        <f>MIP[[#This Row],[HH Produtivo
Total]]/MIP[[#This Row],[HH Trabalhado]]</f>
        <v>0.83681450422978543</v>
      </c>
      <c r="AB242" s="38">
        <f>MIP[[#This Row],[HH Produtivo
Total]]/MIP[[#This Row],[HH disponível]]</f>
        <v>0.7031787278889069</v>
      </c>
      <c r="AC242" s="38">
        <f>MIP[[#This Row],[HH Trabalhado]]/MIP[[#This Row],[HH disponível]]</f>
        <v>0.84030418250950545</v>
      </c>
      <c r="AD242" s="37" t="str">
        <f>LEFT(MIP[[#This Row],[Equipe]], SEARCH("/",MIP[[#This Row],[Equipe]],1)-1)</f>
        <v xml:space="preserve">ADEMÁRIO </v>
      </c>
      <c r="AE242" s="37" t="str">
        <f>RIGHT(MIP[[#This Row],[Equipe]], LEN(MIP[[#This Row],[Equipe]])-SEARCH("/",MIP[[#This Row],[Equipe]],1))</f>
        <v xml:space="preserve"> RONALDO</v>
      </c>
      <c r="AF242" s="44">
        <f>COUNTIFS('[1]Tempo parado'!H:H,"&gt;="&amp;MIP[[#This Row],[S.B Sitrack]],'[1]Tempo parado'!I:I,"&lt;="&amp;MIP[[#This Row],[C.B Sitrack]],'[1]Tempo parado'!B:B,MIP[[#This Row],[Placa]])</f>
        <v>0</v>
      </c>
      <c r="AG242" s="36"/>
      <c r="AH242" s="35"/>
      <c r="AI242" s="34"/>
      <c r="AJ242" s="34"/>
      <c r="AK24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4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42" s="32">
        <f>SUMIFS('[1]Tempo parado'!J:J,'[1]Tempo parado'!H:H,"&gt;="&amp;MIP[[#This Row],[S.B Sitrack]],'[1]Tempo parado'!I:I,"&lt;="&amp;MIP[[#This Row],[C.B Sitrack]],'[1]Tempo parado'!B:B,MIP[[#This Row],[Placa]])</f>
        <v>0</v>
      </c>
      <c r="AN242" s="32" t="str">
        <f>IFERROR(MIP[[#This Row],[Tempo parado]]/(MIP[[#This Row],[C.B Sitrack]]-MIP[[#This Row],[S.B Sitrack]]),"")</f>
        <v/>
      </c>
      <c r="AO242" s="30"/>
      <c r="AP242" s="44">
        <f>IF(AND(MIP[Exc]=0,MIP[Previsto / Realizado]="Realizado"),MIP[Sem],0)</f>
        <v>28</v>
      </c>
      <c r="AQ242" s="29">
        <f>IF(AND(MIP[Exc]=0,MIP[Previsto / Realizado]="Realizado",ISBLANK(MIP[[#This Row],[S.B Sitrack]])=FALSE,ISBLANK(MIP[[#This Row],[C.B Sitrack]])=FALSE),MIP[Sem],0)</f>
        <v>0</v>
      </c>
    </row>
    <row r="243" spans="1:43" s="47" customFormat="1" x14ac:dyDescent="0.25">
      <c r="A243" s="11"/>
      <c r="B243" s="44">
        <f>WEEKNUM(MIP[[#This Row],[Data]])</f>
        <v>28</v>
      </c>
      <c r="C243" s="45">
        <v>42930</v>
      </c>
      <c r="D243" s="45"/>
      <c r="E243" s="35" t="s">
        <v>384</v>
      </c>
      <c r="F243" s="35" t="s">
        <v>5</v>
      </c>
      <c r="G243" s="35"/>
      <c r="H243" s="44">
        <v>2</v>
      </c>
      <c r="I243" s="44">
        <v>7</v>
      </c>
      <c r="J243" s="44">
        <v>2</v>
      </c>
      <c r="K243" s="44">
        <v>0</v>
      </c>
      <c r="L243" s="44">
        <v>4</v>
      </c>
      <c r="M243" s="43">
        <v>0.25</v>
      </c>
      <c r="N243" s="43">
        <v>0.27083333333333331</v>
      </c>
      <c r="O243" s="43">
        <v>0.63750000000000007</v>
      </c>
      <c r="P243" s="43">
        <v>0.65833333333333333</v>
      </c>
      <c r="Q243" s="39"/>
      <c r="R243" s="42"/>
      <c r="S243" s="29">
        <f>MIP[[#This Row],[PT-1]]+MIP[[#This Row],[PT-2]]*2+MIP[[#This Row],[PT-3]]*3+MIP[[#This Row],[PT &gt; 3 Pontos]]</f>
        <v>15</v>
      </c>
      <c r="T24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243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243" s="41">
        <f>MIP[[#This Row],[Eficiência]]</f>
        <v>1.0584324505897569</v>
      </c>
      <c r="W24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43" s="39">
        <f>IF(MIP[[#This Row],[P.S]]-MIP[[#This Row],[P.E]]&lt;0,1+MIP[[#This Row],[P.S]]-MIP[[#This Row],[P.E]]-1/24,MIP[[#This Row],[P.S]]-MIP[[#This Row],[P.E]]-1/24)</f>
        <v>0.36666666666666664</v>
      </c>
      <c r="Y243" s="39">
        <f>MIP[[#This Row],[PT-1]]*$S$3+MIP[[#This Row],[PT-2]]*$T$3+MIP[[#This Row],[PT-3]]*$U$3+MIP[[#This Row],[PT &gt; 3 Pontos]]*$V$3</f>
        <v>0.34399054644167104</v>
      </c>
      <c r="Z243" s="39">
        <f>MIP[[#This Row],[HH disponível]]-MIP[[#This Row],[HH AC TOT]]</f>
        <v>0.32500000000000007</v>
      </c>
      <c r="AA243" s="38">
        <f>MIP[[#This Row],[HH Produtivo
Total]]/MIP[[#This Row],[HH Trabalhado]]</f>
        <v>1.0584324505897569</v>
      </c>
      <c r="AB243" s="38">
        <f>MIP[[#This Row],[HH Produtivo
Total]]/MIP[[#This Row],[HH disponível]]</f>
        <v>0.93815603575001205</v>
      </c>
      <c r="AC243" s="38">
        <f>MIP[[#This Row],[HH Trabalhado]]/MIP[[#This Row],[HH disponível]]</f>
        <v>0.88636363636363658</v>
      </c>
      <c r="AD243" s="37" t="str">
        <f>LEFT(MIP[[#This Row],[Equipe]], SEARCH("/",MIP[[#This Row],[Equipe]],1)-1)</f>
        <v xml:space="preserve">GERALDO </v>
      </c>
      <c r="AE243" s="37" t="str">
        <f>RIGHT(MIP[[#This Row],[Equipe]], LEN(MIP[[#This Row],[Equipe]])-SEARCH("/",MIP[[#This Row],[Equipe]],1))</f>
        <v xml:space="preserve"> VALDEI</v>
      </c>
      <c r="AF243" s="44">
        <f>COUNTIFS('[1]Tempo parado'!H:H,"&gt;="&amp;MIP[[#This Row],[S.B Sitrack]],'[1]Tempo parado'!I:I,"&lt;="&amp;MIP[[#This Row],[C.B Sitrack]],'[1]Tempo parado'!B:B,MIP[[#This Row],[Placa]])</f>
        <v>0</v>
      </c>
      <c r="AG243" s="36"/>
      <c r="AH243" s="35"/>
      <c r="AI243" s="34"/>
      <c r="AJ243" s="34"/>
      <c r="AK24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4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43" s="32">
        <f>SUMIFS('[1]Tempo parado'!J:J,'[1]Tempo parado'!H:H,"&gt;="&amp;MIP[[#This Row],[S.B Sitrack]],'[1]Tempo parado'!I:I,"&lt;="&amp;MIP[[#This Row],[C.B Sitrack]],'[1]Tempo parado'!B:B,MIP[[#This Row],[Placa]])</f>
        <v>0</v>
      </c>
      <c r="AN243" s="32" t="str">
        <f>IFERROR(MIP[[#This Row],[Tempo parado]]/(MIP[[#This Row],[C.B Sitrack]]-MIP[[#This Row],[S.B Sitrack]]),"")</f>
        <v/>
      </c>
      <c r="AO243" s="30"/>
      <c r="AP243" s="44">
        <f>IF(AND(MIP[Exc]=0,MIP[Previsto / Realizado]="Realizado"),MIP[Sem],0)</f>
        <v>0</v>
      </c>
      <c r="AQ243" s="29">
        <f>IF(AND(MIP[Exc]=0,MIP[Previsto / Realizado]="Realizado",ISBLANK(MIP[[#This Row],[S.B Sitrack]])=FALSE,ISBLANK(MIP[[#This Row],[C.B Sitrack]])=FALSE),MIP[Sem],0)</f>
        <v>0</v>
      </c>
    </row>
    <row r="244" spans="1:43" s="64" customFormat="1" x14ac:dyDescent="0.25">
      <c r="A244" s="11"/>
      <c r="B244" s="44">
        <f>WEEKNUM(MIP[[#This Row],[Data]])</f>
        <v>28</v>
      </c>
      <c r="C244" s="45">
        <v>42930</v>
      </c>
      <c r="D244" s="45"/>
      <c r="E244" s="35" t="s">
        <v>384</v>
      </c>
      <c r="F244" s="35" t="s">
        <v>2</v>
      </c>
      <c r="G244" s="35"/>
      <c r="H244" s="44">
        <v>2</v>
      </c>
      <c r="I244" s="44">
        <v>2</v>
      </c>
      <c r="J244" s="44">
        <v>2</v>
      </c>
      <c r="K244" s="44">
        <v>0</v>
      </c>
      <c r="L244" s="44">
        <v>4</v>
      </c>
      <c r="M244" s="43">
        <v>0.24444444444444446</v>
      </c>
      <c r="N244" s="43">
        <v>0.3888888888888889</v>
      </c>
      <c r="O244" s="43">
        <v>0.61458333333333337</v>
      </c>
      <c r="P244" s="43">
        <v>0.61736111111111114</v>
      </c>
      <c r="Q244" s="39"/>
      <c r="R244" s="42" t="s">
        <v>383</v>
      </c>
      <c r="S244" s="29">
        <f>MIP[[#This Row],[PT-1]]+MIP[[#This Row],[PT-2]]*2+MIP[[#This Row],[PT-3]]*3+MIP[[#This Row],[PT &gt; 3 Pontos]]</f>
        <v>10</v>
      </c>
      <c r="T24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0.1472222222222222</v>
      </c>
      <c r="U244" s="39">
        <f>IF(MIP[[#This Row],[P.S]]-MIP[[#This Row],[U.P]]&gt;=0,MIP[[#This Row],[P.S]]-MIP[[#This Row],[U.P]]+MIP[[#This Row],[S.B]]-MIP[[#This Row],[P.E]],1+MIP[[#This Row],[P.S]]-MIP[[#This Row],[U.P]]+MIP[[#This Row],[S.B]]-MIP[[#This Row],[P.E]])</f>
        <v>0.1472222222222222</v>
      </c>
      <c r="V244" s="41">
        <f>MIP[[#This Row],[Eficiência]]</f>
        <v>1.1892839455534288</v>
      </c>
      <c r="W24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44" s="39">
        <f>IF(MIP[[#This Row],[P.S]]-MIP[[#This Row],[P.E]]&lt;0,1+MIP[[#This Row],[P.S]]-MIP[[#This Row],[P.E]]-1/24,MIP[[#This Row],[P.S]]-MIP[[#This Row],[P.E]]-1/24)</f>
        <v>0.33124999999999999</v>
      </c>
      <c r="Y244" s="39">
        <f>MIP[[#This Row],[PT-1]]*$S$3+MIP[[#This Row],[PT-2]]*$T$3+MIP[[#This Row],[PT-3]]*$U$3+MIP[[#This Row],[PT &gt; 3 Pontos]]*$V$3</f>
        <v>0.21886128164698518</v>
      </c>
      <c r="Z244" s="39">
        <f>MIP[[#This Row],[HH disponível]]-MIP[[#This Row],[HH AC TOT]]</f>
        <v>0.18402777777777779</v>
      </c>
      <c r="AA244" s="38">
        <f>MIP[[#This Row],[HH Produtivo
Total]]/MIP[[#This Row],[HH Trabalhado]]</f>
        <v>1.1892839455534288</v>
      </c>
      <c r="AB244" s="38">
        <f>MIP[[#This Row],[HH Produtivo
Total]]/MIP[[#This Row],[HH disponível]]</f>
        <v>0.66071330308523835</v>
      </c>
      <c r="AC244" s="38">
        <f>MIP[[#This Row],[HH Trabalhado]]/MIP[[#This Row],[HH disponível]]</f>
        <v>0.55555555555555558</v>
      </c>
      <c r="AD244" s="37" t="str">
        <f>LEFT(MIP[[#This Row],[Equipe]], SEARCH("/",MIP[[#This Row],[Equipe]],1)-1)</f>
        <v xml:space="preserve">GERALDO </v>
      </c>
      <c r="AE244" s="37" t="str">
        <f>RIGHT(MIP[[#This Row],[Equipe]], LEN(MIP[[#This Row],[Equipe]])-SEARCH("/",MIP[[#This Row],[Equipe]],1))</f>
        <v xml:space="preserve"> VALDEI</v>
      </c>
      <c r="AF244" s="44">
        <f>COUNTIFS('[1]Tempo parado'!H:H,"&gt;="&amp;MIP[[#This Row],[S.B Sitrack]],'[1]Tempo parado'!I:I,"&lt;="&amp;MIP[[#This Row],[C.B Sitrack]],'[1]Tempo parado'!B:B,MIP[[#This Row],[Placa]])</f>
        <v>0</v>
      </c>
      <c r="AG244" s="36"/>
      <c r="AH244" s="35"/>
      <c r="AI244" s="34"/>
      <c r="AJ244" s="34"/>
      <c r="AK24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4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44" s="32">
        <f>SUMIFS('[1]Tempo parado'!J:J,'[1]Tempo parado'!H:H,"&gt;="&amp;MIP[[#This Row],[S.B Sitrack]],'[1]Tempo parado'!I:I,"&lt;="&amp;MIP[[#This Row],[C.B Sitrack]],'[1]Tempo parado'!B:B,MIP[[#This Row],[Placa]])</f>
        <v>0</v>
      </c>
      <c r="AN244" s="32" t="str">
        <f>IFERROR(MIP[[#This Row],[Tempo parado]]/(MIP[[#This Row],[C.B Sitrack]]-MIP[[#This Row],[S.B Sitrack]]),"")</f>
        <v/>
      </c>
      <c r="AO244" s="30"/>
      <c r="AP244" s="44">
        <f>IF(AND(MIP[Exc]=0,MIP[Previsto / Realizado]="Realizado"),MIP[Sem],0)</f>
        <v>28</v>
      </c>
      <c r="AQ244" s="29">
        <f>IF(AND(MIP[Exc]=0,MIP[Previsto / Realizado]="Realizado",ISBLANK(MIP[[#This Row],[S.B Sitrack]])=FALSE,ISBLANK(MIP[[#This Row],[C.B Sitrack]])=FALSE),MIP[Sem],0)</f>
        <v>0</v>
      </c>
    </row>
    <row r="245" spans="1:43" s="47" customFormat="1" x14ac:dyDescent="0.25">
      <c r="A245" s="11"/>
      <c r="B245" s="44">
        <f>WEEKNUM(MIP[[#This Row],[Data]])</f>
        <v>28</v>
      </c>
      <c r="C245" s="45">
        <v>42930</v>
      </c>
      <c r="D245" s="45"/>
      <c r="E245" s="35" t="s">
        <v>3</v>
      </c>
      <c r="F245" s="35" t="s">
        <v>5</v>
      </c>
      <c r="G245" s="35"/>
      <c r="H245" s="44">
        <v>2</v>
      </c>
      <c r="I245" s="44">
        <v>6</v>
      </c>
      <c r="J245" s="44">
        <v>1</v>
      </c>
      <c r="K245" s="44">
        <v>0</v>
      </c>
      <c r="L245" s="44">
        <v>9</v>
      </c>
      <c r="M245" s="43">
        <v>0.625</v>
      </c>
      <c r="N245" s="43">
        <v>0.64583333333333337</v>
      </c>
      <c r="O245" s="43">
        <f>1+18/24/60</f>
        <v>1.0125</v>
      </c>
      <c r="P245" s="43">
        <f>1+48/24/60</f>
        <v>1.0333333333333334</v>
      </c>
      <c r="Q245" s="39"/>
      <c r="R245" s="42"/>
      <c r="S245" s="29">
        <f>MIP[[#This Row],[PT-1]]+MIP[[#This Row],[PT-2]]*2+MIP[[#This Row],[PT-3]]*3+MIP[[#This Row],[PT &gt; 3 Pontos]]</f>
        <v>17</v>
      </c>
      <c r="T24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245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245" s="41">
        <f>MIP[[#This Row],[Eficiência]]</f>
        <v>1.1578337901028122</v>
      </c>
      <c r="W24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45" s="39">
        <f>IF(MIP[[#This Row],[P.S]]-MIP[[#This Row],[P.E]]&lt;0,1+MIP[[#This Row],[P.S]]-MIP[[#This Row],[P.E]]-1/24,MIP[[#This Row],[P.S]]-MIP[[#This Row],[P.E]]-1/24)</f>
        <v>0.36666666666666675</v>
      </c>
      <c r="Y245" s="39">
        <f>MIP[[#This Row],[PT-1]]*$S$3+MIP[[#This Row],[PT-2]]*$T$3+MIP[[#This Row],[PT-3]]*$U$3+MIP[[#This Row],[PT &gt; 3 Pontos]]*$V$3</f>
        <v>0.37629598178341384</v>
      </c>
      <c r="Z245" s="39">
        <f>MIP[[#This Row],[HH disponível]]-MIP[[#This Row],[HH AC TOT]]</f>
        <v>0.3249999999999999</v>
      </c>
      <c r="AA245" s="38">
        <f>MIP[[#This Row],[HH Produtivo
Total]]/MIP[[#This Row],[HH Trabalhado]]</f>
        <v>1.1578337901028122</v>
      </c>
      <c r="AB245" s="38">
        <f>MIP[[#This Row],[HH Produtivo
Total]]/MIP[[#This Row],[HH disponível]]</f>
        <v>1.0262617685002193</v>
      </c>
      <c r="AC245" s="38">
        <f>MIP[[#This Row],[HH Trabalhado]]/MIP[[#This Row],[HH disponível]]</f>
        <v>0.88636363636363591</v>
      </c>
      <c r="AD245" s="37" t="str">
        <f>LEFT(MIP[[#This Row],[Equipe]], SEARCH("/",MIP[[#This Row],[Equipe]],1)-1)</f>
        <v xml:space="preserve">EDILTON </v>
      </c>
      <c r="AE245" s="37" t="str">
        <f>RIGHT(MIP[[#This Row],[Equipe]], LEN(MIP[[#This Row],[Equipe]])-SEARCH("/",MIP[[#This Row],[Equipe]],1))</f>
        <v xml:space="preserve"> GECIVALDO</v>
      </c>
      <c r="AF245" s="44">
        <f>COUNTIFS('[1]Tempo parado'!H:H,"&gt;="&amp;MIP[[#This Row],[S.B Sitrack]],'[1]Tempo parado'!I:I,"&lt;="&amp;MIP[[#This Row],[C.B Sitrack]],'[1]Tempo parado'!B:B,MIP[[#This Row],[Placa]])</f>
        <v>0</v>
      </c>
      <c r="AG245" s="36"/>
      <c r="AH245" s="35"/>
      <c r="AI245" s="34"/>
      <c r="AJ245" s="34"/>
      <c r="AK24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4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45" s="32">
        <f>SUMIFS('[1]Tempo parado'!J:J,'[1]Tempo parado'!H:H,"&gt;="&amp;MIP[[#This Row],[S.B Sitrack]],'[1]Tempo parado'!I:I,"&lt;="&amp;MIP[[#This Row],[C.B Sitrack]],'[1]Tempo parado'!B:B,MIP[[#This Row],[Placa]])</f>
        <v>0</v>
      </c>
      <c r="AN245" s="32" t="str">
        <f>IFERROR(MIP[[#This Row],[Tempo parado]]/(MIP[[#This Row],[C.B Sitrack]]-MIP[[#This Row],[S.B Sitrack]]),"")</f>
        <v/>
      </c>
      <c r="AO245" s="30"/>
      <c r="AP245" s="44">
        <f>IF(AND(MIP[Exc]=0,MIP[Previsto / Realizado]="Realizado"),MIP[Sem],0)</f>
        <v>0</v>
      </c>
      <c r="AQ245" s="29">
        <f>IF(AND(MIP[Exc]=0,MIP[Previsto / Realizado]="Realizado",ISBLANK(MIP[[#This Row],[S.B Sitrack]])=FALSE,ISBLANK(MIP[[#This Row],[C.B Sitrack]])=FALSE),MIP[Sem],0)</f>
        <v>0</v>
      </c>
    </row>
    <row r="246" spans="1:43" s="64" customFormat="1" x14ac:dyDescent="0.25">
      <c r="A246" s="11"/>
      <c r="B246" s="44">
        <f>WEEKNUM(MIP[[#This Row],[Data]])</f>
        <v>28</v>
      </c>
      <c r="C246" s="45">
        <v>42930</v>
      </c>
      <c r="D246" s="45"/>
      <c r="E246" s="35" t="s">
        <v>3</v>
      </c>
      <c r="F246" s="35" t="s">
        <v>2</v>
      </c>
      <c r="G246" s="35"/>
      <c r="H246" s="44">
        <v>2</v>
      </c>
      <c r="I246" s="44">
        <v>6</v>
      </c>
      <c r="J246" s="44">
        <v>0</v>
      </c>
      <c r="K246" s="44">
        <v>0</v>
      </c>
      <c r="L246" s="44">
        <v>9</v>
      </c>
      <c r="M246" s="43">
        <v>0.62222222222222223</v>
      </c>
      <c r="N246" s="43">
        <v>0.66249999999999998</v>
      </c>
      <c r="O246" s="43">
        <f>1+17/24/60</f>
        <v>1.0118055555555556</v>
      </c>
      <c r="P246" s="43">
        <f>1+48/24/60</f>
        <v>1.0333333333333334</v>
      </c>
      <c r="Q246" s="39"/>
      <c r="R246" s="42"/>
      <c r="S246" s="29">
        <f>MIP[[#This Row],[PT-1]]+MIP[[#This Row],[PT-2]]*2+MIP[[#This Row],[PT-3]]*3+MIP[[#This Row],[PT &gt; 3 Pontos]]</f>
        <v>15</v>
      </c>
      <c r="T24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6.1805555555555558E-2</v>
      </c>
      <c r="U246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6.1805555555555558E-2</v>
      </c>
      <c r="V246" s="41">
        <f>MIP[[#This Row],[Eficiência]]</f>
        <v>1.0804460283966366</v>
      </c>
      <c r="W24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46" s="39">
        <f>IF(MIP[[#This Row],[P.S]]-MIP[[#This Row],[P.E]]&lt;0,1+MIP[[#This Row],[P.S]]-MIP[[#This Row],[P.E]]-1/24,MIP[[#This Row],[P.S]]-MIP[[#This Row],[P.E]]-1/24)</f>
        <v>0.36944444444444452</v>
      </c>
      <c r="Y246" s="39">
        <f>MIP[[#This Row],[PT-1]]*$S$3+MIP[[#This Row],[PT-2]]*$T$3+MIP[[#This Row],[PT-3]]*$U$3+MIP[[#This Row],[PT &gt; 3 Pontos]]*$V$3</f>
        <v>0.33238721568035423</v>
      </c>
      <c r="Z246" s="39">
        <f>MIP[[#This Row],[HH disponível]]-MIP[[#This Row],[HH AC TOT]]</f>
        <v>0.30763888888888896</v>
      </c>
      <c r="AA246" s="38">
        <f>MIP[[#This Row],[HH Produtivo
Total]]/MIP[[#This Row],[HH Trabalhado]]</f>
        <v>1.0804460283966366</v>
      </c>
      <c r="AB246" s="38">
        <f>MIP[[#This Row],[HH Produtivo
Total]]/MIP[[#This Row],[HH disponível]]</f>
        <v>0.89969471913479326</v>
      </c>
      <c r="AC246" s="38">
        <f>MIP[[#This Row],[HH Trabalhado]]/MIP[[#This Row],[HH disponível]]</f>
        <v>0.83270676691729328</v>
      </c>
      <c r="AD246" s="37" t="str">
        <f>LEFT(MIP[[#This Row],[Equipe]], SEARCH("/",MIP[[#This Row],[Equipe]],1)-1)</f>
        <v xml:space="preserve">EDILTON </v>
      </c>
      <c r="AE246" s="37" t="str">
        <f>RIGHT(MIP[[#This Row],[Equipe]], LEN(MIP[[#This Row],[Equipe]])-SEARCH("/",MIP[[#This Row],[Equipe]],1))</f>
        <v xml:space="preserve"> GECIVALDO</v>
      </c>
      <c r="AF246" s="44">
        <f>COUNTIFS('[1]Tempo parado'!H:H,"&gt;="&amp;MIP[[#This Row],[S.B Sitrack]],'[1]Tempo parado'!I:I,"&lt;="&amp;MIP[[#This Row],[C.B Sitrack]],'[1]Tempo parado'!B:B,MIP[[#This Row],[Placa]])</f>
        <v>0</v>
      </c>
      <c r="AG246" s="36"/>
      <c r="AH246" s="35"/>
      <c r="AI246" s="34"/>
      <c r="AJ246" s="34"/>
      <c r="AK24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4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46" s="32">
        <f>SUMIFS('[1]Tempo parado'!J:J,'[1]Tempo parado'!H:H,"&gt;="&amp;MIP[[#This Row],[S.B Sitrack]],'[1]Tempo parado'!I:I,"&lt;="&amp;MIP[[#This Row],[C.B Sitrack]],'[1]Tempo parado'!B:B,MIP[[#This Row],[Placa]])</f>
        <v>0</v>
      </c>
      <c r="AN246" s="32" t="str">
        <f>IFERROR(MIP[[#This Row],[Tempo parado]]/(MIP[[#This Row],[C.B Sitrack]]-MIP[[#This Row],[S.B Sitrack]]),"")</f>
        <v/>
      </c>
      <c r="AO246" s="30"/>
      <c r="AP246" s="44">
        <f>IF(AND(MIP[Exc]=0,MIP[Previsto / Realizado]="Realizado"),MIP[Sem],0)</f>
        <v>28</v>
      </c>
      <c r="AQ246" s="29">
        <f>IF(AND(MIP[Exc]=0,MIP[Previsto / Realizado]="Realizado",ISBLANK(MIP[[#This Row],[S.B Sitrack]])=FALSE,ISBLANK(MIP[[#This Row],[C.B Sitrack]])=FALSE),MIP[Sem],0)</f>
        <v>0</v>
      </c>
    </row>
    <row r="247" spans="1:43" s="47" customFormat="1" x14ac:dyDescent="0.25">
      <c r="A247" s="11"/>
      <c r="B247" s="44">
        <f>WEEKNUM(MIP[[#This Row],[Data]])</f>
        <v>28</v>
      </c>
      <c r="C247" s="45">
        <v>42930</v>
      </c>
      <c r="D247" s="45"/>
      <c r="E247" s="35" t="s">
        <v>133</v>
      </c>
      <c r="F247" s="35" t="s">
        <v>5</v>
      </c>
      <c r="G247" s="35"/>
      <c r="H247" s="44">
        <v>3</v>
      </c>
      <c r="I247" s="44">
        <v>9</v>
      </c>
      <c r="J247" s="44">
        <v>0</v>
      </c>
      <c r="K247" s="44">
        <v>0</v>
      </c>
      <c r="L247" s="44">
        <v>4</v>
      </c>
      <c r="M247" s="43">
        <v>0.625</v>
      </c>
      <c r="N247" s="43">
        <v>0.64583333333333337</v>
      </c>
      <c r="O247" s="43">
        <f>1+18/24/60</f>
        <v>1.0125</v>
      </c>
      <c r="P247" s="43">
        <f>1+48/24/60</f>
        <v>1.0333333333333334</v>
      </c>
      <c r="Q247" s="39"/>
      <c r="R247" s="42"/>
      <c r="S247" s="29">
        <f>MIP[[#This Row],[PT-1]]+MIP[[#This Row],[PT-2]]*2+MIP[[#This Row],[PT-3]]*3+MIP[[#This Row],[PT &gt; 3 Pontos]]</f>
        <v>13</v>
      </c>
      <c r="T24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247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247" s="41">
        <f>MIP[[#This Row],[Eficiência]]</f>
        <v>0.94222990816438879</v>
      </c>
      <c r="W24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47" s="39">
        <f>IF(MIP[[#This Row],[P.S]]-MIP[[#This Row],[P.E]]&lt;0,1+MIP[[#This Row],[P.S]]-MIP[[#This Row],[P.E]]-1/24,MIP[[#This Row],[P.S]]-MIP[[#This Row],[P.E]]-1/24)</f>
        <v>0.36666666666666675</v>
      </c>
      <c r="Y247" s="39">
        <f>MIP[[#This Row],[PT-1]]*$S$3+MIP[[#This Row],[PT-2]]*$T$3+MIP[[#This Row],[PT-3]]*$U$3+MIP[[#This Row],[PT &gt; 3 Pontos]]*$V$3</f>
        <v>0.30622472015342628</v>
      </c>
      <c r="Z247" s="39">
        <f>MIP[[#This Row],[HH disponível]]-MIP[[#This Row],[HH AC TOT]]</f>
        <v>0.3249999999999999</v>
      </c>
      <c r="AA247" s="38">
        <f>MIP[[#This Row],[HH Produtivo
Total]]/MIP[[#This Row],[HH Trabalhado]]</f>
        <v>0.94222990816438879</v>
      </c>
      <c r="AB247" s="38">
        <f>MIP[[#This Row],[HH Produtivo
Total]]/MIP[[#This Row],[HH disponível]]</f>
        <v>0.83515832769116238</v>
      </c>
      <c r="AC247" s="38">
        <f>MIP[[#This Row],[HH Trabalhado]]/MIP[[#This Row],[HH disponível]]</f>
        <v>0.88636363636363591</v>
      </c>
      <c r="AD247" s="37" t="str">
        <f>LEFT(MIP[[#This Row],[Equipe]], SEARCH("/",MIP[[#This Row],[Equipe]],1)-1)</f>
        <v xml:space="preserve">ANDERSON </v>
      </c>
      <c r="AE247" s="37" t="str">
        <f>RIGHT(MIP[[#This Row],[Equipe]], LEN(MIP[[#This Row],[Equipe]])-SEARCH("/",MIP[[#This Row],[Equipe]],1))</f>
        <v xml:space="preserve"> MARCO / RONALDO</v>
      </c>
      <c r="AF247" s="44">
        <f>COUNTIFS('[1]Tempo parado'!H:H,"&gt;="&amp;MIP[[#This Row],[S.B Sitrack]],'[1]Tempo parado'!I:I,"&lt;="&amp;MIP[[#This Row],[C.B Sitrack]],'[1]Tempo parado'!B:B,MIP[[#This Row],[Placa]])</f>
        <v>0</v>
      </c>
      <c r="AG247" s="36"/>
      <c r="AH247" s="35"/>
      <c r="AI247" s="34"/>
      <c r="AJ247" s="34"/>
      <c r="AK24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4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47" s="32">
        <f>SUMIFS('[1]Tempo parado'!J:J,'[1]Tempo parado'!H:H,"&gt;="&amp;MIP[[#This Row],[S.B Sitrack]],'[1]Tempo parado'!I:I,"&lt;="&amp;MIP[[#This Row],[C.B Sitrack]],'[1]Tempo parado'!B:B,MIP[[#This Row],[Placa]])</f>
        <v>0</v>
      </c>
      <c r="AN247" s="32" t="str">
        <f>IFERROR(MIP[[#This Row],[Tempo parado]]/(MIP[[#This Row],[C.B Sitrack]]-MIP[[#This Row],[S.B Sitrack]]),"")</f>
        <v/>
      </c>
      <c r="AO247" s="30"/>
      <c r="AP247" s="44">
        <f>IF(AND(MIP[Exc]=0,MIP[Previsto / Realizado]="Realizado"),MIP[Sem],0)</f>
        <v>0</v>
      </c>
      <c r="AQ247" s="29">
        <f>IF(AND(MIP[Exc]=0,MIP[Previsto / Realizado]="Realizado",ISBLANK(MIP[[#This Row],[S.B Sitrack]])=FALSE,ISBLANK(MIP[[#This Row],[C.B Sitrack]])=FALSE),MIP[Sem],0)</f>
        <v>0</v>
      </c>
    </row>
    <row r="248" spans="1:43" s="64" customFormat="1" x14ac:dyDescent="0.25">
      <c r="A248" s="11"/>
      <c r="B248" s="44">
        <f>WEEKNUM(MIP[[#This Row],[Data]])</f>
        <v>28</v>
      </c>
      <c r="C248" s="45">
        <v>42930</v>
      </c>
      <c r="D248" s="45"/>
      <c r="E248" s="35" t="s">
        <v>133</v>
      </c>
      <c r="F248" s="35" t="s">
        <v>2</v>
      </c>
      <c r="G248" s="35"/>
      <c r="H248" s="44">
        <v>3</v>
      </c>
      <c r="I248" s="44">
        <v>5</v>
      </c>
      <c r="J248" s="44">
        <v>1</v>
      </c>
      <c r="K248" s="44">
        <v>0</v>
      </c>
      <c r="L248" s="44">
        <v>4</v>
      </c>
      <c r="M248" s="43">
        <v>0.62430555555555556</v>
      </c>
      <c r="N248" s="43">
        <v>0.6645833333333333</v>
      </c>
      <c r="O248" s="43">
        <v>0.97916666666666663</v>
      </c>
      <c r="P248" s="43">
        <f>1+49/24/60</f>
        <v>1.0340277777777778</v>
      </c>
      <c r="Q248" s="39"/>
      <c r="R248" s="42" t="s">
        <v>382</v>
      </c>
      <c r="S248" s="29">
        <f>MIP[[#This Row],[PT-1]]+MIP[[#This Row],[PT-2]]*2+MIP[[#This Row],[PT-3]]*3+MIP[[#This Row],[PT &gt; 3 Pontos]]</f>
        <v>11</v>
      </c>
      <c r="T24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9.5138888888888884E-2</v>
      </c>
      <c r="U248" s="39">
        <f>IF(MIP[[#This Row],[P.S]]-MIP[[#This Row],[U.P]]&gt;=0,MIP[[#This Row],[P.S]]-MIP[[#This Row],[U.P]]+MIP[[#This Row],[S.B]]-MIP[[#This Row],[P.E]],1+MIP[[#This Row],[P.S]]-MIP[[#This Row],[U.P]]+MIP[[#This Row],[S.B]]-MIP[[#This Row],[P.E]])</f>
        <v>9.5138888888888884E-2</v>
      </c>
      <c r="V248" s="41">
        <f>MIP[[#This Row],[Eficiência]]</f>
        <v>0.91614073070193758</v>
      </c>
      <c r="W24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48" s="39">
        <f>IF(MIP[[#This Row],[P.S]]-MIP[[#This Row],[P.E]]&lt;0,1+MIP[[#This Row],[P.S]]-MIP[[#This Row],[P.E]]-1/24,MIP[[#This Row],[P.S]]-MIP[[#This Row],[P.E]]-1/24)</f>
        <v>0.36805555555555552</v>
      </c>
      <c r="Y248" s="39">
        <f>MIP[[#This Row],[PT-1]]*$S$3+MIP[[#This Row],[PT-2]]*$T$3+MIP[[#This Row],[PT-3]]*$U$3+MIP[[#This Row],[PT &gt; 3 Pontos]]*$V$3</f>
        <v>0.2500300744207371</v>
      </c>
      <c r="Z248" s="39">
        <f>MIP[[#This Row],[HH disponível]]-MIP[[#This Row],[HH AC TOT]]</f>
        <v>0.27291666666666664</v>
      </c>
      <c r="AA248" s="38">
        <f>MIP[[#This Row],[HH Produtivo
Total]]/MIP[[#This Row],[HH Trabalhado]]</f>
        <v>0.91614073070193758</v>
      </c>
      <c r="AB248" s="38">
        <f>MIP[[#This Row],[HH Produtivo
Total]]/MIP[[#This Row],[HH disponível]]</f>
        <v>0.67932699465256874</v>
      </c>
      <c r="AC248" s="38">
        <f>MIP[[#This Row],[HH Trabalhado]]/MIP[[#This Row],[HH disponível]]</f>
        <v>0.7415094339622641</v>
      </c>
      <c r="AD248" s="37" t="str">
        <f>LEFT(MIP[[#This Row],[Equipe]], SEARCH("/",MIP[[#This Row],[Equipe]],1)-1)</f>
        <v xml:space="preserve">ANDERSON </v>
      </c>
      <c r="AE248" s="37" t="str">
        <f>RIGHT(MIP[[#This Row],[Equipe]], LEN(MIP[[#This Row],[Equipe]])-SEARCH("/",MIP[[#This Row],[Equipe]],1))</f>
        <v xml:space="preserve"> MARCO / RONALDO</v>
      </c>
      <c r="AF248" s="44">
        <f>COUNTIFS('[1]Tempo parado'!H:H,"&gt;="&amp;MIP[[#This Row],[S.B Sitrack]],'[1]Tempo parado'!I:I,"&lt;="&amp;MIP[[#This Row],[C.B Sitrack]],'[1]Tempo parado'!B:B,MIP[[#This Row],[Placa]])</f>
        <v>0</v>
      </c>
      <c r="AG248" s="36"/>
      <c r="AH248" s="35"/>
      <c r="AI248" s="34"/>
      <c r="AJ248" s="34"/>
      <c r="AK24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4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48" s="32">
        <f>SUMIFS('[1]Tempo parado'!J:J,'[1]Tempo parado'!H:H,"&gt;="&amp;MIP[[#This Row],[S.B Sitrack]],'[1]Tempo parado'!I:I,"&lt;="&amp;MIP[[#This Row],[C.B Sitrack]],'[1]Tempo parado'!B:B,MIP[[#This Row],[Placa]])</f>
        <v>0</v>
      </c>
      <c r="AN248" s="32" t="str">
        <f>IFERROR(MIP[[#This Row],[Tempo parado]]/(MIP[[#This Row],[C.B Sitrack]]-MIP[[#This Row],[S.B Sitrack]]),"")</f>
        <v/>
      </c>
      <c r="AO248" s="30"/>
      <c r="AP248" s="44">
        <f>IF(AND(MIP[Exc]=0,MIP[Previsto / Realizado]="Realizado"),MIP[Sem],0)</f>
        <v>28</v>
      </c>
      <c r="AQ248" s="29">
        <f>IF(AND(MIP[Exc]=0,MIP[Previsto / Realizado]="Realizado",ISBLANK(MIP[[#This Row],[S.B Sitrack]])=FALSE,ISBLANK(MIP[[#This Row],[C.B Sitrack]])=FALSE),MIP[Sem],0)</f>
        <v>0</v>
      </c>
    </row>
    <row r="249" spans="1:43" s="47" customFormat="1" x14ac:dyDescent="0.25">
      <c r="A249" s="11"/>
      <c r="B249" s="44">
        <f>WEEKNUM(MIP[[#This Row],[Data]])</f>
        <v>29</v>
      </c>
      <c r="C249" s="45">
        <v>42933</v>
      </c>
      <c r="D249" s="45"/>
      <c r="E249" s="35" t="s">
        <v>19</v>
      </c>
      <c r="F249" s="35" t="s">
        <v>5</v>
      </c>
      <c r="G249" s="35"/>
      <c r="H249" s="44">
        <v>2</v>
      </c>
      <c r="I249" s="44">
        <v>5</v>
      </c>
      <c r="J249" s="44">
        <v>2</v>
      </c>
      <c r="K249" s="44">
        <v>1</v>
      </c>
      <c r="L249" s="44">
        <v>0</v>
      </c>
      <c r="M249" s="43">
        <v>0.625</v>
      </c>
      <c r="N249" s="43">
        <v>0.64583333333333337</v>
      </c>
      <c r="O249" s="43">
        <f>1+18/24/60</f>
        <v>1.0125</v>
      </c>
      <c r="P249" s="43">
        <f>1+48/24/60</f>
        <v>1.0333333333333334</v>
      </c>
      <c r="Q249" s="39"/>
      <c r="R249" s="42"/>
      <c r="S249" s="29">
        <f>MIP[[#This Row],[PT-1]]+MIP[[#This Row],[PT-2]]*2+MIP[[#This Row],[PT-3]]*3+MIP[[#This Row],[PT &gt; 3 Pontos]]</f>
        <v>12</v>
      </c>
      <c r="T24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249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249" s="41">
        <f>MIP[[#This Row],[Eficiência]]</f>
        <v>0.84842608076303727</v>
      </c>
      <c r="W24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49" s="39">
        <f>IF(MIP[[#This Row],[P.S]]-MIP[[#This Row],[P.E]]&lt;0,1+MIP[[#This Row],[P.S]]-MIP[[#This Row],[P.E]]-1/24,MIP[[#This Row],[P.S]]-MIP[[#This Row],[P.E]]-1/24)</f>
        <v>0.36666666666666675</v>
      </c>
      <c r="Y249" s="39">
        <f>MIP[[#This Row],[PT-1]]*$S$3+MIP[[#This Row],[PT-2]]*$T$3+MIP[[#This Row],[PT-3]]*$U$3+MIP[[#This Row],[PT &gt; 3 Pontos]]*$V$3</f>
        <v>0.27573847624798703</v>
      </c>
      <c r="Z249" s="39">
        <f>MIP[[#This Row],[HH disponível]]-MIP[[#This Row],[HH AC TOT]]</f>
        <v>0.3249999999999999</v>
      </c>
      <c r="AA249" s="38">
        <f>MIP[[#This Row],[HH Produtivo
Total]]/MIP[[#This Row],[HH Trabalhado]]</f>
        <v>0.84842608076303727</v>
      </c>
      <c r="AB249" s="38">
        <f>MIP[[#This Row],[HH Produtivo
Total]]/MIP[[#This Row],[HH disponível]]</f>
        <v>0.75201402613087354</v>
      </c>
      <c r="AC249" s="38">
        <f>MIP[[#This Row],[HH Trabalhado]]/MIP[[#This Row],[HH disponível]]</f>
        <v>0.88636363636363591</v>
      </c>
      <c r="AD249" s="37" t="str">
        <f>LEFT(MIP[[#This Row],[Equipe]], SEARCH("/",MIP[[#This Row],[Equipe]],1)-1)</f>
        <v xml:space="preserve">ADEMÁRIO </v>
      </c>
      <c r="AE249" s="37" t="str">
        <f>RIGHT(MIP[[#This Row],[Equipe]], LEN(MIP[[#This Row],[Equipe]])-SEARCH("/",MIP[[#This Row],[Equipe]],1))</f>
        <v xml:space="preserve"> RONALDO</v>
      </c>
      <c r="AF249" s="44">
        <f>COUNTIFS('[1]Tempo parado'!H:H,"&gt;="&amp;MIP[[#This Row],[S.B Sitrack]],'[1]Tempo parado'!I:I,"&lt;="&amp;MIP[[#This Row],[C.B Sitrack]],'[1]Tempo parado'!B:B,MIP[[#This Row],[Placa]])</f>
        <v>0</v>
      </c>
      <c r="AG249" s="36"/>
      <c r="AH249" s="35"/>
      <c r="AI249" s="34"/>
      <c r="AJ249" s="34"/>
      <c r="AK24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4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49" s="32">
        <f>SUMIFS('[1]Tempo parado'!J:J,'[1]Tempo parado'!H:H,"&gt;="&amp;MIP[[#This Row],[S.B Sitrack]],'[1]Tempo parado'!I:I,"&lt;="&amp;MIP[[#This Row],[C.B Sitrack]],'[1]Tempo parado'!B:B,MIP[[#This Row],[Placa]])</f>
        <v>0</v>
      </c>
      <c r="AN249" s="32" t="str">
        <f>IFERROR(MIP[[#This Row],[Tempo parado]]/(MIP[[#This Row],[C.B Sitrack]]-MIP[[#This Row],[S.B Sitrack]]),"")</f>
        <v/>
      </c>
      <c r="AO249" s="30"/>
      <c r="AP249" s="44">
        <f>IF(AND(MIP[Exc]=0,MIP[Previsto / Realizado]="Realizado"),MIP[Sem],0)</f>
        <v>0</v>
      </c>
      <c r="AQ249" s="29">
        <f>IF(AND(MIP[Exc]=0,MIP[Previsto / Realizado]="Realizado",ISBLANK(MIP[[#This Row],[S.B Sitrack]])=FALSE,ISBLANK(MIP[[#This Row],[C.B Sitrack]])=FALSE),MIP[Sem],0)</f>
        <v>0</v>
      </c>
    </row>
    <row r="250" spans="1:43" s="64" customFormat="1" x14ac:dyDescent="0.25">
      <c r="A250" s="11"/>
      <c r="B250" s="44">
        <f>WEEKNUM(MIP[[#This Row],[Data]])</f>
        <v>29</v>
      </c>
      <c r="C250" s="45">
        <v>42933</v>
      </c>
      <c r="D250" s="45"/>
      <c r="E250" s="35" t="s">
        <v>19</v>
      </c>
      <c r="F250" s="35" t="s">
        <v>2</v>
      </c>
      <c r="G250" s="35"/>
      <c r="H250" s="44">
        <v>2</v>
      </c>
      <c r="I250" s="44">
        <v>6</v>
      </c>
      <c r="J250" s="44">
        <v>2</v>
      </c>
      <c r="K250" s="44">
        <v>1</v>
      </c>
      <c r="L250" s="44">
        <v>0</v>
      </c>
      <c r="M250" s="43">
        <v>0.64513888888888882</v>
      </c>
      <c r="N250" s="43">
        <v>0.6645833333333333</v>
      </c>
      <c r="O250" s="43">
        <f>1+20/24/60</f>
        <v>1.0138888888888888</v>
      </c>
      <c r="P250" s="43">
        <f>1+54/24/60</f>
        <v>1.0375000000000001</v>
      </c>
      <c r="Q250" s="39"/>
      <c r="R250" s="42"/>
      <c r="S250" s="29">
        <f>MIP[[#This Row],[PT-1]]+MIP[[#This Row],[PT-2]]*2+MIP[[#This Row],[PT-3]]*3+MIP[[#This Row],[PT &gt; 3 Pontos]]</f>
        <v>13</v>
      </c>
      <c r="T25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4.3055555555555736E-2</v>
      </c>
      <c r="U250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4.3055555555555736E-2</v>
      </c>
      <c r="V250" s="41">
        <f>MIP[[#This Row],[Eficiência]]</f>
        <v>0.97765380148526182</v>
      </c>
      <c r="W25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50" s="39">
        <f>IF(MIP[[#This Row],[P.S]]-MIP[[#This Row],[P.E]]&lt;0,1+MIP[[#This Row],[P.S]]-MIP[[#This Row],[P.E]]-1/24,MIP[[#This Row],[P.S]]-MIP[[#This Row],[P.E]]-1/24)</f>
        <v>0.35069444444444459</v>
      </c>
      <c r="Y250" s="39">
        <f>MIP[[#This Row],[PT-1]]*$S$3+MIP[[#This Row],[PT-2]]*$T$3+MIP[[#This Row],[PT-3]]*$U$3+MIP[[#This Row],[PT &gt; 3 Pontos]]*$V$3</f>
        <v>0.30076432920692425</v>
      </c>
      <c r="Z250" s="39">
        <f>MIP[[#This Row],[HH disponível]]-MIP[[#This Row],[HH AC TOT]]</f>
        <v>0.30763888888888885</v>
      </c>
      <c r="AA250" s="38">
        <f>MIP[[#This Row],[HH Produtivo
Total]]/MIP[[#This Row],[HH Trabalhado]]</f>
        <v>0.97765380148526182</v>
      </c>
      <c r="AB250" s="38">
        <f>MIP[[#This Row],[HH Produtivo
Total]]/MIP[[#This Row],[HH disponível]]</f>
        <v>0.85762501793657575</v>
      </c>
      <c r="AC250" s="38">
        <f>MIP[[#This Row],[HH Trabalhado]]/MIP[[#This Row],[HH disponível]]</f>
        <v>0.87722772277227679</v>
      </c>
      <c r="AD250" s="37" t="str">
        <f>LEFT(MIP[[#This Row],[Equipe]], SEARCH("/",MIP[[#This Row],[Equipe]],1)-1)</f>
        <v xml:space="preserve">ADEMÁRIO </v>
      </c>
      <c r="AE250" s="37" t="str">
        <f>RIGHT(MIP[[#This Row],[Equipe]], LEN(MIP[[#This Row],[Equipe]])-SEARCH("/",MIP[[#This Row],[Equipe]],1))</f>
        <v xml:space="preserve"> RONALDO</v>
      </c>
      <c r="AF250" s="44">
        <f>COUNTIFS('[1]Tempo parado'!H:H,"&gt;="&amp;MIP[[#This Row],[S.B Sitrack]],'[1]Tempo parado'!I:I,"&lt;="&amp;MIP[[#This Row],[C.B Sitrack]],'[1]Tempo parado'!B:B,MIP[[#This Row],[Placa]])</f>
        <v>0</v>
      </c>
      <c r="AG250" s="36"/>
      <c r="AH250" s="35"/>
      <c r="AI250" s="34"/>
      <c r="AJ250" s="34"/>
      <c r="AK25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5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50" s="32">
        <f>SUMIFS('[1]Tempo parado'!J:J,'[1]Tempo parado'!H:H,"&gt;="&amp;MIP[[#This Row],[S.B Sitrack]],'[1]Tempo parado'!I:I,"&lt;="&amp;MIP[[#This Row],[C.B Sitrack]],'[1]Tempo parado'!B:B,MIP[[#This Row],[Placa]])</f>
        <v>0</v>
      </c>
      <c r="AN250" s="32" t="str">
        <f>IFERROR(MIP[[#This Row],[Tempo parado]]/(MIP[[#This Row],[C.B Sitrack]]-MIP[[#This Row],[S.B Sitrack]]),"")</f>
        <v/>
      </c>
      <c r="AO250" s="30"/>
      <c r="AP250" s="44">
        <f>IF(AND(MIP[Exc]=0,MIP[Previsto / Realizado]="Realizado"),MIP[Sem],0)</f>
        <v>29</v>
      </c>
      <c r="AQ250" s="29">
        <f>IF(AND(MIP[Exc]=0,MIP[Previsto / Realizado]="Realizado",ISBLANK(MIP[[#This Row],[S.B Sitrack]])=FALSE,ISBLANK(MIP[[#This Row],[C.B Sitrack]])=FALSE),MIP[Sem],0)</f>
        <v>0</v>
      </c>
    </row>
    <row r="251" spans="1:43" s="47" customFormat="1" x14ac:dyDescent="0.25">
      <c r="A251" s="11"/>
      <c r="B251" s="44">
        <f>WEEKNUM(MIP[[#This Row],[Data]])</f>
        <v>29</v>
      </c>
      <c r="C251" s="45">
        <v>42933</v>
      </c>
      <c r="D251" s="45"/>
      <c r="E251" s="35" t="s">
        <v>7</v>
      </c>
      <c r="F251" s="35" t="s">
        <v>5</v>
      </c>
      <c r="G251" s="35"/>
      <c r="H251" s="44">
        <v>2</v>
      </c>
      <c r="I251" s="44">
        <v>5</v>
      </c>
      <c r="J251" s="44">
        <v>2</v>
      </c>
      <c r="K251" s="44">
        <v>0</v>
      </c>
      <c r="L251" s="44">
        <v>0</v>
      </c>
      <c r="M251" s="43">
        <v>0.625</v>
      </c>
      <c r="N251" s="43">
        <v>0.64583333333333337</v>
      </c>
      <c r="O251" s="43">
        <f>1+18/24/60</f>
        <v>1.0125</v>
      </c>
      <c r="P251" s="43">
        <f>1+48/24/60</f>
        <v>1.0333333333333334</v>
      </c>
      <c r="Q251" s="39"/>
      <c r="R251" s="42" t="s">
        <v>381</v>
      </c>
      <c r="S251" s="29">
        <f>MIP[[#This Row],[PT-1]]+MIP[[#This Row],[PT-2]]*2+MIP[[#This Row],[PT-3]]*3+MIP[[#This Row],[PT &gt; 3 Pontos]]</f>
        <v>9</v>
      </c>
      <c r="T25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251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251" s="41">
        <f>MIP[[#This Row],[Eficiência]]</f>
        <v>0.65522091384863113</v>
      </c>
      <c r="W25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51" s="39">
        <f>IF(MIP[[#This Row],[P.S]]-MIP[[#This Row],[P.E]]&lt;0,1+MIP[[#This Row],[P.S]]-MIP[[#This Row],[P.E]]-1/24,MIP[[#This Row],[P.S]]-MIP[[#This Row],[P.E]]-1/24)</f>
        <v>0.36666666666666675</v>
      </c>
      <c r="Y251" s="39">
        <f>MIP[[#This Row],[PT-1]]*$S$3+MIP[[#This Row],[PT-2]]*$T$3+MIP[[#This Row],[PT-3]]*$U$3+MIP[[#This Row],[PT &gt; 3 Pontos]]*$V$3</f>
        <v>0.21294679700080504</v>
      </c>
      <c r="Z251" s="39">
        <f>MIP[[#This Row],[HH disponível]]-MIP[[#This Row],[HH AC TOT]]</f>
        <v>0.3249999999999999</v>
      </c>
      <c r="AA251" s="38">
        <f>MIP[[#This Row],[HH Produtivo
Total]]/MIP[[#This Row],[HH Trabalhado]]</f>
        <v>0.65522091384863113</v>
      </c>
      <c r="AB251" s="38">
        <f>MIP[[#This Row],[HH Produtivo
Total]]/MIP[[#This Row],[HH disponível]]</f>
        <v>0.5807639918203773</v>
      </c>
      <c r="AC251" s="38">
        <f>MIP[[#This Row],[HH Trabalhado]]/MIP[[#This Row],[HH disponível]]</f>
        <v>0.88636363636363591</v>
      </c>
      <c r="AD251" s="37" t="str">
        <f>LEFT(MIP[[#This Row],[Equipe]], SEARCH("/",MIP[[#This Row],[Equipe]],1)-1)</f>
        <v xml:space="preserve">ANDERSON </v>
      </c>
      <c r="AE251" s="37" t="str">
        <f>RIGHT(MIP[[#This Row],[Equipe]], LEN(MIP[[#This Row],[Equipe]])-SEARCH("/",MIP[[#This Row],[Equipe]],1))</f>
        <v xml:space="preserve"> MARCO</v>
      </c>
      <c r="AF251" s="44">
        <f>COUNTIFS('[1]Tempo parado'!H:H,"&gt;="&amp;MIP[[#This Row],[S.B Sitrack]],'[1]Tempo parado'!I:I,"&lt;="&amp;MIP[[#This Row],[C.B Sitrack]],'[1]Tempo parado'!B:B,MIP[[#This Row],[Placa]])</f>
        <v>0</v>
      </c>
      <c r="AG251" s="36"/>
      <c r="AH251" s="35"/>
      <c r="AI251" s="34"/>
      <c r="AJ251" s="34"/>
      <c r="AK25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5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51" s="32">
        <f>SUMIFS('[1]Tempo parado'!J:J,'[1]Tempo parado'!H:H,"&gt;="&amp;MIP[[#This Row],[S.B Sitrack]],'[1]Tempo parado'!I:I,"&lt;="&amp;MIP[[#This Row],[C.B Sitrack]],'[1]Tempo parado'!B:B,MIP[[#This Row],[Placa]])</f>
        <v>0</v>
      </c>
      <c r="AN251" s="32" t="str">
        <f>IFERROR(MIP[[#This Row],[Tempo parado]]/(MIP[[#This Row],[C.B Sitrack]]-MIP[[#This Row],[S.B Sitrack]]),"")</f>
        <v/>
      </c>
      <c r="AO251" s="30"/>
      <c r="AP251" s="44">
        <f>IF(AND(MIP[Exc]=0,MIP[Previsto / Realizado]="Realizado"),MIP[Sem],0)</f>
        <v>0</v>
      </c>
      <c r="AQ251" s="29">
        <f>IF(AND(MIP[Exc]=0,MIP[Previsto / Realizado]="Realizado",ISBLANK(MIP[[#This Row],[S.B Sitrack]])=FALSE,ISBLANK(MIP[[#This Row],[C.B Sitrack]])=FALSE),MIP[Sem],0)</f>
        <v>0</v>
      </c>
    </row>
    <row r="252" spans="1:43" s="64" customFormat="1" x14ac:dyDescent="0.25">
      <c r="A252" s="11"/>
      <c r="B252" s="44">
        <f>WEEKNUM(MIP[[#This Row],[Data]])</f>
        <v>29</v>
      </c>
      <c r="C252" s="45">
        <v>42933</v>
      </c>
      <c r="D252" s="45"/>
      <c r="E252" s="35" t="s">
        <v>7</v>
      </c>
      <c r="F252" s="35" t="s">
        <v>2</v>
      </c>
      <c r="G252" s="35"/>
      <c r="H252" s="44">
        <v>2</v>
      </c>
      <c r="I252" s="44">
        <v>5</v>
      </c>
      <c r="J252" s="44">
        <v>0</v>
      </c>
      <c r="K252" s="44">
        <v>0</v>
      </c>
      <c r="L252" s="44">
        <v>0</v>
      </c>
      <c r="M252" s="43">
        <v>0.63055555555555554</v>
      </c>
      <c r="N252" s="43">
        <v>0.65972222222222221</v>
      </c>
      <c r="O252" s="43">
        <v>0.83819444444444446</v>
      </c>
      <c r="P252" s="43">
        <v>0.83819444444444446</v>
      </c>
      <c r="Q252" s="39"/>
      <c r="R252" s="42" t="s">
        <v>380</v>
      </c>
      <c r="S252" s="29">
        <f>MIP[[#This Row],[PT-1]]+MIP[[#This Row],[PT-2]]*2+MIP[[#This Row],[PT-3]]*3+MIP[[#This Row],[PT &gt; 3 Pontos]]</f>
        <v>5</v>
      </c>
      <c r="T25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2.9166666666666674E-2</v>
      </c>
      <c r="U252" s="39">
        <f>IF(MIP[[#This Row],[P.S]]-MIP[[#This Row],[U.P]]&gt;=0,MIP[[#This Row],[P.S]]-MIP[[#This Row],[U.P]]+MIP[[#This Row],[S.B]]-MIP[[#This Row],[P.E]],1+MIP[[#This Row],[P.S]]-MIP[[#This Row],[U.P]]+MIP[[#This Row],[S.B]]-MIP[[#This Row],[P.E]])</f>
        <v>2.9166666666666674E-2</v>
      </c>
      <c r="V252" s="41">
        <f>MIP[[#This Row],[Eficiência]]</f>
        <v>0.91465046347384582</v>
      </c>
      <c r="W25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52" s="39">
        <f>IF(MIP[[#This Row],[P.S]]-MIP[[#This Row],[P.E]]&lt;0,1+MIP[[#This Row],[P.S]]-MIP[[#This Row],[P.E]]-1/24,MIP[[#This Row],[P.S]]-MIP[[#This Row],[P.E]]-1/24)</f>
        <v>0.16597222222222227</v>
      </c>
      <c r="Y252" s="39">
        <f>MIP[[#This Row],[PT-1]]*$S$3+MIP[[#This Row],[PT-2]]*$T$3+MIP[[#This Row],[PT-3]]*$U$3+MIP[[#This Row],[PT &gt; 3 Pontos]]*$V$3</f>
        <v>0.12512926479468589</v>
      </c>
      <c r="Z252" s="39">
        <f>MIP[[#This Row],[HH disponível]]-MIP[[#This Row],[HH AC TOT]]</f>
        <v>0.1368055555555556</v>
      </c>
      <c r="AA252" s="38">
        <f>MIP[[#This Row],[HH Produtivo
Total]]/MIP[[#This Row],[HH Trabalhado]]</f>
        <v>0.91465046347384582</v>
      </c>
      <c r="AB252" s="38">
        <f>MIP[[#This Row],[HH Produtivo
Total]]/MIP[[#This Row],[HH disponível]]</f>
        <v>0.75391690922321186</v>
      </c>
      <c r="AC252" s="38">
        <f>MIP[[#This Row],[HH Trabalhado]]/MIP[[#This Row],[HH disponível]]</f>
        <v>0.82426778242677823</v>
      </c>
      <c r="AD252" s="37" t="str">
        <f>LEFT(MIP[[#This Row],[Equipe]], SEARCH("/",MIP[[#This Row],[Equipe]],1)-1)</f>
        <v xml:space="preserve">ANDERSON </v>
      </c>
      <c r="AE252" s="37" t="str">
        <f>RIGHT(MIP[[#This Row],[Equipe]], LEN(MIP[[#This Row],[Equipe]])-SEARCH("/",MIP[[#This Row],[Equipe]],1))</f>
        <v xml:space="preserve"> MARCO</v>
      </c>
      <c r="AF252" s="44">
        <f>COUNTIFS('[1]Tempo parado'!H:H,"&gt;="&amp;MIP[[#This Row],[S.B Sitrack]],'[1]Tempo parado'!I:I,"&lt;="&amp;MIP[[#This Row],[C.B Sitrack]],'[1]Tempo parado'!B:B,MIP[[#This Row],[Placa]])</f>
        <v>0</v>
      </c>
      <c r="AG252" s="36"/>
      <c r="AH252" s="35"/>
      <c r="AI252" s="34"/>
      <c r="AJ252" s="34"/>
      <c r="AK25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5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52" s="32">
        <f>SUMIFS('[1]Tempo parado'!J:J,'[1]Tempo parado'!H:H,"&gt;="&amp;MIP[[#This Row],[S.B Sitrack]],'[1]Tempo parado'!I:I,"&lt;="&amp;MIP[[#This Row],[C.B Sitrack]],'[1]Tempo parado'!B:B,MIP[[#This Row],[Placa]])</f>
        <v>0</v>
      </c>
      <c r="AN252" s="32" t="str">
        <f>IFERROR(MIP[[#This Row],[Tempo parado]]/(MIP[[#This Row],[C.B Sitrack]]-MIP[[#This Row],[S.B Sitrack]]),"")</f>
        <v/>
      </c>
      <c r="AO252" s="30"/>
      <c r="AP252" s="44">
        <f>IF(AND(MIP[Exc]=0,MIP[Previsto / Realizado]="Realizado"),MIP[Sem],0)</f>
        <v>29</v>
      </c>
      <c r="AQ252" s="29">
        <f>IF(AND(MIP[Exc]=0,MIP[Previsto / Realizado]="Realizado",ISBLANK(MIP[[#This Row],[S.B Sitrack]])=FALSE,ISBLANK(MIP[[#This Row],[C.B Sitrack]])=FALSE),MIP[Sem],0)</f>
        <v>0</v>
      </c>
    </row>
    <row r="253" spans="1:43" s="47" customFormat="1" x14ac:dyDescent="0.25">
      <c r="A253" s="11"/>
      <c r="B253" s="44">
        <f>WEEKNUM(MIP[[#This Row],[Data]])</f>
        <v>29</v>
      </c>
      <c r="C253" s="45">
        <v>42934</v>
      </c>
      <c r="D253" s="45"/>
      <c r="E253" s="35" t="s">
        <v>10</v>
      </c>
      <c r="F253" s="35" t="s">
        <v>5</v>
      </c>
      <c r="G253" s="35"/>
      <c r="H253" s="44">
        <v>2</v>
      </c>
      <c r="I253" s="44">
        <v>8</v>
      </c>
      <c r="J253" s="44">
        <v>4</v>
      </c>
      <c r="K253" s="44">
        <v>0</v>
      </c>
      <c r="L253" s="44">
        <v>0</v>
      </c>
      <c r="M253" s="43">
        <v>0.25</v>
      </c>
      <c r="N253" s="43">
        <v>0.27083333333333331</v>
      </c>
      <c r="O253" s="43">
        <v>0.63750000000000007</v>
      </c>
      <c r="P253" s="43">
        <v>0.65833333333333333</v>
      </c>
      <c r="Q253" s="39"/>
      <c r="R253" s="42"/>
      <c r="S253" s="29">
        <f>MIP[[#This Row],[PT-1]]+MIP[[#This Row],[PT-2]]*2+MIP[[#This Row],[PT-3]]*3+MIP[[#This Row],[PT &gt; 3 Pontos]]</f>
        <v>16</v>
      </c>
      <c r="T25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253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253" s="41">
        <f>MIP[[#This Row],[Eficiência]]</f>
        <v>1.1564365787191866</v>
      </c>
      <c r="W25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53" s="39">
        <f>IF(MIP[[#This Row],[P.S]]-MIP[[#This Row],[P.E]]&lt;0,1+MIP[[#This Row],[P.S]]-MIP[[#This Row],[P.E]]-1/24,MIP[[#This Row],[P.S]]-MIP[[#This Row],[P.E]]-1/24)</f>
        <v>0.36666666666666664</v>
      </c>
      <c r="Y253" s="39">
        <f>MIP[[#This Row],[PT-1]]*$S$3+MIP[[#This Row],[PT-2]]*$T$3+MIP[[#This Row],[PT-3]]*$U$3+MIP[[#This Row],[PT &gt; 3 Pontos]]*$V$3</f>
        <v>0.37584188808373575</v>
      </c>
      <c r="Z253" s="39">
        <f>MIP[[#This Row],[HH disponível]]-MIP[[#This Row],[HH AC TOT]]</f>
        <v>0.32500000000000007</v>
      </c>
      <c r="AA253" s="38">
        <f>MIP[[#This Row],[HH Produtivo
Total]]/MIP[[#This Row],[HH Trabalhado]]</f>
        <v>1.1564365787191866</v>
      </c>
      <c r="AB253" s="38">
        <f>MIP[[#This Row],[HH Produtivo
Total]]/MIP[[#This Row],[HH disponível]]</f>
        <v>1.0250233311374612</v>
      </c>
      <c r="AC253" s="38">
        <f>MIP[[#This Row],[HH Trabalhado]]/MIP[[#This Row],[HH disponível]]</f>
        <v>0.88636363636363658</v>
      </c>
      <c r="AD253" s="37" t="str">
        <f>LEFT(MIP[[#This Row],[Equipe]], SEARCH("/",MIP[[#This Row],[Equipe]],1)-1)</f>
        <v xml:space="preserve">JOILSON </v>
      </c>
      <c r="AE253" s="37" t="str">
        <f>RIGHT(MIP[[#This Row],[Equipe]], LEN(MIP[[#This Row],[Equipe]])-SEARCH("/",MIP[[#This Row],[Equipe]],1))</f>
        <v xml:space="preserve"> VALDEI</v>
      </c>
      <c r="AF253" s="44">
        <f>COUNTIFS('[1]Tempo parado'!H:H,"&gt;="&amp;MIP[[#This Row],[S.B Sitrack]],'[1]Tempo parado'!I:I,"&lt;="&amp;MIP[[#This Row],[C.B Sitrack]],'[1]Tempo parado'!B:B,MIP[[#This Row],[Placa]])</f>
        <v>0</v>
      </c>
      <c r="AG253" s="36"/>
      <c r="AH253" s="35"/>
      <c r="AI253" s="34"/>
      <c r="AJ253" s="34"/>
      <c r="AK25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5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53" s="32">
        <f>SUMIFS('[1]Tempo parado'!J:J,'[1]Tempo parado'!H:H,"&gt;="&amp;MIP[[#This Row],[S.B Sitrack]],'[1]Tempo parado'!I:I,"&lt;="&amp;MIP[[#This Row],[C.B Sitrack]],'[1]Tempo parado'!B:B,MIP[[#This Row],[Placa]])</f>
        <v>0</v>
      </c>
      <c r="AN253" s="32" t="str">
        <f>IFERROR(MIP[[#This Row],[Tempo parado]]/(MIP[[#This Row],[C.B Sitrack]]-MIP[[#This Row],[S.B Sitrack]]),"")</f>
        <v/>
      </c>
      <c r="AO253" s="30"/>
      <c r="AP253" s="44">
        <f>IF(AND(MIP[Exc]=0,MIP[Previsto / Realizado]="Realizado"),MIP[Sem],0)</f>
        <v>0</v>
      </c>
      <c r="AQ253" s="29">
        <f>IF(AND(MIP[Exc]=0,MIP[Previsto / Realizado]="Realizado",ISBLANK(MIP[[#This Row],[S.B Sitrack]])=FALSE,ISBLANK(MIP[[#This Row],[C.B Sitrack]])=FALSE),MIP[Sem],0)</f>
        <v>0</v>
      </c>
    </row>
    <row r="254" spans="1:43" s="64" customFormat="1" x14ac:dyDescent="0.25">
      <c r="A254" s="11"/>
      <c r="B254" s="44">
        <f>WEEKNUM(MIP[[#This Row],[Data]])</f>
        <v>29</v>
      </c>
      <c r="C254" s="45">
        <v>42934</v>
      </c>
      <c r="D254" s="45"/>
      <c r="E254" s="35" t="s">
        <v>10</v>
      </c>
      <c r="F254" s="35" t="s">
        <v>2</v>
      </c>
      <c r="G254" s="35"/>
      <c r="H254" s="44">
        <v>2</v>
      </c>
      <c r="I254" s="44">
        <v>7</v>
      </c>
      <c r="J254" s="44">
        <v>2</v>
      </c>
      <c r="K254" s="44">
        <v>0</v>
      </c>
      <c r="L254" s="44">
        <v>0</v>
      </c>
      <c r="M254" s="43">
        <v>0.25138888888888888</v>
      </c>
      <c r="N254" s="43">
        <v>0.28472222222222221</v>
      </c>
      <c r="O254" s="43">
        <v>0.63194444444444442</v>
      </c>
      <c r="P254" s="43">
        <v>0.65833333333333333</v>
      </c>
      <c r="Q254" s="39"/>
      <c r="R254" s="42"/>
      <c r="S254" s="29">
        <f>MIP[[#This Row],[PT-1]]+MIP[[#This Row],[PT-2]]*2+MIP[[#This Row],[PT-3]]*3+MIP[[#This Row],[PT &gt; 3 Pontos]]</f>
        <v>11</v>
      </c>
      <c r="T25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5.9722222222222232E-2</v>
      </c>
      <c r="U254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5.9722222222222232E-2</v>
      </c>
      <c r="V254" s="41">
        <f>MIP[[#This Row],[Eficiência]]</f>
        <v>0.8607223731884055</v>
      </c>
      <c r="W25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54" s="39">
        <f>IF(MIP[[#This Row],[P.S]]-MIP[[#This Row],[P.E]]&lt;0,1+MIP[[#This Row],[P.S]]-MIP[[#This Row],[P.E]]-1/24,MIP[[#This Row],[P.S]]-MIP[[#This Row],[P.E]]-1/24)</f>
        <v>0.36527777777777776</v>
      </c>
      <c r="Y254" s="39">
        <f>MIP[[#This Row],[PT-1]]*$S$3+MIP[[#This Row],[PT-2]]*$T$3+MIP[[#This Row],[PT-3]]*$U$3+MIP[[#This Row],[PT &gt; 3 Pontos]]*$V$3</f>
        <v>0.26299850291867943</v>
      </c>
      <c r="Z254" s="39">
        <f>MIP[[#This Row],[HH disponível]]-MIP[[#This Row],[HH AC TOT]]</f>
        <v>0.30555555555555552</v>
      </c>
      <c r="AA254" s="38">
        <f>MIP[[#This Row],[HH Produtivo
Total]]/MIP[[#This Row],[HH Trabalhado]]</f>
        <v>0.8607223731884055</v>
      </c>
      <c r="AB254" s="38">
        <f>MIP[[#This Row],[HH Produtivo
Total]]/MIP[[#This Row],[HH disponível]]</f>
        <v>0.71999590152642279</v>
      </c>
      <c r="AC254" s="38">
        <f>MIP[[#This Row],[HH Trabalhado]]/MIP[[#This Row],[HH disponível]]</f>
        <v>0.83650190114068435</v>
      </c>
      <c r="AD254" s="37" t="str">
        <f>LEFT(MIP[[#This Row],[Equipe]], SEARCH("/",MIP[[#This Row],[Equipe]],1)-1)</f>
        <v xml:space="preserve">JOILSON </v>
      </c>
      <c r="AE254" s="37" t="str">
        <f>RIGHT(MIP[[#This Row],[Equipe]], LEN(MIP[[#This Row],[Equipe]])-SEARCH("/",MIP[[#This Row],[Equipe]],1))</f>
        <v xml:space="preserve"> VALDEI</v>
      </c>
      <c r="AF254" s="44">
        <f>COUNTIFS('[1]Tempo parado'!H:H,"&gt;="&amp;MIP[[#This Row],[S.B Sitrack]],'[1]Tempo parado'!I:I,"&lt;="&amp;MIP[[#This Row],[C.B Sitrack]],'[1]Tempo parado'!B:B,MIP[[#This Row],[Placa]])</f>
        <v>0</v>
      </c>
      <c r="AG254" s="36"/>
      <c r="AH254" s="35"/>
      <c r="AI254" s="34"/>
      <c r="AJ254" s="34"/>
      <c r="AK25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5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54" s="32">
        <f>SUMIFS('[1]Tempo parado'!J:J,'[1]Tempo parado'!H:H,"&gt;="&amp;MIP[[#This Row],[S.B Sitrack]],'[1]Tempo parado'!I:I,"&lt;="&amp;MIP[[#This Row],[C.B Sitrack]],'[1]Tempo parado'!B:B,MIP[[#This Row],[Placa]])</f>
        <v>0</v>
      </c>
      <c r="AN254" s="32" t="str">
        <f>IFERROR(MIP[[#This Row],[Tempo parado]]/(MIP[[#This Row],[C.B Sitrack]]-MIP[[#This Row],[S.B Sitrack]]),"")</f>
        <v/>
      </c>
      <c r="AO254" s="30"/>
      <c r="AP254" s="44">
        <f>IF(AND(MIP[Exc]=0,MIP[Previsto / Realizado]="Realizado"),MIP[Sem],0)</f>
        <v>29</v>
      </c>
      <c r="AQ254" s="29">
        <f>IF(AND(MIP[Exc]=0,MIP[Previsto / Realizado]="Realizado",ISBLANK(MIP[[#This Row],[S.B Sitrack]])=FALSE,ISBLANK(MIP[[#This Row],[C.B Sitrack]])=FALSE),MIP[Sem],0)</f>
        <v>0</v>
      </c>
    </row>
    <row r="255" spans="1:43" s="47" customFormat="1" x14ac:dyDescent="0.25">
      <c r="A255" s="11"/>
      <c r="B255" s="44">
        <f>WEEKNUM(MIP[[#This Row],[Data]])</f>
        <v>29</v>
      </c>
      <c r="C255" s="45">
        <v>42934</v>
      </c>
      <c r="D255" s="45"/>
      <c r="E255" s="35" t="s">
        <v>3</v>
      </c>
      <c r="F255" s="35" t="s">
        <v>5</v>
      </c>
      <c r="G255" s="35"/>
      <c r="H255" s="44">
        <v>2</v>
      </c>
      <c r="I255" s="44">
        <v>3</v>
      </c>
      <c r="J255" s="44">
        <v>3</v>
      </c>
      <c r="K255" s="44">
        <v>0</v>
      </c>
      <c r="L255" s="44">
        <v>6</v>
      </c>
      <c r="M255" s="43">
        <v>0.625</v>
      </c>
      <c r="N255" s="43">
        <v>0.64583333333333337</v>
      </c>
      <c r="O255" s="43">
        <f>1+18/24/60</f>
        <v>1.0125</v>
      </c>
      <c r="P255" s="43">
        <f>1+48/24/60</f>
        <v>1.0333333333333334</v>
      </c>
      <c r="Q255" s="39"/>
      <c r="R255" s="42"/>
      <c r="S255" s="29">
        <f>MIP[[#This Row],[PT-1]]+MIP[[#This Row],[PT-2]]*2+MIP[[#This Row],[PT-3]]*3+MIP[[#This Row],[PT &gt; 3 Pontos]]</f>
        <v>15</v>
      </c>
      <c r="T25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255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255" s="41">
        <f>MIP[[#This Row],[Eficiência]]</f>
        <v>1.010128992216855</v>
      </c>
      <c r="W25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55" s="39">
        <f>IF(MIP[[#This Row],[P.S]]-MIP[[#This Row],[P.E]]&lt;0,1+MIP[[#This Row],[P.S]]-MIP[[#This Row],[P.E]]-1/24,MIP[[#This Row],[P.S]]-MIP[[#This Row],[P.E]]-1/24)</f>
        <v>0.36666666666666675</v>
      </c>
      <c r="Y255" s="39">
        <f>MIP[[#This Row],[PT-1]]*$S$3+MIP[[#This Row],[PT-2]]*$T$3+MIP[[#This Row],[PT-3]]*$U$3+MIP[[#This Row],[PT &gt; 3 Pontos]]*$V$3</f>
        <v>0.32829192247047778</v>
      </c>
      <c r="Z255" s="39">
        <f>MIP[[#This Row],[HH disponível]]-MIP[[#This Row],[HH AC TOT]]</f>
        <v>0.3249999999999999</v>
      </c>
      <c r="AA255" s="38">
        <f>MIP[[#This Row],[HH Produtivo
Total]]/MIP[[#This Row],[HH Trabalhado]]</f>
        <v>1.010128992216855</v>
      </c>
      <c r="AB255" s="38">
        <f>MIP[[#This Row],[HH Produtivo
Total]]/MIP[[#This Row],[HH disponível]]</f>
        <v>0.8953416067376665</v>
      </c>
      <c r="AC255" s="38">
        <f>MIP[[#This Row],[HH Trabalhado]]/MIP[[#This Row],[HH disponível]]</f>
        <v>0.88636363636363591</v>
      </c>
      <c r="AD255" s="37" t="str">
        <f>LEFT(MIP[[#This Row],[Equipe]], SEARCH("/",MIP[[#This Row],[Equipe]],1)-1)</f>
        <v xml:space="preserve">EDILTON </v>
      </c>
      <c r="AE255" s="37" t="str">
        <f>RIGHT(MIP[[#This Row],[Equipe]], LEN(MIP[[#This Row],[Equipe]])-SEARCH("/",MIP[[#This Row],[Equipe]],1))</f>
        <v xml:space="preserve"> GECIVALDO</v>
      </c>
      <c r="AF255" s="44">
        <f>COUNTIFS('[1]Tempo parado'!H:H,"&gt;="&amp;MIP[[#This Row],[S.B Sitrack]],'[1]Tempo parado'!I:I,"&lt;="&amp;MIP[[#This Row],[C.B Sitrack]],'[1]Tempo parado'!B:B,MIP[[#This Row],[Placa]])</f>
        <v>0</v>
      </c>
      <c r="AG255" s="36"/>
      <c r="AH255" s="35"/>
      <c r="AI255" s="34"/>
      <c r="AJ255" s="34"/>
      <c r="AK25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5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55" s="32">
        <f>SUMIFS('[1]Tempo parado'!J:J,'[1]Tempo parado'!H:H,"&gt;="&amp;MIP[[#This Row],[S.B Sitrack]],'[1]Tempo parado'!I:I,"&lt;="&amp;MIP[[#This Row],[C.B Sitrack]],'[1]Tempo parado'!B:B,MIP[[#This Row],[Placa]])</f>
        <v>0</v>
      </c>
      <c r="AN255" s="32" t="str">
        <f>IFERROR(MIP[[#This Row],[Tempo parado]]/(MIP[[#This Row],[C.B Sitrack]]-MIP[[#This Row],[S.B Sitrack]]),"")</f>
        <v/>
      </c>
      <c r="AO255" s="30"/>
      <c r="AP255" s="44">
        <f>IF(AND(MIP[Exc]=0,MIP[Previsto / Realizado]="Realizado"),MIP[Sem],0)</f>
        <v>0</v>
      </c>
      <c r="AQ255" s="29">
        <f>IF(AND(MIP[Exc]=0,MIP[Previsto / Realizado]="Realizado",ISBLANK(MIP[[#This Row],[S.B Sitrack]])=FALSE,ISBLANK(MIP[[#This Row],[C.B Sitrack]])=FALSE),MIP[Sem],0)</f>
        <v>0</v>
      </c>
    </row>
    <row r="256" spans="1:43" s="64" customFormat="1" x14ac:dyDescent="0.25">
      <c r="A256" s="11"/>
      <c r="B256" s="44">
        <f>WEEKNUM(MIP[[#This Row],[Data]])</f>
        <v>29</v>
      </c>
      <c r="C256" s="45">
        <v>42934</v>
      </c>
      <c r="D256" s="45"/>
      <c r="E256" s="35" t="s">
        <v>3</v>
      </c>
      <c r="F256" s="35" t="s">
        <v>2</v>
      </c>
      <c r="G256" s="35"/>
      <c r="H256" s="44">
        <v>2</v>
      </c>
      <c r="I256" s="44">
        <v>3</v>
      </c>
      <c r="J256" s="44">
        <v>0</v>
      </c>
      <c r="K256" s="44">
        <v>0</v>
      </c>
      <c r="L256" s="44">
        <v>6</v>
      </c>
      <c r="M256" s="43">
        <v>0.625</v>
      </c>
      <c r="N256" s="43">
        <v>0.66666666666666663</v>
      </c>
      <c r="O256" s="43">
        <f>1+43/24/60</f>
        <v>1.0298611111111111</v>
      </c>
      <c r="P256" s="43">
        <f>1+52/24/60</f>
        <v>1.0361111111111112</v>
      </c>
      <c r="Q256" s="39"/>
      <c r="R256" s="42" t="s">
        <v>378</v>
      </c>
      <c r="S256" s="29">
        <f>MIP[[#This Row],[PT-1]]+MIP[[#This Row],[PT-2]]*2+MIP[[#This Row],[PT-3]]*3+MIP[[#This Row],[PT &gt; 3 Pontos]]</f>
        <v>9</v>
      </c>
      <c r="T25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4.7916666666666718E-2</v>
      </c>
      <c r="U256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4.7916666666666718E-2</v>
      </c>
      <c r="V256" s="41">
        <f>MIP[[#This Row],[Eficiência]]</f>
        <v>0.61134880948654546</v>
      </c>
      <c r="W25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56" s="39">
        <f>IF(MIP[[#This Row],[P.S]]-MIP[[#This Row],[P.E]]&lt;0,1+MIP[[#This Row],[P.S]]-MIP[[#This Row],[P.E]]-1/24,MIP[[#This Row],[P.S]]-MIP[[#This Row],[P.E]]-1/24)</f>
        <v>0.36944444444444452</v>
      </c>
      <c r="Y256" s="39">
        <f>MIP[[#This Row],[PT-1]]*$S$3+MIP[[#This Row],[PT-2]]*$T$3+MIP[[#This Row],[PT-3]]*$U$3+MIP[[#This Row],[PT &gt; 3 Pontos]]*$V$3</f>
        <v>0.196565624161299</v>
      </c>
      <c r="Z256" s="39">
        <f>MIP[[#This Row],[HH disponível]]-MIP[[#This Row],[HH AC TOT]]</f>
        <v>0.3215277777777778</v>
      </c>
      <c r="AA256" s="38">
        <f>MIP[[#This Row],[HH Produtivo
Total]]/MIP[[#This Row],[HH Trabalhado]]</f>
        <v>0.61134880948654546</v>
      </c>
      <c r="AB256" s="38">
        <f>MIP[[#This Row],[HH Produtivo
Total]]/MIP[[#This Row],[HH disponível]]</f>
        <v>0.53205732855689947</v>
      </c>
      <c r="AC256" s="38">
        <f>MIP[[#This Row],[HH Trabalhado]]/MIP[[#This Row],[HH disponível]]</f>
        <v>0.87030075187969913</v>
      </c>
      <c r="AD256" s="37" t="str">
        <f>LEFT(MIP[[#This Row],[Equipe]], SEARCH("/",MIP[[#This Row],[Equipe]],1)-1)</f>
        <v xml:space="preserve">EDILTON </v>
      </c>
      <c r="AE256" s="37" t="str">
        <f>RIGHT(MIP[[#This Row],[Equipe]], LEN(MIP[[#This Row],[Equipe]])-SEARCH("/",MIP[[#This Row],[Equipe]],1))</f>
        <v xml:space="preserve"> GECIVALDO</v>
      </c>
      <c r="AF256" s="44">
        <f>COUNTIFS('[1]Tempo parado'!H:H,"&gt;="&amp;MIP[[#This Row],[S.B Sitrack]],'[1]Tempo parado'!I:I,"&lt;="&amp;MIP[[#This Row],[C.B Sitrack]],'[1]Tempo parado'!B:B,MIP[[#This Row],[Placa]])</f>
        <v>0</v>
      </c>
      <c r="AG256" s="36"/>
      <c r="AH256" s="35"/>
      <c r="AI256" s="34"/>
      <c r="AJ256" s="34"/>
      <c r="AK25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5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56" s="32">
        <f>SUMIFS('[1]Tempo parado'!J:J,'[1]Tempo parado'!H:H,"&gt;="&amp;MIP[[#This Row],[S.B Sitrack]],'[1]Tempo parado'!I:I,"&lt;="&amp;MIP[[#This Row],[C.B Sitrack]],'[1]Tempo parado'!B:B,MIP[[#This Row],[Placa]])</f>
        <v>0</v>
      </c>
      <c r="AN256" s="32" t="str">
        <f>IFERROR(MIP[[#This Row],[Tempo parado]]/(MIP[[#This Row],[C.B Sitrack]]-MIP[[#This Row],[S.B Sitrack]]),"")</f>
        <v/>
      </c>
      <c r="AO256" s="30"/>
      <c r="AP256" s="44">
        <f>IF(AND(MIP[Exc]=0,MIP[Previsto / Realizado]="Realizado"),MIP[Sem],0)</f>
        <v>29</v>
      </c>
      <c r="AQ256" s="29">
        <f>IF(AND(MIP[Exc]=0,MIP[Previsto / Realizado]="Realizado",ISBLANK(MIP[[#This Row],[S.B Sitrack]])=FALSE,ISBLANK(MIP[[#This Row],[C.B Sitrack]])=FALSE),MIP[Sem],0)</f>
        <v>0</v>
      </c>
    </row>
    <row r="257" spans="1:44" s="47" customFormat="1" x14ac:dyDescent="0.25">
      <c r="A257" s="11"/>
      <c r="B257" s="44">
        <f>WEEKNUM(MIP[[#This Row],[Data]])</f>
        <v>29</v>
      </c>
      <c r="C257" s="45">
        <v>42934</v>
      </c>
      <c r="D257" s="45"/>
      <c r="E257" s="35" t="s">
        <v>19</v>
      </c>
      <c r="F257" s="35" t="s">
        <v>5</v>
      </c>
      <c r="G257" s="35"/>
      <c r="H257" s="44">
        <v>2</v>
      </c>
      <c r="I257" s="44">
        <v>2</v>
      </c>
      <c r="J257" s="44">
        <v>1</v>
      </c>
      <c r="K257" s="44">
        <v>1</v>
      </c>
      <c r="L257" s="44">
        <v>0</v>
      </c>
      <c r="M257" s="43">
        <v>0.625</v>
      </c>
      <c r="N257" s="43">
        <v>0.64583333333333337</v>
      </c>
      <c r="O257" s="43">
        <f>1+18/24/60</f>
        <v>1.0125</v>
      </c>
      <c r="P257" s="43">
        <f>1+48/24/60</f>
        <v>1.0333333333333334</v>
      </c>
      <c r="Q257" s="39"/>
      <c r="R257" s="42" t="s">
        <v>379</v>
      </c>
      <c r="S257" s="29">
        <f>MIP[[#This Row],[PT-1]]+MIP[[#This Row],[PT-2]]*2+MIP[[#This Row],[PT-3]]*3+MIP[[#This Row],[PT &gt; 3 Pontos]]</f>
        <v>7</v>
      </c>
      <c r="T25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257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257" s="41">
        <f>MIP[[#This Row],[Eficiência]]</f>
        <v>0.48231431159420302</v>
      </c>
      <c r="W25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57" s="39">
        <f>IF(MIP[[#This Row],[P.S]]-MIP[[#This Row],[P.E]]&lt;0,1+MIP[[#This Row],[P.S]]-MIP[[#This Row],[P.E]]-1/24,MIP[[#This Row],[P.S]]-MIP[[#This Row],[P.E]]-1/24)</f>
        <v>0.36666666666666675</v>
      </c>
      <c r="Y257" s="39">
        <f>MIP[[#This Row],[PT-1]]*$S$3+MIP[[#This Row],[PT-2]]*$T$3+MIP[[#This Row],[PT-3]]*$U$3+MIP[[#This Row],[PT &gt; 3 Pontos]]*$V$3</f>
        <v>0.15675215126811592</v>
      </c>
      <c r="Z257" s="39">
        <f>MIP[[#This Row],[HH disponível]]-MIP[[#This Row],[HH AC TOT]]</f>
        <v>0.3249999999999999</v>
      </c>
      <c r="AA257" s="38">
        <f>MIP[[#This Row],[HH Produtivo
Total]]/MIP[[#This Row],[HH Trabalhado]]</f>
        <v>0.48231431159420302</v>
      </c>
      <c r="AB257" s="38">
        <f>MIP[[#This Row],[HH Produtivo
Total]]/MIP[[#This Row],[HH disponível]]</f>
        <v>0.42750586709486149</v>
      </c>
      <c r="AC257" s="38">
        <f>MIP[[#This Row],[HH Trabalhado]]/MIP[[#This Row],[HH disponível]]</f>
        <v>0.88636363636363591</v>
      </c>
      <c r="AD257" s="37" t="str">
        <f>LEFT(MIP[[#This Row],[Equipe]], SEARCH("/",MIP[[#This Row],[Equipe]],1)-1)</f>
        <v xml:space="preserve">ADEMÁRIO </v>
      </c>
      <c r="AE257" s="37" t="str">
        <f>RIGHT(MIP[[#This Row],[Equipe]], LEN(MIP[[#This Row],[Equipe]])-SEARCH("/",MIP[[#This Row],[Equipe]],1))</f>
        <v xml:space="preserve"> RONALDO</v>
      </c>
      <c r="AF257" s="44">
        <f>COUNTIFS('[1]Tempo parado'!H:H,"&gt;="&amp;MIP[[#This Row],[S.B Sitrack]],'[1]Tempo parado'!I:I,"&lt;="&amp;MIP[[#This Row],[C.B Sitrack]],'[1]Tempo parado'!B:B,MIP[[#This Row],[Placa]])</f>
        <v>0</v>
      </c>
      <c r="AG257" s="36"/>
      <c r="AH257" s="35"/>
      <c r="AI257" s="34"/>
      <c r="AJ257" s="34"/>
      <c r="AK25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5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57" s="32">
        <f>SUMIFS('[1]Tempo parado'!J:J,'[1]Tempo parado'!H:H,"&gt;="&amp;MIP[[#This Row],[S.B Sitrack]],'[1]Tempo parado'!I:I,"&lt;="&amp;MIP[[#This Row],[C.B Sitrack]],'[1]Tempo parado'!B:B,MIP[[#This Row],[Placa]])</f>
        <v>0</v>
      </c>
      <c r="AN257" s="32" t="str">
        <f>IFERROR(MIP[[#This Row],[Tempo parado]]/(MIP[[#This Row],[C.B Sitrack]]-MIP[[#This Row],[S.B Sitrack]]),"")</f>
        <v/>
      </c>
      <c r="AO257" s="30"/>
      <c r="AP257" s="44">
        <f>IF(AND(MIP[Exc]=0,MIP[Previsto / Realizado]="Realizado"),MIP[Sem],0)</f>
        <v>0</v>
      </c>
      <c r="AQ257" s="29">
        <f>IF(AND(MIP[Exc]=0,MIP[Previsto / Realizado]="Realizado",ISBLANK(MIP[[#This Row],[S.B Sitrack]])=FALSE,ISBLANK(MIP[[#This Row],[C.B Sitrack]])=FALSE),MIP[Sem],0)</f>
        <v>0</v>
      </c>
    </row>
    <row r="258" spans="1:44" s="64" customFormat="1" x14ac:dyDescent="0.25">
      <c r="A258" s="11"/>
      <c r="B258" s="44">
        <f>WEEKNUM(MIP[[#This Row],[Data]])</f>
        <v>29</v>
      </c>
      <c r="C258" s="45">
        <v>42934</v>
      </c>
      <c r="D258" s="45"/>
      <c r="E258" s="35" t="s">
        <v>19</v>
      </c>
      <c r="F258" s="35" t="s">
        <v>2</v>
      </c>
      <c r="G258" s="35"/>
      <c r="H258" s="44">
        <v>2</v>
      </c>
      <c r="I258" s="44">
        <v>2</v>
      </c>
      <c r="J258" s="44">
        <v>2</v>
      </c>
      <c r="K258" s="44">
        <v>1</v>
      </c>
      <c r="L258" s="44">
        <v>0</v>
      </c>
      <c r="M258" s="43">
        <v>0.64583333333333337</v>
      </c>
      <c r="N258" s="43">
        <v>0.67013888888888884</v>
      </c>
      <c r="O258" s="43">
        <f>1+43/24/60</f>
        <v>1.0298611111111111</v>
      </c>
      <c r="P258" s="43">
        <f>1+55/24/60</f>
        <v>1.0381944444444444</v>
      </c>
      <c r="Q258" s="39"/>
      <c r="R258" s="42" t="s">
        <v>378</v>
      </c>
      <c r="S258" s="29">
        <f>MIP[[#This Row],[PT-1]]+MIP[[#This Row],[PT-2]]*2+MIP[[#This Row],[PT-3]]*3+MIP[[#This Row],[PT &gt; 3 Pontos]]</f>
        <v>9</v>
      </c>
      <c r="T25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3.2638888888888773E-2</v>
      </c>
      <c r="U258" s="39">
        <f>IF(MIP[[#This Row],[P.S]]-MIP[[#This Row],[U.P]]&gt;=0,MIP[[#This Row],[P.S]]-MIP[[#This Row],[U.P]]+MIP[[#This Row],[S.B]]-MIP[[#This Row],[P.E]],1+MIP[[#This Row],[P.S]]-MIP[[#This Row],[U.P]]+MIP[[#This Row],[S.B]]-MIP[[#This Row],[P.E]])</f>
        <v>3.2638888888888773E-2</v>
      </c>
      <c r="V258" s="41">
        <f>MIP[[#This Row],[Eficiência]]</f>
        <v>0.6308989541801151</v>
      </c>
      <c r="W25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58" s="39">
        <f>IF(MIP[[#This Row],[P.S]]-MIP[[#This Row],[P.E]]&lt;0,1+MIP[[#This Row],[P.S]]-MIP[[#This Row],[P.E]]-1/24,MIP[[#This Row],[P.S]]-MIP[[#This Row],[P.E]]-1/24)</f>
        <v>0.35069444444444436</v>
      </c>
      <c r="Y258" s="39">
        <f>MIP[[#This Row],[PT-1]]*$S$3+MIP[[#This Row],[PT-2]]*$T$3+MIP[[#This Row],[PT-3]]*$U$3+MIP[[#This Row],[PT &gt; 3 Pontos]]*$V$3</f>
        <v>0.20066091737117553</v>
      </c>
      <c r="Z258" s="39">
        <f>MIP[[#This Row],[HH disponível]]-MIP[[#This Row],[HH AC TOT]]</f>
        <v>0.31805555555555559</v>
      </c>
      <c r="AA258" s="38">
        <f>MIP[[#This Row],[HH Produtivo
Total]]/MIP[[#This Row],[HH Trabalhado]]</f>
        <v>0.6308989541801151</v>
      </c>
      <c r="AB258" s="38">
        <f>MIP[[#This Row],[HH Produtivo
Total]]/MIP[[#This Row],[HH disponível]]</f>
        <v>0.57218162577127296</v>
      </c>
      <c r="AC258" s="38">
        <f>MIP[[#This Row],[HH Trabalhado]]/MIP[[#This Row],[HH disponível]]</f>
        <v>0.90693069306930729</v>
      </c>
      <c r="AD258" s="37" t="str">
        <f>LEFT(MIP[[#This Row],[Equipe]], SEARCH("/",MIP[[#This Row],[Equipe]],1)-1)</f>
        <v xml:space="preserve">ADEMÁRIO </v>
      </c>
      <c r="AE258" s="37" t="str">
        <f>RIGHT(MIP[[#This Row],[Equipe]], LEN(MIP[[#This Row],[Equipe]])-SEARCH("/",MIP[[#This Row],[Equipe]],1))</f>
        <v xml:space="preserve"> RONALDO</v>
      </c>
      <c r="AF258" s="44">
        <f>COUNTIFS('[1]Tempo parado'!H:H,"&gt;="&amp;MIP[[#This Row],[S.B Sitrack]],'[1]Tempo parado'!I:I,"&lt;="&amp;MIP[[#This Row],[C.B Sitrack]],'[1]Tempo parado'!B:B,MIP[[#This Row],[Placa]])</f>
        <v>0</v>
      </c>
      <c r="AG258" s="36"/>
      <c r="AH258" s="35"/>
      <c r="AI258" s="34"/>
      <c r="AJ258" s="34"/>
      <c r="AK25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5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58" s="32">
        <f>SUMIFS('[1]Tempo parado'!J:J,'[1]Tempo parado'!H:H,"&gt;="&amp;MIP[[#This Row],[S.B Sitrack]],'[1]Tempo parado'!I:I,"&lt;="&amp;MIP[[#This Row],[C.B Sitrack]],'[1]Tempo parado'!B:B,MIP[[#This Row],[Placa]])</f>
        <v>0</v>
      </c>
      <c r="AN258" s="32" t="str">
        <f>IFERROR(MIP[[#This Row],[Tempo parado]]/(MIP[[#This Row],[C.B Sitrack]]-MIP[[#This Row],[S.B Sitrack]]),"")</f>
        <v/>
      </c>
      <c r="AO258" s="30"/>
      <c r="AP258" s="44">
        <f>IF(AND(MIP[Exc]=0,MIP[Previsto / Realizado]="Realizado"),MIP[Sem],0)</f>
        <v>29</v>
      </c>
      <c r="AQ258" s="29">
        <f>IF(AND(MIP[Exc]=0,MIP[Previsto / Realizado]="Realizado",ISBLANK(MIP[[#This Row],[S.B Sitrack]])=FALSE,ISBLANK(MIP[[#This Row],[C.B Sitrack]])=FALSE),MIP[Sem],0)</f>
        <v>0</v>
      </c>
    </row>
    <row r="259" spans="1:44" s="47" customFormat="1" x14ac:dyDescent="0.25">
      <c r="A259" s="11"/>
      <c r="B259" s="44">
        <f>WEEKNUM(MIP[[#This Row],[Data]])</f>
        <v>29</v>
      </c>
      <c r="C259" s="45">
        <v>42935</v>
      </c>
      <c r="D259" s="45"/>
      <c r="E259" s="35" t="s">
        <v>3</v>
      </c>
      <c r="F259" s="35" t="s">
        <v>5</v>
      </c>
      <c r="G259" s="35"/>
      <c r="H259" s="44">
        <v>2</v>
      </c>
      <c r="I259" s="44">
        <v>7</v>
      </c>
      <c r="J259" s="44">
        <v>1</v>
      </c>
      <c r="K259" s="44">
        <v>1</v>
      </c>
      <c r="L259" s="44">
        <v>0</v>
      </c>
      <c r="M259" s="43">
        <v>0.625</v>
      </c>
      <c r="N259" s="43">
        <v>0.64583333333333337</v>
      </c>
      <c r="O259" s="43">
        <f>1+18/24/60</f>
        <v>1.0125</v>
      </c>
      <c r="P259" s="43">
        <f>1+48/24/60</f>
        <v>1.0333333333333334</v>
      </c>
      <c r="Q259" s="39"/>
      <c r="R259" s="42" t="s">
        <v>377</v>
      </c>
      <c r="S259" s="29">
        <f>MIP[[#This Row],[PT-1]]+MIP[[#This Row],[PT-2]]*2+MIP[[#This Row],[PT-3]]*3+MIP[[#This Row],[PT &gt; 3 Pontos]]</f>
        <v>12</v>
      </c>
      <c r="T25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259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259" s="41">
        <f>MIP[[#This Row],[Eficiência]]</f>
        <v>0.8673274340393905</v>
      </c>
      <c r="W25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59" s="39">
        <f>IF(MIP[[#This Row],[P.S]]-MIP[[#This Row],[P.E]]&lt;0,1+MIP[[#This Row],[P.S]]-MIP[[#This Row],[P.E]]-1/24,MIP[[#This Row],[P.S]]-MIP[[#This Row],[P.E]]-1/24)</f>
        <v>0.36666666666666675</v>
      </c>
      <c r="Y259" s="39">
        <f>MIP[[#This Row],[PT-1]]*$S$3+MIP[[#This Row],[PT-2]]*$T$3+MIP[[#This Row],[PT-3]]*$U$3+MIP[[#This Row],[PT &gt; 3 Pontos]]*$V$3</f>
        <v>0.28188141606280182</v>
      </c>
      <c r="Z259" s="39">
        <f>MIP[[#This Row],[HH disponível]]-MIP[[#This Row],[HH AC TOT]]</f>
        <v>0.3249999999999999</v>
      </c>
      <c r="AA259" s="38">
        <f>MIP[[#This Row],[HH Produtivo
Total]]/MIP[[#This Row],[HH Trabalhado]]</f>
        <v>0.8673274340393905</v>
      </c>
      <c r="AB259" s="38">
        <f>MIP[[#This Row],[HH Produtivo
Total]]/MIP[[#This Row],[HH disponível]]</f>
        <v>0.76876749835309566</v>
      </c>
      <c r="AC259" s="38">
        <f>MIP[[#This Row],[HH Trabalhado]]/MIP[[#This Row],[HH disponível]]</f>
        <v>0.88636363636363591</v>
      </c>
      <c r="AD259" s="37" t="str">
        <f>LEFT(MIP[[#This Row],[Equipe]], SEARCH("/",MIP[[#This Row],[Equipe]],1)-1)</f>
        <v xml:space="preserve">EDILTON </v>
      </c>
      <c r="AE259" s="37" t="str">
        <f>RIGHT(MIP[[#This Row],[Equipe]], LEN(MIP[[#This Row],[Equipe]])-SEARCH("/",MIP[[#This Row],[Equipe]],1))</f>
        <v xml:space="preserve"> GECIVALDO</v>
      </c>
      <c r="AF259" s="44">
        <f>COUNTIFS('[1]Tempo parado'!H:H,"&gt;="&amp;MIP[[#This Row],[S.B Sitrack]],'[1]Tempo parado'!I:I,"&lt;="&amp;MIP[[#This Row],[C.B Sitrack]],'[1]Tempo parado'!B:B,MIP[[#This Row],[Placa]])</f>
        <v>0</v>
      </c>
      <c r="AG259" s="36"/>
      <c r="AH259" s="35"/>
      <c r="AI259" s="34"/>
      <c r="AJ259" s="34"/>
      <c r="AK25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5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59" s="32">
        <f>SUMIFS('[1]Tempo parado'!J:J,'[1]Tempo parado'!H:H,"&gt;="&amp;MIP[[#This Row],[S.B Sitrack]],'[1]Tempo parado'!I:I,"&lt;="&amp;MIP[[#This Row],[C.B Sitrack]],'[1]Tempo parado'!B:B,MIP[[#This Row],[Placa]])</f>
        <v>0</v>
      </c>
      <c r="AN259" s="32" t="str">
        <f>IFERROR(MIP[[#This Row],[Tempo parado]]/(MIP[[#This Row],[C.B Sitrack]]-MIP[[#This Row],[S.B Sitrack]]),"")</f>
        <v/>
      </c>
      <c r="AO259" s="30"/>
      <c r="AP259" s="44">
        <f>IF(AND(MIP[Exc]=0,MIP[Previsto / Realizado]="Realizado"),MIP[Sem],0)</f>
        <v>0</v>
      </c>
      <c r="AQ259" s="29">
        <f>IF(AND(MIP[Exc]=0,MIP[Previsto / Realizado]="Realizado",ISBLANK(MIP[[#This Row],[S.B Sitrack]])=FALSE,ISBLANK(MIP[[#This Row],[C.B Sitrack]])=FALSE),MIP[Sem],0)</f>
        <v>0</v>
      </c>
    </row>
    <row r="260" spans="1:44" s="64" customFormat="1" x14ac:dyDescent="0.25">
      <c r="A260" s="11"/>
      <c r="B260" s="44">
        <f>WEEKNUM(MIP[[#This Row],[Data]])</f>
        <v>29</v>
      </c>
      <c r="C260" s="45">
        <v>42935</v>
      </c>
      <c r="D260" s="45"/>
      <c r="E260" s="35" t="s">
        <v>3</v>
      </c>
      <c r="F260" s="35" t="s">
        <v>2</v>
      </c>
      <c r="G260" s="35"/>
      <c r="H260" s="44">
        <v>2</v>
      </c>
      <c r="I260" s="44">
        <v>8</v>
      </c>
      <c r="J260" s="44">
        <v>1</v>
      </c>
      <c r="K260" s="44">
        <v>1</v>
      </c>
      <c r="L260" s="44">
        <v>0</v>
      </c>
      <c r="M260" s="43">
        <v>0.63055555555555554</v>
      </c>
      <c r="N260" s="43">
        <v>0.67361111111111116</v>
      </c>
      <c r="O260" s="43">
        <f>1+41/24/60</f>
        <v>1.0284722222222222</v>
      </c>
      <c r="P260" s="43">
        <f>1+57/24/60</f>
        <v>1.0395833333333333</v>
      </c>
      <c r="Q260" s="39"/>
      <c r="R260" s="42"/>
      <c r="S260" s="29">
        <f>MIP[[#This Row],[PT-1]]+MIP[[#This Row],[PT-2]]*2+MIP[[#This Row],[PT-3]]*3+MIP[[#This Row],[PT &gt; 3 Pontos]]</f>
        <v>13</v>
      </c>
      <c r="T26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5.4166666666666696E-2</v>
      </c>
      <c r="U260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5.4166666666666696E-2</v>
      </c>
      <c r="V260" s="41">
        <f>MIP[[#This Row],[Eficiência]]</f>
        <v>0.97992564831774787</v>
      </c>
      <c r="W26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60" s="39">
        <f>IF(MIP[[#This Row],[P.S]]-MIP[[#This Row],[P.E]]&lt;0,1+MIP[[#This Row],[P.S]]-MIP[[#This Row],[P.E]]-1/24,MIP[[#This Row],[P.S]]-MIP[[#This Row],[P.E]]-1/24)</f>
        <v>0.36736111111111108</v>
      </c>
      <c r="Y260" s="39">
        <f>MIP[[#This Row],[PT-1]]*$S$3+MIP[[#This Row],[PT-2]]*$T$3+MIP[[#This Row],[PT-3]]*$U$3+MIP[[#This Row],[PT &gt; 3 Pontos]]*$V$3</f>
        <v>0.30690726902173904</v>
      </c>
      <c r="Z260" s="39">
        <f>MIP[[#This Row],[HH disponível]]-MIP[[#This Row],[HH AC TOT]]</f>
        <v>0.31319444444444439</v>
      </c>
      <c r="AA260" s="38">
        <f>MIP[[#This Row],[HH Produtivo
Total]]/MIP[[#This Row],[HH Trabalhado]]</f>
        <v>0.97992564831774787</v>
      </c>
      <c r="AB260" s="38">
        <f>MIP[[#This Row],[HH Produtivo
Total]]/MIP[[#This Row],[HH disponível]]</f>
        <v>0.83543755650530105</v>
      </c>
      <c r="AC260" s="38">
        <f>MIP[[#This Row],[HH Trabalhado]]/MIP[[#This Row],[HH disponível]]</f>
        <v>0.85255198487712658</v>
      </c>
      <c r="AD260" s="37" t="str">
        <f>LEFT(MIP[[#This Row],[Equipe]], SEARCH("/",MIP[[#This Row],[Equipe]],1)-1)</f>
        <v xml:space="preserve">EDILTON </v>
      </c>
      <c r="AE260" s="37" t="str">
        <f>RIGHT(MIP[[#This Row],[Equipe]], LEN(MIP[[#This Row],[Equipe]])-SEARCH("/",MIP[[#This Row],[Equipe]],1))</f>
        <v xml:space="preserve"> GECIVALDO</v>
      </c>
      <c r="AF260" s="44">
        <f>COUNTIFS('[1]Tempo parado'!H:H,"&gt;="&amp;MIP[[#This Row],[S.B Sitrack]],'[1]Tempo parado'!I:I,"&lt;="&amp;MIP[[#This Row],[C.B Sitrack]],'[1]Tempo parado'!B:B,MIP[[#This Row],[Placa]])</f>
        <v>0</v>
      </c>
      <c r="AG260" s="36"/>
      <c r="AH260" s="35"/>
      <c r="AI260" s="34"/>
      <c r="AJ260" s="34"/>
      <c r="AK26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6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60" s="32">
        <f>SUMIFS('[1]Tempo parado'!J:J,'[1]Tempo parado'!H:H,"&gt;="&amp;MIP[[#This Row],[S.B Sitrack]],'[1]Tempo parado'!I:I,"&lt;="&amp;MIP[[#This Row],[C.B Sitrack]],'[1]Tempo parado'!B:B,MIP[[#This Row],[Placa]])</f>
        <v>0</v>
      </c>
      <c r="AN260" s="32" t="str">
        <f>IFERROR(MIP[[#This Row],[Tempo parado]]/(MIP[[#This Row],[C.B Sitrack]]-MIP[[#This Row],[S.B Sitrack]]),"")</f>
        <v/>
      </c>
      <c r="AO260" s="30"/>
      <c r="AP260" s="44">
        <f>IF(AND(MIP[Exc]=0,MIP[Previsto / Realizado]="Realizado"),MIP[Sem],0)</f>
        <v>29</v>
      </c>
      <c r="AQ260" s="29">
        <f>IF(AND(MIP[Exc]=0,MIP[Previsto / Realizado]="Realizado",ISBLANK(MIP[[#This Row],[S.B Sitrack]])=FALSE,ISBLANK(MIP[[#This Row],[C.B Sitrack]])=FALSE),MIP[Sem],0)</f>
        <v>0</v>
      </c>
    </row>
    <row r="261" spans="1:44" s="47" customFormat="1" x14ac:dyDescent="0.25">
      <c r="A261" s="11"/>
      <c r="B261" s="44">
        <f>WEEKNUM(MIP[[#This Row],[Data]])</f>
        <v>29</v>
      </c>
      <c r="C261" s="45">
        <v>42935</v>
      </c>
      <c r="D261" s="45"/>
      <c r="E261" s="35" t="s">
        <v>19</v>
      </c>
      <c r="F261" s="35" t="s">
        <v>5</v>
      </c>
      <c r="G261" s="35"/>
      <c r="H261" s="44">
        <v>2</v>
      </c>
      <c r="I261" s="44">
        <v>5</v>
      </c>
      <c r="J261" s="44">
        <v>2</v>
      </c>
      <c r="K261" s="44">
        <v>0</v>
      </c>
      <c r="L261" s="44">
        <v>0</v>
      </c>
      <c r="M261" s="43">
        <v>0.625</v>
      </c>
      <c r="N261" s="43">
        <v>0.64583333333333337</v>
      </c>
      <c r="O261" s="43">
        <f>1+18/24/60</f>
        <v>1.0125</v>
      </c>
      <c r="P261" s="43">
        <f>1+48/24/60</f>
        <v>1.0333333333333334</v>
      </c>
      <c r="Q261" s="39"/>
      <c r="R261" s="42"/>
      <c r="S261" s="29">
        <f>MIP[[#This Row],[PT-1]]+MIP[[#This Row],[PT-2]]*2+MIP[[#This Row],[PT-3]]*3+MIP[[#This Row],[PT &gt; 3 Pontos]]</f>
        <v>9</v>
      </c>
      <c r="T26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261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261" s="41">
        <f>MIP[[#This Row],[Eficiência]]</f>
        <v>0.65522091384863113</v>
      </c>
      <c r="W26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61" s="39">
        <f>IF(MIP[[#This Row],[P.S]]-MIP[[#This Row],[P.E]]&lt;0,1+MIP[[#This Row],[P.S]]-MIP[[#This Row],[P.E]]-1/24,MIP[[#This Row],[P.S]]-MIP[[#This Row],[P.E]]-1/24)</f>
        <v>0.36666666666666675</v>
      </c>
      <c r="Y261" s="39">
        <f>MIP[[#This Row],[PT-1]]*$S$3+MIP[[#This Row],[PT-2]]*$T$3+MIP[[#This Row],[PT-3]]*$U$3+MIP[[#This Row],[PT &gt; 3 Pontos]]*$V$3</f>
        <v>0.21294679700080504</v>
      </c>
      <c r="Z261" s="39">
        <f>MIP[[#This Row],[HH disponível]]-MIP[[#This Row],[HH AC TOT]]</f>
        <v>0.3249999999999999</v>
      </c>
      <c r="AA261" s="38">
        <f>MIP[[#This Row],[HH Produtivo
Total]]/MIP[[#This Row],[HH Trabalhado]]</f>
        <v>0.65522091384863113</v>
      </c>
      <c r="AB261" s="38">
        <f>MIP[[#This Row],[HH Produtivo
Total]]/MIP[[#This Row],[HH disponível]]</f>
        <v>0.5807639918203773</v>
      </c>
      <c r="AC261" s="38">
        <f>MIP[[#This Row],[HH Trabalhado]]/MIP[[#This Row],[HH disponível]]</f>
        <v>0.88636363636363591</v>
      </c>
      <c r="AD261" s="37" t="str">
        <f>LEFT(MIP[[#This Row],[Equipe]], SEARCH("/",MIP[[#This Row],[Equipe]],1)-1)</f>
        <v xml:space="preserve">ADEMÁRIO </v>
      </c>
      <c r="AE261" s="37" t="str">
        <f>RIGHT(MIP[[#This Row],[Equipe]], LEN(MIP[[#This Row],[Equipe]])-SEARCH("/",MIP[[#This Row],[Equipe]],1))</f>
        <v xml:space="preserve"> RONALDO</v>
      </c>
      <c r="AF261" s="44">
        <f>COUNTIFS('[1]Tempo parado'!H:H,"&gt;="&amp;MIP[[#This Row],[S.B Sitrack]],'[1]Tempo parado'!I:I,"&lt;="&amp;MIP[[#This Row],[C.B Sitrack]],'[1]Tempo parado'!B:B,MIP[[#This Row],[Placa]])</f>
        <v>0</v>
      </c>
      <c r="AG261" s="36"/>
      <c r="AH261" s="35"/>
      <c r="AI261" s="34"/>
      <c r="AJ261" s="34"/>
      <c r="AK26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6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61" s="32">
        <f>SUMIFS('[1]Tempo parado'!J:J,'[1]Tempo parado'!H:H,"&gt;="&amp;MIP[[#This Row],[S.B Sitrack]],'[1]Tempo parado'!I:I,"&lt;="&amp;MIP[[#This Row],[C.B Sitrack]],'[1]Tempo parado'!B:B,MIP[[#This Row],[Placa]])</f>
        <v>0</v>
      </c>
      <c r="AN261" s="32" t="str">
        <f>IFERROR(MIP[[#This Row],[Tempo parado]]/(MIP[[#This Row],[C.B Sitrack]]-MIP[[#This Row],[S.B Sitrack]]),"")</f>
        <v/>
      </c>
      <c r="AO261" s="30"/>
      <c r="AP261" s="44">
        <f>IF(AND(MIP[Exc]=0,MIP[Previsto / Realizado]="Realizado"),MIP[Sem],0)</f>
        <v>0</v>
      </c>
      <c r="AQ261" s="29">
        <f>IF(AND(MIP[Exc]=0,MIP[Previsto / Realizado]="Realizado",ISBLANK(MIP[[#This Row],[S.B Sitrack]])=FALSE,ISBLANK(MIP[[#This Row],[C.B Sitrack]])=FALSE),MIP[Sem],0)</f>
        <v>0</v>
      </c>
    </row>
    <row r="262" spans="1:44" s="64" customFormat="1" x14ac:dyDescent="0.25">
      <c r="A262" s="11"/>
      <c r="B262" s="44">
        <f>WEEKNUM(MIP[[#This Row],[Data]])</f>
        <v>29</v>
      </c>
      <c r="C262" s="45">
        <v>42935</v>
      </c>
      <c r="D262" s="45"/>
      <c r="E262" s="35" t="s">
        <v>19</v>
      </c>
      <c r="F262" s="35" t="s">
        <v>2</v>
      </c>
      <c r="G262" s="35"/>
      <c r="H262" s="44">
        <v>2</v>
      </c>
      <c r="I262" s="44">
        <v>8</v>
      </c>
      <c r="J262" s="44">
        <v>3</v>
      </c>
      <c r="K262" s="44">
        <v>1</v>
      </c>
      <c r="L262" s="44">
        <v>4</v>
      </c>
      <c r="M262" s="43">
        <v>0.65625</v>
      </c>
      <c r="N262" s="43">
        <v>0.67361111111111116</v>
      </c>
      <c r="O262" s="43">
        <f>1+41/24/60</f>
        <v>1.0284722222222222</v>
      </c>
      <c r="P262" s="43">
        <f>1+75/24/60</f>
        <v>1.0520833333333333</v>
      </c>
      <c r="Q262" s="39"/>
      <c r="R262" s="42" t="s">
        <v>376</v>
      </c>
      <c r="S262" s="29">
        <f>MIP[[#This Row],[PT-1]]+MIP[[#This Row],[PT-2]]*2+MIP[[#This Row],[PT-3]]*3+MIP[[#This Row],[PT &gt; 3 Pontos]]</f>
        <v>21</v>
      </c>
      <c r="T26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4.0972222222222188E-2</v>
      </c>
      <c r="U262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4.0972222222222188E-2</v>
      </c>
      <c r="V262" s="41">
        <f>MIP[[#This Row],[Eficiência]]</f>
        <v>1.5189185286945097</v>
      </c>
      <c r="W26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62" s="39">
        <f>IF(MIP[[#This Row],[P.S]]-MIP[[#This Row],[P.E]]&lt;0,1+MIP[[#This Row],[P.S]]-MIP[[#This Row],[P.E]]-1/24,MIP[[#This Row],[P.S]]-MIP[[#This Row],[P.E]]-1/24)</f>
        <v>0.35416666666666657</v>
      </c>
      <c r="Y262" s="39">
        <f>MIP[[#This Row],[PT-1]]*$S$3+MIP[[#This Row],[PT-2]]*$T$3+MIP[[#This Row],[PT-3]]*$U$3+MIP[[#This Row],[PT &gt; 3 Pontos]]*$V$3</f>
        <v>0.47571684475084985</v>
      </c>
      <c r="Z262" s="39">
        <f>MIP[[#This Row],[HH disponível]]-MIP[[#This Row],[HH AC TOT]]</f>
        <v>0.31319444444444439</v>
      </c>
      <c r="AA262" s="38">
        <f>MIP[[#This Row],[HH Produtivo
Total]]/MIP[[#This Row],[HH Trabalhado]]</f>
        <v>1.5189185286945097</v>
      </c>
      <c r="AB262" s="38">
        <f>MIP[[#This Row],[HH Produtivo
Total]]/MIP[[#This Row],[HH disponível]]</f>
        <v>1.3432005028259293</v>
      </c>
      <c r="AC262" s="38">
        <f>MIP[[#This Row],[HH Trabalhado]]/MIP[[#This Row],[HH disponível]]</f>
        <v>0.88431372549019616</v>
      </c>
      <c r="AD262" s="37" t="str">
        <f>LEFT(MIP[[#This Row],[Equipe]], SEARCH("/",MIP[[#This Row],[Equipe]],1)-1)</f>
        <v xml:space="preserve">ADEMÁRIO </v>
      </c>
      <c r="AE262" s="37" t="str">
        <f>RIGHT(MIP[[#This Row],[Equipe]], LEN(MIP[[#This Row],[Equipe]])-SEARCH("/",MIP[[#This Row],[Equipe]],1))</f>
        <v xml:space="preserve"> RONALDO</v>
      </c>
      <c r="AF262" s="44">
        <f>COUNTIFS('[1]Tempo parado'!H:H,"&gt;="&amp;MIP[[#This Row],[S.B Sitrack]],'[1]Tempo parado'!I:I,"&lt;="&amp;MIP[[#This Row],[C.B Sitrack]],'[1]Tempo parado'!B:B,MIP[[#This Row],[Placa]])</f>
        <v>0</v>
      </c>
      <c r="AG262" s="36"/>
      <c r="AH262" s="35"/>
      <c r="AI262" s="34"/>
      <c r="AJ262" s="34"/>
      <c r="AK26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6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62" s="32">
        <f>SUMIFS('[1]Tempo parado'!J:J,'[1]Tempo parado'!H:H,"&gt;="&amp;MIP[[#This Row],[S.B Sitrack]],'[1]Tempo parado'!I:I,"&lt;="&amp;MIP[[#This Row],[C.B Sitrack]],'[1]Tempo parado'!B:B,MIP[[#This Row],[Placa]])</f>
        <v>0</v>
      </c>
      <c r="AN262" s="32" t="str">
        <f>IFERROR(MIP[[#This Row],[Tempo parado]]/(MIP[[#This Row],[C.B Sitrack]]-MIP[[#This Row],[S.B Sitrack]]),"")</f>
        <v/>
      </c>
      <c r="AO262" s="30"/>
      <c r="AP262" s="44">
        <f>IF(AND(MIP[Exc]=0,MIP[Previsto / Realizado]="Realizado"),MIP[Sem],0)</f>
        <v>29</v>
      </c>
      <c r="AQ262" s="29">
        <f>IF(AND(MIP[Exc]=0,MIP[Previsto / Realizado]="Realizado",ISBLANK(MIP[[#This Row],[S.B Sitrack]])=FALSE,ISBLANK(MIP[[#This Row],[C.B Sitrack]])=FALSE),MIP[Sem],0)</f>
        <v>0</v>
      </c>
    </row>
    <row r="263" spans="1:44" x14ac:dyDescent="0.25">
      <c r="B263" s="44">
        <f>WEEKNUM(MIP[[#This Row],[Data]])</f>
        <v>29</v>
      </c>
      <c r="C263" s="45">
        <v>42936</v>
      </c>
      <c r="D263" s="45"/>
      <c r="E263" s="35" t="s">
        <v>10</v>
      </c>
      <c r="F263" s="35" t="s">
        <v>5</v>
      </c>
      <c r="G263" s="35"/>
      <c r="H263" s="44">
        <v>2</v>
      </c>
      <c r="I263" s="44">
        <v>5</v>
      </c>
      <c r="J263" s="44">
        <v>1</v>
      </c>
      <c r="K263" s="44">
        <v>0</v>
      </c>
      <c r="L263" s="44">
        <v>5</v>
      </c>
      <c r="M263" s="43">
        <v>0.25</v>
      </c>
      <c r="N263" s="43">
        <v>0.27083333333333331</v>
      </c>
      <c r="O263" s="43">
        <v>0.63750000000000007</v>
      </c>
      <c r="P263" s="43">
        <v>0.65833333333333333</v>
      </c>
      <c r="Q263" s="39"/>
      <c r="R263" s="42"/>
      <c r="S263" s="29">
        <f>MIP[[#This Row],[PT-1]]+MIP[[#This Row],[PT-2]]*2+MIP[[#This Row],[PT-3]]*3+MIP[[#This Row],[PT &gt; 3 Pontos]]</f>
        <v>12</v>
      </c>
      <c r="T26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263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263" s="41">
        <f>MIP[[#This Row],[Eficiência]]</f>
        <v>0.83162487785072292</v>
      </c>
      <c r="W26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63" s="39">
        <f>IF(MIP[[#This Row],[P.S]]-MIP[[#This Row],[P.E]]&lt;0,1+MIP[[#This Row],[P.S]]-MIP[[#This Row],[P.E]]-1/24,MIP[[#This Row],[P.S]]-MIP[[#This Row],[P.E]]-1/24)</f>
        <v>0.36666666666666664</v>
      </c>
      <c r="Y263" s="39">
        <f>MIP[[#This Row],[PT-1]]*$S$3+MIP[[#This Row],[PT-2]]*$T$3+MIP[[#This Row],[PT-3]]*$U$3+MIP[[#This Row],[PT &gt; 3 Pontos]]*$V$3</f>
        <v>0.270278085301485</v>
      </c>
      <c r="Z263" s="39">
        <f>MIP[[#This Row],[HH disponível]]-MIP[[#This Row],[HH AC TOT]]</f>
        <v>0.32500000000000007</v>
      </c>
      <c r="AA263" s="38">
        <f>MIP[[#This Row],[HH Produtivo
Total]]/MIP[[#This Row],[HH Trabalhado]]</f>
        <v>0.83162487785072292</v>
      </c>
      <c r="AB263" s="38">
        <f>MIP[[#This Row],[HH Produtivo
Total]]/MIP[[#This Row],[HH disponível]]</f>
        <v>0.73712205082223192</v>
      </c>
      <c r="AC263" s="38">
        <f>MIP[[#This Row],[HH Trabalhado]]/MIP[[#This Row],[HH disponível]]</f>
        <v>0.88636363636363658</v>
      </c>
      <c r="AD263" s="37" t="str">
        <f>LEFT(MIP[[#This Row],[Equipe]], SEARCH("/",MIP[[#This Row],[Equipe]],1)-1)</f>
        <v xml:space="preserve">JOILSON </v>
      </c>
      <c r="AE263" s="37" t="str">
        <f>RIGHT(MIP[[#This Row],[Equipe]], LEN(MIP[[#This Row],[Equipe]])-SEARCH("/",MIP[[#This Row],[Equipe]],1))</f>
        <v xml:space="preserve"> VALDEI</v>
      </c>
      <c r="AF263" s="44">
        <f>COUNTIFS('[1]Tempo parado'!H:H,"&gt;="&amp;MIP[[#This Row],[S.B Sitrack]],'[1]Tempo parado'!I:I,"&lt;="&amp;MIP[[#This Row],[C.B Sitrack]],'[1]Tempo parado'!B:B,MIP[[#This Row],[Placa]])</f>
        <v>0</v>
      </c>
      <c r="AG263" s="36"/>
      <c r="AH263" s="35"/>
      <c r="AI263" s="34"/>
      <c r="AJ263" s="34"/>
      <c r="AK26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6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63" s="32">
        <f>SUMIFS('[1]Tempo parado'!J:J,'[1]Tempo parado'!H:H,"&gt;="&amp;MIP[[#This Row],[S.B Sitrack]],'[1]Tempo parado'!I:I,"&lt;="&amp;MIP[[#This Row],[C.B Sitrack]],'[1]Tempo parado'!B:B,MIP[[#This Row],[Placa]])</f>
        <v>0</v>
      </c>
      <c r="AN263" s="32" t="str">
        <f>IFERROR(MIP[[#This Row],[Tempo parado]]/(MIP[[#This Row],[C.B Sitrack]]-MIP[[#This Row],[S.B Sitrack]]),"")</f>
        <v/>
      </c>
      <c r="AO263" s="30"/>
      <c r="AP263" s="44">
        <f>IF(AND(MIP[Exc]=0,MIP[Previsto / Realizado]="Realizado"),MIP[Sem],0)</f>
        <v>0</v>
      </c>
      <c r="AQ263" s="29">
        <f>IF(AND(MIP[Exc]=0,MIP[Previsto / Realizado]="Realizado",ISBLANK(MIP[[#This Row],[S.B Sitrack]])=FALSE,ISBLANK(MIP[[#This Row],[C.B Sitrack]])=FALSE),MIP[Sem],0)</f>
        <v>0</v>
      </c>
    </row>
    <row r="264" spans="1:44" x14ac:dyDescent="0.25">
      <c r="B264" s="44">
        <f>WEEKNUM(MIP[[#This Row],[Data]])</f>
        <v>29</v>
      </c>
      <c r="C264" s="45">
        <v>42936</v>
      </c>
      <c r="D264" s="45"/>
      <c r="E264" s="35" t="s">
        <v>10</v>
      </c>
      <c r="F264" s="35" t="s">
        <v>2</v>
      </c>
      <c r="G264" s="35"/>
      <c r="H264" s="44">
        <v>2</v>
      </c>
      <c r="I264" s="44">
        <v>4</v>
      </c>
      <c r="J264" s="44">
        <v>1</v>
      </c>
      <c r="K264" s="44">
        <v>0</v>
      </c>
      <c r="L264" s="44">
        <v>5</v>
      </c>
      <c r="M264" s="43">
        <v>0.25138888888888888</v>
      </c>
      <c r="N264" s="43">
        <v>0.2951388888888889</v>
      </c>
      <c r="O264" s="43">
        <v>0.64930555555555558</v>
      </c>
      <c r="P264" s="43">
        <v>0.66111111111111109</v>
      </c>
      <c r="Q264" s="39"/>
      <c r="R264" s="42" t="s">
        <v>375</v>
      </c>
      <c r="S264" s="29">
        <f>MIP[[#This Row],[PT-1]]+MIP[[#This Row],[PT-2]]*2+MIP[[#This Row],[PT-3]]*3+MIP[[#This Row],[PT &gt; 3 Pontos]]</f>
        <v>11</v>
      </c>
      <c r="T26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5.5555555555555525E-2</v>
      </c>
      <c r="U264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5.5555555555555525E-2</v>
      </c>
      <c r="V264" s="41">
        <f>MIP[[#This Row],[Eficiência]]</f>
        <v>0.7848071434961531</v>
      </c>
      <c r="W26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64" s="39">
        <f>IF(MIP[[#This Row],[P.S]]-MIP[[#This Row],[P.E]]&lt;0,1+MIP[[#This Row],[P.S]]-MIP[[#This Row],[P.E]]-1/24,MIP[[#This Row],[P.S]]-MIP[[#This Row],[P.E]]-1/24)</f>
        <v>0.36805555555555552</v>
      </c>
      <c r="Y264" s="39">
        <f>MIP[[#This Row],[PT-1]]*$S$3+MIP[[#This Row],[PT-2]]*$T$3+MIP[[#This Row],[PT-3]]*$U$3+MIP[[#This Row],[PT &gt; 3 Pontos]]*$V$3</f>
        <v>0.24525223234254784</v>
      </c>
      <c r="Z264" s="39">
        <f>MIP[[#This Row],[HH disponível]]-MIP[[#This Row],[HH AC TOT]]</f>
        <v>0.3125</v>
      </c>
      <c r="AA264" s="38">
        <f>MIP[[#This Row],[HH Produtivo
Total]]/MIP[[#This Row],[HH Trabalhado]]</f>
        <v>0.7848071434961531</v>
      </c>
      <c r="AB264" s="38">
        <f>MIP[[#This Row],[HH Produtivo
Total]]/MIP[[#This Row],[HH disponível]]</f>
        <v>0.66634568787409232</v>
      </c>
      <c r="AC264" s="38">
        <f>MIP[[#This Row],[HH Trabalhado]]/MIP[[#This Row],[HH disponível]]</f>
        <v>0.84905660377358494</v>
      </c>
      <c r="AD264" s="37" t="str">
        <f>LEFT(MIP[[#This Row],[Equipe]], SEARCH("/",MIP[[#This Row],[Equipe]],1)-1)</f>
        <v xml:space="preserve">JOILSON </v>
      </c>
      <c r="AE264" s="37" t="str">
        <f>RIGHT(MIP[[#This Row],[Equipe]], LEN(MIP[[#This Row],[Equipe]])-SEARCH("/",MIP[[#This Row],[Equipe]],1))</f>
        <v xml:space="preserve"> VALDEI</v>
      </c>
      <c r="AF264" s="44">
        <f>COUNTIFS('[1]Tempo parado'!H:H,"&gt;="&amp;MIP[[#This Row],[S.B Sitrack]],'[1]Tempo parado'!I:I,"&lt;="&amp;MIP[[#This Row],[C.B Sitrack]],'[1]Tempo parado'!B:B,MIP[[#This Row],[Placa]])</f>
        <v>0</v>
      </c>
      <c r="AG264" s="36"/>
      <c r="AH264" s="35"/>
      <c r="AI264" s="34"/>
      <c r="AJ264" s="34"/>
      <c r="AK26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6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64" s="32">
        <f>SUMIFS('[1]Tempo parado'!J:J,'[1]Tempo parado'!H:H,"&gt;="&amp;MIP[[#This Row],[S.B Sitrack]],'[1]Tempo parado'!I:I,"&lt;="&amp;MIP[[#This Row],[C.B Sitrack]],'[1]Tempo parado'!B:B,MIP[[#This Row],[Placa]])</f>
        <v>0</v>
      </c>
      <c r="AN264" s="32" t="str">
        <f>IFERROR(MIP[[#This Row],[Tempo parado]]/(MIP[[#This Row],[C.B Sitrack]]-MIP[[#This Row],[S.B Sitrack]]),"")</f>
        <v/>
      </c>
      <c r="AO264" s="30"/>
      <c r="AP264" s="44">
        <f>IF(AND(MIP[Exc]=0,MIP[Previsto / Realizado]="Realizado"),MIP[Sem],0)</f>
        <v>29</v>
      </c>
      <c r="AQ264" s="29">
        <f>IF(AND(MIP[Exc]=0,MIP[Previsto / Realizado]="Realizado",ISBLANK(MIP[[#This Row],[S.B Sitrack]])=FALSE,ISBLANK(MIP[[#This Row],[C.B Sitrack]])=FALSE),MIP[Sem],0)</f>
        <v>0</v>
      </c>
    </row>
    <row r="265" spans="1:44" x14ac:dyDescent="0.25">
      <c r="B265" s="44">
        <f>WEEKNUM(MIP[[#This Row],[Data]])</f>
        <v>29</v>
      </c>
      <c r="C265" s="45">
        <v>42936</v>
      </c>
      <c r="D265" s="45"/>
      <c r="E265" s="35" t="s">
        <v>3</v>
      </c>
      <c r="F265" s="35" t="s">
        <v>5</v>
      </c>
      <c r="G265" s="35"/>
      <c r="H265" s="44">
        <v>2</v>
      </c>
      <c r="I265" s="44">
        <v>6</v>
      </c>
      <c r="J265" s="44">
        <v>3</v>
      </c>
      <c r="K265" s="44">
        <v>0</v>
      </c>
      <c r="L265" s="44">
        <v>0</v>
      </c>
      <c r="M265" s="43">
        <v>0.625</v>
      </c>
      <c r="N265" s="43">
        <v>0.64583333333333337</v>
      </c>
      <c r="O265" s="43">
        <f>1+18/24/60</f>
        <v>1.0125</v>
      </c>
      <c r="P265" s="43">
        <f>1+48/24/60</f>
        <v>1.0333333333333334</v>
      </c>
      <c r="Q265" s="39"/>
      <c r="R265" s="42" t="s">
        <v>374</v>
      </c>
      <c r="S265" s="29">
        <f>MIP[[#This Row],[PT-1]]+MIP[[#This Row],[PT-2]]*2+MIP[[#This Row],[PT-3]]*3+MIP[[#This Row],[PT &gt; 3 Pontos]]</f>
        <v>12</v>
      </c>
      <c r="T26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265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265" s="41">
        <f>MIP[[#This Row],[Eficiência]]</f>
        <v>0.8673274340393905</v>
      </c>
      <c r="W26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65" s="39">
        <f>IF(MIP[[#This Row],[P.S]]-MIP[[#This Row],[P.E]]&lt;0,1+MIP[[#This Row],[P.S]]-MIP[[#This Row],[P.E]]-1/24,MIP[[#This Row],[P.S]]-MIP[[#This Row],[P.E]]-1/24)</f>
        <v>0.36666666666666675</v>
      </c>
      <c r="Y265" s="39">
        <f>MIP[[#This Row],[PT-1]]*$S$3+MIP[[#This Row],[PT-2]]*$T$3+MIP[[#This Row],[PT-3]]*$U$3+MIP[[#This Row],[PT &gt; 3 Pontos]]*$V$3</f>
        <v>0.28188141606280182</v>
      </c>
      <c r="Z265" s="39">
        <f>MIP[[#This Row],[HH disponível]]-MIP[[#This Row],[HH AC TOT]]</f>
        <v>0.3249999999999999</v>
      </c>
      <c r="AA265" s="38">
        <f>MIP[[#This Row],[HH Produtivo
Total]]/MIP[[#This Row],[HH Trabalhado]]</f>
        <v>0.8673274340393905</v>
      </c>
      <c r="AB265" s="38">
        <f>MIP[[#This Row],[HH Produtivo
Total]]/MIP[[#This Row],[HH disponível]]</f>
        <v>0.76876749835309566</v>
      </c>
      <c r="AC265" s="38">
        <f>MIP[[#This Row],[HH Trabalhado]]/MIP[[#This Row],[HH disponível]]</f>
        <v>0.88636363636363591</v>
      </c>
      <c r="AD265" s="37" t="str">
        <f>LEFT(MIP[[#This Row],[Equipe]], SEARCH("/",MIP[[#This Row],[Equipe]],1)-1)</f>
        <v xml:space="preserve">EDILTON </v>
      </c>
      <c r="AE265" s="37" t="str">
        <f>RIGHT(MIP[[#This Row],[Equipe]], LEN(MIP[[#This Row],[Equipe]])-SEARCH("/",MIP[[#This Row],[Equipe]],1))</f>
        <v xml:space="preserve"> GECIVALDO</v>
      </c>
      <c r="AF265" s="44">
        <f>COUNTIFS('[1]Tempo parado'!H:H,"&gt;="&amp;MIP[[#This Row],[S.B Sitrack]],'[1]Tempo parado'!I:I,"&lt;="&amp;MIP[[#This Row],[C.B Sitrack]],'[1]Tempo parado'!B:B,MIP[[#This Row],[Placa]])</f>
        <v>0</v>
      </c>
      <c r="AG265" s="36"/>
      <c r="AH265" s="35"/>
      <c r="AI265" s="34"/>
      <c r="AJ265" s="34"/>
      <c r="AK26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6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65" s="32">
        <f>SUMIFS('[1]Tempo parado'!J:J,'[1]Tempo parado'!H:H,"&gt;="&amp;MIP[[#This Row],[S.B Sitrack]],'[1]Tempo parado'!I:I,"&lt;="&amp;MIP[[#This Row],[C.B Sitrack]],'[1]Tempo parado'!B:B,MIP[[#This Row],[Placa]])</f>
        <v>0</v>
      </c>
      <c r="AN265" s="32" t="str">
        <f>IFERROR(MIP[[#This Row],[Tempo parado]]/(MIP[[#This Row],[C.B Sitrack]]-MIP[[#This Row],[S.B Sitrack]]),"")</f>
        <v/>
      </c>
      <c r="AO265" s="30"/>
      <c r="AP265" s="44">
        <f>IF(AND(MIP[Exc]=0,MIP[Previsto / Realizado]="Realizado"),MIP[Sem],0)</f>
        <v>0</v>
      </c>
      <c r="AQ265" s="29">
        <f>IF(AND(MIP[Exc]=0,MIP[Previsto / Realizado]="Realizado",ISBLANK(MIP[[#This Row],[S.B Sitrack]])=FALSE,ISBLANK(MIP[[#This Row],[C.B Sitrack]])=FALSE),MIP[Sem],0)</f>
        <v>0</v>
      </c>
    </row>
    <row r="266" spans="1:44" x14ac:dyDescent="0.25">
      <c r="B266" s="44">
        <f>WEEKNUM(MIP[[#This Row],[Data]])</f>
        <v>29</v>
      </c>
      <c r="C266" s="45">
        <v>42936</v>
      </c>
      <c r="D266" s="45"/>
      <c r="E266" s="35" t="s">
        <v>3</v>
      </c>
      <c r="F266" s="35" t="s">
        <v>2</v>
      </c>
      <c r="G266" s="35"/>
      <c r="H266" s="44">
        <v>2</v>
      </c>
      <c r="I266" s="44">
        <v>6</v>
      </c>
      <c r="J266" s="44">
        <v>2</v>
      </c>
      <c r="K266" s="44">
        <v>0</v>
      </c>
      <c r="L266" s="44">
        <v>4</v>
      </c>
      <c r="M266" s="43">
        <v>0.62708333333333333</v>
      </c>
      <c r="N266" s="43">
        <v>0.67013888888888884</v>
      </c>
      <c r="O266" s="43">
        <f>1+35/24/60</f>
        <v>1.0243055555555556</v>
      </c>
      <c r="P266" s="43">
        <f>1+52/24/60</f>
        <v>1.0361111111111112</v>
      </c>
      <c r="Q266" s="39"/>
      <c r="R266" s="42" t="s">
        <v>373</v>
      </c>
      <c r="S266" s="29">
        <f>MIP[[#This Row],[PT-1]]+MIP[[#This Row],[PT-2]]*2+MIP[[#This Row],[PT-3]]*3+MIP[[#This Row],[PT &gt; 3 Pontos]]</f>
        <v>14</v>
      </c>
      <c r="T26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5.4861111111111138E-2</v>
      </c>
      <c r="U266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5.4861111111111138E-2</v>
      </c>
      <c r="V266" s="41">
        <f>MIP[[#This Row],[Eficiência]]</f>
        <v>1.0206870191447484</v>
      </c>
      <c r="W26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66" s="39">
        <f>IF(MIP[[#This Row],[P.S]]-MIP[[#This Row],[P.E]]&lt;0,1+MIP[[#This Row],[P.S]]-MIP[[#This Row],[P.E]]-1/24,MIP[[#This Row],[P.S]]-MIP[[#This Row],[P.E]]-1/24)</f>
        <v>0.36736111111111119</v>
      </c>
      <c r="Y266" s="39">
        <f>MIP[[#This Row],[PT-1]]*$S$3+MIP[[#This Row],[PT-2]]*$T$3+MIP[[#This Row],[PT-3]]*$U$3+MIP[[#This Row],[PT &gt; 3 Pontos]]*$V$3</f>
        <v>0.31896469348273393</v>
      </c>
      <c r="Z266" s="39">
        <f>MIP[[#This Row],[HH disponível]]-MIP[[#This Row],[HH AC TOT]]</f>
        <v>0.31250000000000006</v>
      </c>
      <c r="AA266" s="38">
        <f>MIP[[#This Row],[HH Produtivo
Total]]/MIP[[#This Row],[HH Trabalhado]]</f>
        <v>1.0206870191447484</v>
      </c>
      <c r="AB266" s="38">
        <f>MIP[[#This Row],[HH Produtivo
Total]]/MIP[[#This Row],[HH disponível]]</f>
        <v>0.86825927904562716</v>
      </c>
      <c r="AC266" s="38">
        <f>MIP[[#This Row],[HH Trabalhado]]/MIP[[#This Row],[HH disponível]]</f>
        <v>0.85066162570888459</v>
      </c>
      <c r="AD266" s="37" t="str">
        <f>LEFT(MIP[[#This Row],[Equipe]], SEARCH("/",MIP[[#This Row],[Equipe]],1)-1)</f>
        <v xml:space="preserve">EDILTON </v>
      </c>
      <c r="AE266" s="37" t="str">
        <f>RIGHT(MIP[[#This Row],[Equipe]], LEN(MIP[[#This Row],[Equipe]])-SEARCH("/",MIP[[#This Row],[Equipe]],1))</f>
        <v xml:space="preserve"> GECIVALDO</v>
      </c>
      <c r="AF266" s="44">
        <f>COUNTIFS('[1]Tempo parado'!H:H,"&gt;="&amp;MIP[[#This Row],[S.B Sitrack]],'[1]Tempo parado'!I:I,"&lt;="&amp;MIP[[#This Row],[C.B Sitrack]],'[1]Tempo parado'!B:B,MIP[[#This Row],[Placa]])</f>
        <v>0</v>
      </c>
      <c r="AG266" s="36"/>
      <c r="AH266" s="35"/>
      <c r="AI266" s="34"/>
      <c r="AJ266" s="34"/>
      <c r="AK26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6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66" s="32">
        <f>SUMIFS('[1]Tempo parado'!J:J,'[1]Tempo parado'!H:H,"&gt;="&amp;MIP[[#This Row],[S.B Sitrack]],'[1]Tempo parado'!I:I,"&lt;="&amp;MIP[[#This Row],[C.B Sitrack]],'[1]Tempo parado'!B:B,MIP[[#This Row],[Placa]])</f>
        <v>0</v>
      </c>
      <c r="AN266" s="32" t="str">
        <f>IFERROR(MIP[[#This Row],[Tempo parado]]/(MIP[[#This Row],[C.B Sitrack]]-MIP[[#This Row],[S.B Sitrack]]),"")</f>
        <v/>
      </c>
      <c r="AO266" s="30"/>
      <c r="AP266" s="44">
        <f>IF(AND(MIP[Exc]=0,MIP[Previsto / Realizado]="Realizado"),MIP[Sem],0)</f>
        <v>29</v>
      </c>
      <c r="AQ266" s="29">
        <f>IF(AND(MIP[Exc]=0,MIP[Previsto / Realizado]="Realizado",ISBLANK(MIP[[#This Row],[S.B Sitrack]])=FALSE,ISBLANK(MIP[[#This Row],[C.B Sitrack]])=FALSE),MIP[Sem],0)</f>
        <v>0</v>
      </c>
    </row>
    <row r="267" spans="1:44" x14ac:dyDescent="0.25">
      <c r="B267" s="44">
        <f>WEEKNUM(MIP[[#This Row],[Data]])</f>
        <v>29</v>
      </c>
      <c r="C267" s="45">
        <v>42936</v>
      </c>
      <c r="D267" s="45"/>
      <c r="E267" s="35" t="s">
        <v>156</v>
      </c>
      <c r="F267" s="35" t="s">
        <v>5</v>
      </c>
      <c r="G267" s="35"/>
      <c r="H267" s="44">
        <v>2</v>
      </c>
      <c r="I267" s="44">
        <v>0</v>
      </c>
      <c r="J267" s="44">
        <v>0</v>
      </c>
      <c r="K267" s="44">
        <v>0</v>
      </c>
      <c r="L267" s="44">
        <v>9</v>
      </c>
      <c r="M267" s="43">
        <v>0.625</v>
      </c>
      <c r="N267" s="43">
        <v>0.64583333333333337</v>
      </c>
      <c r="O267" s="43">
        <f>1+18/24/60</f>
        <v>1.0125</v>
      </c>
      <c r="P267" s="43">
        <f>1+48/24/60</f>
        <v>1.0333333333333334</v>
      </c>
      <c r="Q267" s="39"/>
      <c r="R267" s="42" t="s">
        <v>372</v>
      </c>
      <c r="S267" s="29">
        <f>MIP[[#This Row],[PT-1]]+MIP[[#This Row],[PT-2]]*2+MIP[[#This Row],[PT-3]]*3+MIP[[#This Row],[PT &gt; 3 Pontos]]</f>
        <v>9</v>
      </c>
      <c r="T26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267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267" s="41">
        <f>MIP[[#This Row],[Eficiência]]</f>
        <v>0.56071414746686532</v>
      </c>
      <c r="W26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67" s="39">
        <f>IF(MIP[[#This Row],[P.S]]-MIP[[#This Row],[P.E]]&lt;0,1+MIP[[#This Row],[P.S]]-MIP[[#This Row],[P.E]]-1/24,MIP[[#This Row],[P.S]]-MIP[[#This Row],[P.E]]-1/24)</f>
        <v>0.36666666666666675</v>
      </c>
      <c r="Y267" s="39">
        <f>MIP[[#This Row],[PT-1]]*$S$3+MIP[[#This Row],[PT-2]]*$T$3+MIP[[#This Row],[PT-3]]*$U$3+MIP[[#This Row],[PT &gt; 3 Pontos]]*$V$3</f>
        <v>0.18223209792673117</v>
      </c>
      <c r="Z267" s="39">
        <f>MIP[[#This Row],[HH disponível]]-MIP[[#This Row],[HH AC TOT]]</f>
        <v>0.3249999999999999</v>
      </c>
      <c r="AA267" s="38">
        <f>MIP[[#This Row],[HH Produtivo
Total]]/MIP[[#This Row],[HH Trabalhado]]</f>
        <v>0.56071414746686532</v>
      </c>
      <c r="AB267" s="38">
        <f>MIP[[#This Row],[HH Produtivo
Total]]/MIP[[#This Row],[HH disponível]]</f>
        <v>0.4969966307092667</v>
      </c>
      <c r="AC267" s="38">
        <f>MIP[[#This Row],[HH Trabalhado]]/MIP[[#This Row],[HH disponível]]</f>
        <v>0.88636363636363591</v>
      </c>
      <c r="AD267" s="37" t="str">
        <f>LEFT(MIP[[#This Row],[Equipe]], SEARCH("/",MIP[[#This Row],[Equipe]],1)-1)</f>
        <v xml:space="preserve">ADEMÁRIO </v>
      </c>
      <c r="AE267" s="37" t="str">
        <f>RIGHT(MIP[[#This Row],[Equipe]], LEN(MIP[[#This Row],[Equipe]])-SEARCH("/",MIP[[#This Row],[Equipe]],1))</f>
        <v xml:space="preserve"> MARCO</v>
      </c>
      <c r="AF267" s="44">
        <f>COUNTIFS('[1]Tempo parado'!H:H,"&gt;="&amp;MIP[[#This Row],[S.B Sitrack]],'[1]Tempo parado'!I:I,"&lt;="&amp;MIP[[#This Row],[C.B Sitrack]],'[1]Tempo parado'!B:B,MIP[[#This Row],[Placa]])</f>
        <v>0</v>
      </c>
      <c r="AG267" s="36"/>
      <c r="AH267" s="35"/>
      <c r="AI267" s="34"/>
      <c r="AJ267" s="34"/>
      <c r="AK26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6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67" s="32">
        <f>SUMIFS('[1]Tempo parado'!J:J,'[1]Tempo parado'!H:H,"&gt;="&amp;MIP[[#This Row],[S.B Sitrack]],'[1]Tempo parado'!I:I,"&lt;="&amp;MIP[[#This Row],[C.B Sitrack]],'[1]Tempo parado'!B:B,MIP[[#This Row],[Placa]])</f>
        <v>0</v>
      </c>
      <c r="AN267" s="32" t="str">
        <f>IFERROR(MIP[[#This Row],[Tempo parado]]/(MIP[[#This Row],[C.B Sitrack]]-MIP[[#This Row],[S.B Sitrack]]),"")</f>
        <v/>
      </c>
      <c r="AO267" s="30"/>
      <c r="AP267" s="44">
        <f>IF(AND(MIP[Exc]=0,MIP[Previsto / Realizado]="Realizado"),MIP[Sem],0)</f>
        <v>0</v>
      </c>
      <c r="AQ267" s="29">
        <f>IF(AND(MIP[Exc]=0,MIP[Previsto / Realizado]="Realizado",ISBLANK(MIP[[#This Row],[S.B Sitrack]])=FALSE,ISBLANK(MIP[[#This Row],[C.B Sitrack]])=FALSE),MIP[Sem],0)</f>
        <v>0</v>
      </c>
    </row>
    <row r="268" spans="1:44" x14ac:dyDescent="0.25">
      <c r="B268" s="44">
        <f>WEEKNUM(MIP[[#This Row],[Data]])</f>
        <v>29</v>
      </c>
      <c r="C268" s="45">
        <v>42936</v>
      </c>
      <c r="D268" s="45"/>
      <c r="E268" s="35" t="s">
        <v>156</v>
      </c>
      <c r="F268" s="35" t="s">
        <v>2</v>
      </c>
      <c r="G268" s="35"/>
      <c r="H268" s="44">
        <v>2</v>
      </c>
      <c r="I268" s="44">
        <v>0</v>
      </c>
      <c r="J268" s="44">
        <v>0</v>
      </c>
      <c r="K268" s="44">
        <v>0</v>
      </c>
      <c r="L268" s="44">
        <v>11</v>
      </c>
      <c r="M268" s="43">
        <v>0.66249999999999998</v>
      </c>
      <c r="N268" s="43">
        <v>0.68611111111111101</v>
      </c>
      <c r="O268" s="43">
        <f>1+(60+36)/24/60</f>
        <v>1.0666666666666667</v>
      </c>
      <c r="P268" s="43">
        <f>1+(60+48)/24/60</f>
        <v>1.075</v>
      </c>
      <c r="Q268" s="39"/>
      <c r="R268" s="42" t="s">
        <v>371</v>
      </c>
      <c r="S268" s="29">
        <f>MIP[[#This Row],[PT-1]]+MIP[[#This Row],[PT-2]]*2+MIP[[#This Row],[PT-3]]*3+MIP[[#This Row],[PT &gt; 3 Pontos]]</f>
        <v>11</v>
      </c>
      <c r="T26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3.1944444444444331E-2</v>
      </c>
      <c r="U268" s="39">
        <f>IF(MIP[[#This Row],[P.S]]-MIP[[#This Row],[U.P]]&gt;=0,MIP[[#This Row],[P.S]]-MIP[[#This Row],[U.P]]+MIP[[#This Row],[S.B]]-MIP[[#This Row],[P.E]],1+MIP[[#This Row],[P.S]]-MIP[[#This Row],[U.P]]+MIP[[#This Row],[S.B]]-MIP[[#This Row],[P.E]])</f>
        <v>3.1944444444444331E-2</v>
      </c>
      <c r="V268" s="41">
        <f>MIP[[#This Row],[Eficiência]]</f>
        <v>0.65723051711280089</v>
      </c>
      <c r="W26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68" s="39">
        <f>IF(MIP[[#This Row],[P.S]]-MIP[[#This Row],[P.E]]&lt;0,1+MIP[[#This Row],[P.S]]-MIP[[#This Row],[P.E]]-1/24,MIP[[#This Row],[P.S]]-MIP[[#This Row],[P.E]]-1/24)</f>
        <v>0.37083333333333329</v>
      </c>
      <c r="Y268" s="39">
        <f>MIP[[#This Row],[PT-1]]*$S$3+MIP[[#This Row],[PT-2]]*$T$3+MIP[[#This Row],[PT-3]]*$U$3+MIP[[#This Row],[PT &gt; 3 Pontos]]*$V$3</f>
        <v>0.22272811968822701</v>
      </c>
      <c r="Z268" s="39">
        <f>MIP[[#This Row],[HH disponível]]-MIP[[#This Row],[HH AC TOT]]</f>
        <v>0.33888888888888896</v>
      </c>
      <c r="AA268" s="38">
        <f>MIP[[#This Row],[HH Produtivo
Total]]/MIP[[#This Row],[HH Trabalhado]]</f>
        <v>0.65723051711280089</v>
      </c>
      <c r="AB268" s="38">
        <f>MIP[[#This Row],[HH Produtivo
Total]]/MIP[[#This Row],[HH disponível]]</f>
        <v>0.60061515421544365</v>
      </c>
      <c r="AC268" s="38">
        <f>MIP[[#This Row],[HH Trabalhado]]/MIP[[#This Row],[HH disponível]]</f>
        <v>0.91385767790262207</v>
      </c>
      <c r="AD268" s="37" t="str">
        <f>LEFT(MIP[[#This Row],[Equipe]], SEARCH("/",MIP[[#This Row],[Equipe]],1)-1)</f>
        <v xml:space="preserve">ADEMÁRIO </v>
      </c>
      <c r="AE268" s="37" t="str">
        <f>RIGHT(MIP[[#This Row],[Equipe]], LEN(MIP[[#This Row],[Equipe]])-SEARCH("/",MIP[[#This Row],[Equipe]],1))</f>
        <v xml:space="preserve"> MARCO</v>
      </c>
      <c r="AF268" s="44">
        <f>COUNTIFS('[1]Tempo parado'!H:H,"&gt;="&amp;MIP[[#This Row],[S.B Sitrack]],'[1]Tempo parado'!I:I,"&lt;="&amp;MIP[[#This Row],[C.B Sitrack]],'[1]Tempo parado'!B:B,MIP[[#This Row],[Placa]])</f>
        <v>0</v>
      </c>
      <c r="AG268" s="36"/>
      <c r="AH268" s="35"/>
      <c r="AI268" s="34"/>
      <c r="AJ268" s="34"/>
      <c r="AK26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6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68" s="32">
        <f>SUMIFS('[1]Tempo parado'!J:J,'[1]Tempo parado'!H:H,"&gt;="&amp;MIP[[#This Row],[S.B Sitrack]],'[1]Tempo parado'!I:I,"&lt;="&amp;MIP[[#This Row],[C.B Sitrack]],'[1]Tempo parado'!B:B,MIP[[#This Row],[Placa]])</f>
        <v>0</v>
      </c>
      <c r="AN268" s="32" t="str">
        <f>IFERROR(MIP[[#This Row],[Tempo parado]]/(MIP[[#This Row],[C.B Sitrack]]-MIP[[#This Row],[S.B Sitrack]]),"")</f>
        <v/>
      </c>
      <c r="AO268" s="30"/>
      <c r="AP268" s="44">
        <f>IF(AND(MIP[Exc]=0,MIP[Previsto / Realizado]="Realizado"),MIP[Sem],0)</f>
        <v>29</v>
      </c>
      <c r="AQ268" s="29">
        <f>IF(AND(MIP[Exc]=0,MIP[Previsto / Realizado]="Realizado",ISBLANK(MIP[[#This Row],[S.B Sitrack]])=FALSE,ISBLANK(MIP[[#This Row],[C.B Sitrack]])=FALSE),MIP[Sem],0)</f>
        <v>0</v>
      </c>
    </row>
    <row r="269" spans="1:44" x14ac:dyDescent="0.25">
      <c r="B269" s="44">
        <f>WEEKNUM(MIP[[#This Row],[Data]])</f>
        <v>29</v>
      </c>
      <c r="C269" s="45">
        <v>42937</v>
      </c>
      <c r="D269" s="45"/>
      <c r="E269" s="35" t="s">
        <v>10</v>
      </c>
      <c r="F269" s="35" t="s">
        <v>5</v>
      </c>
      <c r="G269" s="35"/>
      <c r="H269" s="44">
        <v>2</v>
      </c>
      <c r="I269" s="44">
        <v>2</v>
      </c>
      <c r="J269" s="44">
        <v>1</v>
      </c>
      <c r="K269" s="44">
        <v>0</v>
      </c>
      <c r="L269" s="44">
        <v>5</v>
      </c>
      <c r="M269" s="43">
        <v>0.25</v>
      </c>
      <c r="N269" s="43">
        <v>0.27083333333333331</v>
      </c>
      <c r="O269" s="43">
        <v>0.63750000000000007</v>
      </c>
      <c r="P269" s="43">
        <v>0.65833333333333333</v>
      </c>
      <c r="Q269" s="39"/>
      <c r="R269" s="42"/>
      <c r="S269" s="29">
        <f>MIP[[#This Row],[PT-1]]+MIP[[#This Row],[PT-2]]*2+MIP[[#This Row],[PT-3]]*3+MIP[[#This Row],[PT &gt; 3 Pontos]]</f>
        <v>9</v>
      </c>
      <c r="T26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269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269" s="41">
        <f>MIP[[#This Row],[Eficiência]]</f>
        <v>0.60061700438361054</v>
      </c>
      <c r="W26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69" s="39">
        <f>IF(MIP[[#This Row],[P.S]]-MIP[[#This Row],[P.E]]&lt;0,1+MIP[[#This Row],[P.S]]-MIP[[#This Row],[P.E]]-1/24,MIP[[#This Row],[P.S]]-MIP[[#This Row],[P.E]]-1/24)</f>
        <v>0.36666666666666664</v>
      </c>
      <c r="Y269" s="39">
        <f>MIP[[#This Row],[PT-1]]*$S$3+MIP[[#This Row],[PT-2]]*$T$3+MIP[[#This Row],[PT-3]]*$U$3+MIP[[#This Row],[PT &gt; 3 Pontos]]*$V$3</f>
        <v>0.19520052642467348</v>
      </c>
      <c r="Z269" s="39">
        <f>MIP[[#This Row],[HH disponível]]-MIP[[#This Row],[HH AC TOT]]</f>
        <v>0.32500000000000007</v>
      </c>
      <c r="AA269" s="38">
        <f>MIP[[#This Row],[HH Produtivo
Total]]/MIP[[#This Row],[HH Trabalhado]]</f>
        <v>0.60061700438361054</v>
      </c>
      <c r="AB269" s="38">
        <f>MIP[[#This Row],[HH Produtivo
Total]]/MIP[[#This Row],[HH disponível]]</f>
        <v>0.53236507206729133</v>
      </c>
      <c r="AC269" s="38">
        <f>MIP[[#This Row],[HH Trabalhado]]/MIP[[#This Row],[HH disponível]]</f>
        <v>0.88636363636363658</v>
      </c>
      <c r="AD269" s="37" t="str">
        <f>LEFT(MIP[[#This Row],[Equipe]], SEARCH("/",MIP[[#This Row],[Equipe]],1)-1)</f>
        <v xml:space="preserve">JOILSON </v>
      </c>
      <c r="AE269" s="37" t="str">
        <f>RIGHT(MIP[[#This Row],[Equipe]], LEN(MIP[[#This Row],[Equipe]])-SEARCH("/",MIP[[#This Row],[Equipe]],1))</f>
        <v xml:space="preserve"> VALDEI</v>
      </c>
      <c r="AF269" s="44">
        <f>COUNTIFS('[1]Tempo parado'!H:H,"&gt;="&amp;MIP[[#This Row],[S.B Sitrack]],'[1]Tempo parado'!I:I,"&lt;="&amp;MIP[[#This Row],[C.B Sitrack]],'[1]Tempo parado'!B:B,MIP[[#This Row],[Placa]])</f>
        <v>0</v>
      </c>
      <c r="AG269" s="36"/>
      <c r="AH269" s="35"/>
      <c r="AI269" s="34"/>
      <c r="AJ269" s="34"/>
      <c r="AK26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6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69" s="32">
        <f>SUMIFS('[1]Tempo parado'!J:J,'[1]Tempo parado'!H:H,"&gt;="&amp;MIP[[#This Row],[S.B Sitrack]],'[1]Tempo parado'!I:I,"&lt;="&amp;MIP[[#This Row],[C.B Sitrack]],'[1]Tempo parado'!B:B,MIP[[#This Row],[Placa]])</f>
        <v>0</v>
      </c>
      <c r="AN269" s="32" t="str">
        <f>IFERROR(MIP[[#This Row],[Tempo parado]]/(MIP[[#This Row],[C.B Sitrack]]-MIP[[#This Row],[S.B Sitrack]]),"")</f>
        <v/>
      </c>
      <c r="AO269" s="30"/>
      <c r="AP269" s="44">
        <f>IF(AND(MIP[Exc]=0,MIP[Previsto / Realizado]="Realizado"),MIP[Sem],0)</f>
        <v>0</v>
      </c>
      <c r="AQ269" s="29">
        <f>IF(AND(MIP[Exc]=0,MIP[Previsto / Realizado]="Realizado",ISBLANK(MIP[[#This Row],[S.B Sitrack]])=FALSE,ISBLANK(MIP[[#This Row],[C.B Sitrack]])=FALSE),MIP[Sem],0)</f>
        <v>0</v>
      </c>
    </row>
    <row r="270" spans="1:44" x14ac:dyDescent="0.25">
      <c r="B270" s="44">
        <f>WEEKNUM(MIP[[#This Row],[Data]])</f>
        <v>29</v>
      </c>
      <c r="C270" s="45">
        <v>42937</v>
      </c>
      <c r="D270" s="45"/>
      <c r="E270" s="35" t="s">
        <v>10</v>
      </c>
      <c r="F270" s="35" t="s">
        <v>2</v>
      </c>
      <c r="G270" s="35"/>
      <c r="H270" s="44">
        <v>2</v>
      </c>
      <c r="I270" s="44">
        <v>1</v>
      </c>
      <c r="J270" s="44">
        <v>1</v>
      </c>
      <c r="K270" s="44">
        <v>0</v>
      </c>
      <c r="L270" s="44">
        <v>6</v>
      </c>
      <c r="M270" s="43">
        <v>0.25208333333333333</v>
      </c>
      <c r="N270" s="43">
        <v>0.28194444444444444</v>
      </c>
      <c r="O270" s="43">
        <v>0.69861111111111107</v>
      </c>
      <c r="P270" s="43">
        <v>0.70416666666666661</v>
      </c>
      <c r="Q270" s="39"/>
      <c r="R270" s="42" t="s">
        <v>370</v>
      </c>
      <c r="S270" s="29">
        <f>MIP[[#This Row],[PT-1]]+MIP[[#This Row],[PT-2]]*2+MIP[[#This Row],[PT-3]]*3+MIP[[#This Row],[PT &gt; 3 Pontos]]</f>
        <v>9</v>
      </c>
      <c r="T27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3.5416666666666652E-2</v>
      </c>
      <c r="U270" s="39">
        <f>IF(MIP[[#This Row],[P.S]]-MIP[[#This Row],[U.P]]&gt;=0,MIP[[#This Row],[P.S]]-MIP[[#This Row],[U.P]]+MIP[[#This Row],[S.B]]-MIP[[#This Row],[P.E]],1+MIP[[#This Row],[P.S]]-MIP[[#This Row],[U.P]]+MIP[[#This Row],[S.B]]-MIP[[#This Row],[P.E]])</f>
        <v>3.5416666666666652E-2</v>
      </c>
      <c r="V270" s="41">
        <f>MIP[[#This Row],[Eficiência]]</f>
        <v>0.50779382492395808</v>
      </c>
      <c r="W27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70" s="39">
        <f>IF(MIP[[#This Row],[P.S]]-MIP[[#This Row],[P.E]]&lt;0,1+MIP[[#This Row],[P.S]]-MIP[[#This Row],[P.E]]-1/24,MIP[[#This Row],[P.S]]-MIP[[#This Row],[P.E]]-1/24)</f>
        <v>0.4104166666666666</v>
      </c>
      <c r="Y270" s="39">
        <f>MIP[[#This Row],[PT-1]]*$S$3+MIP[[#This Row],[PT-2]]*$T$3+MIP[[#This Row],[PT-3]]*$U$3+MIP[[#This Row],[PT &gt; 3 Pontos]]*$V$3</f>
        <v>0.19042268434648424</v>
      </c>
      <c r="Z270" s="39">
        <f>MIP[[#This Row],[HH disponível]]-MIP[[#This Row],[HH AC TOT]]</f>
        <v>0.37499999999999994</v>
      </c>
      <c r="AA270" s="38">
        <f>MIP[[#This Row],[HH Produtivo
Total]]/MIP[[#This Row],[HH Trabalhado]]</f>
        <v>0.50779382492395808</v>
      </c>
      <c r="AB270" s="38">
        <f>MIP[[#This Row],[HH Produtivo
Total]]/MIP[[#This Row],[HH disponível]]</f>
        <v>0.46397405323001245</v>
      </c>
      <c r="AC270" s="38">
        <f>MIP[[#This Row],[HH Trabalhado]]/MIP[[#This Row],[HH disponível]]</f>
        <v>0.91370558375634525</v>
      </c>
      <c r="AD270" s="37" t="str">
        <f>LEFT(MIP[[#This Row],[Equipe]], SEARCH("/",MIP[[#This Row],[Equipe]],1)-1)</f>
        <v xml:space="preserve">JOILSON </v>
      </c>
      <c r="AE270" s="37" t="str">
        <f>RIGHT(MIP[[#This Row],[Equipe]], LEN(MIP[[#This Row],[Equipe]])-SEARCH("/",MIP[[#This Row],[Equipe]],1))</f>
        <v xml:space="preserve"> VALDEI</v>
      </c>
      <c r="AF270" s="44">
        <f>COUNTIFS('[1]Tempo parado'!H:H,"&gt;="&amp;MIP[[#This Row],[S.B Sitrack]],'[1]Tempo parado'!I:I,"&lt;="&amp;MIP[[#This Row],[C.B Sitrack]],'[1]Tempo parado'!B:B,MIP[[#This Row],[Placa]])</f>
        <v>0</v>
      </c>
      <c r="AG270" s="36"/>
      <c r="AH270" s="35"/>
      <c r="AI270" s="34"/>
      <c r="AJ270" s="34"/>
      <c r="AK27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7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70" s="32">
        <f>SUMIFS('[1]Tempo parado'!J:J,'[1]Tempo parado'!H:H,"&gt;="&amp;MIP[[#This Row],[S.B Sitrack]],'[1]Tempo parado'!I:I,"&lt;="&amp;MIP[[#This Row],[C.B Sitrack]],'[1]Tempo parado'!B:B,MIP[[#This Row],[Placa]])</f>
        <v>0</v>
      </c>
      <c r="AN270" s="32" t="str">
        <f>IFERROR(MIP[[#This Row],[Tempo parado]]/(MIP[[#This Row],[C.B Sitrack]]-MIP[[#This Row],[S.B Sitrack]]),"")</f>
        <v/>
      </c>
      <c r="AO270" s="30"/>
      <c r="AP270" s="44">
        <f>IF(AND(MIP[Exc]=0,MIP[Previsto / Realizado]="Realizado"),MIP[Sem],0)</f>
        <v>29</v>
      </c>
      <c r="AQ270" s="29">
        <f>IF(AND(MIP[Exc]=0,MIP[Previsto / Realizado]="Realizado",ISBLANK(MIP[[#This Row],[S.B Sitrack]])=FALSE,ISBLANK(MIP[[#This Row],[C.B Sitrack]])=FALSE),MIP[Sem],0)</f>
        <v>0</v>
      </c>
    </row>
    <row r="271" spans="1:44" x14ac:dyDescent="0.25">
      <c r="B271" s="44">
        <f>WEEKNUM(MIP[[#This Row],[Data]])</f>
        <v>29</v>
      </c>
      <c r="C271" s="45">
        <v>42937</v>
      </c>
      <c r="D271" s="45"/>
      <c r="E271" s="35" t="s">
        <v>3</v>
      </c>
      <c r="F271" s="35" t="s">
        <v>5</v>
      </c>
      <c r="G271" s="35"/>
      <c r="H271" s="44">
        <v>2</v>
      </c>
      <c r="I271" s="44">
        <v>8</v>
      </c>
      <c r="J271" s="44">
        <v>1</v>
      </c>
      <c r="K271" s="44">
        <v>0</v>
      </c>
      <c r="L271" s="44">
        <v>0</v>
      </c>
      <c r="M271" s="43">
        <v>0.625</v>
      </c>
      <c r="N271" s="43">
        <v>0.64583333333333337</v>
      </c>
      <c r="O271" s="43">
        <f>1+18/24/60</f>
        <v>1.0125</v>
      </c>
      <c r="P271" s="43">
        <f>1+48/24/60</f>
        <v>1.0333333333333334</v>
      </c>
      <c r="Q271" s="39"/>
      <c r="R271" s="42" t="s">
        <v>369</v>
      </c>
      <c r="S271" s="29">
        <f>MIP[[#This Row],[PT-1]]+MIP[[#This Row],[PT-2]]*2+MIP[[#This Row],[PT-3]]*3+MIP[[#This Row],[PT &gt; 3 Pontos]]</f>
        <v>10</v>
      </c>
      <c r="T27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271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271" s="41">
        <f>MIP[[#This Row],[Eficiência]]</f>
        <v>0.75112489161402185</v>
      </c>
      <c r="W27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71" s="39">
        <f>IF(MIP[[#This Row],[P.S]]-MIP[[#This Row],[P.E]]&lt;0,1+MIP[[#This Row],[P.S]]-MIP[[#This Row],[P.E]]-1/24,MIP[[#This Row],[P.S]]-MIP[[#This Row],[P.E]]-1/24)</f>
        <v>0.36666666666666675</v>
      </c>
      <c r="Y271" s="39">
        <f>MIP[[#This Row],[PT-1]]*$S$3+MIP[[#This Row],[PT-2]]*$T$3+MIP[[#This Row],[PT-3]]*$U$3+MIP[[#This Row],[PT &gt; 3 Pontos]]*$V$3</f>
        <v>0.24411558977455702</v>
      </c>
      <c r="Z271" s="39">
        <f>MIP[[#This Row],[HH disponível]]-MIP[[#This Row],[HH AC TOT]]</f>
        <v>0.3249999999999999</v>
      </c>
      <c r="AA271" s="38">
        <f>MIP[[#This Row],[HH Produtivo
Total]]/MIP[[#This Row],[HH Trabalhado]]</f>
        <v>0.75112489161402185</v>
      </c>
      <c r="AB271" s="38">
        <f>MIP[[#This Row],[HH Produtivo
Total]]/MIP[[#This Row],[HH disponível]]</f>
        <v>0.66576979029424632</v>
      </c>
      <c r="AC271" s="38">
        <f>MIP[[#This Row],[HH Trabalhado]]/MIP[[#This Row],[HH disponível]]</f>
        <v>0.88636363636363591</v>
      </c>
      <c r="AD271" s="37" t="str">
        <f>LEFT(MIP[[#This Row],[Equipe]], SEARCH("/",MIP[[#This Row],[Equipe]],1)-1)</f>
        <v xml:space="preserve">EDILTON </v>
      </c>
      <c r="AE271" s="37" t="str">
        <f>RIGHT(MIP[[#This Row],[Equipe]], LEN(MIP[[#This Row],[Equipe]])-SEARCH("/",MIP[[#This Row],[Equipe]],1))</f>
        <v xml:space="preserve"> GECIVALDO</v>
      </c>
      <c r="AF271" s="44">
        <f>COUNTIFS('[1]Tempo parado'!H:H,"&gt;="&amp;MIP[[#This Row],[S.B Sitrack]],'[1]Tempo parado'!I:I,"&lt;="&amp;MIP[[#This Row],[C.B Sitrack]],'[1]Tempo parado'!B:B,MIP[[#This Row],[Placa]])</f>
        <v>0</v>
      </c>
      <c r="AG271" s="36"/>
      <c r="AH271" s="35"/>
      <c r="AI271" s="34"/>
      <c r="AJ271" s="34"/>
      <c r="AK27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7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71" s="32">
        <f>SUMIFS('[1]Tempo parado'!J:J,'[1]Tempo parado'!H:H,"&gt;="&amp;MIP[[#This Row],[S.B Sitrack]],'[1]Tempo parado'!I:I,"&lt;="&amp;MIP[[#This Row],[C.B Sitrack]],'[1]Tempo parado'!B:B,MIP[[#This Row],[Placa]])</f>
        <v>0</v>
      </c>
      <c r="AN271" s="32" t="str">
        <f>IFERROR(MIP[[#This Row],[Tempo parado]]/(MIP[[#This Row],[C.B Sitrack]]-MIP[[#This Row],[S.B Sitrack]]),"")</f>
        <v/>
      </c>
      <c r="AO271" s="30"/>
      <c r="AP271" s="44">
        <f>IF(AND(MIP[Exc]=0,MIP[Previsto / Realizado]="Realizado"),MIP[Sem],0)</f>
        <v>0</v>
      </c>
      <c r="AQ271" s="29">
        <f>IF(AND(MIP[Exc]=0,MIP[Previsto / Realizado]="Realizado",ISBLANK(MIP[[#This Row],[S.B Sitrack]])=FALSE,ISBLANK(MIP[[#This Row],[C.B Sitrack]])=FALSE),MIP[Sem],0)</f>
        <v>0</v>
      </c>
      <c r="AR271" s="1" t="s">
        <v>368</v>
      </c>
    </row>
    <row r="272" spans="1:44" x14ac:dyDescent="0.25">
      <c r="B272" s="44">
        <f>WEEKNUM(MIP[[#This Row],[Data]])</f>
        <v>29</v>
      </c>
      <c r="C272" s="45">
        <v>42937</v>
      </c>
      <c r="D272" s="45"/>
      <c r="E272" s="35" t="s">
        <v>3</v>
      </c>
      <c r="F272" s="35" t="s">
        <v>2</v>
      </c>
      <c r="G272" s="35"/>
      <c r="H272" s="44">
        <v>2</v>
      </c>
      <c r="I272" s="44">
        <v>6</v>
      </c>
      <c r="J272" s="44">
        <v>1</v>
      </c>
      <c r="K272" s="44">
        <v>0</v>
      </c>
      <c r="L272" s="44">
        <v>5</v>
      </c>
      <c r="M272" s="43">
        <v>0.62638888888888888</v>
      </c>
      <c r="N272" s="43">
        <v>0.67361111111111116</v>
      </c>
      <c r="O272" s="43">
        <f>1+20/24/60</f>
        <v>1.0138888888888888</v>
      </c>
      <c r="P272" s="43">
        <f>1+54/24/60</f>
        <v>1.0375000000000001</v>
      </c>
      <c r="Q272" s="39"/>
      <c r="R272" s="42" t="s">
        <v>367</v>
      </c>
      <c r="S272" s="29">
        <f>MIP[[#This Row],[PT-1]]+MIP[[#This Row],[PT-2]]*2+MIP[[#This Row],[PT-3]]*3+MIP[[#This Row],[PT &gt; 3 Pontos]]</f>
        <v>13</v>
      </c>
      <c r="T27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7.0833333333333526E-2</v>
      </c>
      <c r="U272" s="39">
        <f>IF(MIP[[#This Row],[P.S]]-MIP[[#This Row],[U.P]]&gt;=0,MIP[[#This Row],[P.S]]-MIP[[#This Row],[U.P]]+MIP[[#This Row],[S.B]]-MIP[[#This Row],[P.E]],1+MIP[[#This Row],[P.S]]-MIP[[#This Row],[U.P]]+MIP[[#This Row],[S.B]]-MIP[[#This Row],[P.E]])</f>
        <v>7.0833333333333526E-2</v>
      </c>
      <c r="V272" s="41">
        <f>MIP[[#This Row],[Eficiência]]</f>
        <v>0.98892481650001895</v>
      </c>
      <c r="W27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72" s="39">
        <f>IF(MIP[[#This Row],[P.S]]-MIP[[#This Row],[P.E]]&lt;0,1+MIP[[#This Row],[P.S]]-MIP[[#This Row],[P.E]]-1/24,MIP[[#This Row],[P.S]]-MIP[[#This Row],[P.E]]-1/24)</f>
        <v>0.36944444444444452</v>
      </c>
      <c r="Y272" s="39">
        <f>MIP[[#This Row],[PT-1]]*$S$3+MIP[[#This Row],[PT-2]]*$T$3+MIP[[#This Row],[PT-3]]*$U$3+MIP[[#This Row],[PT &gt; 3 Pontos]]*$V$3</f>
        <v>0.29530393826042223</v>
      </c>
      <c r="Z272" s="39">
        <f>MIP[[#This Row],[HH disponível]]-MIP[[#This Row],[HH AC TOT]]</f>
        <v>0.29861111111111099</v>
      </c>
      <c r="AA272" s="38">
        <f>MIP[[#This Row],[HH Produtivo
Total]]/MIP[[#This Row],[HH Trabalhado]]</f>
        <v>0.98892481650001895</v>
      </c>
      <c r="AB272" s="38">
        <f>MIP[[#This Row],[HH Produtivo
Total]]/MIP[[#This Row],[HH disponível]]</f>
        <v>0.79931893062971415</v>
      </c>
      <c r="AC272" s="38">
        <f>MIP[[#This Row],[HH Trabalhado]]/MIP[[#This Row],[HH disponível]]</f>
        <v>0.80827067669172881</v>
      </c>
      <c r="AD272" s="37" t="str">
        <f>LEFT(MIP[[#This Row],[Equipe]], SEARCH("/",MIP[[#This Row],[Equipe]],1)-1)</f>
        <v xml:space="preserve">EDILTON </v>
      </c>
      <c r="AE272" s="37" t="str">
        <f>RIGHT(MIP[[#This Row],[Equipe]], LEN(MIP[[#This Row],[Equipe]])-SEARCH("/",MIP[[#This Row],[Equipe]],1))</f>
        <v xml:space="preserve"> GECIVALDO</v>
      </c>
      <c r="AF272" s="44">
        <f>COUNTIFS('[1]Tempo parado'!H:H,"&gt;="&amp;MIP[[#This Row],[S.B Sitrack]],'[1]Tempo parado'!I:I,"&lt;="&amp;MIP[[#This Row],[C.B Sitrack]],'[1]Tempo parado'!B:B,MIP[[#This Row],[Placa]])</f>
        <v>0</v>
      </c>
      <c r="AG272" s="36"/>
      <c r="AH272" s="35"/>
      <c r="AI272" s="34"/>
      <c r="AJ272" s="34"/>
      <c r="AK27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7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72" s="32">
        <f>SUMIFS('[1]Tempo parado'!J:J,'[1]Tempo parado'!H:H,"&gt;="&amp;MIP[[#This Row],[S.B Sitrack]],'[1]Tempo parado'!I:I,"&lt;="&amp;MIP[[#This Row],[C.B Sitrack]],'[1]Tempo parado'!B:B,MIP[[#This Row],[Placa]])</f>
        <v>0</v>
      </c>
      <c r="AN272" s="32" t="str">
        <f>IFERROR(MIP[[#This Row],[Tempo parado]]/(MIP[[#This Row],[C.B Sitrack]]-MIP[[#This Row],[S.B Sitrack]]),"")</f>
        <v/>
      </c>
      <c r="AO272" s="30"/>
      <c r="AP272" s="44">
        <f>IF(AND(MIP[Exc]=0,MIP[Previsto / Realizado]="Realizado"),MIP[Sem],0)</f>
        <v>29</v>
      </c>
      <c r="AQ272" s="29">
        <f>IF(AND(MIP[Exc]=0,MIP[Previsto / Realizado]="Realizado",ISBLANK(MIP[[#This Row],[S.B Sitrack]])=FALSE,ISBLANK(MIP[[#This Row],[C.B Sitrack]])=FALSE),MIP[Sem],0)</f>
        <v>0</v>
      </c>
    </row>
    <row r="273" spans="2:43" x14ac:dyDescent="0.25">
      <c r="B273" s="44">
        <f>WEEKNUM(MIP[[#This Row],[Data]])</f>
        <v>29</v>
      </c>
      <c r="C273" s="45">
        <v>42937</v>
      </c>
      <c r="D273" s="45"/>
      <c r="E273" s="35" t="s">
        <v>7</v>
      </c>
      <c r="F273" s="35" t="s">
        <v>5</v>
      </c>
      <c r="G273" s="35"/>
      <c r="H273" s="44">
        <v>2</v>
      </c>
      <c r="I273" s="44">
        <v>0</v>
      </c>
      <c r="J273" s="44">
        <v>0</v>
      </c>
      <c r="K273" s="44">
        <v>0</v>
      </c>
      <c r="L273" s="44">
        <v>0</v>
      </c>
      <c r="M273" s="43">
        <v>0.625</v>
      </c>
      <c r="N273" s="43">
        <v>0.64583333333333337</v>
      </c>
      <c r="O273" s="43">
        <f>1+18/24/60</f>
        <v>1.0125</v>
      </c>
      <c r="P273" s="43">
        <f>1+48/24/60</f>
        <v>1.0333333333333334</v>
      </c>
      <c r="Q273" s="39"/>
      <c r="R273" s="42" t="s">
        <v>366</v>
      </c>
      <c r="S273" s="29">
        <f>MIP[[#This Row],[PT-1]]+MIP[[#This Row],[PT-2]]*2+MIP[[#This Row],[PT-3]]*3+MIP[[#This Row],[PT &gt; 3 Pontos]]</f>
        <v>0</v>
      </c>
      <c r="T27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273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273" s="41">
        <f>MIP[[#This Row],[Eficiência]]</f>
        <v>0</v>
      </c>
      <c r="W27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73" s="39">
        <f>IF(MIP[[#This Row],[P.S]]-MIP[[#This Row],[P.E]]&lt;0,1+MIP[[#This Row],[P.S]]-MIP[[#This Row],[P.E]]-1/24,MIP[[#This Row],[P.S]]-MIP[[#This Row],[P.E]]-1/24)</f>
        <v>0.36666666666666675</v>
      </c>
      <c r="Y273" s="39">
        <f>MIP[[#This Row],[PT-1]]*$S$3+MIP[[#This Row],[PT-2]]*$T$3+MIP[[#This Row],[PT-3]]*$U$3+MIP[[#This Row],[PT &gt; 3 Pontos]]*$V$3</f>
        <v>0</v>
      </c>
      <c r="Z273" s="39">
        <f>MIP[[#This Row],[HH disponível]]-MIP[[#This Row],[HH AC TOT]]</f>
        <v>0.3249999999999999</v>
      </c>
      <c r="AA273" s="38">
        <f>MIP[[#This Row],[HH Produtivo
Total]]/MIP[[#This Row],[HH Trabalhado]]</f>
        <v>0</v>
      </c>
      <c r="AB273" s="38">
        <f>MIP[[#This Row],[HH Produtivo
Total]]/MIP[[#This Row],[HH disponível]]</f>
        <v>0</v>
      </c>
      <c r="AC273" s="38">
        <f>MIP[[#This Row],[HH Trabalhado]]/MIP[[#This Row],[HH disponível]]</f>
        <v>0.88636363636363591</v>
      </c>
      <c r="AD273" s="37" t="str">
        <f>LEFT(MIP[[#This Row],[Equipe]], SEARCH("/",MIP[[#This Row],[Equipe]],1)-1)</f>
        <v xml:space="preserve">ANDERSON </v>
      </c>
      <c r="AE273" s="37" t="str">
        <f>RIGHT(MIP[[#This Row],[Equipe]], LEN(MIP[[#This Row],[Equipe]])-SEARCH("/",MIP[[#This Row],[Equipe]],1))</f>
        <v xml:space="preserve"> MARCO</v>
      </c>
      <c r="AF273" s="44">
        <f>COUNTIFS('[1]Tempo parado'!H:H,"&gt;="&amp;MIP[[#This Row],[S.B Sitrack]],'[1]Tempo parado'!I:I,"&lt;="&amp;MIP[[#This Row],[C.B Sitrack]],'[1]Tempo parado'!B:B,MIP[[#This Row],[Placa]])</f>
        <v>0</v>
      </c>
      <c r="AG273" s="36"/>
      <c r="AH273" s="35"/>
      <c r="AI273" s="34"/>
      <c r="AJ273" s="34"/>
      <c r="AK27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7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73" s="32">
        <f>SUMIFS('[1]Tempo parado'!J:J,'[1]Tempo parado'!H:H,"&gt;="&amp;MIP[[#This Row],[S.B Sitrack]],'[1]Tempo parado'!I:I,"&lt;="&amp;MIP[[#This Row],[C.B Sitrack]],'[1]Tempo parado'!B:B,MIP[[#This Row],[Placa]])</f>
        <v>0</v>
      </c>
      <c r="AN273" s="32" t="str">
        <f>IFERROR(MIP[[#This Row],[Tempo parado]]/(MIP[[#This Row],[C.B Sitrack]]-MIP[[#This Row],[S.B Sitrack]]),"")</f>
        <v/>
      </c>
      <c r="AO273" s="30"/>
      <c r="AP273" s="44">
        <f>IF(AND(MIP[Exc]=0,MIP[Previsto / Realizado]="Realizado"),MIP[Sem],0)</f>
        <v>0</v>
      </c>
      <c r="AQ273" s="29">
        <f>IF(AND(MIP[Exc]=0,MIP[Previsto / Realizado]="Realizado",ISBLANK(MIP[[#This Row],[S.B Sitrack]])=FALSE,ISBLANK(MIP[[#This Row],[C.B Sitrack]])=FALSE),MIP[Sem],0)</f>
        <v>0</v>
      </c>
    </row>
    <row r="274" spans="2:43" x14ac:dyDescent="0.25">
      <c r="B274" s="44">
        <f>WEEKNUM(MIP[[#This Row],[Data]])</f>
        <v>29</v>
      </c>
      <c r="C274" s="45">
        <v>42937</v>
      </c>
      <c r="D274" s="45"/>
      <c r="E274" s="35" t="s">
        <v>7</v>
      </c>
      <c r="F274" s="35" t="s">
        <v>2</v>
      </c>
      <c r="G274" s="35"/>
      <c r="H274" s="44" t="s">
        <v>365</v>
      </c>
      <c r="I274" s="44">
        <v>0</v>
      </c>
      <c r="J274" s="44">
        <v>2</v>
      </c>
      <c r="K274" s="44">
        <v>2</v>
      </c>
      <c r="L274" s="44">
        <v>0</v>
      </c>
      <c r="M274" s="43">
        <v>0.62986111111111109</v>
      </c>
      <c r="N274" s="43">
        <v>0.68055555555555547</v>
      </c>
      <c r="O274" s="43">
        <f>1+38/24/60</f>
        <v>1.0263888888888888</v>
      </c>
      <c r="P274" s="43">
        <f>1+59/24/60</f>
        <v>1.0409722222222222</v>
      </c>
      <c r="Q274" s="39"/>
      <c r="R274" s="42" t="s">
        <v>364</v>
      </c>
      <c r="S274" s="29">
        <f>MIP[[#This Row],[PT-1]]+MIP[[#This Row],[PT-2]]*2+MIP[[#This Row],[PT-3]]*3+MIP[[#This Row],[PT &gt; 3 Pontos]]</f>
        <v>10</v>
      </c>
      <c r="T27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6.5277777777777768E-2</v>
      </c>
      <c r="U274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6.5277777777777768E-2</v>
      </c>
      <c r="V274" s="41">
        <f>MIP[[#This Row],[Eficiência]]</f>
        <v>0.70159196942624591</v>
      </c>
      <c r="W27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74" s="39">
        <f>IF(MIP[[#This Row],[P.S]]-MIP[[#This Row],[P.E]]&lt;0,1+MIP[[#This Row],[P.S]]-MIP[[#This Row],[P.E]]-1/24,MIP[[#This Row],[P.S]]-MIP[[#This Row],[P.E]]-1/24)</f>
        <v>0.36944444444444441</v>
      </c>
      <c r="Y274" s="39">
        <f>MIP[[#This Row],[PT-1]]*$S$3+MIP[[#This Row],[PT-2]]*$T$3+MIP[[#This Row],[PT-3]]*$U$3+MIP[[#This Row],[PT &gt; 3 Pontos]]*$V$3</f>
        <v>0.21340089070048313</v>
      </c>
      <c r="Z274" s="39">
        <f>MIP[[#This Row],[HH disponível]]-MIP[[#This Row],[HH AC TOT]]</f>
        <v>0.30416666666666664</v>
      </c>
      <c r="AA274" s="38">
        <f>MIP[[#This Row],[HH Produtivo
Total]]/MIP[[#This Row],[HH Trabalhado]]</f>
        <v>0.70159196942624591</v>
      </c>
      <c r="AB274" s="38">
        <f>MIP[[#This Row],[HH Produtivo
Total]]/MIP[[#This Row],[HH disponível]]</f>
        <v>0.57762647106897691</v>
      </c>
      <c r="AC274" s="38">
        <f>MIP[[#This Row],[HH Trabalhado]]/MIP[[#This Row],[HH disponível]]</f>
        <v>0.82330827067669177</v>
      </c>
      <c r="AD274" s="37" t="str">
        <f>LEFT(MIP[[#This Row],[Equipe]], SEARCH("/",MIP[[#This Row],[Equipe]],1)-1)</f>
        <v xml:space="preserve">ANDERSON </v>
      </c>
      <c r="AE274" s="37" t="str">
        <f>RIGHT(MIP[[#This Row],[Equipe]], LEN(MIP[[#This Row],[Equipe]])-SEARCH("/",MIP[[#This Row],[Equipe]],1))</f>
        <v xml:space="preserve"> MARCO</v>
      </c>
      <c r="AF274" s="44">
        <f>COUNTIFS('[1]Tempo parado'!H:H,"&gt;="&amp;MIP[[#This Row],[S.B Sitrack]],'[1]Tempo parado'!I:I,"&lt;="&amp;MIP[[#This Row],[C.B Sitrack]],'[1]Tempo parado'!B:B,MIP[[#This Row],[Placa]])</f>
        <v>0</v>
      </c>
      <c r="AG274" s="36"/>
      <c r="AH274" s="35"/>
      <c r="AI274" s="34"/>
      <c r="AJ274" s="34"/>
      <c r="AK27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7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74" s="32">
        <f>SUMIFS('[1]Tempo parado'!J:J,'[1]Tempo parado'!H:H,"&gt;="&amp;MIP[[#This Row],[S.B Sitrack]],'[1]Tempo parado'!I:I,"&lt;="&amp;MIP[[#This Row],[C.B Sitrack]],'[1]Tempo parado'!B:B,MIP[[#This Row],[Placa]])</f>
        <v>0</v>
      </c>
      <c r="AN274" s="32" t="str">
        <f>IFERROR(MIP[[#This Row],[Tempo parado]]/(MIP[[#This Row],[C.B Sitrack]]-MIP[[#This Row],[S.B Sitrack]]),"")</f>
        <v/>
      </c>
      <c r="AO274" s="30"/>
      <c r="AP274" s="44">
        <f>IF(AND(MIP[Exc]=0,MIP[Previsto / Realizado]="Realizado"),MIP[Sem],0)</f>
        <v>29</v>
      </c>
      <c r="AQ274" s="29">
        <f>IF(AND(MIP[Exc]=0,MIP[Previsto / Realizado]="Realizado",ISBLANK(MIP[[#This Row],[S.B Sitrack]])=FALSE,ISBLANK(MIP[[#This Row],[C.B Sitrack]])=FALSE),MIP[Sem],0)</f>
        <v>0</v>
      </c>
    </row>
    <row r="275" spans="2:43" x14ac:dyDescent="0.25">
      <c r="B275" s="44">
        <f>WEEKNUM(MIP[[#This Row],[Data]])</f>
        <v>29</v>
      </c>
      <c r="C275" s="45">
        <v>42938</v>
      </c>
      <c r="D275" s="45"/>
      <c r="E275" s="35" t="s">
        <v>10</v>
      </c>
      <c r="F275" s="35" t="s">
        <v>5</v>
      </c>
      <c r="G275" s="35"/>
      <c r="H275" s="44">
        <v>2</v>
      </c>
      <c r="I275" s="44">
        <v>1</v>
      </c>
      <c r="J275" s="44">
        <v>0</v>
      </c>
      <c r="K275" s="44">
        <v>0</v>
      </c>
      <c r="L275" s="44">
        <v>0</v>
      </c>
      <c r="M275" s="43">
        <v>0.25</v>
      </c>
      <c r="N275" s="43">
        <v>0.27083333333333331</v>
      </c>
      <c r="O275" s="43">
        <v>0.63750000000000007</v>
      </c>
      <c r="P275" s="43">
        <v>0.65833333333333333</v>
      </c>
      <c r="Q275" s="39"/>
      <c r="R275" s="42"/>
      <c r="S275" s="29">
        <f>MIP[[#This Row],[PT-1]]+MIP[[#This Row],[PT-2]]*2+MIP[[#This Row],[PT-3]]*3+MIP[[#This Row],[PT &gt; 3 Pontos]]</f>
        <v>1</v>
      </c>
      <c r="T27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275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275" s="41">
        <f>MIP[[#This Row],[Eficiência]]</f>
        <v>7.7002624489037469E-2</v>
      </c>
      <c r="W27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75" s="39">
        <f>IF(MIP[[#This Row],[P.S]]-MIP[[#This Row],[P.E]]&lt;0,1+MIP[[#This Row],[P.S]]-MIP[[#This Row],[P.E]]-1/24,MIP[[#This Row],[P.S]]-MIP[[#This Row],[P.E]]-1/24)</f>
        <v>0.36666666666666664</v>
      </c>
      <c r="Y275" s="39">
        <f>MIP[[#This Row],[PT-1]]*$S$3+MIP[[#This Row],[PT-2]]*$T$3+MIP[[#This Row],[PT-3]]*$U$3+MIP[[#This Row],[PT &gt; 3 Pontos]]*$V$3</f>
        <v>2.5025852958937181E-2</v>
      </c>
      <c r="Z275" s="39">
        <f>MIP[[#This Row],[HH disponível]]-MIP[[#This Row],[HH AC TOT]]</f>
        <v>0.32500000000000007</v>
      </c>
      <c r="AA275" s="38">
        <f>MIP[[#This Row],[HH Produtivo
Total]]/MIP[[#This Row],[HH Trabalhado]]</f>
        <v>7.7002624489037469E-2</v>
      </c>
      <c r="AB275" s="38">
        <f>MIP[[#This Row],[HH Produtivo
Total]]/MIP[[#This Row],[HH disponível]]</f>
        <v>6.8252326251646858E-2</v>
      </c>
      <c r="AC275" s="38">
        <f>MIP[[#This Row],[HH Trabalhado]]/MIP[[#This Row],[HH disponível]]</f>
        <v>0.88636363636363658</v>
      </c>
      <c r="AD275" s="37" t="str">
        <f>LEFT(MIP[[#This Row],[Equipe]], SEARCH("/",MIP[[#This Row],[Equipe]],1)-1)</f>
        <v xml:space="preserve">JOILSON </v>
      </c>
      <c r="AE275" s="37" t="str">
        <f>RIGHT(MIP[[#This Row],[Equipe]], LEN(MIP[[#This Row],[Equipe]])-SEARCH("/",MIP[[#This Row],[Equipe]],1))</f>
        <v xml:space="preserve"> VALDEI</v>
      </c>
      <c r="AF275" s="44">
        <f>COUNTIFS('[1]Tempo parado'!H:H,"&gt;="&amp;MIP[[#This Row],[S.B Sitrack]],'[1]Tempo parado'!I:I,"&lt;="&amp;MIP[[#This Row],[C.B Sitrack]],'[1]Tempo parado'!B:B,MIP[[#This Row],[Placa]])</f>
        <v>0</v>
      </c>
      <c r="AG275" s="36"/>
      <c r="AH275" s="35"/>
      <c r="AI275" s="34"/>
      <c r="AJ275" s="34"/>
      <c r="AK27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7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75" s="32">
        <f>SUMIFS('[1]Tempo parado'!J:J,'[1]Tempo parado'!H:H,"&gt;="&amp;MIP[[#This Row],[S.B Sitrack]],'[1]Tempo parado'!I:I,"&lt;="&amp;MIP[[#This Row],[C.B Sitrack]],'[1]Tempo parado'!B:B,MIP[[#This Row],[Placa]])</f>
        <v>0</v>
      </c>
      <c r="AN275" s="32" t="str">
        <f>IFERROR(MIP[[#This Row],[Tempo parado]]/(MIP[[#This Row],[C.B Sitrack]]-MIP[[#This Row],[S.B Sitrack]]),"")</f>
        <v/>
      </c>
      <c r="AO275" s="30"/>
      <c r="AP275" s="44">
        <f>IF(AND(MIP[Exc]=0,MIP[Previsto / Realizado]="Realizado"),MIP[Sem],0)</f>
        <v>0</v>
      </c>
      <c r="AQ275" s="29">
        <f>IF(AND(MIP[Exc]=0,MIP[Previsto / Realizado]="Realizado",ISBLANK(MIP[[#This Row],[S.B Sitrack]])=FALSE,ISBLANK(MIP[[#This Row],[C.B Sitrack]])=FALSE),MIP[Sem],0)</f>
        <v>0</v>
      </c>
    </row>
    <row r="276" spans="2:43" x14ac:dyDescent="0.25">
      <c r="B276" s="44">
        <f>WEEKNUM(MIP[[#This Row],[Data]])</f>
        <v>29</v>
      </c>
      <c r="C276" s="45">
        <v>42938</v>
      </c>
      <c r="D276" s="45"/>
      <c r="E276" s="35" t="s">
        <v>10</v>
      </c>
      <c r="F276" s="35" t="s">
        <v>2</v>
      </c>
      <c r="G276" s="35"/>
      <c r="H276" s="44">
        <v>2</v>
      </c>
      <c r="I276" s="44">
        <f>1+1</f>
        <v>2</v>
      </c>
      <c r="J276" s="44">
        <v>0</v>
      </c>
      <c r="K276" s="44">
        <f>1</f>
        <v>1</v>
      </c>
      <c r="L276" s="44">
        <v>5</v>
      </c>
      <c r="M276" s="43">
        <v>0.24652777777777779</v>
      </c>
      <c r="N276" s="43">
        <v>0.27777777777777779</v>
      </c>
      <c r="O276" s="43">
        <v>0.64583333333333337</v>
      </c>
      <c r="P276" s="43">
        <v>0.66527777777777775</v>
      </c>
      <c r="Q276" s="39"/>
      <c r="R276" s="42" t="s">
        <v>363</v>
      </c>
      <c r="S276" s="29">
        <f>MIP[[#This Row],[PT-1]]+MIP[[#This Row],[PT-2]]*2+MIP[[#This Row],[PT-3]]*3+MIP[[#This Row],[PT &gt; 3 Pontos]]</f>
        <v>10</v>
      </c>
      <c r="T27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5.0694444444444375E-2</v>
      </c>
      <c r="U276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5.0694444444444375E-2</v>
      </c>
      <c r="V276" s="41">
        <f>MIP[[#This Row],[Eficiência]]</f>
        <v>0.65591521910439587</v>
      </c>
      <c r="W27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76" s="39">
        <f>IF(MIP[[#This Row],[P.S]]-MIP[[#This Row],[P.E]]&lt;0,1+MIP[[#This Row],[P.S]]-MIP[[#This Row],[P.E]]-1/24,MIP[[#This Row],[P.S]]-MIP[[#This Row],[P.E]]-1/24)</f>
        <v>0.37708333333333327</v>
      </c>
      <c r="Y276" s="39">
        <f>MIP[[#This Row],[PT-1]]*$S$3+MIP[[#This Row],[PT-2]]*$T$3+MIP[[#This Row],[PT-3]]*$U$3+MIP[[#This Row],[PT &gt; 3 Pontos]]*$V$3</f>
        <v>0.21408343956879589</v>
      </c>
      <c r="Z276" s="39">
        <f>MIP[[#This Row],[HH disponível]]-MIP[[#This Row],[HH AC TOT]]</f>
        <v>0.3263888888888889</v>
      </c>
      <c r="AA276" s="38">
        <f>MIP[[#This Row],[HH Produtivo
Total]]/MIP[[#This Row],[HH Trabalhado]]</f>
        <v>0.65591521910439587</v>
      </c>
      <c r="AB276" s="38">
        <f>MIP[[#This Row],[HH Produtivo
Total]]/MIP[[#This Row],[HH disponível]]</f>
        <v>0.56773508835923781</v>
      </c>
      <c r="AC276" s="38">
        <f>MIP[[#This Row],[HH Trabalhado]]/MIP[[#This Row],[HH disponível]]</f>
        <v>0.86556169429097618</v>
      </c>
      <c r="AD276" s="37" t="str">
        <f>LEFT(MIP[[#This Row],[Equipe]], SEARCH("/",MIP[[#This Row],[Equipe]],1)-1)</f>
        <v xml:space="preserve">JOILSON </v>
      </c>
      <c r="AE276" s="37" t="str">
        <f>RIGHT(MIP[[#This Row],[Equipe]], LEN(MIP[[#This Row],[Equipe]])-SEARCH("/",MIP[[#This Row],[Equipe]],1))</f>
        <v xml:space="preserve"> VALDEI</v>
      </c>
      <c r="AF276" s="44">
        <f>COUNTIFS('[1]Tempo parado'!H:H,"&gt;="&amp;MIP[[#This Row],[S.B Sitrack]],'[1]Tempo parado'!I:I,"&lt;="&amp;MIP[[#This Row],[C.B Sitrack]],'[1]Tempo parado'!B:B,MIP[[#This Row],[Placa]])</f>
        <v>0</v>
      </c>
      <c r="AG276" s="36"/>
      <c r="AH276" s="35"/>
      <c r="AI276" s="34"/>
      <c r="AJ276" s="34"/>
      <c r="AK27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7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76" s="32">
        <f>SUMIFS('[1]Tempo parado'!J:J,'[1]Tempo parado'!H:H,"&gt;="&amp;MIP[[#This Row],[S.B Sitrack]],'[1]Tempo parado'!I:I,"&lt;="&amp;MIP[[#This Row],[C.B Sitrack]],'[1]Tempo parado'!B:B,MIP[[#This Row],[Placa]])</f>
        <v>0</v>
      </c>
      <c r="AN276" s="32" t="str">
        <f>IFERROR(MIP[[#This Row],[Tempo parado]]/(MIP[[#This Row],[C.B Sitrack]]-MIP[[#This Row],[S.B Sitrack]]),"")</f>
        <v/>
      </c>
      <c r="AO276" s="30"/>
      <c r="AP276" s="44">
        <f>IF(AND(MIP[Exc]=0,MIP[Previsto / Realizado]="Realizado"),MIP[Sem],0)</f>
        <v>29</v>
      </c>
      <c r="AQ276" s="29">
        <f>IF(AND(MIP[Exc]=0,MIP[Previsto / Realizado]="Realizado",ISBLANK(MIP[[#This Row],[S.B Sitrack]])=FALSE,ISBLANK(MIP[[#This Row],[C.B Sitrack]])=FALSE),MIP[Sem],0)</f>
        <v>0</v>
      </c>
    </row>
    <row r="277" spans="2:43" x14ac:dyDescent="0.25">
      <c r="B277" s="44">
        <f>WEEKNUM(MIP[[#This Row],[Data]])</f>
        <v>29</v>
      </c>
      <c r="C277" s="45">
        <v>42938</v>
      </c>
      <c r="D277" s="45"/>
      <c r="E277" s="35" t="s">
        <v>19</v>
      </c>
      <c r="F277" s="35" t="s">
        <v>5</v>
      </c>
      <c r="G277" s="35"/>
      <c r="H277" s="44">
        <v>2</v>
      </c>
      <c r="I277" s="44">
        <v>0</v>
      </c>
      <c r="J277" s="44">
        <v>0</v>
      </c>
      <c r="K277" s="44">
        <v>0</v>
      </c>
      <c r="L277" s="44">
        <v>0</v>
      </c>
      <c r="M277" s="43">
        <v>0.625</v>
      </c>
      <c r="N277" s="43">
        <v>0.64583333333333337</v>
      </c>
      <c r="O277" s="43">
        <f>1+18/24/60</f>
        <v>1.0125</v>
      </c>
      <c r="P277" s="43">
        <f>1+48/24/60</f>
        <v>1.0333333333333334</v>
      </c>
      <c r="Q277" s="39"/>
      <c r="R277" s="42"/>
      <c r="S277" s="29">
        <f>MIP[[#This Row],[PT-1]]+MIP[[#This Row],[PT-2]]*2+MIP[[#This Row],[PT-3]]*3+MIP[[#This Row],[PT &gt; 3 Pontos]]</f>
        <v>0</v>
      </c>
      <c r="T27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277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277" s="41">
        <f>MIP[[#This Row],[Eficiência]]</f>
        <v>0</v>
      </c>
      <c r="W27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77" s="39">
        <f>IF(MIP[[#This Row],[P.S]]-MIP[[#This Row],[P.E]]&lt;0,1+MIP[[#This Row],[P.S]]-MIP[[#This Row],[P.E]]-1/24,MIP[[#This Row],[P.S]]-MIP[[#This Row],[P.E]]-1/24)</f>
        <v>0.36666666666666675</v>
      </c>
      <c r="Y277" s="39">
        <f>MIP[[#This Row],[PT-1]]*$S$3+MIP[[#This Row],[PT-2]]*$T$3+MIP[[#This Row],[PT-3]]*$U$3+MIP[[#This Row],[PT &gt; 3 Pontos]]*$V$3</f>
        <v>0</v>
      </c>
      <c r="Z277" s="39">
        <f>MIP[[#This Row],[HH disponível]]-MIP[[#This Row],[HH AC TOT]]</f>
        <v>0.3249999999999999</v>
      </c>
      <c r="AA277" s="38">
        <f>MIP[[#This Row],[HH Produtivo
Total]]/MIP[[#This Row],[HH Trabalhado]]</f>
        <v>0</v>
      </c>
      <c r="AB277" s="38">
        <f>MIP[[#This Row],[HH Produtivo
Total]]/MIP[[#This Row],[HH disponível]]</f>
        <v>0</v>
      </c>
      <c r="AC277" s="38">
        <f>MIP[[#This Row],[HH Trabalhado]]/MIP[[#This Row],[HH disponível]]</f>
        <v>0.88636363636363591</v>
      </c>
      <c r="AD277" s="37" t="str">
        <f>LEFT(MIP[[#This Row],[Equipe]], SEARCH("/",MIP[[#This Row],[Equipe]],1)-1)</f>
        <v xml:space="preserve">ADEMÁRIO </v>
      </c>
      <c r="AE277" s="37" t="str">
        <f>RIGHT(MIP[[#This Row],[Equipe]], LEN(MIP[[#This Row],[Equipe]])-SEARCH("/",MIP[[#This Row],[Equipe]],1))</f>
        <v xml:space="preserve"> RONALDO</v>
      </c>
      <c r="AF277" s="44">
        <f>COUNTIFS('[1]Tempo parado'!H:H,"&gt;="&amp;MIP[[#This Row],[S.B Sitrack]],'[1]Tempo parado'!I:I,"&lt;="&amp;MIP[[#This Row],[C.B Sitrack]],'[1]Tempo parado'!B:B,MIP[[#This Row],[Placa]])</f>
        <v>0</v>
      </c>
      <c r="AG277" s="36"/>
      <c r="AH277" s="35"/>
      <c r="AI277" s="34"/>
      <c r="AJ277" s="34"/>
      <c r="AK27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7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77" s="32">
        <f>SUMIFS('[1]Tempo parado'!J:J,'[1]Tempo parado'!H:H,"&gt;="&amp;MIP[[#This Row],[S.B Sitrack]],'[1]Tempo parado'!I:I,"&lt;="&amp;MIP[[#This Row],[C.B Sitrack]],'[1]Tempo parado'!B:B,MIP[[#This Row],[Placa]])</f>
        <v>0</v>
      </c>
      <c r="AN277" s="32" t="str">
        <f>IFERROR(MIP[[#This Row],[Tempo parado]]/(MIP[[#This Row],[C.B Sitrack]]-MIP[[#This Row],[S.B Sitrack]]),"")</f>
        <v/>
      </c>
      <c r="AO277" s="30"/>
      <c r="AP277" s="44">
        <f>IF(AND(MIP[Exc]=0,MIP[Previsto / Realizado]="Realizado"),MIP[Sem],0)</f>
        <v>0</v>
      </c>
      <c r="AQ277" s="29">
        <f>IF(AND(MIP[Exc]=0,MIP[Previsto / Realizado]="Realizado",ISBLANK(MIP[[#This Row],[S.B Sitrack]])=FALSE,ISBLANK(MIP[[#This Row],[C.B Sitrack]])=FALSE),MIP[Sem],0)</f>
        <v>0</v>
      </c>
    </row>
    <row r="278" spans="2:43" x14ac:dyDescent="0.25">
      <c r="B278" s="44">
        <f>WEEKNUM(MIP[[#This Row],[Data]])</f>
        <v>29</v>
      </c>
      <c r="C278" s="45">
        <v>42938</v>
      </c>
      <c r="D278" s="45"/>
      <c r="E278" s="35" t="s">
        <v>19</v>
      </c>
      <c r="F278" s="35" t="s">
        <v>2</v>
      </c>
      <c r="G278" s="35"/>
      <c r="H278" s="44">
        <v>2</v>
      </c>
      <c r="I278" s="44">
        <v>0</v>
      </c>
      <c r="J278" s="44">
        <v>0</v>
      </c>
      <c r="K278" s="44">
        <v>0</v>
      </c>
      <c r="L278" s="44">
        <v>10</v>
      </c>
      <c r="M278" s="43">
        <v>0.64652777777777781</v>
      </c>
      <c r="N278" s="43">
        <v>0.67361111111111116</v>
      </c>
      <c r="O278" s="43">
        <f>1+31/24/60</f>
        <v>1.0215277777777778</v>
      </c>
      <c r="P278" s="43">
        <f>1+48/24/60</f>
        <v>1.0333333333333334</v>
      </c>
      <c r="Q278" s="39"/>
      <c r="R278" s="42" t="s">
        <v>362</v>
      </c>
      <c r="S278" s="29">
        <f>MIP[[#This Row],[PT-1]]+MIP[[#This Row],[PT-2]]*2+MIP[[#This Row],[PT-3]]*3+MIP[[#This Row],[PT &gt; 3 Pontos]]</f>
        <v>10</v>
      </c>
      <c r="T27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3.8888888888888973E-2</v>
      </c>
      <c r="U278" s="39">
        <f>IF(MIP[[#This Row],[P.S]]-MIP[[#This Row],[U.P]]&gt;=0,MIP[[#This Row],[P.S]]-MIP[[#This Row],[U.P]]+MIP[[#This Row],[S.B]]-MIP[[#This Row],[P.E]],1+MIP[[#This Row],[P.S]]-MIP[[#This Row],[U.P]]+MIP[[#This Row],[S.B]]-MIP[[#This Row],[P.E]])</f>
        <v>3.8888888888888973E-2</v>
      </c>
      <c r="V278" s="41">
        <f>MIP[[#This Row],[Eficiência]]</f>
        <v>0.66115953896319701</v>
      </c>
      <c r="W27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78" s="39">
        <f>IF(MIP[[#This Row],[P.S]]-MIP[[#This Row],[P.E]]&lt;0,1+MIP[[#This Row],[P.S]]-MIP[[#This Row],[P.E]]-1/24,MIP[[#This Row],[P.S]]-MIP[[#This Row],[P.E]]-1/24)</f>
        <v>0.34513888888888894</v>
      </c>
      <c r="Y278" s="39">
        <f>MIP[[#This Row],[PT-1]]*$S$3+MIP[[#This Row],[PT-2]]*$T$3+MIP[[#This Row],[PT-3]]*$U$3+MIP[[#This Row],[PT &gt; 3 Pontos]]*$V$3</f>
        <v>0.20248010880747908</v>
      </c>
      <c r="Z278" s="39">
        <f>MIP[[#This Row],[HH disponível]]-MIP[[#This Row],[HH AC TOT]]</f>
        <v>0.30624999999999997</v>
      </c>
      <c r="AA278" s="38">
        <f>MIP[[#This Row],[HH Produtivo
Total]]/MIP[[#This Row],[HH Trabalhado]]</f>
        <v>0.66115953896319701</v>
      </c>
      <c r="AB278" s="38">
        <f>MIP[[#This Row],[HH Produtivo
Total]]/MIP[[#This Row],[HH disponível]]</f>
        <v>0.58666268950255496</v>
      </c>
      <c r="AC278" s="38">
        <f>MIP[[#This Row],[HH Trabalhado]]/MIP[[#This Row],[HH disponível]]</f>
        <v>0.88732394366197165</v>
      </c>
      <c r="AD278" s="37" t="str">
        <f>LEFT(MIP[[#This Row],[Equipe]], SEARCH("/",MIP[[#This Row],[Equipe]],1)-1)</f>
        <v xml:space="preserve">ADEMÁRIO </v>
      </c>
      <c r="AE278" s="37" t="str">
        <f>RIGHT(MIP[[#This Row],[Equipe]], LEN(MIP[[#This Row],[Equipe]])-SEARCH("/",MIP[[#This Row],[Equipe]],1))</f>
        <v xml:space="preserve"> RONALDO</v>
      </c>
      <c r="AF278" s="44">
        <f>COUNTIFS('[1]Tempo parado'!H:H,"&gt;="&amp;MIP[[#This Row],[S.B Sitrack]],'[1]Tempo parado'!I:I,"&lt;="&amp;MIP[[#This Row],[C.B Sitrack]],'[1]Tempo parado'!B:B,MIP[[#This Row],[Placa]])</f>
        <v>0</v>
      </c>
      <c r="AG278" s="36"/>
      <c r="AH278" s="35"/>
      <c r="AI278" s="34"/>
      <c r="AJ278" s="34"/>
      <c r="AK27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7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78" s="32">
        <f>SUMIFS('[1]Tempo parado'!J:J,'[1]Tempo parado'!H:H,"&gt;="&amp;MIP[[#This Row],[S.B Sitrack]],'[1]Tempo parado'!I:I,"&lt;="&amp;MIP[[#This Row],[C.B Sitrack]],'[1]Tempo parado'!B:B,MIP[[#This Row],[Placa]])</f>
        <v>0</v>
      </c>
      <c r="AN278" s="32" t="str">
        <f>IFERROR(MIP[[#This Row],[Tempo parado]]/(MIP[[#This Row],[C.B Sitrack]]-MIP[[#This Row],[S.B Sitrack]]),"")</f>
        <v/>
      </c>
      <c r="AO278" s="30"/>
      <c r="AP278" s="44">
        <f>IF(AND(MIP[Exc]=0,MIP[Previsto / Realizado]="Realizado"),MIP[Sem],0)</f>
        <v>29</v>
      </c>
      <c r="AQ278" s="29">
        <f>IF(AND(MIP[Exc]=0,MIP[Previsto / Realizado]="Realizado",ISBLANK(MIP[[#This Row],[S.B Sitrack]])=FALSE,ISBLANK(MIP[[#This Row],[C.B Sitrack]])=FALSE),MIP[Sem],0)</f>
        <v>0</v>
      </c>
    </row>
    <row r="279" spans="2:43" x14ac:dyDescent="0.25">
      <c r="B279" s="44">
        <f>WEEKNUM(MIP[[#This Row],[Data]])</f>
        <v>30</v>
      </c>
      <c r="C279" s="45">
        <v>42939</v>
      </c>
      <c r="D279" s="45"/>
      <c r="E279" s="35" t="s">
        <v>10</v>
      </c>
      <c r="F279" s="35" t="s">
        <v>5</v>
      </c>
      <c r="G279" s="35"/>
      <c r="H279" s="44">
        <v>2</v>
      </c>
      <c r="I279" s="44">
        <v>0</v>
      </c>
      <c r="J279" s="44">
        <v>0</v>
      </c>
      <c r="K279" s="44">
        <v>0</v>
      </c>
      <c r="L279" s="44">
        <v>0</v>
      </c>
      <c r="M279" s="43">
        <v>0.25</v>
      </c>
      <c r="N279" s="43">
        <v>0.27083333333333331</v>
      </c>
      <c r="O279" s="43">
        <v>0.63750000000000007</v>
      </c>
      <c r="P279" s="43">
        <v>0.65833333333333333</v>
      </c>
      <c r="Q279" s="39"/>
      <c r="R279" s="42"/>
      <c r="S279" s="29">
        <f>MIP[[#This Row],[PT-1]]+MIP[[#This Row],[PT-2]]*2+MIP[[#This Row],[PT-3]]*3+MIP[[#This Row],[PT &gt; 3 Pontos]]</f>
        <v>0</v>
      </c>
      <c r="T27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279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279" s="41">
        <f>MIP[[#This Row],[Eficiência]]</f>
        <v>0</v>
      </c>
      <c r="W27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79" s="39">
        <f>IF(MIP[[#This Row],[P.S]]-MIP[[#This Row],[P.E]]&lt;0,1+MIP[[#This Row],[P.S]]-MIP[[#This Row],[P.E]]-1/24,MIP[[#This Row],[P.S]]-MIP[[#This Row],[P.E]]-1/24)</f>
        <v>0.36666666666666664</v>
      </c>
      <c r="Y279" s="39">
        <f>MIP[[#This Row],[PT-1]]*$S$3+MIP[[#This Row],[PT-2]]*$T$3+MIP[[#This Row],[PT-3]]*$U$3+MIP[[#This Row],[PT &gt; 3 Pontos]]*$V$3</f>
        <v>0</v>
      </c>
      <c r="Z279" s="39">
        <f>MIP[[#This Row],[HH disponível]]-MIP[[#This Row],[HH AC TOT]]</f>
        <v>0.32500000000000007</v>
      </c>
      <c r="AA279" s="38">
        <f>MIP[[#This Row],[HH Produtivo
Total]]/MIP[[#This Row],[HH Trabalhado]]</f>
        <v>0</v>
      </c>
      <c r="AB279" s="38">
        <f>MIP[[#This Row],[HH Produtivo
Total]]/MIP[[#This Row],[HH disponível]]</f>
        <v>0</v>
      </c>
      <c r="AC279" s="38">
        <f>MIP[[#This Row],[HH Trabalhado]]/MIP[[#This Row],[HH disponível]]</f>
        <v>0.88636363636363658</v>
      </c>
      <c r="AD279" s="37" t="str">
        <f>LEFT(MIP[[#This Row],[Equipe]], SEARCH("/",MIP[[#This Row],[Equipe]],1)-1)</f>
        <v xml:space="preserve">JOILSON </v>
      </c>
      <c r="AE279" s="37" t="str">
        <f>RIGHT(MIP[[#This Row],[Equipe]], LEN(MIP[[#This Row],[Equipe]])-SEARCH("/",MIP[[#This Row],[Equipe]],1))</f>
        <v xml:space="preserve"> VALDEI</v>
      </c>
      <c r="AF279" s="44">
        <f>COUNTIFS('[1]Tempo parado'!H:H,"&gt;="&amp;MIP[[#This Row],[S.B Sitrack]],'[1]Tempo parado'!I:I,"&lt;="&amp;MIP[[#This Row],[C.B Sitrack]],'[1]Tempo parado'!B:B,MIP[[#This Row],[Placa]])</f>
        <v>0</v>
      </c>
      <c r="AG279" s="36"/>
      <c r="AH279" s="35"/>
      <c r="AI279" s="34"/>
      <c r="AJ279" s="34"/>
      <c r="AK27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7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79" s="32">
        <f>SUMIFS('[1]Tempo parado'!J:J,'[1]Tempo parado'!H:H,"&gt;="&amp;MIP[[#This Row],[S.B Sitrack]],'[1]Tempo parado'!I:I,"&lt;="&amp;MIP[[#This Row],[C.B Sitrack]],'[1]Tempo parado'!B:B,MIP[[#This Row],[Placa]])</f>
        <v>0</v>
      </c>
      <c r="AN279" s="32" t="str">
        <f>IFERROR(MIP[[#This Row],[Tempo parado]]/(MIP[[#This Row],[C.B Sitrack]]-MIP[[#This Row],[S.B Sitrack]]),"")</f>
        <v/>
      </c>
      <c r="AO279" s="30"/>
      <c r="AP279" s="44">
        <f>IF(AND(MIP[Exc]=0,MIP[Previsto / Realizado]="Realizado"),MIP[Sem],0)</f>
        <v>0</v>
      </c>
      <c r="AQ279" s="29">
        <f>IF(AND(MIP[Exc]=0,MIP[Previsto / Realizado]="Realizado",ISBLANK(MIP[[#This Row],[S.B Sitrack]])=FALSE,ISBLANK(MIP[[#This Row],[C.B Sitrack]])=FALSE),MIP[Sem],0)</f>
        <v>0</v>
      </c>
    </row>
    <row r="280" spans="2:43" x14ac:dyDescent="0.25">
      <c r="B280" s="44">
        <f>WEEKNUM(MIP[[#This Row],[Data]])</f>
        <v>30</v>
      </c>
      <c r="C280" s="45">
        <v>42939</v>
      </c>
      <c r="D280" s="45"/>
      <c r="E280" s="35" t="s">
        <v>10</v>
      </c>
      <c r="F280" s="35" t="s">
        <v>2</v>
      </c>
      <c r="G280" s="35"/>
      <c r="H280" s="44">
        <v>2</v>
      </c>
      <c r="I280" s="44">
        <v>0</v>
      </c>
      <c r="J280" s="44">
        <v>0</v>
      </c>
      <c r="K280" s="44">
        <v>0</v>
      </c>
      <c r="L280" s="44">
        <v>17</v>
      </c>
      <c r="M280" s="43">
        <v>0.25347222222222221</v>
      </c>
      <c r="N280" s="43">
        <v>0.27083333333333331</v>
      </c>
      <c r="O280" s="43">
        <v>0.63472222222222219</v>
      </c>
      <c r="P280" s="43">
        <v>0.66249999999999998</v>
      </c>
      <c r="Q280" s="39"/>
      <c r="R280" s="42" t="s">
        <v>361</v>
      </c>
      <c r="S280" s="29">
        <f>MIP[[#This Row],[PT-1]]+MIP[[#This Row],[PT-2]]*2+MIP[[#This Row],[PT-3]]*3+MIP[[#This Row],[PT &gt; 3 Pontos]]</f>
        <v>17</v>
      </c>
      <c r="T28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4.5138888888888895E-2</v>
      </c>
      <c r="U280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4.5138888888888895E-2</v>
      </c>
      <c r="V280" s="41">
        <f>MIP[[#This Row],[Eficiência]]</f>
        <v>1.0682571257773898</v>
      </c>
      <c r="W28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80" s="39">
        <f>IF(MIP[[#This Row],[P.S]]-MIP[[#This Row],[P.E]]&lt;0,1+MIP[[#This Row],[P.S]]-MIP[[#This Row],[P.E]]-1/24,MIP[[#This Row],[P.S]]-MIP[[#This Row],[P.E]]-1/24)</f>
        <v>0.36736111111111108</v>
      </c>
      <c r="Y280" s="39">
        <f>MIP[[#This Row],[PT-1]]*$S$3+MIP[[#This Row],[PT-2]]*$T$3+MIP[[#This Row],[PT-3]]*$U$3+MIP[[#This Row],[PT &gt; 3 Pontos]]*$V$3</f>
        <v>0.34421618497271445</v>
      </c>
      <c r="Z280" s="39">
        <f>MIP[[#This Row],[HH disponível]]-MIP[[#This Row],[HH AC TOT]]</f>
        <v>0.32222222222222219</v>
      </c>
      <c r="AA280" s="38">
        <f>MIP[[#This Row],[HH Produtivo
Total]]/MIP[[#This Row],[HH Trabalhado]]</f>
        <v>1.0682571257773898</v>
      </c>
      <c r="AB280" s="38">
        <f>MIP[[#This Row],[HH Produtivo
Total]]/MIP[[#This Row],[HH disponível]]</f>
        <v>0.9369967984134383</v>
      </c>
      <c r="AC280" s="38">
        <f>MIP[[#This Row],[HH Trabalhado]]/MIP[[#This Row],[HH disponível]]</f>
        <v>0.87712665406427215</v>
      </c>
      <c r="AD280" s="37" t="str">
        <f>LEFT(MIP[[#This Row],[Equipe]], SEARCH("/",MIP[[#This Row],[Equipe]],1)-1)</f>
        <v xml:space="preserve">JOILSON </v>
      </c>
      <c r="AE280" s="37" t="str">
        <f>RIGHT(MIP[[#This Row],[Equipe]], LEN(MIP[[#This Row],[Equipe]])-SEARCH("/",MIP[[#This Row],[Equipe]],1))</f>
        <v xml:space="preserve"> VALDEI</v>
      </c>
      <c r="AF280" s="44">
        <f>COUNTIFS('[1]Tempo parado'!H:H,"&gt;="&amp;MIP[[#This Row],[S.B Sitrack]],'[1]Tempo parado'!I:I,"&lt;="&amp;MIP[[#This Row],[C.B Sitrack]],'[1]Tempo parado'!B:B,MIP[[#This Row],[Placa]])</f>
        <v>0</v>
      </c>
      <c r="AG280" s="36"/>
      <c r="AH280" s="35"/>
      <c r="AI280" s="34"/>
      <c r="AJ280" s="34"/>
      <c r="AK28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8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80" s="32">
        <f>SUMIFS('[1]Tempo parado'!J:J,'[1]Tempo parado'!H:H,"&gt;="&amp;MIP[[#This Row],[S.B Sitrack]],'[1]Tempo parado'!I:I,"&lt;="&amp;MIP[[#This Row],[C.B Sitrack]],'[1]Tempo parado'!B:B,MIP[[#This Row],[Placa]])</f>
        <v>0</v>
      </c>
      <c r="AN280" s="32" t="str">
        <f>IFERROR(MIP[[#This Row],[Tempo parado]]/(MIP[[#This Row],[C.B Sitrack]]-MIP[[#This Row],[S.B Sitrack]]),"")</f>
        <v/>
      </c>
      <c r="AO280" s="30"/>
      <c r="AP280" s="44">
        <f>IF(AND(MIP[Exc]=0,MIP[Previsto / Realizado]="Realizado"),MIP[Sem],0)</f>
        <v>30</v>
      </c>
      <c r="AQ280" s="29">
        <f>IF(AND(MIP[Exc]=0,MIP[Previsto / Realizado]="Realizado",ISBLANK(MIP[[#This Row],[S.B Sitrack]])=FALSE,ISBLANK(MIP[[#This Row],[C.B Sitrack]])=FALSE),MIP[Sem],0)</f>
        <v>0</v>
      </c>
    </row>
    <row r="281" spans="2:43" x14ac:dyDescent="0.25">
      <c r="B281" s="44">
        <f>WEEKNUM(MIP[[#This Row],[Data]])</f>
        <v>30</v>
      </c>
      <c r="C281" s="45">
        <v>42939</v>
      </c>
      <c r="D281" s="45"/>
      <c r="E281" s="35" t="s">
        <v>19</v>
      </c>
      <c r="F281" s="35" t="s">
        <v>5</v>
      </c>
      <c r="G281" s="35"/>
      <c r="H281" s="44">
        <v>2</v>
      </c>
      <c r="I281" s="44">
        <v>0</v>
      </c>
      <c r="J281" s="44">
        <v>0</v>
      </c>
      <c r="K281" s="44">
        <v>0</v>
      </c>
      <c r="L281" s="44">
        <v>0</v>
      </c>
      <c r="M281" s="43">
        <v>0.625</v>
      </c>
      <c r="N281" s="43">
        <v>0.64583333333333337</v>
      </c>
      <c r="O281" s="43">
        <f>1+18/24/60</f>
        <v>1.0125</v>
      </c>
      <c r="P281" s="43">
        <f>1+48/24/60</f>
        <v>1.0333333333333334</v>
      </c>
      <c r="Q281" s="39"/>
      <c r="R281" s="42"/>
      <c r="S281" s="29">
        <f>MIP[[#This Row],[PT-1]]+MIP[[#This Row],[PT-2]]*2+MIP[[#This Row],[PT-3]]*3+MIP[[#This Row],[PT &gt; 3 Pontos]]</f>
        <v>0</v>
      </c>
      <c r="T28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281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281" s="41">
        <f>MIP[[#This Row],[Eficiência]]</f>
        <v>0</v>
      </c>
      <c r="W28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81" s="39">
        <f>IF(MIP[[#This Row],[P.S]]-MIP[[#This Row],[P.E]]&lt;0,1+MIP[[#This Row],[P.S]]-MIP[[#This Row],[P.E]]-1/24,MIP[[#This Row],[P.S]]-MIP[[#This Row],[P.E]]-1/24)</f>
        <v>0.36666666666666675</v>
      </c>
      <c r="Y281" s="39">
        <f>MIP[[#This Row],[PT-1]]*$S$3+MIP[[#This Row],[PT-2]]*$T$3+MIP[[#This Row],[PT-3]]*$U$3+MIP[[#This Row],[PT &gt; 3 Pontos]]*$V$3</f>
        <v>0</v>
      </c>
      <c r="Z281" s="39">
        <f>MIP[[#This Row],[HH disponível]]-MIP[[#This Row],[HH AC TOT]]</f>
        <v>0.3249999999999999</v>
      </c>
      <c r="AA281" s="38">
        <f>MIP[[#This Row],[HH Produtivo
Total]]/MIP[[#This Row],[HH Trabalhado]]</f>
        <v>0</v>
      </c>
      <c r="AB281" s="38">
        <f>MIP[[#This Row],[HH Produtivo
Total]]/MIP[[#This Row],[HH disponível]]</f>
        <v>0</v>
      </c>
      <c r="AC281" s="38">
        <f>MIP[[#This Row],[HH Trabalhado]]/MIP[[#This Row],[HH disponível]]</f>
        <v>0.88636363636363591</v>
      </c>
      <c r="AD281" s="37" t="str">
        <f>LEFT(MIP[[#This Row],[Equipe]], SEARCH("/",MIP[[#This Row],[Equipe]],1)-1)</f>
        <v xml:space="preserve">ADEMÁRIO </v>
      </c>
      <c r="AE281" s="37" t="str">
        <f>RIGHT(MIP[[#This Row],[Equipe]], LEN(MIP[[#This Row],[Equipe]])-SEARCH("/",MIP[[#This Row],[Equipe]],1))</f>
        <v xml:space="preserve"> RONALDO</v>
      </c>
      <c r="AF281" s="44">
        <f>COUNTIFS('[1]Tempo parado'!H:H,"&gt;="&amp;MIP[[#This Row],[S.B Sitrack]],'[1]Tempo parado'!I:I,"&lt;="&amp;MIP[[#This Row],[C.B Sitrack]],'[1]Tempo parado'!B:B,MIP[[#This Row],[Placa]])</f>
        <v>0</v>
      </c>
      <c r="AG281" s="36"/>
      <c r="AH281" s="35"/>
      <c r="AI281" s="34"/>
      <c r="AJ281" s="34"/>
      <c r="AK28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8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81" s="32">
        <f>SUMIFS('[1]Tempo parado'!J:J,'[1]Tempo parado'!H:H,"&gt;="&amp;MIP[[#This Row],[S.B Sitrack]],'[1]Tempo parado'!I:I,"&lt;="&amp;MIP[[#This Row],[C.B Sitrack]],'[1]Tempo parado'!B:B,MIP[[#This Row],[Placa]])</f>
        <v>0</v>
      </c>
      <c r="AN281" s="32" t="str">
        <f>IFERROR(MIP[[#This Row],[Tempo parado]]/(MIP[[#This Row],[C.B Sitrack]]-MIP[[#This Row],[S.B Sitrack]]),"")</f>
        <v/>
      </c>
      <c r="AO281" s="30"/>
      <c r="AP281" s="44">
        <f>IF(AND(MIP[Exc]=0,MIP[Previsto / Realizado]="Realizado"),MIP[Sem],0)</f>
        <v>0</v>
      </c>
      <c r="AQ281" s="29">
        <f>IF(AND(MIP[Exc]=0,MIP[Previsto / Realizado]="Realizado",ISBLANK(MIP[[#This Row],[S.B Sitrack]])=FALSE,ISBLANK(MIP[[#This Row],[C.B Sitrack]])=FALSE),MIP[Sem],0)</f>
        <v>0</v>
      </c>
    </row>
    <row r="282" spans="2:43" x14ac:dyDescent="0.25">
      <c r="B282" s="44">
        <f>WEEKNUM(MIP[[#This Row],[Data]])</f>
        <v>30</v>
      </c>
      <c r="C282" s="45">
        <v>42939</v>
      </c>
      <c r="D282" s="45"/>
      <c r="E282" s="35" t="s">
        <v>19</v>
      </c>
      <c r="F282" s="35" t="s">
        <v>2</v>
      </c>
      <c r="G282" s="35"/>
      <c r="H282" s="44">
        <v>2</v>
      </c>
      <c r="I282" s="44">
        <v>0</v>
      </c>
      <c r="J282" s="44">
        <v>0</v>
      </c>
      <c r="K282" s="44">
        <v>0</v>
      </c>
      <c r="L282" s="44">
        <v>12</v>
      </c>
      <c r="M282" s="43">
        <v>0.68541666666666667</v>
      </c>
      <c r="N282" s="43">
        <v>0.69791666666666663</v>
      </c>
      <c r="O282" s="43">
        <f>1+25/24/60</f>
        <v>1.0173611111111112</v>
      </c>
      <c r="P282" s="43">
        <f>1+(62)/24/60</f>
        <v>1.0430555555555556</v>
      </c>
      <c r="Q282" s="39"/>
      <c r="R282" s="42" t="s">
        <v>360</v>
      </c>
      <c r="S282" s="29">
        <f>MIP[[#This Row],[PT-1]]+MIP[[#This Row],[PT-2]]*2+MIP[[#This Row],[PT-3]]*3+MIP[[#This Row],[PT &gt; 3 Pontos]]</f>
        <v>12</v>
      </c>
      <c r="T28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3.819444444444442E-2</v>
      </c>
      <c r="U282" s="39">
        <f>IF(MIP[[#This Row],[P.S]]-MIP[[#This Row],[U.P]]&gt;=0,MIP[[#This Row],[P.S]]-MIP[[#This Row],[U.P]]+MIP[[#This Row],[S.B]]-MIP[[#This Row],[P.E]],1+MIP[[#This Row],[P.S]]-MIP[[#This Row],[U.P]]+MIP[[#This Row],[S.B]]-MIP[[#This Row],[P.E]])</f>
        <v>3.819444444444442E-2</v>
      </c>
      <c r="V282" s="41">
        <f>MIP[[#This Row],[Eficiência]]</f>
        <v>0.87471407004830948</v>
      </c>
      <c r="W28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82" s="39">
        <f>IF(MIP[[#This Row],[P.S]]-MIP[[#This Row],[P.E]]&lt;0,1+MIP[[#This Row],[P.S]]-MIP[[#This Row],[P.E]]-1/24,MIP[[#This Row],[P.S]]-MIP[[#This Row],[P.E]]-1/24)</f>
        <v>0.31597222222222227</v>
      </c>
      <c r="Y282" s="39">
        <f>MIP[[#This Row],[PT-1]]*$S$3+MIP[[#This Row],[PT-2]]*$T$3+MIP[[#This Row],[PT-3]]*$U$3+MIP[[#This Row],[PT &gt; 3 Pontos]]*$V$3</f>
        <v>0.24297613056897491</v>
      </c>
      <c r="Z282" s="39">
        <f>MIP[[#This Row],[HH disponível]]-MIP[[#This Row],[HH AC TOT]]</f>
        <v>0.27777777777777785</v>
      </c>
      <c r="AA282" s="38">
        <f>MIP[[#This Row],[HH Produtivo
Total]]/MIP[[#This Row],[HH Trabalhado]]</f>
        <v>0.87471407004830948</v>
      </c>
      <c r="AB282" s="38">
        <f>MIP[[#This Row],[HH Produtivo
Total]]/MIP[[#This Row],[HH disponível]]</f>
        <v>0.76897940224027217</v>
      </c>
      <c r="AC282" s="38">
        <f>MIP[[#This Row],[HH Trabalhado]]/MIP[[#This Row],[HH disponível]]</f>
        <v>0.87912087912087922</v>
      </c>
      <c r="AD282" s="37" t="str">
        <f>LEFT(MIP[[#This Row],[Equipe]], SEARCH("/",MIP[[#This Row],[Equipe]],1)-1)</f>
        <v xml:space="preserve">ADEMÁRIO </v>
      </c>
      <c r="AE282" s="37" t="str">
        <f>RIGHT(MIP[[#This Row],[Equipe]], LEN(MIP[[#This Row],[Equipe]])-SEARCH("/",MIP[[#This Row],[Equipe]],1))</f>
        <v xml:space="preserve"> RONALDO</v>
      </c>
      <c r="AF282" s="44">
        <f>COUNTIFS('[1]Tempo parado'!H:H,"&gt;="&amp;MIP[[#This Row],[S.B Sitrack]],'[1]Tempo parado'!I:I,"&lt;="&amp;MIP[[#This Row],[C.B Sitrack]],'[1]Tempo parado'!B:B,MIP[[#This Row],[Placa]])</f>
        <v>0</v>
      </c>
      <c r="AG282" s="36"/>
      <c r="AH282" s="35"/>
      <c r="AI282" s="34"/>
      <c r="AJ282" s="34"/>
      <c r="AK28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8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82" s="32">
        <f>SUMIFS('[1]Tempo parado'!J:J,'[1]Tempo parado'!H:H,"&gt;="&amp;MIP[[#This Row],[S.B Sitrack]],'[1]Tempo parado'!I:I,"&lt;="&amp;MIP[[#This Row],[C.B Sitrack]],'[1]Tempo parado'!B:B,MIP[[#This Row],[Placa]])</f>
        <v>0</v>
      </c>
      <c r="AN282" s="32" t="str">
        <f>IFERROR(MIP[[#This Row],[Tempo parado]]/(MIP[[#This Row],[C.B Sitrack]]-MIP[[#This Row],[S.B Sitrack]]),"")</f>
        <v/>
      </c>
      <c r="AO282" s="30"/>
      <c r="AP282" s="44">
        <f>IF(AND(MIP[Exc]=0,MIP[Previsto / Realizado]="Realizado"),MIP[Sem],0)</f>
        <v>30</v>
      </c>
      <c r="AQ282" s="29">
        <f>IF(AND(MIP[Exc]=0,MIP[Previsto / Realizado]="Realizado",ISBLANK(MIP[[#This Row],[S.B Sitrack]])=FALSE,ISBLANK(MIP[[#This Row],[C.B Sitrack]])=FALSE),MIP[Sem],0)</f>
        <v>0</v>
      </c>
    </row>
    <row r="283" spans="2:43" x14ac:dyDescent="0.25">
      <c r="B283" s="44">
        <f>WEEKNUM(MIP[[#This Row],[Data]])</f>
        <v>30</v>
      </c>
      <c r="C283" s="45">
        <v>42940</v>
      </c>
      <c r="D283" s="45"/>
      <c r="E283" s="35" t="s">
        <v>3</v>
      </c>
      <c r="F283" s="35" t="s">
        <v>5</v>
      </c>
      <c r="G283" s="35"/>
      <c r="H283" s="44">
        <v>2</v>
      </c>
      <c r="I283" s="44">
        <v>14</v>
      </c>
      <c r="J283" s="44">
        <v>0</v>
      </c>
      <c r="K283" s="44">
        <v>0</v>
      </c>
      <c r="L283" s="44">
        <v>0</v>
      </c>
      <c r="M283" s="43">
        <v>0.625</v>
      </c>
      <c r="N283" s="43">
        <v>0.64583333333333337</v>
      </c>
      <c r="O283" s="43">
        <f>1+18/24/60</f>
        <v>1.0125</v>
      </c>
      <c r="P283" s="43">
        <f>1+48/24/60</f>
        <v>1.0333333333333334</v>
      </c>
      <c r="Q283" s="39"/>
      <c r="R283" s="42"/>
      <c r="S283" s="29">
        <f>MIP[[#This Row],[PT-1]]+MIP[[#This Row],[PT-2]]*2+MIP[[#This Row],[PT-3]]*3+MIP[[#This Row],[PT &gt; 3 Pontos]]</f>
        <v>14</v>
      </c>
      <c r="T28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283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283" s="41">
        <f>MIP[[#This Row],[Eficiência]]</f>
        <v>1.0780367428465252</v>
      </c>
      <c r="W28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83" s="39">
        <f>IF(MIP[[#This Row],[P.S]]-MIP[[#This Row],[P.E]]&lt;0,1+MIP[[#This Row],[P.S]]-MIP[[#This Row],[P.E]]-1/24,MIP[[#This Row],[P.S]]-MIP[[#This Row],[P.E]]-1/24)</f>
        <v>0.36666666666666675</v>
      </c>
      <c r="Y283" s="39">
        <f>MIP[[#This Row],[PT-1]]*$S$3+MIP[[#This Row],[PT-2]]*$T$3+MIP[[#This Row],[PT-3]]*$U$3+MIP[[#This Row],[PT &gt; 3 Pontos]]*$V$3</f>
        <v>0.35036194142512056</v>
      </c>
      <c r="Z283" s="39">
        <f>MIP[[#This Row],[HH disponível]]-MIP[[#This Row],[HH AC TOT]]</f>
        <v>0.3249999999999999</v>
      </c>
      <c r="AA283" s="38">
        <f>MIP[[#This Row],[HH Produtivo
Total]]/MIP[[#This Row],[HH Trabalhado]]</f>
        <v>1.0780367428465252</v>
      </c>
      <c r="AB283" s="38">
        <f>MIP[[#This Row],[HH Produtivo
Total]]/MIP[[#This Row],[HH disponível]]</f>
        <v>0.95553256752305582</v>
      </c>
      <c r="AC283" s="38">
        <f>MIP[[#This Row],[HH Trabalhado]]/MIP[[#This Row],[HH disponível]]</f>
        <v>0.88636363636363591</v>
      </c>
      <c r="AD283" s="37" t="str">
        <f>LEFT(MIP[[#This Row],[Equipe]], SEARCH("/",MIP[[#This Row],[Equipe]],1)-1)</f>
        <v xml:space="preserve">EDILTON </v>
      </c>
      <c r="AE283" s="37" t="str">
        <f>RIGHT(MIP[[#This Row],[Equipe]], LEN(MIP[[#This Row],[Equipe]])-SEARCH("/",MIP[[#This Row],[Equipe]],1))</f>
        <v xml:space="preserve"> GECIVALDO</v>
      </c>
      <c r="AF283" s="44">
        <f>COUNTIFS('[1]Tempo parado'!H:H,"&gt;="&amp;MIP[[#This Row],[S.B Sitrack]],'[1]Tempo parado'!I:I,"&lt;="&amp;MIP[[#This Row],[C.B Sitrack]],'[1]Tempo parado'!B:B,MIP[[#This Row],[Placa]])</f>
        <v>0</v>
      </c>
      <c r="AG283" s="36"/>
      <c r="AH283" s="35"/>
      <c r="AI283" s="34"/>
      <c r="AJ283" s="34"/>
      <c r="AK28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8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83" s="32">
        <f>SUMIFS('[1]Tempo parado'!J:J,'[1]Tempo parado'!H:H,"&gt;="&amp;MIP[[#This Row],[S.B Sitrack]],'[1]Tempo parado'!I:I,"&lt;="&amp;MIP[[#This Row],[C.B Sitrack]],'[1]Tempo parado'!B:B,MIP[[#This Row],[Placa]])</f>
        <v>0</v>
      </c>
      <c r="AN283" s="32" t="str">
        <f>IFERROR(MIP[[#This Row],[Tempo parado]]/(MIP[[#This Row],[C.B Sitrack]]-MIP[[#This Row],[S.B Sitrack]]),"")</f>
        <v/>
      </c>
      <c r="AO283" s="30"/>
      <c r="AP283" s="44">
        <f>IF(AND(MIP[Exc]=0,MIP[Previsto / Realizado]="Realizado"),MIP[Sem],0)</f>
        <v>0</v>
      </c>
      <c r="AQ283" s="29">
        <f>IF(AND(MIP[Exc]=0,MIP[Previsto / Realizado]="Realizado",ISBLANK(MIP[[#This Row],[S.B Sitrack]])=FALSE,ISBLANK(MIP[[#This Row],[C.B Sitrack]])=FALSE),MIP[Sem],0)</f>
        <v>0</v>
      </c>
    </row>
    <row r="284" spans="2:43" x14ac:dyDescent="0.25">
      <c r="B284" s="44">
        <f>WEEKNUM(MIP[[#This Row],[Data]])</f>
        <v>30</v>
      </c>
      <c r="C284" s="45">
        <v>42940</v>
      </c>
      <c r="D284" s="45"/>
      <c r="E284" s="35" t="s">
        <v>3</v>
      </c>
      <c r="F284" s="35" t="s">
        <v>2</v>
      </c>
      <c r="G284" s="35"/>
      <c r="H284" s="44">
        <v>2</v>
      </c>
      <c r="I284" s="44">
        <v>14</v>
      </c>
      <c r="J284" s="44">
        <v>0</v>
      </c>
      <c r="K284" s="44">
        <v>0</v>
      </c>
      <c r="L284" s="44">
        <v>0</v>
      </c>
      <c r="M284" s="43">
        <v>0.62777777777777777</v>
      </c>
      <c r="N284" s="43">
        <v>0.67013888888888884</v>
      </c>
      <c r="O284" s="43">
        <f>1+13/24/60</f>
        <v>1.0090277777777779</v>
      </c>
      <c r="P284" s="43">
        <f>1+48/24/60</f>
        <v>1.0333333333333334</v>
      </c>
      <c r="Q284" s="39"/>
      <c r="R284" s="42"/>
      <c r="S284" s="29">
        <f>MIP[[#This Row],[PT-1]]+MIP[[#This Row],[PT-2]]*2+MIP[[#This Row],[PT-3]]*3+MIP[[#This Row],[PT &gt; 3 Pontos]]</f>
        <v>14</v>
      </c>
      <c r="T28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6.6666666666666652E-2</v>
      </c>
      <c r="U284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6.6666666666666652E-2</v>
      </c>
      <c r="V284" s="41">
        <f>MIP[[#This Row],[Eficiência]]</f>
        <v>1.1787878403088163</v>
      </c>
      <c r="W28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84" s="39">
        <f>IF(MIP[[#This Row],[P.S]]-MIP[[#This Row],[P.E]]&lt;0,1+MIP[[#This Row],[P.S]]-MIP[[#This Row],[P.E]]-1/24,MIP[[#This Row],[P.S]]-MIP[[#This Row],[P.E]]-1/24)</f>
        <v>0.36388888888888898</v>
      </c>
      <c r="Y284" s="39">
        <f>MIP[[#This Row],[PT-1]]*$S$3+MIP[[#This Row],[PT-2]]*$T$3+MIP[[#This Row],[PT-3]]*$U$3+MIP[[#This Row],[PT &gt; 3 Pontos]]*$V$3</f>
        <v>0.35036194142512056</v>
      </c>
      <c r="Z284" s="39">
        <f>MIP[[#This Row],[HH disponível]]-MIP[[#This Row],[HH AC TOT]]</f>
        <v>0.29722222222222233</v>
      </c>
      <c r="AA284" s="38">
        <f>MIP[[#This Row],[HH Produtivo
Total]]/MIP[[#This Row],[HH Trabalhado]]</f>
        <v>1.1787878403088163</v>
      </c>
      <c r="AB284" s="38">
        <f>MIP[[#This Row],[HH Produtivo
Total]]/MIP[[#This Row],[HH disponível]]</f>
        <v>0.96282670925987301</v>
      </c>
      <c r="AC284" s="38">
        <f>MIP[[#This Row],[HH Trabalhado]]/MIP[[#This Row],[HH disponível]]</f>
        <v>0.81679389312977113</v>
      </c>
      <c r="AD284" s="37" t="str">
        <f>LEFT(MIP[[#This Row],[Equipe]], SEARCH("/",MIP[[#This Row],[Equipe]],1)-1)</f>
        <v xml:space="preserve">EDILTON </v>
      </c>
      <c r="AE284" s="37" t="str">
        <f>RIGHT(MIP[[#This Row],[Equipe]], LEN(MIP[[#This Row],[Equipe]])-SEARCH("/",MIP[[#This Row],[Equipe]],1))</f>
        <v xml:space="preserve"> GECIVALDO</v>
      </c>
      <c r="AF284" s="44">
        <f>COUNTIFS('[1]Tempo parado'!H:H,"&gt;="&amp;MIP[[#This Row],[S.B Sitrack]],'[1]Tempo parado'!I:I,"&lt;="&amp;MIP[[#This Row],[C.B Sitrack]],'[1]Tempo parado'!B:B,MIP[[#This Row],[Placa]])</f>
        <v>0</v>
      </c>
      <c r="AG284" s="36"/>
      <c r="AH284" s="35"/>
      <c r="AI284" s="34"/>
      <c r="AJ284" s="34"/>
      <c r="AK28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8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84" s="32">
        <f>SUMIFS('[1]Tempo parado'!J:J,'[1]Tempo parado'!H:H,"&gt;="&amp;MIP[[#This Row],[S.B Sitrack]],'[1]Tempo parado'!I:I,"&lt;="&amp;MIP[[#This Row],[C.B Sitrack]],'[1]Tempo parado'!B:B,MIP[[#This Row],[Placa]])</f>
        <v>0</v>
      </c>
      <c r="AN284" s="32" t="str">
        <f>IFERROR(MIP[[#This Row],[Tempo parado]]/(MIP[[#This Row],[C.B Sitrack]]-MIP[[#This Row],[S.B Sitrack]]),"")</f>
        <v/>
      </c>
      <c r="AO284" s="30"/>
      <c r="AP284" s="44">
        <f>IF(AND(MIP[Exc]=0,MIP[Previsto / Realizado]="Realizado"),MIP[Sem],0)</f>
        <v>30</v>
      </c>
      <c r="AQ284" s="29">
        <f>IF(AND(MIP[Exc]=0,MIP[Previsto / Realizado]="Realizado",ISBLANK(MIP[[#This Row],[S.B Sitrack]])=FALSE,ISBLANK(MIP[[#This Row],[C.B Sitrack]])=FALSE),MIP[Sem],0)</f>
        <v>0</v>
      </c>
    </row>
    <row r="285" spans="2:43" x14ac:dyDescent="0.25">
      <c r="B285" s="44">
        <f>WEEKNUM(MIP[[#This Row],[Data]])</f>
        <v>30</v>
      </c>
      <c r="C285" s="45">
        <v>42940</v>
      </c>
      <c r="D285" s="45"/>
      <c r="E285" s="35" t="s">
        <v>7</v>
      </c>
      <c r="F285" s="35" t="s">
        <v>5</v>
      </c>
      <c r="G285" s="35"/>
      <c r="H285" s="44">
        <v>2</v>
      </c>
      <c r="I285" s="44">
        <v>5</v>
      </c>
      <c r="J285" s="44">
        <v>0</v>
      </c>
      <c r="K285" s="44">
        <v>0</v>
      </c>
      <c r="L285" s="44">
        <v>4</v>
      </c>
      <c r="M285" s="43">
        <v>0.625</v>
      </c>
      <c r="N285" s="43">
        <v>0.64583333333333337</v>
      </c>
      <c r="O285" s="43">
        <f>1+18/24/60</f>
        <v>1.0125</v>
      </c>
      <c r="P285" s="43">
        <f>1+48/24/60</f>
        <v>1.0333333333333334</v>
      </c>
      <c r="Q285" s="39"/>
      <c r="R285" s="42" t="s">
        <v>359</v>
      </c>
      <c r="S285" s="29">
        <f>MIP[[#This Row],[PT-1]]+MIP[[#This Row],[PT-2]]*2+MIP[[#This Row],[PT-3]]*3+MIP[[#This Row],[PT &gt; 3 Pontos]]</f>
        <v>9</v>
      </c>
      <c r="T28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285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285" s="41">
        <f>MIP[[#This Row],[Eficiência]]</f>
        <v>0.63421941020823869</v>
      </c>
      <c r="W28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85" s="39">
        <f>IF(MIP[[#This Row],[P.S]]-MIP[[#This Row],[P.E]]&lt;0,1+MIP[[#This Row],[P.S]]-MIP[[#This Row],[P.E]]-1/24,MIP[[#This Row],[P.S]]-MIP[[#This Row],[P.E]]-1/24)</f>
        <v>0.36666666666666675</v>
      </c>
      <c r="Y285" s="39">
        <f>MIP[[#This Row],[PT-1]]*$S$3+MIP[[#This Row],[PT-2]]*$T$3+MIP[[#This Row],[PT-3]]*$U$3+MIP[[#This Row],[PT &gt; 3 Pontos]]*$V$3</f>
        <v>0.20612130831767753</v>
      </c>
      <c r="Z285" s="39">
        <f>MIP[[#This Row],[HH disponível]]-MIP[[#This Row],[HH AC TOT]]</f>
        <v>0.3249999999999999</v>
      </c>
      <c r="AA285" s="38">
        <f>MIP[[#This Row],[HH Produtivo
Total]]/MIP[[#This Row],[HH Trabalhado]]</f>
        <v>0.63421941020823869</v>
      </c>
      <c r="AB285" s="38">
        <f>MIP[[#This Row],[HH Produtivo
Total]]/MIP[[#This Row],[HH disponível]]</f>
        <v>0.56214902268457489</v>
      </c>
      <c r="AC285" s="38">
        <f>MIP[[#This Row],[HH Trabalhado]]/MIP[[#This Row],[HH disponível]]</f>
        <v>0.88636363636363591</v>
      </c>
      <c r="AD285" s="37" t="str">
        <f>LEFT(MIP[[#This Row],[Equipe]], SEARCH("/",MIP[[#This Row],[Equipe]],1)-1)</f>
        <v xml:space="preserve">ANDERSON </v>
      </c>
      <c r="AE285" s="37" t="str">
        <f>RIGHT(MIP[[#This Row],[Equipe]], LEN(MIP[[#This Row],[Equipe]])-SEARCH("/",MIP[[#This Row],[Equipe]],1))</f>
        <v xml:space="preserve"> MARCO</v>
      </c>
      <c r="AF285" s="44">
        <f>COUNTIFS('[1]Tempo parado'!H:H,"&gt;="&amp;MIP[[#This Row],[S.B Sitrack]],'[1]Tempo parado'!I:I,"&lt;="&amp;MIP[[#This Row],[C.B Sitrack]],'[1]Tempo parado'!B:B,MIP[[#This Row],[Placa]])</f>
        <v>0</v>
      </c>
      <c r="AG285" s="36"/>
      <c r="AH285" s="35"/>
      <c r="AI285" s="34"/>
      <c r="AJ285" s="34"/>
      <c r="AK28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8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85" s="32">
        <f>SUMIFS('[1]Tempo parado'!J:J,'[1]Tempo parado'!H:H,"&gt;="&amp;MIP[[#This Row],[S.B Sitrack]],'[1]Tempo parado'!I:I,"&lt;="&amp;MIP[[#This Row],[C.B Sitrack]],'[1]Tempo parado'!B:B,MIP[[#This Row],[Placa]])</f>
        <v>0</v>
      </c>
      <c r="AN285" s="32" t="str">
        <f>IFERROR(MIP[[#This Row],[Tempo parado]]/(MIP[[#This Row],[C.B Sitrack]]-MIP[[#This Row],[S.B Sitrack]]),"")</f>
        <v/>
      </c>
      <c r="AO285" s="30"/>
      <c r="AP285" s="44">
        <f>IF(AND(MIP[Exc]=0,MIP[Previsto / Realizado]="Realizado"),MIP[Sem],0)</f>
        <v>0</v>
      </c>
      <c r="AQ285" s="29">
        <f>IF(AND(MIP[Exc]=0,MIP[Previsto / Realizado]="Realizado",ISBLANK(MIP[[#This Row],[S.B Sitrack]])=FALSE,ISBLANK(MIP[[#This Row],[C.B Sitrack]])=FALSE),MIP[Sem],0)</f>
        <v>0</v>
      </c>
    </row>
    <row r="286" spans="2:43" x14ac:dyDescent="0.25">
      <c r="B286" s="44">
        <f>WEEKNUM(MIP[[#This Row],[Data]])</f>
        <v>30</v>
      </c>
      <c r="C286" s="45">
        <v>42940</v>
      </c>
      <c r="D286" s="45"/>
      <c r="E286" s="35" t="s">
        <v>7</v>
      </c>
      <c r="F286" s="35" t="s">
        <v>2</v>
      </c>
      <c r="G286" s="35"/>
      <c r="H286" s="44">
        <v>2</v>
      </c>
      <c r="I286" s="44">
        <v>5</v>
      </c>
      <c r="J286" s="44">
        <v>0</v>
      </c>
      <c r="K286" s="44">
        <v>0</v>
      </c>
      <c r="L286" s="44">
        <v>10</v>
      </c>
      <c r="M286" s="43">
        <v>0.63263888888888886</v>
      </c>
      <c r="N286" s="43">
        <v>0.67361111111111116</v>
      </c>
      <c r="O286" s="43">
        <f>1+14/24/60</f>
        <v>1.0097222222222222</v>
      </c>
      <c r="P286" s="43">
        <f>1+48/24/60</f>
        <v>1.0333333333333334</v>
      </c>
      <c r="Q286" s="39"/>
      <c r="R286" s="42"/>
      <c r="S286" s="29">
        <f>MIP[[#This Row],[PT-1]]+MIP[[#This Row],[PT-2]]*2+MIP[[#This Row],[PT-3]]*3+MIP[[#This Row],[PT &gt; 3 Pontos]]</f>
        <v>15</v>
      </c>
      <c r="T28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6.4583333333333548E-2</v>
      </c>
      <c r="U286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6.4583333333333548E-2</v>
      </c>
      <c r="V286" s="41">
        <f>MIP[[#This Row],[Eficiência]]</f>
        <v>1.1126356084601834</v>
      </c>
      <c r="W28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86" s="39">
        <f>IF(MIP[[#This Row],[P.S]]-MIP[[#This Row],[P.E]]&lt;0,1+MIP[[#This Row],[P.S]]-MIP[[#This Row],[P.E]]-1/24,MIP[[#This Row],[P.S]]-MIP[[#This Row],[P.E]]-1/24)</f>
        <v>0.35902777777777789</v>
      </c>
      <c r="Y286" s="39">
        <f>MIP[[#This Row],[PT-1]]*$S$3+MIP[[#This Row],[PT-2]]*$T$3+MIP[[#This Row],[PT-3]]*$U$3+MIP[[#This Row],[PT &gt; 3 Pontos]]*$V$3</f>
        <v>0.32760937360216497</v>
      </c>
      <c r="Z286" s="39">
        <f>MIP[[#This Row],[HH disponível]]-MIP[[#This Row],[HH AC TOT]]</f>
        <v>0.29444444444444434</v>
      </c>
      <c r="AA286" s="38">
        <f>MIP[[#This Row],[HH Produtivo
Total]]/MIP[[#This Row],[HH Trabalhado]]</f>
        <v>1.1126356084601834</v>
      </c>
      <c r="AB286" s="38">
        <f>MIP[[#This Row],[HH Produtivo
Total]]/MIP[[#This Row],[HH disponível]]</f>
        <v>0.9124903249267261</v>
      </c>
      <c r="AC286" s="38">
        <f>MIP[[#This Row],[HH Trabalhado]]/MIP[[#This Row],[HH disponível]]</f>
        <v>0.82011605415860678</v>
      </c>
      <c r="AD286" s="37" t="str">
        <f>LEFT(MIP[[#This Row],[Equipe]], SEARCH("/",MIP[[#This Row],[Equipe]],1)-1)</f>
        <v xml:space="preserve">ANDERSON </v>
      </c>
      <c r="AE286" s="37" t="str">
        <f>RIGHT(MIP[[#This Row],[Equipe]], LEN(MIP[[#This Row],[Equipe]])-SEARCH("/",MIP[[#This Row],[Equipe]],1))</f>
        <v xml:space="preserve"> MARCO</v>
      </c>
      <c r="AF286" s="44">
        <f>COUNTIFS('[1]Tempo parado'!H:H,"&gt;="&amp;MIP[[#This Row],[S.B Sitrack]],'[1]Tempo parado'!I:I,"&lt;="&amp;MIP[[#This Row],[C.B Sitrack]],'[1]Tempo parado'!B:B,MIP[[#This Row],[Placa]])</f>
        <v>0</v>
      </c>
      <c r="AG286" s="36"/>
      <c r="AH286" s="35"/>
      <c r="AI286" s="34"/>
      <c r="AJ286" s="34"/>
      <c r="AK28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8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86" s="32">
        <f>SUMIFS('[1]Tempo parado'!J:J,'[1]Tempo parado'!H:H,"&gt;="&amp;MIP[[#This Row],[S.B Sitrack]],'[1]Tempo parado'!I:I,"&lt;="&amp;MIP[[#This Row],[C.B Sitrack]],'[1]Tempo parado'!B:B,MIP[[#This Row],[Placa]])</f>
        <v>0</v>
      </c>
      <c r="AN286" s="32" t="str">
        <f>IFERROR(MIP[[#This Row],[Tempo parado]]/(MIP[[#This Row],[C.B Sitrack]]-MIP[[#This Row],[S.B Sitrack]]),"")</f>
        <v/>
      </c>
      <c r="AO286" s="30"/>
      <c r="AP286" s="44">
        <f>IF(AND(MIP[Exc]=0,MIP[Previsto / Realizado]="Realizado"),MIP[Sem],0)</f>
        <v>30</v>
      </c>
      <c r="AQ286" s="29">
        <f>IF(AND(MIP[Exc]=0,MIP[Previsto / Realizado]="Realizado",ISBLANK(MIP[[#This Row],[S.B Sitrack]])=FALSE,ISBLANK(MIP[[#This Row],[C.B Sitrack]])=FALSE),MIP[Sem],0)</f>
        <v>0</v>
      </c>
    </row>
    <row r="287" spans="2:43" x14ac:dyDescent="0.25">
      <c r="B287" s="44">
        <f>WEEKNUM(MIP[[#This Row],[Data]])</f>
        <v>30</v>
      </c>
      <c r="C287" s="45">
        <v>42940</v>
      </c>
      <c r="D287" s="45"/>
      <c r="E287" s="35" t="s">
        <v>19</v>
      </c>
      <c r="F287" s="35" t="s">
        <v>5</v>
      </c>
      <c r="G287" s="35"/>
      <c r="H287" s="44">
        <v>2</v>
      </c>
      <c r="I287" s="44">
        <v>0</v>
      </c>
      <c r="J287" s="44">
        <v>0</v>
      </c>
      <c r="K287" s="44">
        <v>0</v>
      </c>
      <c r="L287" s="44">
        <v>0</v>
      </c>
      <c r="M287" s="43">
        <v>0.625</v>
      </c>
      <c r="N287" s="43">
        <v>0.64583333333333337</v>
      </c>
      <c r="O287" s="43">
        <f>1+18/24/60</f>
        <v>1.0125</v>
      </c>
      <c r="P287" s="43">
        <f>1+48/24/60</f>
        <v>1.0333333333333334</v>
      </c>
      <c r="Q287" s="39"/>
      <c r="R287" s="42" t="s">
        <v>358</v>
      </c>
      <c r="S287" s="29">
        <f>MIP[[#This Row],[PT-1]]+MIP[[#This Row],[PT-2]]*2+MIP[[#This Row],[PT-3]]*3+MIP[[#This Row],[PT &gt; 3 Pontos]]</f>
        <v>0</v>
      </c>
      <c r="T28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287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287" s="41">
        <f>MIP[[#This Row],[Eficiência]]</f>
        <v>0</v>
      </c>
      <c r="W28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87" s="39">
        <f>IF(MIP[[#This Row],[P.S]]-MIP[[#This Row],[P.E]]&lt;0,1+MIP[[#This Row],[P.S]]-MIP[[#This Row],[P.E]]-1/24,MIP[[#This Row],[P.S]]-MIP[[#This Row],[P.E]]-1/24)</f>
        <v>0.36666666666666675</v>
      </c>
      <c r="Y287" s="39">
        <f>MIP[[#This Row],[PT-1]]*$S$3+MIP[[#This Row],[PT-2]]*$T$3+MIP[[#This Row],[PT-3]]*$U$3+MIP[[#This Row],[PT &gt; 3 Pontos]]*$V$3</f>
        <v>0</v>
      </c>
      <c r="Z287" s="39">
        <f>MIP[[#This Row],[HH disponível]]-MIP[[#This Row],[HH AC TOT]]</f>
        <v>0.3249999999999999</v>
      </c>
      <c r="AA287" s="38">
        <f>MIP[[#This Row],[HH Produtivo
Total]]/MIP[[#This Row],[HH Trabalhado]]</f>
        <v>0</v>
      </c>
      <c r="AB287" s="38">
        <f>MIP[[#This Row],[HH Produtivo
Total]]/MIP[[#This Row],[HH disponível]]</f>
        <v>0</v>
      </c>
      <c r="AC287" s="38">
        <f>MIP[[#This Row],[HH Trabalhado]]/MIP[[#This Row],[HH disponível]]</f>
        <v>0.88636363636363591</v>
      </c>
      <c r="AD287" s="37" t="str">
        <f>LEFT(MIP[[#This Row],[Equipe]], SEARCH("/",MIP[[#This Row],[Equipe]],1)-1)</f>
        <v xml:space="preserve">ADEMÁRIO </v>
      </c>
      <c r="AE287" s="37" t="str">
        <f>RIGHT(MIP[[#This Row],[Equipe]], LEN(MIP[[#This Row],[Equipe]])-SEARCH("/",MIP[[#This Row],[Equipe]],1))</f>
        <v xml:space="preserve"> RONALDO</v>
      </c>
      <c r="AF287" s="44">
        <f>COUNTIFS('[1]Tempo parado'!H:H,"&gt;="&amp;MIP[[#This Row],[S.B Sitrack]],'[1]Tempo parado'!I:I,"&lt;="&amp;MIP[[#This Row],[C.B Sitrack]],'[1]Tempo parado'!B:B,MIP[[#This Row],[Placa]])</f>
        <v>0</v>
      </c>
      <c r="AG287" s="36"/>
      <c r="AH287" s="35"/>
      <c r="AI287" s="34"/>
      <c r="AJ287" s="34"/>
      <c r="AK28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8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87" s="32">
        <f>SUMIFS('[1]Tempo parado'!J:J,'[1]Tempo parado'!H:H,"&gt;="&amp;MIP[[#This Row],[S.B Sitrack]],'[1]Tempo parado'!I:I,"&lt;="&amp;MIP[[#This Row],[C.B Sitrack]],'[1]Tempo parado'!B:B,MIP[[#This Row],[Placa]])</f>
        <v>0</v>
      </c>
      <c r="AN287" s="32" t="str">
        <f>IFERROR(MIP[[#This Row],[Tempo parado]]/(MIP[[#This Row],[C.B Sitrack]]-MIP[[#This Row],[S.B Sitrack]]),"")</f>
        <v/>
      </c>
      <c r="AO287" s="30"/>
      <c r="AP287" s="44">
        <f>IF(AND(MIP[Exc]=0,MIP[Previsto / Realizado]="Realizado"),MIP[Sem],0)</f>
        <v>0</v>
      </c>
      <c r="AQ287" s="29">
        <f>IF(AND(MIP[Exc]=0,MIP[Previsto / Realizado]="Realizado",ISBLANK(MIP[[#This Row],[S.B Sitrack]])=FALSE,ISBLANK(MIP[[#This Row],[C.B Sitrack]])=FALSE),MIP[Sem],0)</f>
        <v>0</v>
      </c>
    </row>
    <row r="288" spans="2:43" x14ac:dyDescent="0.25">
      <c r="B288" s="44">
        <f>WEEKNUM(MIP[[#This Row],[Data]])</f>
        <v>30</v>
      </c>
      <c r="C288" s="45">
        <v>42940</v>
      </c>
      <c r="D288" s="45"/>
      <c r="E288" s="35" t="s">
        <v>19</v>
      </c>
      <c r="F288" s="35" t="s">
        <v>2</v>
      </c>
      <c r="G288" s="35"/>
      <c r="H288" s="44">
        <v>2</v>
      </c>
      <c r="I288" s="44">
        <v>0</v>
      </c>
      <c r="J288" s="44">
        <v>0</v>
      </c>
      <c r="K288" s="44">
        <v>0</v>
      </c>
      <c r="L288" s="44">
        <v>9</v>
      </c>
      <c r="M288" s="43">
        <v>0.62569444444444444</v>
      </c>
      <c r="N288" s="43">
        <v>0.67361111111111116</v>
      </c>
      <c r="O288" s="43">
        <f>1+34/24/60</f>
        <v>1.023611111111111</v>
      </c>
      <c r="P288" s="43">
        <f>1+58/24/60</f>
        <v>1.0402777777777779</v>
      </c>
      <c r="Q288" s="39"/>
      <c r="R288" s="42" t="s">
        <v>357</v>
      </c>
      <c r="S288" s="29">
        <f>MIP[[#This Row],[PT-1]]+MIP[[#This Row],[PT-2]]*2+MIP[[#This Row],[PT-3]]*3+MIP[[#This Row],[PT &gt; 3 Pontos]]</f>
        <v>9</v>
      </c>
      <c r="T28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6.4583333333333548E-2</v>
      </c>
      <c r="U288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6.4583333333333548E-2</v>
      </c>
      <c r="V288" s="41">
        <f>MIP[[#This Row],[Eficiência]]</f>
        <v>0.59102302030291221</v>
      </c>
      <c r="W28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88" s="39">
        <f>IF(MIP[[#This Row],[P.S]]-MIP[[#This Row],[P.E]]&lt;0,1+MIP[[#This Row],[P.S]]-MIP[[#This Row],[P.E]]-1/24,MIP[[#This Row],[P.S]]-MIP[[#This Row],[P.E]]-1/24)</f>
        <v>0.37291666666666673</v>
      </c>
      <c r="Y288" s="39">
        <f>MIP[[#This Row],[PT-1]]*$S$3+MIP[[#This Row],[PT-2]]*$T$3+MIP[[#This Row],[PT-3]]*$U$3+MIP[[#This Row],[PT &gt; 3 Pontos]]*$V$3</f>
        <v>0.18223209792673117</v>
      </c>
      <c r="Z288" s="39">
        <f>MIP[[#This Row],[HH disponível]]-MIP[[#This Row],[HH AC TOT]]</f>
        <v>0.30833333333333318</v>
      </c>
      <c r="AA288" s="38">
        <f>MIP[[#This Row],[HH Produtivo
Total]]/MIP[[#This Row],[HH Trabalhado]]</f>
        <v>0.59102302030291221</v>
      </c>
      <c r="AB288" s="38">
        <f>MIP[[#This Row],[HH Produtivo
Total]]/MIP[[#This Row],[HH disponível]]</f>
        <v>0.48866707823927902</v>
      </c>
      <c r="AC288" s="38">
        <f>MIP[[#This Row],[HH Trabalhado]]/MIP[[#This Row],[HH disponível]]</f>
        <v>0.82681564245810002</v>
      </c>
      <c r="AD288" s="37" t="str">
        <f>LEFT(MIP[[#This Row],[Equipe]], SEARCH("/",MIP[[#This Row],[Equipe]],1)-1)</f>
        <v xml:space="preserve">ADEMÁRIO </v>
      </c>
      <c r="AE288" s="37" t="str">
        <f>RIGHT(MIP[[#This Row],[Equipe]], LEN(MIP[[#This Row],[Equipe]])-SEARCH("/",MIP[[#This Row],[Equipe]],1))</f>
        <v xml:space="preserve"> RONALDO</v>
      </c>
      <c r="AF288" s="44">
        <f>COUNTIFS('[1]Tempo parado'!H:H,"&gt;="&amp;MIP[[#This Row],[S.B Sitrack]],'[1]Tempo parado'!I:I,"&lt;="&amp;MIP[[#This Row],[C.B Sitrack]],'[1]Tempo parado'!B:B,MIP[[#This Row],[Placa]])</f>
        <v>0</v>
      </c>
      <c r="AG288" s="36"/>
      <c r="AH288" s="35"/>
      <c r="AI288" s="34"/>
      <c r="AJ288" s="34"/>
      <c r="AK28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8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88" s="32">
        <f>SUMIFS('[1]Tempo parado'!J:J,'[1]Tempo parado'!H:H,"&gt;="&amp;MIP[[#This Row],[S.B Sitrack]],'[1]Tempo parado'!I:I,"&lt;="&amp;MIP[[#This Row],[C.B Sitrack]],'[1]Tempo parado'!B:B,MIP[[#This Row],[Placa]])</f>
        <v>0</v>
      </c>
      <c r="AN288" s="32" t="str">
        <f>IFERROR(MIP[[#This Row],[Tempo parado]]/(MIP[[#This Row],[C.B Sitrack]]-MIP[[#This Row],[S.B Sitrack]]),"")</f>
        <v/>
      </c>
      <c r="AO288" s="30"/>
      <c r="AP288" s="44">
        <f>IF(AND(MIP[Exc]=0,MIP[Previsto / Realizado]="Realizado"),MIP[Sem],0)</f>
        <v>30</v>
      </c>
      <c r="AQ288" s="29">
        <f>IF(AND(MIP[Exc]=0,MIP[Previsto / Realizado]="Realizado",ISBLANK(MIP[[#This Row],[S.B Sitrack]])=FALSE,ISBLANK(MIP[[#This Row],[C.B Sitrack]])=FALSE),MIP[Sem],0)</f>
        <v>0</v>
      </c>
    </row>
    <row r="289" spans="2:43" x14ac:dyDescent="0.25">
      <c r="B289" s="44">
        <f>WEEKNUM(MIP[[#This Row],[Data]])</f>
        <v>30</v>
      </c>
      <c r="C289" s="45">
        <v>42941</v>
      </c>
      <c r="D289" s="45"/>
      <c r="E289" s="35" t="s">
        <v>10</v>
      </c>
      <c r="F289" s="35" t="s">
        <v>5</v>
      </c>
      <c r="G289" s="35"/>
      <c r="H289" s="44">
        <v>2</v>
      </c>
      <c r="I289" s="44">
        <v>1</v>
      </c>
      <c r="J289" s="44">
        <v>0</v>
      </c>
      <c r="K289" s="44">
        <v>1</v>
      </c>
      <c r="L289" s="44">
        <v>0</v>
      </c>
      <c r="M289" s="43">
        <v>0.25</v>
      </c>
      <c r="N289" s="43">
        <v>0.27083333333333331</v>
      </c>
      <c r="O289" s="43">
        <v>0.63750000000000007</v>
      </c>
      <c r="P289" s="43">
        <v>0.65833333333333333</v>
      </c>
      <c r="Q289" s="39"/>
      <c r="R289" s="42" t="s">
        <v>356</v>
      </c>
      <c r="S289" s="29">
        <f>MIP[[#This Row],[PT-1]]+MIP[[#This Row],[PT-2]]*2+MIP[[#This Row],[PT-3]]*3+MIP[[#This Row],[PT &gt; 3 Pontos]]</f>
        <v>4</v>
      </c>
      <c r="T28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289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289" s="41">
        <f>MIP[[#This Row],[Eficiência]]</f>
        <v>0.27020779140344353</v>
      </c>
      <c r="W28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89" s="39">
        <f>IF(MIP[[#This Row],[P.S]]-MIP[[#This Row],[P.E]]&lt;0,1+MIP[[#This Row],[P.S]]-MIP[[#This Row],[P.E]]-1/24,MIP[[#This Row],[P.S]]-MIP[[#This Row],[P.E]]-1/24)</f>
        <v>0.36666666666666664</v>
      </c>
      <c r="Y289" s="39">
        <f>MIP[[#This Row],[PT-1]]*$S$3+MIP[[#This Row],[PT-2]]*$T$3+MIP[[#This Row],[PT-3]]*$U$3+MIP[[#This Row],[PT &gt; 3 Pontos]]*$V$3</f>
        <v>8.7817532206119167E-2</v>
      </c>
      <c r="Z289" s="39">
        <f>MIP[[#This Row],[HH disponível]]-MIP[[#This Row],[HH AC TOT]]</f>
        <v>0.32500000000000007</v>
      </c>
      <c r="AA289" s="38">
        <f>MIP[[#This Row],[HH Produtivo
Total]]/MIP[[#This Row],[HH Trabalhado]]</f>
        <v>0.27020779140344353</v>
      </c>
      <c r="AB289" s="38">
        <f>MIP[[#This Row],[HH Produtivo
Total]]/MIP[[#This Row],[HH disponível]]</f>
        <v>0.23950236056214319</v>
      </c>
      <c r="AC289" s="38">
        <f>MIP[[#This Row],[HH Trabalhado]]/MIP[[#This Row],[HH disponível]]</f>
        <v>0.88636363636363658</v>
      </c>
      <c r="AD289" s="37" t="str">
        <f>LEFT(MIP[[#This Row],[Equipe]], SEARCH("/",MIP[[#This Row],[Equipe]],1)-1)</f>
        <v xml:space="preserve">JOILSON </v>
      </c>
      <c r="AE289" s="37" t="str">
        <f>RIGHT(MIP[[#This Row],[Equipe]], LEN(MIP[[#This Row],[Equipe]])-SEARCH("/",MIP[[#This Row],[Equipe]],1))</f>
        <v xml:space="preserve"> VALDEI</v>
      </c>
      <c r="AF289" s="44">
        <f>COUNTIFS('[1]Tempo parado'!H:H,"&gt;="&amp;MIP[[#This Row],[S.B Sitrack]],'[1]Tempo parado'!I:I,"&lt;="&amp;MIP[[#This Row],[C.B Sitrack]],'[1]Tempo parado'!B:B,MIP[[#This Row],[Placa]])</f>
        <v>0</v>
      </c>
      <c r="AG289" s="36"/>
      <c r="AH289" s="35"/>
      <c r="AI289" s="34"/>
      <c r="AJ289" s="34"/>
      <c r="AK28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8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89" s="32">
        <f>SUMIFS('[1]Tempo parado'!J:J,'[1]Tempo parado'!H:H,"&gt;="&amp;MIP[[#This Row],[S.B Sitrack]],'[1]Tempo parado'!I:I,"&lt;="&amp;MIP[[#This Row],[C.B Sitrack]],'[1]Tempo parado'!B:B,MIP[[#This Row],[Placa]])</f>
        <v>0</v>
      </c>
      <c r="AN289" s="32" t="str">
        <f>IFERROR(MIP[[#This Row],[Tempo parado]]/(MIP[[#This Row],[C.B Sitrack]]-MIP[[#This Row],[S.B Sitrack]]),"")</f>
        <v/>
      </c>
      <c r="AO289" s="30"/>
      <c r="AP289" s="44">
        <f>IF(AND(MIP[Exc]=0,MIP[Previsto / Realizado]="Realizado"),MIP[Sem],0)</f>
        <v>0</v>
      </c>
      <c r="AQ289" s="29">
        <f>IF(AND(MIP[Exc]=0,MIP[Previsto / Realizado]="Realizado",ISBLANK(MIP[[#This Row],[S.B Sitrack]])=FALSE,ISBLANK(MIP[[#This Row],[C.B Sitrack]])=FALSE),MIP[Sem],0)</f>
        <v>0</v>
      </c>
    </row>
    <row r="290" spans="2:43" x14ac:dyDescent="0.25">
      <c r="B290" s="44">
        <f>WEEKNUM(MIP[[#This Row],[Data]])</f>
        <v>30</v>
      </c>
      <c r="C290" s="45">
        <v>42941</v>
      </c>
      <c r="D290" s="45"/>
      <c r="E290" s="35" t="s">
        <v>10</v>
      </c>
      <c r="F290" s="35" t="s">
        <v>2</v>
      </c>
      <c r="G290" s="35"/>
      <c r="H290" s="44">
        <v>2</v>
      </c>
      <c r="I290" s="44">
        <v>1</v>
      </c>
      <c r="J290" s="44">
        <v>0</v>
      </c>
      <c r="K290" s="44">
        <v>1</v>
      </c>
      <c r="L290" s="44">
        <v>9</v>
      </c>
      <c r="M290" s="43">
        <v>0.24166666666666667</v>
      </c>
      <c r="N290" s="43">
        <v>0.29166666666666669</v>
      </c>
      <c r="O290" s="43">
        <v>0.64583333333333337</v>
      </c>
      <c r="P290" s="43">
        <v>0.65833333333333333</v>
      </c>
      <c r="Q290" s="39"/>
      <c r="R290" s="42"/>
      <c r="S290" s="29">
        <f>MIP[[#This Row],[PT-1]]+MIP[[#This Row],[PT-2]]*2+MIP[[#This Row],[PT-3]]*3+MIP[[#This Row],[PT &gt; 3 Pontos]]</f>
        <v>13</v>
      </c>
      <c r="T29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6.2499999999999972E-2</v>
      </c>
      <c r="U290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6.2499999999999972E-2</v>
      </c>
      <c r="V290" s="41">
        <f>MIP[[#This Row],[Eficiência]]</f>
        <v>0.86415881642512105</v>
      </c>
      <c r="W29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90" s="39">
        <f>IF(MIP[[#This Row],[P.S]]-MIP[[#This Row],[P.E]]&lt;0,1+MIP[[#This Row],[P.S]]-MIP[[#This Row],[P.E]]-1/24,MIP[[#This Row],[P.S]]-MIP[[#This Row],[P.E]]-1/24)</f>
        <v>0.37499999999999994</v>
      </c>
      <c r="Y290" s="39">
        <f>MIP[[#This Row],[PT-1]]*$S$3+MIP[[#This Row],[PT-2]]*$T$3+MIP[[#This Row],[PT-3]]*$U$3+MIP[[#This Row],[PT &gt; 3 Pontos]]*$V$3</f>
        <v>0.27004963013285033</v>
      </c>
      <c r="Z290" s="39">
        <f>MIP[[#This Row],[HH disponível]]-MIP[[#This Row],[HH AC TOT]]</f>
        <v>0.3125</v>
      </c>
      <c r="AA290" s="38">
        <f>MIP[[#This Row],[HH Produtivo
Total]]/MIP[[#This Row],[HH Trabalhado]]</f>
        <v>0.86415881642512105</v>
      </c>
      <c r="AB290" s="38">
        <f>MIP[[#This Row],[HH Produtivo
Total]]/MIP[[#This Row],[HH disponível]]</f>
        <v>0.72013234702093432</v>
      </c>
      <c r="AC290" s="38">
        <f>MIP[[#This Row],[HH Trabalhado]]/MIP[[#This Row],[HH disponível]]</f>
        <v>0.83333333333333348</v>
      </c>
      <c r="AD290" s="37" t="str">
        <f>LEFT(MIP[[#This Row],[Equipe]], SEARCH("/",MIP[[#This Row],[Equipe]],1)-1)</f>
        <v xml:space="preserve">JOILSON </v>
      </c>
      <c r="AE290" s="37" t="str">
        <f>RIGHT(MIP[[#This Row],[Equipe]], LEN(MIP[[#This Row],[Equipe]])-SEARCH("/",MIP[[#This Row],[Equipe]],1))</f>
        <v xml:space="preserve"> VALDEI</v>
      </c>
      <c r="AF290" s="44">
        <f>COUNTIFS('[1]Tempo parado'!H:H,"&gt;="&amp;MIP[[#This Row],[S.B Sitrack]],'[1]Tempo parado'!I:I,"&lt;="&amp;MIP[[#This Row],[C.B Sitrack]],'[1]Tempo parado'!B:B,MIP[[#This Row],[Placa]])</f>
        <v>0</v>
      </c>
      <c r="AG290" s="36"/>
      <c r="AH290" s="35"/>
      <c r="AI290" s="34"/>
      <c r="AJ290" s="34"/>
      <c r="AK29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9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90" s="32">
        <f>SUMIFS('[1]Tempo parado'!J:J,'[1]Tempo parado'!H:H,"&gt;="&amp;MIP[[#This Row],[S.B Sitrack]],'[1]Tempo parado'!I:I,"&lt;="&amp;MIP[[#This Row],[C.B Sitrack]],'[1]Tempo parado'!B:B,MIP[[#This Row],[Placa]])</f>
        <v>0</v>
      </c>
      <c r="AN290" s="32" t="str">
        <f>IFERROR(MIP[[#This Row],[Tempo parado]]/(MIP[[#This Row],[C.B Sitrack]]-MIP[[#This Row],[S.B Sitrack]]),"")</f>
        <v/>
      </c>
      <c r="AO290" s="30"/>
      <c r="AP290" s="44">
        <f>IF(AND(MIP[Exc]=0,MIP[Previsto / Realizado]="Realizado"),MIP[Sem],0)</f>
        <v>30</v>
      </c>
      <c r="AQ290" s="29">
        <f>IF(AND(MIP[Exc]=0,MIP[Previsto / Realizado]="Realizado",ISBLANK(MIP[[#This Row],[S.B Sitrack]])=FALSE,ISBLANK(MIP[[#This Row],[C.B Sitrack]])=FALSE),MIP[Sem],0)</f>
        <v>0</v>
      </c>
    </row>
    <row r="291" spans="2:43" x14ac:dyDescent="0.25">
      <c r="B291" s="44">
        <f>WEEKNUM(MIP[[#This Row],[Data]])</f>
        <v>30</v>
      </c>
      <c r="C291" s="45">
        <v>42941</v>
      </c>
      <c r="D291" s="45"/>
      <c r="E291" s="35" t="s">
        <v>7</v>
      </c>
      <c r="F291" s="35" t="s">
        <v>5</v>
      </c>
      <c r="G291" s="35"/>
      <c r="H291" s="44">
        <v>2</v>
      </c>
      <c r="I291" s="44">
        <v>1</v>
      </c>
      <c r="J291" s="44">
        <v>0</v>
      </c>
      <c r="K291" s="44">
        <v>0</v>
      </c>
      <c r="L291" s="44">
        <v>0</v>
      </c>
      <c r="M291" s="43">
        <v>0.625</v>
      </c>
      <c r="N291" s="43">
        <v>0.64583333333333337</v>
      </c>
      <c r="O291" s="43">
        <f>1+18/24/60</f>
        <v>1.0125</v>
      </c>
      <c r="P291" s="43">
        <f>1+48/24/60</f>
        <v>1.0333333333333334</v>
      </c>
      <c r="Q291" s="39"/>
      <c r="R291" s="42" t="s">
        <v>355</v>
      </c>
      <c r="S291" s="29">
        <f>MIP[[#This Row],[PT-1]]+MIP[[#This Row],[PT-2]]*2+MIP[[#This Row],[PT-3]]*3+MIP[[#This Row],[PT &gt; 3 Pontos]]</f>
        <v>1</v>
      </c>
      <c r="T29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291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291" s="41">
        <f>MIP[[#This Row],[Eficiência]]</f>
        <v>7.7002624489037497E-2</v>
      </c>
      <c r="W29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91" s="39">
        <f>IF(MIP[[#This Row],[P.S]]-MIP[[#This Row],[P.E]]&lt;0,1+MIP[[#This Row],[P.S]]-MIP[[#This Row],[P.E]]-1/24,MIP[[#This Row],[P.S]]-MIP[[#This Row],[P.E]]-1/24)</f>
        <v>0.36666666666666675</v>
      </c>
      <c r="Y291" s="39">
        <f>MIP[[#This Row],[PT-1]]*$S$3+MIP[[#This Row],[PT-2]]*$T$3+MIP[[#This Row],[PT-3]]*$U$3+MIP[[#This Row],[PT &gt; 3 Pontos]]*$V$3</f>
        <v>2.5025852958937181E-2</v>
      </c>
      <c r="Z291" s="39">
        <f>MIP[[#This Row],[HH disponível]]-MIP[[#This Row],[HH AC TOT]]</f>
        <v>0.3249999999999999</v>
      </c>
      <c r="AA291" s="38">
        <f>MIP[[#This Row],[HH Produtivo
Total]]/MIP[[#This Row],[HH Trabalhado]]</f>
        <v>7.7002624489037497E-2</v>
      </c>
      <c r="AB291" s="38">
        <f>MIP[[#This Row],[HH Produtivo
Total]]/MIP[[#This Row],[HH disponível]]</f>
        <v>6.8252326251646844E-2</v>
      </c>
      <c r="AC291" s="38">
        <f>MIP[[#This Row],[HH Trabalhado]]/MIP[[#This Row],[HH disponível]]</f>
        <v>0.88636363636363591</v>
      </c>
      <c r="AD291" s="37" t="str">
        <f>LEFT(MIP[[#This Row],[Equipe]], SEARCH("/",MIP[[#This Row],[Equipe]],1)-1)</f>
        <v xml:space="preserve">ANDERSON </v>
      </c>
      <c r="AE291" s="37" t="str">
        <f>RIGHT(MIP[[#This Row],[Equipe]], LEN(MIP[[#This Row],[Equipe]])-SEARCH("/",MIP[[#This Row],[Equipe]],1))</f>
        <v xml:space="preserve"> MARCO</v>
      </c>
      <c r="AF291" s="44">
        <f>COUNTIFS('[1]Tempo parado'!H:H,"&gt;="&amp;MIP[[#This Row],[S.B Sitrack]],'[1]Tempo parado'!I:I,"&lt;="&amp;MIP[[#This Row],[C.B Sitrack]],'[1]Tempo parado'!B:B,MIP[[#This Row],[Placa]])</f>
        <v>0</v>
      </c>
      <c r="AG291" s="36"/>
      <c r="AH291" s="35"/>
      <c r="AI291" s="34"/>
      <c r="AJ291" s="34"/>
      <c r="AK29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9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91" s="32">
        <f>SUMIFS('[1]Tempo parado'!J:J,'[1]Tempo parado'!H:H,"&gt;="&amp;MIP[[#This Row],[S.B Sitrack]],'[1]Tempo parado'!I:I,"&lt;="&amp;MIP[[#This Row],[C.B Sitrack]],'[1]Tempo parado'!B:B,MIP[[#This Row],[Placa]])</f>
        <v>0</v>
      </c>
      <c r="AN291" s="32" t="str">
        <f>IFERROR(MIP[[#This Row],[Tempo parado]]/(MIP[[#This Row],[C.B Sitrack]]-MIP[[#This Row],[S.B Sitrack]]),"")</f>
        <v/>
      </c>
      <c r="AO291" s="30"/>
      <c r="AP291" s="44">
        <f>IF(AND(MIP[Exc]=0,MIP[Previsto / Realizado]="Realizado"),MIP[Sem],0)</f>
        <v>0</v>
      </c>
      <c r="AQ291" s="29">
        <f>IF(AND(MIP[Exc]=0,MIP[Previsto / Realizado]="Realizado",ISBLANK(MIP[[#This Row],[S.B Sitrack]])=FALSE,ISBLANK(MIP[[#This Row],[C.B Sitrack]])=FALSE),MIP[Sem],0)</f>
        <v>0</v>
      </c>
    </row>
    <row r="292" spans="2:43" x14ac:dyDescent="0.25">
      <c r="B292" s="44">
        <f>WEEKNUM(MIP[[#This Row],[Data]])</f>
        <v>30</v>
      </c>
      <c r="C292" s="45">
        <v>42941</v>
      </c>
      <c r="D292" s="45"/>
      <c r="E292" s="35" t="s">
        <v>7</v>
      </c>
      <c r="F292" s="35" t="s">
        <v>2</v>
      </c>
      <c r="G292" s="35"/>
      <c r="H292" s="44">
        <v>2</v>
      </c>
      <c r="I292" s="44">
        <v>1</v>
      </c>
      <c r="J292" s="44">
        <v>0</v>
      </c>
      <c r="K292" s="44">
        <v>0</v>
      </c>
      <c r="L292" s="44">
        <v>6</v>
      </c>
      <c r="M292" s="43">
        <v>0.62777777777777777</v>
      </c>
      <c r="N292" s="43">
        <v>0.67222222222222217</v>
      </c>
      <c r="O292" s="43">
        <f>1+25/24/60</f>
        <v>1.0173611111111112</v>
      </c>
      <c r="P292" s="43">
        <f>1+50/24/60</f>
        <v>1.0347222222222223</v>
      </c>
      <c r="Q292" s="39"/>
      <c r="R292" s="42" t="s">
        <v>354</v>
      </c>
      <c r="S292" s="29">
        <f>MIP[[#This Row],[PT-1]]+MIP[[#This Row],[PT-2]]*2+MIP[[#This Row],[PT-3]]*3+MIP[[#This Row],[PT &gt; 3 Pontos]]</f>
        <v>7</v>
      </c>
      <c r="T29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6.1805555555555558E-2</v>
      </c>
      <c r="U292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6.1805555555555558E-2</v>
      </c>
      <c r="V292" s="41">
        <f>MIP[[#This Row],[Eficiência]]</f>
        <v>0.48279185874263481</v>
      </c>
      <c r="W29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92" s="39">
        <f>IF(MIP[[#This Row],[P.S]]-MIP[[#This Row],[P.E]]&lt;0,1+MIP[[#This Row],[P.S]]-MIP[[#This Row],[P.E]]-1/24,MIP[[#This Row],[P.S]]-MIP[[#This Row],[P.E]]-1/24)</f>
        <v>0.36527777777777787</v>
      </c>
      <c r="Y292" s="39">
        <f>MIP[[#This Row],[PT-1]]*$S$3+MIP[[#This Row],[PT-2]]*$T$3+MIP[[#This Row],[PT-3]]*$U$3+MIP[[#This Row],[PT &gt; 3 Pontos]]*$V$3</f>
        <v>0.14651391824342463</v>
      </c>
      <c r="Z292" s="39">
        <f>MIP[[#This Row],[HH disponível]]-MIP[[#This Row],[HH AC TOT]]</f>
        <v>0.30347222222222231</v>
      </c>
      <c r="AA292" s="38">
        <f>MIP[[#This Row],[HH Produtivo
Total]]/MIP[[#This Row],[HH Trabalhado]]</f>
        <v>0.48279185874263481</v>
      </c>
      <c r="AB292" s="38">
        <f>MIP[[#This Row],[HH Produtivo
Total]]/MIP[[#This Row],[HH disponível]]</f>
        <v>0.40110274195918522</v>
      </c>
      <c r="AC292" s="38">
        <f>MIP[[#This Row],[HH Trabalhado]]/MIP[[#This Row],[HH disponível]]</f>
        <v>0.83079847908745252</v>
      </c>
      <c r="AD292" s="37" t="str">
        <f>LEFT(MIP[[#This Row],[Equipe]], SEARCH("/",MIP[[#This Row],[Equipe]],1)-1)</f>
        <v xml:space="preserve">ANDERSON </v>
      </c>
      <c r="AE292" s="37" t="str">
        <f>RIGHT(MIP[[#This Row],[Equipe]], LEN(MIP[[#This Row],[Equipe]])-SEARCH("/",MIP[[#This Row],[Equipe]],1))</f>
        <v xml:space="preserve"> MARCO</v>
      </c>
      <c r="AF292" s="44">
        <f>COUNTIFS('[1]Tempo parado'!H:H,"&gt;="&amp;MIP[[#This Row],[S.B Sitrack]],'[1]Tempo parado'!I:I,"&lt;="&amp;MIP[[#This Row],[C.B Sitrack]],'[1]Tempo parado'!B:B,MIP[[#This Row],[Placa]])</f>
        <v>0</v>
      </c>
      <c r="AG292" s="36"/>
      <c r="AH292" s="35"/>
      <c r="AI292" s="34"/>
      <c r="AJ292" s="34"/>
      <c r="AK29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9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92" s="32">
        <f>SUMIFS('[1]Tempo parado'!J:J,'[1]Tempo parado'!H:H,"&gt;="&amp;MIP[[#This Row],[S.B Sitrack]],'[1]Tempo parado'!I:I,"&lt;="&amp;MIP[[#This Row],[C.B Sitrack]],'[1]Tempo parado'!B:B,MIP[[#This Row],[Placa]])</f>
        <v>0</v>
      </c>
      <c r="AN292" s="32" t="str">
        <f>IFERROR(MIP[[#This Row],[Tempo parado]]/(MIP[[#This Row],[C.B Sitrack]]-MIP[[#This Row],[S.B Sitrack]]),"")</f>
        <v/>
      </c>
      <c r="AO292" s="30"/>
      <c r="AP292" s="44">
        <f>IF(AND(MIP[Exc]=0,MIP[Previsto / Realizado]="Realizado"),MIP[Sem],0)</f>
        <v>30</v>
      </c>
      <c r="AQ292" s="29">
        <f>IF(AND(MIP[Exc]=0,MIP[Previsto / Realizado]="Realizado",ISBLANK(MIP[[#This Row],[S.B Sitrack]])=FALSE,ISBLANK(MIP[[#This Row],[C.B Sitrack]])=FALSE),MIP[Sem],0)</f>
        <v>0</v>
      </c>
    </row>
    <row r="293" spans="2:43" x14ac:dyDescent="0.25">
      <c r="B293" s="44">
        <f>WEEKNUM(MIP[[#This Row],[Data]])</f>
        <v>30</v>
      </c>
      <c r="C293" s="45">
        <v>42941</v>
      </c>
      <c r="D293" s="45"/>
      <c r="E293" s="35" t="s">
        <v>3</v>
      </c>
      <c r="F293" s="35" t="s">
        <v>5</v>
      </c>
      <c r="G293" s="35"/>
      <c r="H293" s="44">
        <v>2</v>
      </c>
      <c r="I293" s="44">
        <v>3</v>
      </c>
      <c r="J293" s="44">
        <v>1</v>
      </c>
      <c r="K293" s="44">
        <v>0</v>
      </c>
      <c r="L293" s="44">
        <v>4</v>
      </c>
      <c r="M293" s="43">
        <v>0.625</v>
      </c>
      <c r="N293" s="43">
        <v>0.64583333333333337</v>
      </c>
      <c r="O293" s="43">
        <f>1+18/24/60</f>
        <v>1.0125</v>
      </c>
      <c r="P293" s="43">
        <f>1+48/24/60</f>
        <v>1.0333333333333334</v>
      </c>
      <c r="Q293" s="39"/>
      <c r="R293" s="42"/>
      <c r="S293" s="29">
        <f>MIP[[#This Row],[PT-1]]+MIP[[#This Row],[PT-2]]*2+MIP[[#This Row],[PT-3]]*3+MIP[[#This Row],[PT &gt; 3 Pontos]]</f>
        <v>9</v>
      </c>
      <c r="T29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293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293" s="41">
        <f>MIP[[#This Row],[Eficiência]]</f>
        <v>0.61531805693188568</v>
      </c>
      <c r="W29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93" s="39">
        <f>IF(MIP[[#This Row],[P.S]]-MIP[[#This Row],[P.E]]&lt;0,1+MIP[[#This Row],[P.S]]-MIP[[#This Row],[P.E]]-1/24,MIP[[#This Row],[P.S]]-MIP[[#This Row],[P.E]]-1/24)</f>
        <v>0.36666666666666675</v>
      </c>
      <c r="Y293" s="39">
        <f>MIP[[#This Row],[PT-1]]*$S$3+MIP[[#This Row],[PT-2]]*$T$3+MIP[[#This Row],[PT-3]]*$U$3+MIP[[#This Row],[PT &gt; 3 Pontos]]*$V$3</f>
        <v>0.19997836850286277</v>
      </c>
      <c r="Z293" s="39">
        <f>MIP[[#This Row],[HH disponível]]-MIP[[#This Row],[HH AC TOT]]</f>
        <v>0.3249999999999999</v>
      </c>
      <c r="AA293" s="38">
        <f>MIP[[#This Row],[HH Produtivo
Total]]/MIP[[#This Row],[HH Trabalhado]]</f>
        <v>0.61531805693188568</v>
      </c>
      <c r="AB293" s="38">
        <f>MIP[[#This Row],[HH Produtivo
Total]]/MIP[[#This Row],[HH disponível]]</f>
        <v>0.54539555046235288</v>
      </c>
      <c r="AC293" s="38">
        <f>MIP[[#This Row],[HH Trabalhado]]/MIP[[#This Row],[HH disponível]]</f>
        <v>0.88636363636363591</v>
      </c>
      <c r="AD293" s="37" t="str">
        <f>LEFT(MIP[[#This Row],[Equipe]], SEARCH("/",MIP[[#This Row],[Equipe]],1)-1)</f>
        <v xml:space="preserve">EDILTON </v>
      </c>
      <c r="AE293" s="37" t="str">
        <f>RIGHT(MIP[[#This Row],[Equipe]], LEN(MIP[[#This Row],[Equipe]])-SEARCH("/",MIP[[#This Row],[Equipe]],1))</f>
        <v xml:space="preserve"> GECIVALDO</v>
      </c>
      <c r="AF293" s="44">
        <f>COUNTIFS('[1]Tempo parado'!H:H,"&gt;="&amp;MIP[[#This Row],[S.B Sitrack]],'[1]Tempo parado'!I:I,"&lt;="&amp;MIP[[#This Row],[C.B Sitrack]],'[1]Tempo parado'!B:B,MIP[[#This Row],[Placa]])</f>
        <v>0</v>
      </c>
      <c r="AG293" s="36"/>
      <c r="AH293" s="35"/>
      <c r="AI293" s="34"/>
      <c r="AJ293" s="34"/>
      <c r="AK29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9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93" s="32">
        <f>SUMIFS('[1]Tempo parado'!J:J,'[1]Tempo parado'!H:H,"&gt;="&amp;MIP[[#This Row],[S.B Sitrack]],'[1]Tempo parado'!I:I,"&lt;="&amp;MIP[[#This Row],[C.B Sitrack]],'[1]Tempo parado'!B:B,MIP[[#This Row],[Placa]])</f>
        <v>0</v>
      </c>
      <c r="AN293" s="32" t="str">
        <f>IFERROR(MIP[[#This Row],[Tempo parado]]/(MIP[[#This Row],[C.B Sitrack]]-MIP[[#This Row],[S.B Sitrack]]),"")</f>
        <v/>
      </c>
      <c r="AO293" s="30"/>
      <c r="AP293" s="44">
        <f>IF(AND(MIP[Exc]=0,MIP[Previsto / Realizado]="Realizado"),MIP[Sem],0)</f>
        <v>0</v>
      </c>
      <c r="AQ293" s="29">
        <f>IF(AND(MIP[Exc]=0,MIP[Previsto / Realizado]="Realizado",ISBLANK(MIP[[#This Row],[S.B Sitrack]])=FALSE,ISBLANK(MIP[[#This Row],[C.B Sitrack]])=FALSE),MIP[Sem],0)</f>
        <v>0</v>
      </c>
    </row>
    <row r="294" spans="2:43" x14ac:dyDescent="0.25">
      <c r="B294" s="44">
        <f>WEEKNUM(MIP[[#This Row],[Data]])</f>
        <v>30</v>
      </c>
      <c r="C294" s="45">
        <v>42941</v>
      </c>
      <c r="D294" s="45"/>
      <c r="E294" s="35" t="s">
        <v>3</v>
      </c>
      <c r="F294" s="35" t="s">
        <v>2</v>
      </c>
      <c r="G294" s="35"/>
      <c r="H294" s="44">
        <v>2</v>
      </c>
      <c r="I294" s="44">
        <v>3</v>
      </c>
      <c r="J294" s="44">
        <v>1</v>
      </c>
      <c r="K294" s="44">
        <v>0</v>
      </c>
      <c r="L294" s="44">
        <v>6</v>
      </c>
      <c r="M294" s="43">
        <v>0.62986111111111109</v>
      </c>
      <c r="N294" s="43">
        <v>0.67361111111111116</v>
      </c>
      <c r="O294" s="43">
        <f>1+25/24/60</f>
        <v>1.0173611111111112</v>
      </c>
      <c r="P294" s="43">
        <f>1+50/24/60</f>
        <v>1.0347222222222223</v>
      </c>
      <c r="Q294" s="39"/>
      <c r="R294" s="42" t="s">
        <v>353</v>
      </c>
      <c r="S294" s="29">
        <f>MIP[[#This Row],[PT-1]]+MIP[[#This Row],[PT-2]]*2+MIP[[#This Row],[PT-3]]*3+MIP[[#This Row],[PT &gt; 3 Pontos]]</f>
        <v>11</v>
      </c>
      <c r="T29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6.1111111111111227E-2</v>
      </c>
      <c r="U294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6.1111111111111227E-2</v>
      </c>
      <c r="V294" s="41">
        <f>MIP[[#This Row],[Eficiência]]</f>
        <v>0.79605315397856635</v>
      </c>
      <c r="W29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94" s="39">
        <f>IF(MIP[[#This Row],[P.S]]-MIP[[#This Row],[P.E]]&lt;0,1+MIP[[#This Row],[P.S]]-MIP[[#This Row],[P.E]]-1/24,MIP[[#This Row],[P.S]]-MIP[[#This Row],[P.E]]-1/24)</f>
        <v>0.36319444444444454</v>
      </c>
      <c r="Y294" s="39">
        <f>MIP[[#This Row],[PT-1]]*$S$3+MIP[[#This Row],[PT-2]]*$T$3+MIP[[#This Row],[PT-3]]*$U$3+MIP[[#This Row],[PT &gt; 3 Pontos]]*$V$3</f>
        <v>0.24047439026435857</v>
      </c>
      <c r="Z294" s="39">
        <f>MIP[[#This Row],[HH disponível]]-MIP[[#This Row],[HH AC TOT]]</f>
        <v>0.30208333333333331</v>
      </c>
      <c r="AA294" s="38">
        <f>MIP[[#This Row],[HH Produtivo
Total]]/MIP[[#This Row],[HH Trabalhado]]</f>
        <v>0.79605315397856635</v>
      </c>
      <c r="AB294" s="38">
        <f>MIP[[#This Row],[HH Produtivo
Total]]/MIP[[#This Row],[HH disponível]]</f>
        <v>0.66210921984832938</v>
      </c>
      <c r="AC294" s="38">
        <f>MIP[[#This Row],[HH Trabalhado]]/MIP[[#This Row],[HH disponível]]</f>
        <v>0.83173996175908194</v>
      </c>
      <c r="AD294" s="37" t="str">
        <f>LEFT(MIP[[#This Row],[Equipe]], SEARCH("/",MIP[[#This Row],[Equipe]],1)-1)</f>
        <v xml:space="preserve">EDILTON </v>
      </c>
      <c r="AE294" s="37" t="str">
        <f>RIGHT(MIP[[#This Row],[Equipe]], LEN(MIP[[#This Row],[Equipe]])-SEARCH("/",MIP[[#This Row],[Equipe]],1))</f>
        <v xml:space="preserve"> GECIVALDO</v>
      </c>
      <c r="AF294" s="44">
        <f>COUNTIFS('[1]Tempo parado'!H:H,"&gt;="&amp;MIP[[#This Row],[S.B Sitrack]],'[1]Tempo parado'!I:I,"&lt;="&amp;MIP[[#This Row],[C.B Sitrack]],'[1]Tempo parado'!B:B,MIP[[#This Row],[Placa]])</f>
        <v>0</v>
      </c>
      <c r="AG294" s="36"/>
      <c r="AH294" s="35"/>
      <c r="AI294" s="34"/>
      <c r="AJ294" s="34"/>
      <c r="AK29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9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94" s="32">
        <f>SUMIFS('[1]Tempo parado'!J:J,'[1]Tempo parado'!H:H,"&gt;="&amp;MIP[[#This Row],[S.B Sitrack]],'[1]Tempo parado'!I:I,"&lt;="&amp;MIP[[#This Row],[C.B Sitrack]],'[1]Tempo parado'!B:B,MIP[[#This Row],[Placa]])</f>
        <v>0</v>
      </c>
      <c r="AN294" s="32" t="str">
        <f>IFERROR(MIP[[#This Row],[Tempo parado]]/(MIP[[#This Row],[C.B Sitrack]]-MIP[[#This Row],[S.B Sitrack]]),"")</f>
        <v/>
      </c>
      <c r="AO294" s="30"/>
      <c r="AP294" s="44">
        <f>IF(AND(MIP[Exc]=0,MIP[Previsto / Realizado]="Realizado"),MIP[Sem],0)</f>
        <v>30</v>
      </c>
      <c r="AQ294" s="29">
        <f>IF(AND(MIP[Exc]=0,MIP[Previsto / Realizado]="Realizado",ISBLANK(MIP[[#This Row],[S.B Sitrack]])=FALSE,ISBLANK(MIP[[#This Row],[C.B Sitrack]])=FALSE),MIP[Sem],0)</f>
        <v>0</v>
      </c>
    </row>
    <row r="295" spans="2:43" x14ac:dyDescent="0.25">
      <c r="B295" s="44">
        <f>WEEKNUM(MIP[[#This Row],[Data]])</f>
        <v>30</v>
      </c>
      <c r="C295" s="45">
        <v>42942</v>
      </c>
      <c r="D295" s="45"/>
      <c r="E295" s="35" t="s">
        <v>10</v>
      </c>
      <c r="F295" s="35" t="s">
        <v>5</v>
      </c>
      <c r="G295" s="35"/>
      <c r="H295" s="44">
        <v>2</v>
      </c>
      <c r="I295" s="44">
        <v>2</v>
      </c>
      <c r="J295" s="44">
        <v>1</v>
      </c>
      <c r="K295" s="44">
        <v>2</v>
      </c>
      <c r="L295" s="44">
        <v>0</v>
      </c>
      <c r="M295" s="43">
        <v>0.25</v>
      </c>
      <c r="N295" s="43">
        <v>0.27083333333333331</v>
      </c>
      <c r="O295" s="43">
        <v>0.63750000000000007</v>
      </c>
      <c r="P295" s="43">
        <v>0.65833333333333333</v>
      </c>
      <c r="Q295" s="39"/>
      <c r="R295" s="42"/>
      <c r="S295" s="29">
        <f>MIP[[#This Row],[PT-1]]+MIP[[#This Row],[PT-2]]*2+MIP[[#This Row],[PT-3]]*3+MIP[[#This Row],[PT &gt; 3 Pontos]]</f>
        <v>10</v>
      </c>
      <c r="T29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295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295" s="41">
        <f>MIP[[#This Row],[Eficiência]]</f>
        <v>0.67551947850860883</v>
      </c>
      <c r="W29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95" s="39">
        <f>IF(MIP[[#This Row],[P.S]]-MIP[[#This Row],[P.E]]&lt;0,1+MIP[[#This Row],[P.S]]-MIP[[#This Row],[P.E]]-1/24,MIP[[#This Row],[P.S]]-MIP[[#This Row],[P.E]]-1/24)</f>
        <v>0.36666666666666664</v>
      </c>
      <c r="Y295" s="39">
        <f>MIP[[#This Row],[PT-1]]*$S$3+MIP[[#This Row],[PT-2]]*$T$3+MIP[[#This Row],[PT-3]]*$U$3+MIP[[#This Row],[PT &gt; 3 Pontos]]*$V$3</f>
        <v>0.21954383051529791</v>
      </c>
      <c r="Z295" s="39">
        <f>MIP[[#This Row],[HH disponível]]-MIP[[#This Row],[HH AC TOT]]</f>
        <v>0.32500000000000007</v>
      </c>
      <c r="AA295" s="38">
        <f>MIP[[#This Row],[HH Produtivo
Total]]/MIP[[#This Row],[HH Trabalhado]]</f>
        <v>0.67551947850860883</v>
      </c>
      <c r="AB295" s="38">
        <f>MIP[[#This Row],[HH Produtivo
Total]]/MIP[[#This Row],[HH disponível]]</f>
        <v>0.59875590140535795</v>
      </c>
      <c r="AC295" s="38">
        <f>MIP[[#This Row],[HH Trabalhado]]/MIP[[#This Row],[HH disponível]]</f>
        <v>0.88636363636363658</v>
      </c>
      <c r="AD295" s="37" t="str">
        <f>LEFT(MIP[[#This Row],[Equipe]], SEARCH("/",MIP[[#This Row],[Equipe]],1)-1)</f>
        <v xml:space="preserve">JOILSON </v>
      </c>
      <c r="AE295" s="37" t="str">
        <f>RIGHT(MIP[[#This Row],[Equipe]], LEN(MIP[[#This Row],[Equipe]])-SEARCH("/",MIP[[#This Row],[Equipe]],1))</f>
        <v xml:space="preserve"> VALDEI</v>
      </c>
      <c r="AF295" s="44">
        <f>COUNTIFS('[1]Tempo parado'!H:H,"&gt;="&amp;MIP[[#This Row],[S.B Sitrack]],'[1]Tempo parado'!I:I,"&lt;="&amp;MIP[[#This Row],[C.B Sitrack]],'[1]Tempo parado'!B:B,MIP[[#This Row],[Placa]])</f>
        <v>0</v>
      </c>
      <c r="AG295" s="36"/>
      <c r="AH295" s="35"/>
      <c r="AI295" s="34"/>
      <c r="AJ295" s="34"/>
      <c r="AK29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9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95" s="32">
        <f>SUMIFS('[1]Tempo parado'!J:J,'[1]Tempo parado'!H:H,"&gt;="&amp;MIP[[#This Row],[S.B Sitrack]],'[1]Tempo parado'!I:I,"&lt;="&amp;MIP[[#This Row],[C.B Sitrack]],'[1]Tempo parado'!B:B,MIP[[#This Row],[Placa]])</f>
        <v>0</v>
      </c>
      <c r="AN295" s="32" t="str">
        <f>IFERROR(MIP[[#This Row],[Tempo parado]]/(MIP[[#This Row],[C.B Sitrack]]-MIP[[#This Row],[S.B Sitrack]]),"")</f>
        <v/>
      </c>
      <c r="AO295" s="30"/>
      <c r="AP295" s="44">
        <f>IF(AND(MIP[Exc]=0,MIP[Previsto / Realizado]="Realizado"),MIP[Sem],0)</f>
        <v>0</v>
      </c>
      <c r="AQ295" s="29">
        <f>IF(AND(MIP[Exc]=0,MIP[Previsto / Realizado]="Realizado",ISBLANK(MIP[[#This Row],[S.B Sitrack]])=FALSE,ISBLANK(MIP[[#This Row],[C.B Sitrack]])=FALSE),MIP[Sem],0)</f>
        <v>0</v>
      </c>
    </row>
    <row r="296" spans="2:43" x14ac:dyDescent="0.25">
      <c r="B296" s="44">
        <f>WEEKNUM(MIP[[#This Row],[Data]])</f>
        <v>30</v>
      </c>
      <c r="C296" s="45">
        <v>42942</v>
      </c>
      <c r="D296" s="45"/>
      <c r="E296" s="35" t="s">
        <v>10</v>
      </c>
      <c r="F296" s="35" t="s">
        <v>2</v>
      </c>
      <c r="G296" s="35"/>
      <c r="H296" s="44">
        <v>2</v>
      </c>
      <c r="I296" s="44">
        <v>2</v>
      </c>
      <c r="J296" s="44">
        <v>1</v>
      </c>
      <c r="K296" s="44">
        <v>2</v>
      </c>
      <c r="L296" s="44">
        <v>0</v>
      </c>
      <c r="M296" s="43">
        <v>0.40763888888888888</v>
      </c>
      <c r="N296" s="43">
        <v>0.28472222222222221</v>
      </c>
      <c r="O296" s="43">
        <v>0.64166666666666672</v>
      </c>
      <c r="P296" s="43">
        <v>0.8256944444444444</v>
      </c>
      <c r="Q296" s="39"/>
      <c r="R296" s="42"/>
      <c r="S296" s="29">
        <f>MIP[[#This Row],[PT-1]]+MIP[[#This Row],[PT-2]]*2+MIP[[#This Row],[PT-3]]*3+MIP[[#This Row],[PT &gt; 3 Pontos]]</f>
        <v>10</v>
      </c>
      <c r="T29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6.1111111111111005E-2</v>
      </c>
      <c r="U296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6.1111111111111005E-2</v>
      </c>
      <c r="V296" s="41">
        <f>MIP[[#This Row],[Eficiência]]</f>
        <v>0.6963504756432356</v>
      </c>
      <c r="W29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1</v>
      </c>
      <c r="X296" s="39">
        <f>IF(MIP[[#This Row],[P.S]]-MIP[[#This Row],[P.E]]&lt;0,1+MIP[[#This Row],[P.S]]-MIP[[#This Row],[P.E]]-1/24,MIP[[#This Row],[P.S]]-MIP[[#This Row],[P.E]]-1/24)</f>
        <v>0.37638888888888883</v>
      </c>
      <c r="Y296" s="39">
        <f>MIP[[#This Row],[PT-1]]*$S$3+MIP[[#This Row],[PT-2]]*$T$3+MIP[[#This Row],[PT-3]]*$U$3+MIP[[#This Row],[PT &gt; 3 Pontos]]*$V$3</f>
        <v>0.21954383051529791</v>
      </c>
      <c r="Z296" s="39">
        <f>MIP[[#This Row],[HH disponível]]-MIP[[#This Row],[HH AC TOT]]</f>
        <v>0.31527777777777782</v>
      </c>
      <c r="AA296" s="38">
        <f>MIP[[#This Row],[HH Produtivo
Total]]/MIP[[#This Row],[HH Trabalhado]]</f>
        <v>0.6963504756432356</v>
      </c>
      <c r="AB296" s="38">
        <f>MIP[[#This Row],[HH Produtivo
Total]]/MIP[[#This Row],[HH disponível]]</f>
        <v>0.5832898818118617</v>
      </c>
      <c r="AC296" s="38">
        <f>MIP[[#This Row],[HH Trabalhado]]/MIP[[#This Row],[HH disponível]]</f>
        <v>0.83763837638376404</v>
      </c>
      <c r="AD296" s="37" t="str">
        <f>LEFT(MIP[[#This Row],[Equipe]], SEARCH("/",MIP[[#This Row],[Equipe]],1)-1)</f>
        <v xml:space="preserve">JOILSON </v>
      </c>
      <c r="AE296" s="37" t="str">
        <f>RIGHT(MIP[[#This Row],[Equipe]], LEN(MIP[[#This Row],[Equipe]])-SEARCH("/",MIP[[#This Row],[Equipe]],1))</f>
        <v xml:space="preserve"> VALDEI</v>
      </c>
      <c r="AF296" s="44">
        <f>COUNTIFS('[1]Tempo parado'!H:H,"&gt;="&amp;MIP[[#This Row],[S.B Sitrack]],'[1]Tempo parado'!I:I,"&lt;="&amp;MIP[[#This Row],[C.B Sitrack]],'[1]Tempo parado'!B:B,MIP[[#This Row],[Placa]])</f>
        <v>0</v>
      </c>
      <c r="AG296" s="36"/>
      <c r="AH296" s="35"/>
      <c r="AI296" s="34"/>
      <c r="AJ296" s="34"/>
      <c r="AK29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9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96" s="32">
        <f>SUMIFS('[1]Tempo parado'!J:J,'[1]Tempo parado'!H:H,"&gt;="&amp;MIP[[#This Row],[S.B Sitrack]],'[1]Tempo parado'!I:I,"&lt;="&amp;MIP[[#This Row],[C.B Sitrack]],'[1]Tempo parado'!B:B,MIP[[#This Row],[Placa]])</f>
        <v>0</v>
      </c>
      <c r="AN296" s="32" t="str">
        <f>IFERROR(MIP[[#This Row],[Tempo parado]]/(MIP[[#This Row],[C.B Sitrack]]-MIP[[#This Row],[S.B Sitrack]]),"")</f>
        <v/>
      </c>
      <c r="AO296" s="30"/>
      <c r="AP296" s="44">
        <f>IF(AND(MIP[Exc]=0,MIP[Previsto / Realizado]="Realizado"),MIP[Sem],0)</f>
        <v>0</v>
      </c>
      <c r="AQ296" s="29">
        <f>IF(AND(MIP[Exc]=0,MIP[Previsto / Realizado]="Realizado",ISBLANK(MIP[[#This Row],[S.B Sitrack]])=FALSE,ISBLANK(MIP[[#This Row],[C.B Sitrack]])=FALSE),MIP[Sem],0)</f>
        <v>0</v>
      </c>
    </row>
    <row r="297" spans="2:43" x14ac:dyDescent="0.25">
      <c r="B297" s="44">
        <f>WEEKNUM(MIP[[#This Row],[Data]])</f>
        <v>30</v>
      </c>
      <c r="C297" s="45">
        <v>42942</v>
      </c>
      <c r="D297" s="45"/>
      <c r="E297" s="35" t="s">
        <v>3</v>
      </c>
      <c r="F297" s="35" t="s">
        <v>5</v>
      </c>
      <c r="G297" s="35"/>
      <c r="H297" s="44">
        <v>2</v>
      </c>
      <c r="I297" s="44">
        <v>4</v>
      </c>
      <c r="J297" s="44">
        <v>2</v>
      </c>
      <c r="K297" s="44">
        <v>0</v>
      </c>
      <c r="L297" s="44">
        <v>8</v>
      </c>
      <c r="M297" s="43">
        <v>0.625</v>
      </c>
      <c r="N297" s="43">
        <v>0.64583333333333337</v>
      </c>
      <c r="O297" s="43">
        <f>1+18/24/60</f>
        <v>1.0125</v>
      </c>
      <c r="P297" s="43">
        <f>1+48/24/60</f>
        <v>1.0333333333333334</v>
      </c>
      <c r="Q297" s="39"/>
      <c r="R297" s="42"/>
      <c r="S297" s="29">
        <f>MIP[[#This Row],[PT-1]]+MIP[[#This Row],[PT-2]]*2+MIP[[#This Row],[PT-3]]*3+MIP[[#This Row],[PT &gt; 3 Pontos]]</f>
        <v>16</v>
      </c>
      <c r="T29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297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297" s="41">
        <f>MIP[[#This Row],[Eficiência]]</f>
        <v>1.0766308648856961</v>
      </c>
      <c r="W29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97" s="39">
        <f>IF(MIP[[#This Row],[P.S]]-MIP[[#This Row],[P.E]]&lt;0,1+MIP[[#This Row],[P.S]]-MIP[[#This Row],[P.E]]-1/24,MIP[[#This Row],[P.S]]-MIP[[#This Row],[P.E]]-1/24)</f>
        <v>0.36666666666666675</v>
      </c>
      <c r="Y297" s="39">
        <f>MIP[[#This Row],[PT-1]]*$S$3+MIP[[#This Row],[PT-2]]*$T$3+MIP[[#This Row],[PT-3]]*$U$3+MIP[[#This Row],[PT &gt; 3 Pontos]]*$V$3</f>
        <v>0.34990503108785115</v>
      </c>
      <c r="Z297" s="39">
        <f>MIP[[#This Row],[HH disponível]]-MIP[[#This Row],[HH AC TOT]]</f>
        <v>0.3249999999999999</v>
      </c>
      <c r="AA297" s="38">
        <f>MIP[[#This Row],[HH Produtivo
Total]]/MIP[[#This Row],[HH Trabalhado]]</f>
        <v>1.0766308648856961</v>
      </c>
      <c r="AB297" s="38">
        <f>MIP[[#This Row],[HH Produtivo
Total]]/MIP[[#This Row],[HH disponível]]</f>
        <v>0.95428644842141197</v>
      </c>
      <c r="AC297" s="38">
        <f>MIP[[#This Row],[HH Trabalhado]]/MIP[[#This Row],[HH disponível]]</f>
        <v>0.88636363636363591</v>
      </c>
      <c r="AD297" s="37" t="str">
        <f>LEFT(MIP[[#This Row],[Equipe]], SEARCH("/",MIP[[#This Row],[Equipe]],1)-1)</f>
        <v xml:space="preserve">EDILTON </v>
      </c>
      <c r="AE297" s="37" t="str">
        <f>RIGHT(MIP[[#This Row],[Equipe]], LEN(MIP[[#This Row],[Equipe]])-SEARCH("/",MIP[[#This Row],[Equipe]],1))</f>
        <v xml:space="preserve"> GECIVALDO</v>
      </c>
      <c r="AF297" s="44">
        <f>COUNTIFS('[1]Tempo parado'!H:H,"&gt;="&amp;MIP[[#This Row],[S.B Sitrack]],'[1]Tempo parado'!I:I,"&lt;="&amp;MIP[[#This Row],[C.B Sitrack]],'[1]Tempo parado'!B:B,MIP[[#This Row],[Placa]])</f>
        <v>0</v>
      </c>
      <c r="AG297" s="36"/>
      <c r="AH297" s="35"/>
      <c r="AI297" s="34"/>
      <c r="AJ297" s="34"/>
      <c r="AK29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9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97" s="32">
        <f>SUMIFS('[1]Tempo parado'!J:J,'[1]Tempo parado'!H:H,"&gt;="&amp;MIP[[#This Row],[S.B Sitrack]],'[1]Tempo parado'!I:I,"&lt;="&amp;MIP[[#This Row],[C.B Sitrack]],'[1]Tempo parado'!B:B,MIP[[#This Row],[Placa]])</f>
        <v>0</v>
      </c>
      <c r="AN297" s="32" t="str">
        <f>IFERROR(MIP[[#This Row],[Tempo parado]]/(MIP[[#This Row],[C.B Sitrack]]-MIP[[#This Row],[S.B Sitrack]]),"")</f>
        <v/>
      </c>
      <c r="AO297" s="30"/>
      <c r="AP297" s="44">
        <f>IF(AND(MIP[Exc]=0,MIP[Previsto / Realizado]="Realizado"),MIP[Sem],0)</f>
        <v>0</v>
      </c>
      <c r="AQ297" s="29">
        <f>IF(AND(MIP[Exc]=0,MIP[Previsto / Realizado]="Realizado",ISBLANK(MIP[[#This Row],[S.B Sitrack]])=FALSE,ISBLANK(MIP[[#This Row],[C.B Sitrack]])=FALSE),MIP[Sem],0)</f>
        <v>0</v>
      </c>
    </row>
    <row r="298" spans="2:43" x14ac:dyDescent="0.25">
      <c r="B298" s="44">
        <f>WEEKNUM(MIP[[#This Row],[Data]])</f>
        <v>30</v>
      </c>
      <c r="C298" s="45">
        <v>42942</v>
      </c>
      <c r="D298" s="45"/>
      <c r="E298" s="35" t="s">
        <v>3</v>
      </c>
      <c r="F298" s="35" t="s">
        <v>2</v>
      </c>
      <c r="G298" s="35"/>
      <c r="H298" s="44">
        <v>2</v>
      </c>
      <c r="I298" s="44">
        <v>3</v>
      </c>
      <c r="J298" s="44">
        <v>1</v>
      </c>
      <c r="K298" s="44">
        <v>0</v>
      </c>
      <c r="L298" s="44">
        <v>8</v>
      </c>
      <c r="M298" s="43">
        <v>0.62708333333333333</v>
      </c>
      <c r="N298" s="43">
        <v>0.65833333333333333</v>
      </c>
      <c r="O298" s="43">
        <f>1+15/24/60</f>
        <v>1.0104166666666667</v>
      </c>
      <c r="P298" s="43">
        <f>1+50/24/60</f>
        <v>1.0347222222222223</v>
      </c>
      <c r="Q298" s="39"/>
      <c r="R298" s="42"/>
      <c r="S298" s="29">
        <f>MIP[[#This Row],[PT-1]]+MIP[[#This Row],[PT-2]]*2+MIP[[#This Row],[PT-3]]*3+MIP[[#This Row],[PT &gt; 3 Pontos]]</f>
        <v>13</v>
      </c>
      <c r="T29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5.555555555555558E-2</v>
      </c>
      <c r="U298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5.555555555555558E-2</v>
      </c>
      <c r="V298" s="41">
        <f>MIP[[#This Row],[Eficiência]]</f>
        <v>0.90513958236516823</v>
      </c>
      <c r="W29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98" s="39">
        <f>IF(MIP[[#This Row],[P.S]]-MIP[[#This Row],[P.E]]&lt;0,1+MIP[[#This Row],[P.S]]-MIP[[#This Row],[P.E]]-1/24,MIP[[#This Row],[P.S]]-MIP[[#This Row],[P.E]]-1/24)</f>
        <v>0.36597222222222231</v>
      </c>
      <c r="Y298" s="39">
        <f>MIP[[#This Row],[PT-1]]*$S$3+MIP[[#This Row],[PT-2]]*$T$3+MIP[[#This Row],[PT-3]]*$U$3+MIP[[#This Row],[PT &gt; 3 Pontos]]*$V$3</f>
        <v>0.28097041202585438</v>
      </c>
      <c r="Z298" s="39">
        <f>MIP[[#This Row],[HH disponível]]-MIP[[#This Row],[HH AC TOT]]</f>
        <v>0.31041666666666673</v>
      </c>
      <c r="AA298" s="38">
        <f>MIP[[#This Row],[HH Produtivo
Total]]/MIP[[#This Row],[HH Trabalhado]]</f>
        <v>0.90513958236516823</v>
      </c>
      <c r="AB298" s="38">
        <f>MIP[[#This Row],[HH Produtivo
Total]]/MIP[[#This Row],[HH disponível]]</f>
        <v>0.76773698921675559</v>
      </c>
      <c r="AC298" s="38">
        <f>MIP[[#This Row],[HH Trabalhado]]/MIP[[#This Row],[HH disponível]]</f>
        <v>0.84819734345351039</v>
      </c>
      <c r="AD298" s="37" t="str">
        <f>LEFT(MIP[[#This Row],[Equipe]], SEARCH("/",MIP[[#This Row],[Equipe]],1)-1)</f>
        <v xml:space="preserve">EDILTON </v>
      </c>
      <c r="AE298" s="37" t="str">
        <f>RIGHT(MIP[[#This Row],[Equipe]], LEN(MIP[[#This Row],[Equipe]])-SEARCH("/",MIP[[#This Row],[Equipe]],1))</f>
        <v xml:space="preserve"> GECIVALDO</v>
      </c>
      <c r="AF298" s="44">
        <f>COUNTIFS('[1]Tempo parado'!H:H,"&gt;="&amp;MIP[[#This Row],[S.B Sitrack]],'[1]Tempo parado'!I:I,"&lt;="&amp;MIP[[#This Row],[C.B Sitrack]],'[1]Tempo parado'!B:B,MIP[[#This Row],[Placa]])</f>
        <v>0</v>
      </c>
      <c r="AG298" s="36"/>
      <c r="AH298" s="35"/>
      <c r="AI298" s="34"/>
      <c r="AJ298" s="34"/>
      <c r="AK29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9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98" s="32">
        <f>SUMIFS('[1]Tempo parado'!J:J,'[1]Tempo parado'!H:H,"&gt;="&amp;MIP[[#This Row],[S.B Sitrack]],'[1]Tempo parado'!I:I,"&lt;="&amp;MIP[[#This Row],[C.B Sitrack]],'[1]Tempo parado'!B:B,MIP[[#This Row],[Placa]])</f>
        <v>0</v>
      </c>
      <c r="AN298" s="32" t="str">
        <f>IFERROR(MIP[[#This Row],[Tempo parado]]/(MIP[[#This Row],[C.B Sitrack]]-MIP[[#This Row],[S.B Sitrack]]),"")</f>
        <v/>
      </c>
      <c r="AO298" s="30"/>
      <c r="AP298" s="44">
        <f>IF(AND(MIP[Exc]=0,MIP[Previsto / Realizado]="Realizado"),MIP[Sem],0)</f>
        <v>30</v>
      </c>
      <c r="AQ298" s="29">
        <f>IF(AND(MIP[Exc]=0,MIP[Previsto / Realizado]="Realizado",ISBLANK(MIP[[#This Row],[S.B Sitrack]])=FALSE,ISBLANK(MIP[[#This Row],[C.B Sitrack]])=FALSE),MIP[Sem],0)</f>
        <v>0</v>
      </c>
    </row>
    <row r="299" spans="2:43" x14ac:dyDescent="0.25">
      <c r="B299" s="44">
        <f>WEEKNUM(MIP[[#This Row],[Data]])</f>
        <v>30</v>
      </c>
      <c r="C299" s="45">
        <v>42942</v>
      </c>
      <c r="D299" s="45"/>
      <c r="E299" s="35" t="s">
        <v>19</v>
      </c>
      <c r="F299" s="35" t="s">
        <v>5</v>
      </c>
      <c r="G299" s="35"/>
      <c r="H299" s="44">
        <v>2</v>
      </c>
      <c r="I299" s="44">
        <v>4</v>
      </c>
      <c r="J299" s="44">
        <v>3</v>
      </c>
      <c r="K299" s="44">
        <v>0</v>
      </c>
      <c r="L299" s="44">
        <v>0</v>
      </c>
      <c r="M299" s="43">
        <v>0.625</v>
      </c>
      <c r="N299" s="43">
        <v>0.64583333333333337</v>
      </c>
      <c r="O299" s="43">
        <f>1+18/24/60</f>
        <v>1.0125</v>
      </c>
      <c r="P299" s="43">
        <f>1+48/24/60</f>
        <v>1.0333333333333334</v>
      </c>
      <c r="Q299" s="39"/>
      <c r="R299" s="42"/>
      <c r="S299" s="29">
        <f>MIP[[#This Row],[PT-1]]+MIP[[#This Row],[PT-2]]*2+MIP[[#This Row],[PT-3]]*3+MIP[[#This Row],[PT &gt; 3 Pontos]]</f>
        <v>10</v>
      </c>
      <c r="T29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299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299" s="41">
        <f>MIP[[#This Row],[Eficiência]]</f>
        <v>0.71332218506131551</v>
      </c>
      <c r="W29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299" s="39">
        <f>IF(MIP[[#This Row],[P.S]]-MIP[[#This Row],[P.E]]&lt;0,1+MIP[[#This Row],[P.S]]-MIP[[#This Row],[P.E]]-1/24,MIP[[#This Row],[P.S]]-MIP[[#This Row],[P.E]]-1/24)</f>
        <v>0.36666666666666675</v>
      </c>
      <c r="Y299" s="39">
        <f>MIP[[#This Row],[PT-1]]*$S$3+MIP[[#This Row],[PT-2]]*$T$3+MIP[[#This Row],[PT-3]]*$U$3+MIP[[#This Row],[PT &gt; 3 Pontos]]*$V$3</f>
        <v>0.23182971014492748</v>
      </c>
      <c r="Z299" s="39">
        <f>MIP[[#This Row],[HH disponível]]-MIP[[#This Row],[HH AC TOT]]</f>
        <v>0.3249999999999999</v>
      </c>
      <c r="AA299" s="38">
        <f>MIP[[#This Row],[HH Produtivo
Total]]/MIP[[#This Row],[HH Trabalhado]]</f>
        <v>0.71332218506131551</v>
      </c>
      <c r="AB299" s="38">
        <f>MIP[[#This Row],[HH Produtivo
Total]]/MIP[[#This Row],[HH disponível]]</f>
        <v>0.63226284584980208</v>
      </c>
      <c r="AC299" s="38">
        <f>MIP[[#This Row],[HH Trabalhado]]/MIP[[#This Row],[HH disponível]]</f>
        <v>0.88636363636363591</v>
      </c>
      <c r="AD299" s="37" t="str">
        <f>LEFT(MIP[[#This Row],[Equipe]], SEARCH("/",MIP[[#This Row],[Equipe]],1)-1)</f>
        <v xml:space="preserve">ADEMÁRIO </v>
      </c>
      <c r="AE299" s="37" t="str">
        <f>RIGHT(MIP[[#This Row],[Equipe]], LEN(MIP[[#This Row],[Equipe]])-SEARCH("/",MIP[[#This Row],[Equipe]],1))</f>
        <v xml:space="preserve"> RONALDO</v>
      </c>
      <c r="AF299" s="44">
        <f>COUNTIFS('[1]Tempo parado'!H:H,"&gt;="&amp;MIP[[#This Row],[S.B Sitrack]],'[1]Tempo parado'!I:I,"&lt;="&amp;MIP[[#This Row],[C.B Sitrack]],'[1]Tempo parado'!B:B,MIP[[#This Row],[Placa]])</f>
        <v>0</v>
      </c>
      <c r="AG299" s="36"/>
      <c r="AH299" s="35"/>
      <c r="AI299" s="34"/>
      <c r="AJ299" s="34"/>
      <c r="AK29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29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299" s="32">
        <f>SUMIFS('[1]Tempo parado'!J:J,'[1]Tempo parado'!H:H,"&gt;="&amp;MIP[[#This Row],[S.B Sitrack]],'[1]Tempo parado'!I:I,"&lt;="&amp;MIP[[#This Row],[C.B Sitrack]],'[1]Tempo parado'!B:B,MIP[[#This Row],[Placa]])</f>
        <v>0</v>
      </c>
      <c r="AN299" s="32" t="str">
        <f>IFERROR(MIP[[#This Row],[Tempo parado]]/(MIP[[#This Row],[C.B Sitrack]]-MIP[[#This Row],[S.B Sitrack]]),"")</f>
        <v/>
      </c>
      <c r="AO299" s="30"/>
      <c r="AP299" s="44">
        <f>IF(AND(MIP[Exc]=0,MIP[Previsto / Realizado]="Realizado"),MIP[Sem],0)</f>
        <v>0</v>
      </c>
      <c r="AQ299" s="29">
        <f>IF(AND(MIP[Exc]=0,MIP[Previsto / Realizado]="Realizado",ISBLANK(MIP[[#This Row],[S.B Sitrack]])=FALSE,ISBLANK(MIP[[#This Row],[C.B Sitrack]])=FALSE),MIP[Sem],0)</f>
        <v>0</v>
      </c>
    </row>
    <row r="300" spans="2:43" x14ac:dyDescent="0.25">
      <c r="B300" s="44">
        <f>WEEKNUM(MIP[[#This Row],[Data]])</f>
        <v>30</v>
      </c>
      <c r="C300" s="45">
        <v>42942</v>
      </c>
      <c r="D300" s="45"/>
      <c r="E300" s="35" t="s">
        <v>19</v>
      </c>
      <c r="F300" s="35" t="s">
        <v>2</v>
      </c>
      <c r="G300" s="35"/>
      <c r="H300" s="44">
        <v>2</v>
      </c>
      <c r="I300" s="44">
        <v>4</v>
      </c>
      <c r="J300" s="44">
        <v>3</v>
      </c>
      <c r="K300" s="44">
        <v>0</v>
      </c>
      <c r="L300" s="44">
        <v>0</v>
      </c>
      <c r="M300" s="43">
        <v>0.62638888888888888</v>
      </c>
      <c r="N300" s="43">
        <v>0.625</v>
      </c>
      <c r="O300" s="43">
        <f>1+20/24/60</f>
        <v>1.0138888888888888</v>
      </c>
      <c r="P300" s="43">
        <f>1+50/24/60</f>
        <v>1.0347222222222223</v>
      </c>
      <c r="Q300" s="39"/>
      <c r="R300" s="42"/>
      <c r="S300" s="29">
        <f>MIP[[#This Row],[PT-1]]+MIP[[#This Row],[PT-2]]*2+MIP[[#This Row],[PT-3]]*3+MIP[[#This Row],[PT &gt; 3 Pontos]]</f>
        <v>10</v>
      </c>
      <c r="T30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1.9444444444444597E-2</v>
      </c>
      <c r="U300" s="39">
        <f>IF(MIP[[#This Row],[P.S]]-MIP[[#This Row],[U.P]]&gt;=0,MIP[[#This Row],[P.S]]-MIP[[#This Row],[U.P]]+MIP[[#This Row],[S.B]]-MIP[[#This Row],[P.E]],1+MIP[[#This Row],[P.S]]-MIP[[#This Row],[U.P]]+MIP[[#This Row],[S.B]]-MIP[[#This Row],[P.E]])</f>
        <v>1.9444444444444597E-2</v>
      </c>
      <c r="V300" s="41">
        <f>MIP[[#This Row],[Eficiência]]</f>
        <v>0.66766956521739129</v>
      </c>
      <c r="W30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1</v>
      </c>
      <c r="X300" s="39">
        <f>IF(MIP[[#This Row],[P.S]]-MIP[[#This Row],[P.E]]&lt;0,1+MIP[[#This Row],[P.S]]-MIP[[#This Row],[P.E]]-1/24,MIP[[#This Row],[P.S]]-MIP[[#This Row],[P.E]]-1/24)</f>
        <v>0.36666666666666675</v>
      </c>
      <c r="Y300" s="39">
        <f>MIP[[#This Row],[PT-1]]*$S$3+MIP[[#This Row],[PT-2]]*$T$3+MIP[[#This Row],[PT-3]]*$U$3+MIP[[#This Row],[PT &gt; 3 Pontos]]*$V$3</f>
        <v>0.23182971014492748</v>
      </c>
      <c r="Z300" s="39">
        <f>MIP[[#This Row],[HH disponível]]-MIP[[#This Row],[HH AC TOT]]</f>
        <v>0.34722222222222215</v>
      </c>
      <c r="AA300" s="38">
        <f>MIP[[#This Row],[HH Produtivo
Total]]/MIP[[#This Row],[HH Trabalhado]]</f>
        <v>0.66766956521739129</v>
      </c>
      <c r="AB300" s="38">
        <f>MIP[[#This Row],[HH Produtivo
Total]]/MIP[[#This Row],[HH disponível]]</f>
        <v>0.63226284584980208</v>
      </c>
      <c r="AC300" s="38">
        <f>MIP[[#This Row],[HH Trabalhado]]/MIP[[#This Row],[HH disponível]]</f>
        <v>0.94696969696969657</v>
      </c>
      <c r="AD300" s="37" t="str">
        <f>LEFT(MIP[[#This Row],[Equipe]], SEARCH("/",MIP[[#This Row],[Equipe]],1)-1)</f>
        <v xml:space="preserve">ADEMÁRIO </v>
      </c>
      <c r="AE300" s="37" t="str">
        <f>RIGHT(MIP[[#This Row],[Equipe]], LEN(MIP[[#This Row],[Equipe]])-SEARCH("/",MIP[[#This Row],[Equipe]],1))</f>
        <v xml:space="preserve"> RONALDO</v>
      </c>
      <c r="AF300" s="44">
        <f>COUNTIFS('[1]Tempo parado'!H:H,"&gt;="&amp;MIP[[#This Row],[S.B Sitrack]],'[1]Tempo parado'!I:I,"&lt;="&amp;MIP[[#This Row],[C.B Sitrack]],'[1]Tempo parado'!B:B,MIP[[#This Row],[Placa]])</f>
        <v>0</v>
      </c>
      <c r="AG300" s="36"/>
      <c r="AH300" s="35"/>
      <c r="AI300" s="34"/>
      <c r="AJ300" s="34"/>
      <c r="AK30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0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00" s="32">
        <f>SUMIFS('[1]Tempo parado'!J:J,'[1]Tempo parado'!H:H,"&gt;="&amp;MIP[[#This Row],[S.B Sitrack]],'[1]Tempo parado'!I:I,"&lt;="&amp;MIP[[#This Row],[C.B Sitrack]],'[1]Tempo parado'!B:B,MIP[[#This Row],[Placa]])</f>
        <v>0</v>
      </c>
      <c r="AN300" s="32" t="str">
        <f>IFERROR(MIP[[#This Row],[Tempo parado]]/(MIP[[#This Row],[C.B Sitrack]]-MIP[[#This Row],[S.B Sitrack]]),"")</f>
        <v/>
      </c>
      <c r="AO300" s="30"/>
      <c r="AP300" s="44">
        <f>IF(AND(MIP[Exc]=0,MIP[Previsto / Realizado]="Realizado"),MIP[Sem],0)</f>
        <v>0</v>
      </c>
      <c r="AQ300" s="29">
        <f>IF(AND(MIP[Exc]=0,MIP[Previsto / Realizado]="Realizado",ISBLANK(MIP[[#This Row],[S.B Sitrack]])=FALSE,ISBLANK(MIP[[#This Row],[C.B Sitrack]])=FALSE),MIP[Sem],0)</f>
        <v>0</v>
      </c>
    </row>
    <row r="301" spans="2:43" x14ac:dyDescent="0.25">
      <c r="B301" s="44">
        <f>WEEKNUM(MIP[[#This Row],[Data]])</f>
        <v>30</v>
      </c>
      <c r="C301" s="45">
        <v>42943</v>
      </c>
      <c r="D301" s="45"/>
      <c r="E301" s="35" t="s">
        <v>10</v>
      </c>
      <c r="F301" s="35" t="s">
        <v>5</v>
      </c>
      <c r="G301" s="35"/>
      <c r="H301" s="44">
        <v>2</v>
      </c>
      <c r="I301" s="44">
        <v>2</v>
      </c>
      <c r="J301" s="44">
        <v>2</v>
      </c>
      <c r="K301" s="44">
        <v>0</v>
      </c>
      <c r="L301" s="44">
        <v>4</v>
      </c>
      <c r="M301" s="43">
        <v>0.625</v>
      </c>
      <c r="N301" s="43">
        <v>0.64583333333333337</v>
      </c>
      <c r="O301" s="43">
        <f>1+18/24/60</f>
        <v>1.0125</v>
      </c>
      <c r="P301" s="43">
        <f>1+48/24/60</f>
        <v>1.0333333333333334</v>
      </c>
      <c r="Q301" s="39"/>
      <c r="R301" s="42"/>
      <c r="S301" s="29">
        <f>MIP[[#This Row],[PT-1]]+MIP[[#This Row],[PT-2]]*2+MIP[[#This Row],[PT-3]]*3+MIP[[#This Row],[PT &gt; 3 Pontos]]</f>
        <v>10</v>
      </c>
      <c r="T30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301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301" s="41">
        <f>MIP[[#This Row],[Eficiência]]</f>
        <v>0.67341932814456995</v>
      </c>
      <c r="W30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01" s="39">
        <f>IF(MIP[[#This Row],[P.S]]-MIP[[#This Row],[P.E]]&lt;0,1+MIP[[#This Row],[P.S]]-MIP[[#This Row],[P.E]]-1/24,MIP[[#This Row],[P.S]]-MIP[[#This Row],[P.E]]-1/24)</f>
        <v>0.36666666666666675</v>
      </c>
      <c r="Y301" s="39">
        <f>MIP[[#This Row],[PT-1]]*$S$3+MIP[[#This Row],[PT-2]]*$T$3+MIP[[#This Row],[PT-3]]*$U$3+MIP[[#This Row],[PT &gt; 3 Pontos]]*$V$3</f>
        <v>0.21886128164698518</v>
      </c>
      <c r="Z301" s="39">
        <f>MIP[[#This Row],[HH disponível]]-MIP[[#This Row],[HH AC TOT]]</f>
        <v>0.3249999999999999</v>
      </c>
      <c r="AA301" s="38">
        <f>MIP[[#This Row],[HH Produtivo
Total]]/MIP[[#This Row],[HH Trabalhado]]</f>
        <v>0.67341932814456995</v>
      </c>
      <c r="AB301" s="38">
        <f>MIP[[#This Row],[HH Produtivo
Total]]/MIP[[#This Row],[HH disponível]]</f>
        <v>0.59689440449177766</v>
      </c>
      <c r="AC301" s="38">
        <f>MIP[[#This Row],[HH Trabalhado]]/MIP[[#This Row],[HH disponível]]</f>
        <v>0.88636363636363591</v>
      </c>
      <c r="AD301" s="37" t="str">
        <f>LEFT(MIP[[#This Row],[Equipe]], SEARCH("/",MIP[[#This Row],[Equipe]],1)-1)</f>
        <v xml:space="preserve">JOILSON </v>
      </c>
      <c r="AE301" s="37" t="str">
        <f>RIGHT(MIP[[#This Row],[Equipe]], LEN(MIP[[#This Row],[Equipe]])-SEARCH("/",MIP[[#This Row],[Equipe]],1))</f>
        <v xml:space="preserve"> VALDEI</v>
      </c>
      <c r="AF301" s="44">
        <f>COUNTIFS('[1]Tempo parado'!H:H,"&gt;="&amp;MIP[[#This Row],[S.B Sitrack]],'[1]Tempo parado'!I:I,"&lt;="&amp;MIP[[#This Row],[C.B Sitrack]],'[1]Tempo parado'!B:B,MIP[[#This Row],[Placa]])</f>
        <v>0</v>
      </c>
      <c r="AG301" s="36"/>
      <c r="AH301" s="35"/>
      <c r="AI301" s="34"/>
      <c r="AJ301" s="34"/>
      <c r="AK30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0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01" s="32">
        <f>SUMIFS('[1]Tempo parado'!J:J,'[1]Tempo parado'!H:H,"&gt;="&amp;MIP[[#This Row],[S.B Sitrack]],'[1]Tempo parado'!I:I,"&lt;="&amp;MIP[[#This Row],[C.B Sitrack]],'[1]Tempo parado'!B:B,MIP[[#This Row],[Placa]])</f>
        <v>0</v>
      </c>
      <c r="AN301" s="32" t="str">
        <f>IFERROR(MIP[[#This Row],[Tempo parado]]/(MIP[[#This Row],[C.B Sitrack]]-MIP[[#This Row],[S.B Sitrack]]),"")</f>
        <v/>
      </c>
      <c r="AO301" s="30"/>
      <c r="AP301" s="44">
        <f>IF(AND(MIP[Exc]=0,MIP[Previsto / Realizado]="Realizado"),MIP[Sem],0)</f>
        <v>0</v>
      </c>
      <c r="AQ301" s="29">
        <f>IF(AND(MIP[Exc]=0,MIP[Previsto / Realizado]="Realizado",ISBLANK(MIP[[#This Row],[S.B Sitrack]])=FALSE,ISBLANK(MIP[[#This Row],[C.B Sitrack]])=FALSE),MIP[Sem],0)</f>
        <v>0</v>
      </c>
    </row>
    <row r="302" spans="2:43" x14ac:dyDescent="0.25">
      <c r="B302" s="44">
        <f>WEEKNUM(MIP[[#This Row],[Data]])</f>
        <v>30</v>
      </c>
      <c r="C302" s="45">
        <v>42943</v>
      </c>
      <c r="D302" s="45"/>
      <c r="E302" s="35" t="s">
        <v>10</v>
      </c>
      <c r="F302" s="35" t="s">
        <v>2</v>
      </c>
      <c r="G302" s="35"/>
      <c r="H302" s="44">
        <v>2</v>
      </c>
      <c r="I302" s="44">
        <v>2</v>
      </c>
      <c r="J302" s="44">
        <v>2</v>
      </c>
      <c r="K302" s="44">
        <v>0</v>
      </c>
      <c r="L302" s="44">
        <v>4</v>
      </c>
      <c r="M302" s="43">
        <v>0.25347222222222221</v>
      </c>
      <c r="N302" s="43">
        <v>0.2951388888888889</v>
      </c>
      <c r="O302" s="43">
        <v>0.64583333333333337</v>
      </c>
      <c r="P302" s="43">
        <v>0.66180555555555554</v>
      </c>
      <c r="Q302" s="39"/>
      <c r="R302" s="42"/>
      <c r="S302" s="29">
        <f>MIP[[#This Row],[PT-1]]+MIP[[#This Row],[PT-2]]*2+MIP[[#This Row],[PT-3]]*3+MIP[[#This Row],[PT &gt; 3 Pontos]]</f>
        <v>10</v>
      </c>
      <c r="T30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5.7638888888888851E-2</v>
      </c>
      <c r="U302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5.7638888888888851E-2</v>
      </c>
      <c r="V302" s="41">
        <f>MIP[[#This Row],[Eficiência]]</f>
        <v>0.7082252709475475</v>
      </c>
      <c r="W30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02" s="39">
        <f>IF(MIP[[#This Row],[P.S]]-MIP[[#This Row],[P.E]]&lt;0,1+MIP[[#This Row],[P.S]]-MIP[[#This Row],[P.E]]-1/24,MIP[[#This Row],[P.S]]-MIP[[#This Row],[P.E]]-1/24)</f>
        <v>0.36666666666666664</v>
      </c>
      <c r="Y302" s="39">
        <f>MIP[[#This Row],[PT-1]]*$S$3+MIP[[#This Row],[PT-2]]*$T$3+MIP[[#This Row],[PT-3]]*$U$3+MIP[[#This Row],[PT &gt; 3 Pontos]]*$V$3</f>
        <v>0.21886128164698518</v>
      </c>
      <c r="Z302" s="39">
        <f>MIP[[#This Row],[HH disponível]]-MIP[[#This Row],[HH AC TOT]]</f>
        <v>0.30902777777777779</v>
      </c>
      <c r="AA302" s="38">
        <f>MIP[[#This Row],[HH Produtivo
Total]]/MIP[[#This Row],[HH Trabalhado]]</f>
        <v>0.7082252709475475</v>
      </c>
      <c r="AB302" s="38">
        <f>MIP[[#This Row],[HH Produtivo
Total]]/MIP[[#This Row],[HH disponível]]</f>
        <v>0.59689440449177777</v>
      </c>
      <c r="AC302" s="38">
        <f>MIP[[#This Row],[HH Trabalhado]]/MIP[[#This Row],[HH disponível]]</f>
        <v>0.84280303030303039</v>
      </c>
      <c r="AD302" s="37" t="str">
        <f>LEFT(MIP[[#This Row],[Equipe]], SEARCH("/",MIP[[#This Row],[Equipe]],1)-1)</f>
        <v xml:space="preserve">JOILSON </v>
      </c>
      <c r="AE302" s="37" t="str">
        <f>RIGHT(MIP[[#This Row],[Equipe]], LEN(MIP[[#This Row],[Equipe]])-SEARCH("/",MIP[[#This Row],[Equipe]],1))</f>
        <v xml:space="preserve"> VALDEI</v>
      </c>
      <c r="AF302" s="44">
        <f>COUNTIFS('[1]Tempo parado'!H:H,"&gt;="&amp;MIP[[#This Row],[S.B Sitrack]],'[1]Tempo parado'!I:I,"&lt;="&amp;MIP[[#This Row],[C.B Sitrack]],'[1]Tempo parado'!B:B,MIP[[#This Row],[Placa]])</f>
        <v>0</v>
      </c>
      <c r="AG302" s="36"/>
      <c r="AH302" s="35"/>
      <c r="AI302" s="34"/>
      <c r="AJ302" s="34"/>
      <c r="AK30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0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02" s="32">
        <f>SUMIFS('[1]Tempo parado'!J:J,'[1]Tempo parado'!H:H,"&gt;="&amp;MIP[[#This Row],[S.B Sitrack]],'[1]Tempo parado'!I:I,"&lt;="&amp;MIP[[#This Row],[C.B Sitrack]],'[1]Tempo parado'!B:B,MIP[[#This Row],[Placa]])</f>
        <v>0</v>
      </c>
      <c r="AN302" s="32" t="str">
        <f>IFERROR(MIP[[#This Row],[Tempo parado]]/(MIP[[#This Row],[C.B Sitrack]]-MIP[[#This Row],[S.B Sitrack]]),"")</f>
        <v/>
      </c>
      <c r="AO302" s="30"/>
      <c r="AP302" s="44">
        <f>IF(AND(MIP[Exc]=0,MIP[Previsto / Realizado]="Realizado"),MIP[Sem],0)</f>
        <v>30</v>
      </c>
      <c r="AQ302" s="29">
        <f>IF(AND(MIP[Exc]=0,MIP[Previsto / Realizado]="Realizado",ISBLANK(MIP[[#This Row],[S.B Sitrack]])=FALSE,ISBLANK(MIP[[#This Row],[C.B Sitrack]])=FALSE),MIP[Sem],0)</f>
        <v>0</v>
      </c>
    </row>
    <row r="303" spans="2:43" x14ac:dyDescent="0.25">
      <c r="B303" s="44">
        <f>WEEKNUM(MIP[[#This Row],[Data]])</f>
        <v>30</v>
      </c>
      <c r="C303" s="45">
        <v>42943</v>
      </c>
      <c r="D303" s="45"/>
      <c r="E303" s="35" t="s">
        <v>7</v>
      </c>
      <c r="F303" s="35" t="s">
        <v>5</v>
      </c>
      <c r="G303" s="35"/>
      <c r="H303" s="44">
        <v>2</v>
      </c>
      <c r="I303" s="44">
        <v>11</v>
      </c>
      <c r="J303" s="44">
        <v>0</v>
      </c>
      <c r="K303" s="44">
        <v>0</v>
      </c>
      <c r="L303" s="44">
        <v>0</v>
      </c>
      <c r="M303" s="43">
        <v>0.625</v>
      </c>
      <c r="N303" s="43">
        <v>0.64583333333333337</v>
      </c>
      <c r="O303" s="43">
        <f>1+18/24/60</f>
        <v>1.0125</v>
      </c>
      <c r="P303" s="43">
        <f>1+48/24/60</f>
        <v>1.0333333333333334</v>
      </c>
      <c r="Q303" s="39"/>
      <c r="R303" s="42"/>
      <c r="S303" s="29">
        <f>MIP[[#This Row],[PT-1]]+MIP[[#This Row],[PT-2]]*2+MIP[[#This Row],[PT-3]]*3+MIP[[#This Row],[PT &gt; 3 Pontos]]</f>
        <v>11</v>
      </c>
      <c r="T30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303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303" s="41">
        <f>MIP[[#This Row],[Eficiência]]</f>
        <v>0.84702886937941257</v>
      </c>
      <c r="W30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03" s="39">
        <f>IF(MIP[[#This Row],[P.S]]-MIP[[#This Row],[P.E]]&lt;0,1+MIP[[#This Row],[P.S]]-MIP[[#This Row],[P.E]]-1/24,MIP[[#This Row],[P.S]]-MIP[[#This Row],[P.E]]-1/24)</f>
        <v>0.36666666666666675</v>
      </c>
      <c r="Y303" s="39">
        <f>MIP[[#This Row],[PT-1]]*$S$3+MIP[[#This Row],[PT-2]]*$T$3+MIP[[#This Row],[PT-3]]*$U$3+MIP[[#This Row],[PT &gt; 3 Pontos]]*$V$3</f>
        <v>0.275284382548309</v>
      </c>
      <c r="Z303" s="39">
        <f>MIP[[#This Row],[HH disponível]]-MIP[[#This Row],[HH AC TOT]]</f>
        <v>0.3249999999999999</v>
      </c>
      <c r="AA303" s="38">
        <f>MIP[[#This Row],[HH Produtivo
Total]]/MIP[[#This Row],[HH Trabalhado]]</f>
        <v>0.84702886937941257</v>
      </c>
      <c r="AB303" s="38">
        <f>MIP[[#This Row],[HH Produtivo
Total]]/MIP[[#This Row],[HH disponível]]</f>
        <v>0.75077558876811534</v>
      </c>
      <c r="AC303" s="38">
        <f>MIP[[#This Row],[HH Trabalhado]]/MIP[[#This Row],[HH disponível]]</f>
        <v>0.88636363636363591</v>
      </c>
      <c r="AD303" s="37" t="str">
        <f>LEFT(MIP[[#This Row],[Equipe]], SEARCH("/",MIP[[#This Row],[Equipe]],1)-1)</f>
        <v xml:space="preserve">ANDERSON </v>
      </c>
      <c r="AE303" s="37" t="str">
        <f>RIGHT(MIP[[#This Row],[Equipe]], LEN(MIP[[#This Row],[Equipe]])-SEARCH("/",MIP[[#This Row],[Equipe]],1))</f>
        <v xml:space="preserve"> MARCO</v>
      </c>
      <c r="AF303" s="44">
        <f>COUNTIFS('[1]Tempo parado'!H:H,"&gt;="&amp;MIP[[#This Row],[S.B Sitrack]],'[1]Tempo parado'!I:I,"&lt;="&amp;MIP[[#This Row],[C.B Sitrack]],'[1]Tempo parado'!B:B,MIP[[#This Row],[Placa]])</f>
        <v>0</v>
      </c>
      <c r="AG303" s="36"/>
      <c r="AH303" s="35"/>
      <c r="AI303" s="34"/>
      <c r="AJ303" s="34"/>
      <c r="AK30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0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03" s="32">
        <f>SUMIFS('[1]Tempo parado'!J:J,'[1]Tempo parado'!H:H,"&gt;="&amp;MIP[[#This Row],[S.B Sitrack]],'[1]Tempo parado'!I:I,"&lt;="&amp;MIP[[#This Row],[C.B Sitrack]],'[1]Tempo parado'!B:B,MIP[[#This Row],[Placa]])</f>
        <v>0</v>
      </c>
      <c r="AN303" s="32" t="str">
        <f>IFERROR(MIP[[#This Row],[Tempo parado]]/(MIP[[#This Row],[C.B Sitrack]]-MIP[[#This Row],[S.B Sitrack]]),"")</f>
        <v/>
      </c>
      <c r="AO303" s="30"/>
      <c r="AP303" s="44">
        <f>IF(AND(MIP[Exc]=0,MIP[Previsto / Realizado]="Realizado"),MIP[Sem],0)</f>
        <v>0</v>
      </c>
      <c r="AQ303" s="29">
        <f>IF(AND(MIP[Exc]=0,MIP[Previsto / Realizado]="Realizado",ISBLANK(MIP[[#This Row],[S.B Sitrack]])=FALSE,ISBLANK(MIP[[#This Row],[C.B Sitrack]])=FALSE),MIP[Sem],0)</f>
        <v>0</v>
      </c>
    </row>
    <row r="304" spans="2:43" x14ac:dyDescent="0.25">
      <c r="B304" s="44">
        <f>WEEKNUM(MIP[[#This Row],[Data]])</f>
        <v>30</v>
      </c>
      <c r="C304" s="45">
        <v>42943</v>
      </c>
      <c r="D304" s="45"/>
      <c r="E304" s="35" t="s">
        <v>7</v>
      </c>
      <c r="F304" s="35" t="s">
        <v>2</v>
      </c>
      <c r="G304" s="35"/>
      <c r="H304" s="44">
        <v>2</v>
      </c>
      <c r="I304" s="44">
        <v>7</v>
      </c>
      <c r="J304" s="44">
        <v>0</v>
      </c>
      <c r="K304" s="44">
        <v>0</v>
      </c>
      <c r="L304" s="44">
        <v>0</v>
      </c>
      <c r="M304" s="43">
        <v>0.62777777777777777</v>
      </c>
      <c r="N304" s="43">
        <v>0.67013888888888884</v>
      </c>
      <c r="O304" s="43">
        <f>1+18/24/60</f>
        <v>1.0125</v>
      </c>
      <c r="P304" s="43">
        <f>1+49/24/60</f>
        <v>1.0340277777777778</v>
      </c>
      <c r="Q304" s="39"/>
      <c r="R304" s="42" t="s">
        <v>352</v>
      </c>
      <c r="S304" s="29">
        <f>MIP[[#This Row],[PT-1]]+MIP[[#This Row],[PT-2]]*2+MIP[[#This Row],[PT-3]]*3+MIP[[#This Row],[PT &gt; 3 Pontos]]</f>
        <v>7</v>
      </c>
      <c r="T30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6.3888888888888884E-2</v>
      </c>
      <c r="U304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6.3888888888888884E-2</v>
      </c>
      <c r="V304" s="41">
        <f>MIP[[#This Row],[Eficiência]]</f>
        <v>0.58258798574154003</v>
      </c>
      <c r="W30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04" s="39">
        <f>IF(MIP[[#This Row],[P.S]]-MIP[[#This Row],[P.E]]&lt;0,1+MIP[[#This Row],[P.S]]-MIP[[#This Row],[P.E]]-1/24,MIP[[#This Row],[P.S]]-MIP[[#This Row],[P.E]]-1/24)</f>
        <v>0.36458333333333331</v>
      </c>
      <c r="Y304" s="39">
        <f>MIP[[#This Row],[PT-1]]*$S$3+MIP[[#This Row],[PT-2]]*$T$3+MIP[[#This Row],[PT-3]]*$U$3+MIP[[#This Row],[PT &gt; 3 Pontos]]*$V$3</f>
        <v>0.17518097071256028</v>
      </c>
      <c r="Z304" s="39">
        <f>MIP[[#This Row],[HH disponível]]-MIP[[#This Row],[HH AC TOT]]</f>
        <v>0.30069444444444443</v>
      </c>
      <c r="AA304" s="38">
        <f>MIP[[#This Row],[HH Produtivo
Total]]/MIP[[#This Row],[HH Trabalhado]]</f>
        <v>0.58258798574154003</v>
      </c>
      <c r="AB304" s="38">
        <f>MIP[[#This Row],[HH Produtivo
Total]]/MIP[[#This Row],[HH disponível]]</f>
        <v>0.48049637681159396</v>
      </c>
      <c r="AC304" s="38">
        <f>MIP[[#This Row],[HH Trabalhado]]/MIP[[#This Row],[HH disponível]]</f>
        <v>0.82476190476190481</v>
      </c>
      <c r="AD304" s="37" t="str">
        <f>LEFT(MIP[[#This Row],[Equipe]], SEARCH("/",MIP[[#This Row],[Equipe]],1)-1)</f>
        <v xml:space="preserve">ANDERSON </v>
      </c>
      <c r="AE304" s="37" t="str">
        <f>RIGHT(MIP[[#This Row],[Equipe]], LEN(MIP[[#This Row],[Equipe]])-SEARCH("/",MIP[[#This Row],[Equipe]],1))</f>
        <v xml:space="preserve"> MARCO</v>
      </c>
      <c r="AF304" s="44">
        <f>COUNTIFS('[1]Tempo parado'!H:H,"&gt;="&amp;MIP[[#This Row],[S.B Sitrack]],'[1]Tempo parado'!I:I,"&lt;="&amp;MIP[[#This Row],[C.B Sitrack]],'[1]Tempo parado'!B:B,MIP[[#This Row],[Placa]])</f>
        <v>0</v>
      </c>
      <c r="AG304" s="36"/>
      <c r="AH304" s="35"/>
      <c r="AI304" s="34"/>
      <c r="AJ304" s="34"/>
      <c r="AK30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0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04" s="32">
        <f>SUMIFS('[1]Tempo parado'!J:J,'[1]Tempo parado'!H:H,"&gt;="&amp;MIP[[#This Row],[S.B Sitrack]],'[1]Tempo parado'!I:I,"&lt;="&amp;MIP[[#This Row],[C.B Sitrack]],'[1]Tempo parado'!B:B,MIP[[#This Row],[Placa]])</f>
        <v>0</v>
      </c>
      <c r="AN304" s="32" t="str">
        <f>IFERROR(MIP[[#This Row],[Tempo parado]]/(MIP[[#This Row],[C.B Sitrack]]-MIP[[#This Row],[S.B Sitrack]]),"")</f>
        <v/>
      </c>
      <c r="AO304" s="30"/>
      <c r="AP304" s="44">
        <f>IF(AND(MIP[Exc]=0,MIP[Previsto / Realizado]="Realizado"),MIP[Sem],0)</f>
        <v>30</v>
      </c>
      <c r="AQ304" s="29">
        <f>IF(AND(MIP[Exc]=0,MIP[Previsto / Realizado]="Realizado",ISBLANK(MIP[[#This Row],[S.B Sitrack]])=FALSE,ISBLANK(MIP[[#This Row],[C.B Sitrack]])=FALSE),MIP[Sem],0)</f>
        <v>0</v>
      </c>
    </row>
    <row r="305" spans="2:43" x14ac:dyDescent="0.25">
      <c r="B305" s="44">
        <f>WEEKNUM(MIP[[#This Row],[Data]])</f>
        <v>30</v>
      </c>
      <c r="C305" s="45">
        <v>42944</v>
      </c>
      <c r="D305" s="45"/>
      <c r="E305" s="35" t="s">
        <v>10</v>
      </c>
      <c r="F305" s="35" t="s">
        <v>5</v>
      </c>
      <c r="G305" s="35"/>
      <c r="H305" s="44">
        <v>2</v>
      </c>
      <c r="I305" s="44">
        <v>9</v>
      </c>
      <c r="J305" s="44">
        <v>1</v>
      </c>
      <c r="K305" s="44">
        <v>1</v>
      </c>
      <c r="L305" s="44">
        <v>0</v>
      </c>
      <c r="M305" s="43">
        <v>0.25</v>
      </c>
      <c r="N305" s="43">
        <v>0.27083333333333331</v>
      </c>
      <c r="O305" s="43">
        <v>0.63750000000000007</v>
      </c>
      <c r="P305" s="43">
        <v>0.65833333333333333</v>
      </c>
      <c r="Q305" s="39"/>
      <c r="R305" s="42"/>
      <c r="S305" s="29">
        <f>MIP[[#This Row],[PT-1]]+MIP[[#This Row],[PT-2]]*2+MIP[[#This Row],[PT-3]]*3+MIP[[#This Row],[PT &gt; 3 Pontos]]</f>
        <v>14</v>
      </c>
      <c r="T30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305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305" s="41">
        <f>MIP[[#This Row],[Eficiência]]</f>
        <v>1.0213326830174649</v>
      </c>
      <c r="W30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05" s="39">
        <f>IF(MIP[[#This Row],[P.S]]-MIP[[#This Row],[P.E]]&lt;0,1+MIP[[#This Row],[P.S]]-MIP[[#This Row],[P.E]]-1/24,MIP[[#This Row],[P.S]]-MIP[[#This Row],[P.E]]-1/24)</f>
        <v>0.36666666666666664</v>
      </c>
      <c r="Y305" s="39">
        <f>MIP[[#This Row],[PT-1]]*$S$3+MIP[[#This Row],[PT-2]]*$T$3+MIP[[#This Row],[PT-3]]*$U$3+MIP[[#This Row],[PT &gt; 3 Pontos]]*$V$3</f>
        <v>0.3319331219806762</v>
      </c>
      <c r="Z305" s="39">
        <f>MIP[[#This Row],[HH disponível]]-MIP[[#This Row],[HH AC TOT]]</f>
        <v>0.32500000000000007</v>
      </c>
      <c r="AA305" s="38">
        <f>MIP[[#This Row],[HH Produtivo
Total]]/MIP[[#This Row],[HH Trabalhado]]</f>
        <v>1.0213326830174649</v>
      </c>
      <c r="AB305" s="38">
        <f>MIP[[#This Row],[HH Produtivo
Total]]/MIP[[#This Row],[HH disponível]]</f>
        <v>0.90527215085638968</v>
      </c>
      <c r="AC305" s="38">
        <f>MIP[[#This Row],[HH Trabalhado]]/MIP[[#This Row],[HH disponível]]</f>
        <v>0.88636363636363658</v>
      </c>
      <c r="AD305" s="37" t="str">
        <f>LEFT(MIP[[#This Row],[Equipe]], SEARCH("/",MIP[[#This Row],[Equipe]],1)-1)</f>
        <v xml:space="preserve">JOILSON </v>
      </c>
      <c r="AE305" s="37" t="str">
        <f>RIGHT(MIP[[#This Row],[Equipe]], LEN(MIP[[#This Row],[Equipe]])-SEARCH("/",MIP[[#This Row],[Equipe]],1))</f>
        <v xml:space="preserve"> VALDEI</v>
      </c>
      <c r="AF305" s="44">
        <f>COUNTIFS('[1]Tempo parado'!H:H,"&gt;="&amp;MIP[[#This Row],[S.B Sitrack]],'[1]Tempo parado'!I:I,"&lt;="&amp;MIP[[#This Row],[C.B Sitrack]],'[1]Tempo parado'!B:B,MIP[[#This Row],[Placa]])</f>
        <v>0</v>
      </c>
      <c r="AG305" s="36"/>
      <c r="AH305" s="35"/>
      <c r="AI305" s="34"/>
      <c r="AJ305" s="34"/>
      <c r="AK30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0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05" s="32">
        <f>SUMIFS('[1]Tempo parado'!J:J,'[1]Tempo parado'!H:H,"&gt;="&amp;MIP[[#This Row],[S.B Sitrack]],'[1]Tempo parado'!I:I,"&lt;="&amp;MIP[[#This Row],[C.B Sitrack]],'[1]Tempo parado'!B:B,MIP[[#This Row],[Placa]])</f>
        <v>0</v>
      </c>
      <c r="AN305" s="32" t="str">
        <f>IFERROR(MIP[[#This Row],[Tempo parado]]/(MIP[[#This Row],[C.B Sitrack]]-MIP[[#This Row],[S.B Sitrack]]),"")</f>
        <v/>
      </c>
      <c r="AO305" s="30"/>
      <c r="AP305" s="44">
        <f>IF(AND(MIP[Exc]=0,MIP[Previsto / Realizado]="Realizado"),MIP[Sem],0)</f>
        <v>0</v>
      </c>
      <c r="AQ305" s="29">
        <f>IF(AND(MIP[Exc]=0,MIP[Previsto / Realizado]="Realizado",ISBLANK(MIP[[#This Row],[S.B Sitrack]])=FALSE,ISBLANK(MIP[[#This Row],[C.B Sitrack]])=FALSE),MIP[Sem],0)</f>
        <v>0</v>
      </c>
    </row>
    <row r="306" spans="2:43" x14ac:dyDescent="0.25">
      <c r="B306" s="44">
        <f>WEEKNUM(MIP[[#This Row],[Data]])</f>
        <v>30</v>
      </c>
      <c r="C306" s="45">
        <v>42944</v>
      </c>
      <c r="D306" s="45"/>
      <c r="E306" s="35" t="s">
        <v>10</v>
      </c>
      <c r="F306" s="35" t="s">
        <v>2</v>
      </c>
      <c r="G306" s="35"/>
      <c r="H306" s="44">
        <v>2</v>
      </c>
      <c r="I306" s="44">
        <v>8</v>
      </c>
      <c r="J306" s="44">
        <v>2</v>
      </c>
      <c r="K306" s="44">
        <v>0</v>
      </c>
      <c r="L306" s="44">
        <v>0</v>
      </c>
      <c r="M306" s="43">
        <v>0.25138888888888888</v>
      </c>
      <c r="N306" s="43">
        <v>0.27777777777777779</v>
      </c>
      <c r="O306" s="43">
        <v>0.64236111111111105</v>
      </c>
      <c r="P306" s="43">
        <v>0.65902777777777777</v>
      </c>
      <c r="Q306" s="39"/>
      <c r="R306" s="42"/>
      <c r="S306" s="29">
        <f>MIP[[#This Row],[PT-1]]+MIP[[#This Row],[PT-2]]*2+MIP[[#This Row],[PT-3]]*3+MIP[[#This Row],[PT &gt; 3 Pontos]]</f>
        <v>12</v>
      </c>
      <c r="T30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4.3055555555555625E-2</v>
      </c>
      <c r="U306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4.3055555555555625E-2</v>
      </c>
      <c r="V306" s="41">
        <f>MIP[[#This Row],[Eficiência]]</f>
        <v>0.89194639239520002</v>
      </c>
      <c r="W30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06" s="39">
        <f>IF(MIP[[#This Row],[P.S]]-MIP[[#This Row],[P.E]]&lt;0,1+MIP[[#This Row],[P.S]]-MIP[[#This Row],[P.E]]-1/24,MIP[[#This Row],[P.S]]-MIP[[#This Row],[P.E]]-1/24)</f>
        <v>0.3659722222222222</v>
      </c>
      <c r="Y306" s="39">
        <f>MIP[[#This Row],[PT-1]]*$S$3+MIP[[#This Row],[PT-2]]*$T$3+MIP[[#This Row],[PT-3]]*$U$3+MIP[[#This Row],[PT &gt; 3 Pontos]]*$V$3</f>
        <v>0.2880243558776166</v>
      </c>
      <c r="Z306" s="39">
        <f>MIP[[#This Row],[HH disponível]]-MIP[[#This Row],[HH AC TOT]]</f>
        <v>0.32291666666666657</v>
      </c>
      <c r="AA306" s="38">
        <f>MIP[[#This Row],[HH Produtivo
Total]]/MIP[[#This Row],[HH Trabalhado]]</f>
        <v>0.89194639239520002</v>
      </c>
      <c r="AB306" s="38">
        <f>MIP[[#This Row],[HH Produtivo
Total]]/MIP[[#This Row],[HH disponível]]</f>
        <v>0.78701152270164698</v>
      </c>
      <c r="AC306" s="38">
        <f>MIP[[#This Row],[HH Trabalhado]]/MIP[[#This Row],[HH disponível]]</f>
        <v>0.88235294117647034</v>
      </c>
      <c r="AD306" s="37" t="str">
        <f>LEFT(MIP[[#This Row],[Equipe]], SEARCH("/",MIP[[#This Row],[Equipe]],1)-1)</f>
        <v xml:space="preserve">JOILSON </v>
      </c>
      <c r="AE306" s="37" t="str">
        <f>RIGHT(MIP[[#This Row],[Equipe]], LEN(MIP[[#This Row],[Equipe]])-SEARCH("/",MIP[[#This Row],[Equipe]],1))</f>
        <v xml:space="preserve"> VALDEI</v>
      </c>
      <c r="AF306" s="44">
        <f>COUNTIFS('[1]Tempo parado'!H:H,"&gt;="&amp;MIP[[#This Row],[S.B Sitrack]],'[1]Tempo parado'!I:I,"&lt;="&amp;MIP[[#This Row],[C.B Sitrack]],'[1]Tempo parado'!B:B,MIP[[#This Row],[Placa]])</f>
        <v>0</v>
      </c>
      <c r="AG306" s="36"/>
      <c r="AH306" s="35"/>
      <c r="AI306" s="34"/>
      <c r="AJ306" s="34"/>
      <c r="AK30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0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06" s="32">
        <f>SUMIFS('[1]Tempo parado'!J:J,'[1]Tempo parado'!H:H,"&gt;="&amp;MIP[[#This Row],[S.B Sitrack]],'[1]Tempo parado'!I:I,"&lt;="&amp;MIP[[#This Row],[C.B Sitrack]],'[1]Tempo parado'!B:B,MIP[[#This Row],[Placa]])</f>
        <v>0</v>
      </c>
      <c r="AN306" s="32" t="str">
        <f>IFERROR(MIP[[#This Row],[Tempo parado]]/(MIP[[#This Row],[C.B Sitrack]]-MIP[[#This Row],[S.B Sitrack]]),"")</f>
        <v/>
      </c>
      <c r="AO306" s="30"/>
      <c r="AP306" s="44">
        <f>IF(AND(MIP[Exc]=0,MIP[Previsto / Realizado]="Realizado"),MIP[Sem],0)</f>
        <v>30</v>
      </c>
      <c r="AQ306" s="29">
        <f>IF(AND(MIP[Exc]=0,MIP[Previsto / Realizado]="Realizado",ISBLANK(MIP[[#This Row],[S.B Sitrack]])=FALSE,ISBLANK(MIP[[#This Row],[C.B Sitrack]])=FALSE),MIP[Sem],0)</f>
        <v>0</v>
      </c>
    </row>
    <row r="307" spans="2:43" x14ac:dyDescent="0.25">
      <c r="B307" s="44">
        <f>WEEKNUM(MIP[[#This Row],[Data]])</f>
        <v>30</v>
      </c>
      <c r="C307" s="45">
        <v>42944</v>
      </c>
      <c r="D307" s="45"/>
      <c r="E307" s="35" t="s">
        <v>133</v>
      </c>
      <c r="F307" s="35" t="s">
        <v>5</v>
      </c>
      <c r="G307" s="35"/>
      <c r="H307" s="44">
        <v>3</v>
      </c>
      <c r="I307" s="44">
        <v>5</v>
      </c>
      <c r="J307" s="44">
        <v>2</v>
      </c>
      <c r="K307" s="44">
        <v>0</v>
      </c>
      <c r="L307" s="44">
        <v>0</v>
      </c>
      <c r="M307" s="43">
        <v>0.625</v>
      </c>
      <c r="N307" s="43">
        <v>0.64583333333333337</v>
      </c>
      <c r="O307" s="43">
        <f>1+18/24/60</f>
        <v>1.0125</v>
      </c>
      <c r="P307" s="43">
        <f>1+48/24/60</f>
        <v>1.0333333333333334</v>
      </c>
      <c r="Q307" s="39"/>
      <c r="R307" s="42"/>
      <c r="S307" s="29">
        <f>MIP[[#This Row],[PT-1]]+MIP[[#This Row],[PT-2]]*2+MIP[[#This Row],[PT-3]]*3+MIP[[#This Row],[PT &gt; 3 Pontos]]</f>
        <v>9</v>
      </c>
      <c r="T30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307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307" s="41">
        <f>MIP[[#This Row],[Eficiência]]</f>
        <v>0.65522091384863113</v>
      </c>
      <c r="W30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07" s="39">
        <f>IF(MIP[[#This Row],[P.S]]-MIP[[#This Row],[P.E]]&lt;0,1+MIP[[#This Row],[P.S]]-MIP[[#This Row],[P.E]]-1/24,MIP[[#This Row],[P.S]]-MIP[[#This Row],[P.E]]-1/24)</f>
        <v>0.36666666666666675</v>
      </c>
      <c r="Y307" s="39">
        <f>MIP[[#This Row],[PT-1]]*$S$3+MIP[[#This Row],[PT-2]]*$T$3+MIP[[#This Row],[PT-3]]*$U$3+MIP[[#This Row],[PT &gt; 3 Pontos]]*$V$3</f>
        <v>0.21294679700080504</v>
      </c>
      <c r="Z307" s="39">
        <f>MIP[[#This Row],[HH disponível]]-MIP[[#This Row],[HH AC TOT]]</f>
        <v>0.3249999999999999</v>
      </c>
      <c r="AA307" s="38">
        <f>MIP[[#This Row],[HH Produtivo
Total]]/MIP[[#This Row],[HH Trabalhado]]</f>
        <v>0.65522091384863113</v>
      </c>
      <c r="AB307" s="38">
        <f>MIP[[#This Row],[HH Produtivo
Total]]/MIP[[#This Row],[HH disponível]]</f>
        <v>0.5807639918203773</v>
      </c>
      <c r="AC307" s="38">
        <f>MIP[[#This Row],[HH Trabalhado]]/MIP[[#This Row],[HH disponível]]</f>
        <v>0.88636363636363591</v>
      </c>
      <c r="AD307" s="37" t="str">
        <f>LEFT(MIP[[#This Row],[Equipe]], SEARCH("/",MIP[[#This Row],[Equipe]],1)-1)</f>
        <v xml:space="preserve">ANDERSON </v>
      </c>
      <c r="AE307" s="37" t="str">
        <f>RIGHT(MIP[[#This Row],[Equipe]], LEN(MIP[[#This Row],[Equipe]])-SEARCH("/",MIP[[#This Row],[Equipe]],1))</f>
        <v xml:space="preserve"> MARCO / RONALDO</v>
      </c>
      <c r="AF307" s="44">
        <f>COUNTIFS('[1]Tempo parado'!H:H,"&gt;="&amp;MIP[[#This Row],[S.B Sitrack]],'[1]Tempo parado'!I:I,"&lt;="&amp;MIP[[#This Row],[C.B Sitrack]],'[1]Tempo parado'!B:B,MIP[[#This Row],[Placa]])</f>
        <v>0</v>
      </c>
      <c r="AG307" s="36"/>
      <c r="AH307" s="35"/>
      <c r="AI307" s="34"/>
      <c r="AJ307" s="34"/>
      <c r="AK30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0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07" s="32">
        <f>SUMIFS('[1]Tempo parado'!J:J,'[1]Tempo parado'!H:H,"&gt;="&amp;MIP[[#This Row],[S.B Sitrack]],'[1]Tempo parado'!I:I,"&lt;="&amp;MIP[[#This Row],[C.B Sitrack]],'[1]Tempo parado'!B:B,MIP[[#This Row],[Placa]])</f>
        <v>0</v>
      </c>
      <c r="AN307" s="32" t="str">
        <f>IFERROR(MIP[[#This Row],[Tempo parado]]/(MIP[[#This Row],[C.B Sitrack]]-MIP[[#This Row],[S.B Sitrack]]),"")</f>
        <v/>
      </c>
      <c r="AO307" s="30"/>
      <c r="AP307" s="44">
        <f>IF(AND(MIP[Exc]=0,MIP[Previsto / Realizado]="Realizado"),MIP[Sem],0)</f>
        <v>0</v>
      </c>
      <c r="AQ307" s="29">
        <f>IF(AND(MIP[Exc]=0,MIP[Previsto / Realizado]="Realizado",ISBLANK(MIP[[#This Row],[S.B Sitrack]])=FALSE,ISBLANK(MIP[[#This Row],[C.B Sitrack]])=FALSE),MIP[Sem],0)</f>
        <v>0</v>
      </c>
    </row>
    <row r="308" spans="2:43" x14ac:dyDescent="0.25">
      <c r="B308" s="44">
        <f>WEEKNUM(MIP[[#This Row],[Data]])</f>
        <v>30</v>
      </c>
      <c r="C308" s="45">
        <v>42944</v>
      </c>
      <c r="D308" s="45"/>
      <c r="E308" s="35" t="s">
        <v>133</v>
      </c>
      <c r="F308" s="35" t="s">
        <v>2</v>
      </c>
      <c r="G308" s="35"/>
      <c r="H308" s="44">
        <v>3</v>
      </c>
      <c r="I308" s="44">
        <v>5</v>
      </c>
      <c r="J308" s="44">
        <v>0</v>
      </c>
      <c r="K308" s="44">
        <v>0</v>
      </c>
      <c r="L308" s="44">
        <v>0</v>
      </c>
      <c r="M308" s="43">
        <v>0.63680555555555551</v>
      </c>
      <c r="N308" s="43">
        <v>0.69861111111111107</v>
      </c>
      <c r="O308" s="43">
        <f>1+35/24/60</f>
        <v>1.0243055555555556</v>
      </c>
      <c r="P308" s="43">
        <f>1+48/24/60</f>
        <v>1.0333333333333334</v>
      </c>
      <c r="Q308" s="39"/>
      <c r="R308" s="42" t="s">
        <v>351</v>
      </c>
      <c r="S308" s="29">
        <f>MIP[[#This Row],[PT-1]]+MIP[[#This Row],[PT-2]]*2+MIP[[#This Row],[PT-3]]*3+MIP[[#This Row],[PT &gt; 3 Pontos]]</f>
        <v>5</v>
      </c>
      <c r="T30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7.0833333333333415E-2</v>
      </c>
      <c r="U308" s="39">
        <f>IF(MIP[[#This Row],[P.S]]-MIP[[#This Row],[U.P]]&gt;=0,MIP[[#This Row],[P.S]]-MIP[[#This Row],[U.P]]+MIP[[#This Row],[S.B]]-MIP[[#This Row],[P.E]],1+MIP[[#This Row],[P.S]]-MIP[[#This Row],[U.P]]+MIP[[#This Row],[S.B]]-MIP[[#This Row],[P.E]])</f>
        <v>7.0833333333333415E-2</v>
      </c>
      <c r="V308" s="41">
        <f>MIP[[#This Row],[Eficiência]]</f>
        <v>0.44055291272456637</v>
      </c>
      <c r="W30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08" s="39">
        <f>IF(MIP[[#This Row],[P.S]]-MIP[[#This Row],[P.E]]&lt;0,1+MIP[[#This Row],[P.S]]-MIP[[#This Row],[P.E]]-1/24,MIP[[#This Row],[P.S]]-MIP[[#This Row],[P.E]]-1/24)</f>
        <v>0.35486111111111124</v>
      </c>
      <c r="Y308" s="39">
        <f>MIP[[#This Row],[PT-1]]*$S$3+MIP[[#This Row],[PT-2]]*$T$3+MIP[[#This Row],[PT-3]]*$U$3+MIP[[#This Row],[PT &gt; 3 Pontos]]*$V$3</f>
        <v>0.12512926479468589</v>
      </c>
      <c r="Z308" s="39">
        <f>MIP[[#This Row],[HH disponível]]-MIP[[#This Row],[HH AC TOT]]</f>
        <v>0.28402777777777782</v>
      </c>
      <c r="AA308" s="38">
        <f>MIP[[#This Row],[HH Produtivo
Total]]/MIP[[#This Row],[HH Trabalhado]]</f>
        <v>0.44055291272456637</v>
      </c>
      <c r="AB308" s="38">
        <f>MIP[[#This Row],[HH Produtivo
Total]]/MIP[[#This Row],[HH disponível]]</f>
        <v>0.35261475793414404</v>
      </c>
      <c r="AC308" s="38">
        <f>MIP[[#This Row],[HH Trabalhado]]/MIP[[#This Row],[HH disponível]]</f>
        <v>0.80039138943248511</v>
      </c>
      <c r="AD308" s="37" t="str">
        <f>LEFT(MIP[[#This Row],[Equipe]], SEARCH("/",MIP[[#This Row],[Equipe]],1)-1)</f>
        <v xml:space="preserve">ANDERSON </v>
      </c>
      <c r="AE308" s="37" t="str">
        <f>RIGHT(MIP[[#This Row],[Equipe]], LEN(MIP[[#This Row],[Equipe]])-SEARCH("/",MIP[[#This Row],[Equipe]],1))</f>
        <v xml:space="preserve"> MARCO / RONALDO</v>
      </c>
      <c r="AF308" s="44">
        <f>COUNTIFS('[1]Tempo parado'!H:H,"&gt;="&amp;MIP[[#This Row],[S.B Sitrack]],'[1]Tempo parado'!I:I,"&lt;="&amp;MIP[[#This Row],[C.B Sitrack]],'[1]Tempo parado'!B:B,MIP[[#This Row],[Placa]])</f>
        <v>0</v>
      </c>
      <c r="AG308" s="36"/>
      <c r="AH308" s="35"/>
      <c r="AI308" s="34"/>
      <c r="AJ308" s="34"/>
      <c r="AK30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0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08" s="32">
        <f>SUMIFS('[1]Tempo parado'!J:J,'[1]Tempo parado'!H:H,"&gt;="&amp;MIP[[#This Row],[S.B Sitrack]],'[1]Tempo parado'!I:I,"&lt;="&amp;MIP[[#This Row],[C.B Sitrack]],'[1]Tempo parado'!B:B,MIP[[#This Row],[Placa]])</f>
        <v>0</v>
      </c>
      <c r="AN308" s="32" t="str">
        <f>IFERROR(MIP[[#This Row],[Tempo parado]]/(MIP[[#This Row],[C.B Sitrack]]-MIP[[#This Row],[S.B Sitrack]]),"")</f>
        <v/>
      </c>
      <c r="AO308" s="30"/>
      <c r="AP308" s="44">
        <f>IF(AND(MIP[Exc]=0,MIP[Previsto / Realizado]="Realizado"),MIP[Sem],0)</f>
        <v>30</v>
      </c>
      <c r="AQ308" s="29">
        <f>IF(AND(MIP[Exc]=0,MIP[Previsto / Realizado]="Realizado",ISBLANK(MIP[[#This Row],[S.B Sitrack]])=FALSE,ISBLANK(MIP[[#This Row],[C.B Sitrack]])=FALSE),MIP[Sem],0)</f>
        <v>0</v>
      </c>
    </row>
    <row r="309" spans="2:43" x14ac:dyDescent="0.25">
      <c r="B309" s="44">
        <f>WEEKNUM(MIP[[#This Row],[Data]])</f>
        <v>30</v>
      </c>
      <c r="C309" s="45">
        <v>42944</v>
      </c>
      <c r="D309" s="45"/>
      <c r="E309" s="35" t="s">
        <v>350</v>
      </c>
      <c r="F309" s="35" t="s">
        <v>5</v>
      </c>
      <c r="G309" s="35"/>
      <c r="H309" s="44">
        <v>3</v>
      </c>
      <c r="I309" s="44">
        <v>21</v>
      </c>
      <c r="J309" s="44">
        <v>0</v>
      </c>
      <c r="K309" s="44">
        <v>0</v>
      </c>
      <c r="L309" s="44">
        <v>0</v>
      </c>
      <c r="M309" s="43">
        <v>0.91666666666666663</v>
      </c>
      <c r="N309" s="43">
        <v>0.9375</v>
      </c>
      <c r="O309" s="43">
        <f>1+330/24/60</f>
        <v>1.2291666666666667</v>
      </c>
      <c r="P309" s="43">
        <f>1+360/24/60</f>
        <v>1.25</v>
      </c>
      <c r="Q309" s="39"/>
      <c r="R309" s="42"/>
      <c r="S309" s="29">
        <f>MIP[[#This Row],[PT-1]]+MIP[[#This Row],[PT-2]]*2+MIP[[#This Row],[PT-3]]*3+MIP[[#This Row],[PT &gt; 3 Pontos]]</f>
        <v>21</v>
      </c>
      <c r="T30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4.166666666666663E-2</v>
      </c>
      <c r="U309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4.166666666666663E-2</v>
      </c>
      <c r="V309" s="41">
        <f>MIP[[#This Row],[Eficiência]]</f>
        <v>2.1021716485507227</v>
      </c>
      <c r="W30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09" s="39">
        <f>IF(MIP[[#This Row],[P.S]]-MIP[[#This Row],[P.E]]&lt;0,1+MIP[[#This Row],[P.S]]-MIP[[#This Row],[P.E]]-1/24,MIP[[#This Row],[P.S]]-MIP[[#This Row],[P.E]]-1/24)</f>
        <v>0.29166666666666669</v>
      </c>
      <c r="Y309" s="39">
        <f>MIP[[#This Row],[PT-1]]*$S$3+MIP[[#This Row],[PT-2]]*$T$3+MIP[[#This Row],[PT-3]]*$U$3+MIP[[#This Row],[PT &gt; 3 Pontos]]*$V$3</f>
        <v>0.52554291213768078</v>
      </c>
      <c r="Z309" s="39">
        <f>MIP[[#This Row],[HH disponível]]-MIP[[#This Row],[HH AC TOT]]</f>
        <v>0.25000000000000006</v>
      </c>
      <c r="AA309" s="38">
        <f>MIP[[#This Row],[HH Produtivo
Total]]/MIP[[#This Row],[HH Trabalhado]]</f>
        <v>2.1021716485507227</v>
      </c>
      <c r="AB309" s="38">
        <f>MIP[[#This Row],[HH Produtivo
Total]]/MIP[[#This Row],[HH disponível]]</f>
        <v>1.8018614130434769</v>
      </c>
      <c r="AC309" s="38">
        <f>MIP[[#This Row],[HH Trabalhado]]/MIP[[#This Row],[HH disponível]]</f>
        <v>0.85714285714285732</v>
      </c>
      <c r="AD309" s="37" t="str">
        <f>LEFT(MIP[[#This Row],[Equipe]], SEARCH("/",MIP[[#This Row],[Equipe]],1)-1)</f>
        <v xml:space="preserve">CLEBER </v>
      </c>
      <c r="AE309" s="37" t="str">
        <f>RIGHT(MIP[[#This Row],[Equipe]], LEN(MIP[[#This Row],[Equipe]])-SEARCH("/",MIP[[#This Row],[Equipe]],1))</f>
        <v xml:space="preserve"> HENRIQUE / HERVAL</v>
      </c>
      <c r="AF309" s="44">
        <f>COUNTIFS('[1]Tempo parado'!H:H,"&gt;="&amp;MIP[[#This Row],[S.B Sitrack]],'[1]Tempo parado'!I:I,"&lt;="&amp;MIP[[#This Row],[C.B Sitrack]],'[1]Tempo parado'!B:B,MIP[[#This Row],[Placa]])</f>
        <v>0</v>
      </c>
      <c r="AG309" s="36"/>
      <c r="AH309" s="35"/>
      <c r="AI309" s="34"/>
      <c r="AJ309" s="34"/>
      <c r="AK30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0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09" s="32">
        <f>SUMIFS('[1]Tempo parado'!J:J,'[1]Tempo parado'!H:H,"&gt;="&amp;MIP[[#This Row],[S.B Sitrack]],'[1]Tempo parado'!I:I,"&lt;="&amp;MIP[[#This Row],[C.B Sitrack]],'[1]Tempo parado'!B:B,MIP[[#This Row],[Placa]])</f>
        <v>0</v>
      </c>
      <c r="AN309" s="32" t="str">
        <f>IFERROR(MIP[[#This Row],[Tempo parado]]/(MIP[[#This Row],[C.B Sitrack]]-MIP[[#This Row],[S.B Sitrack]]),"")</f>
        <v/>
      </c>
      <c r="AO309" s="30"/>
      <c r="AP309" s="44">
        <f>IF(AND(MIP[Exc]=0,MIP[Previsto / Realizado]="Realizado"),MIP[Sem],0)</f>
        <v>0</v>
      </c>
      <c r="AQ309" s="29">
        <f>IF(AND(MIP[Exc]=0,MIP[Previsto / Realizado]="Realizado",ISBLANK(MIP[[#This Row],[S.B Sitrack]])=FALSE,ISBLANK(MIP[[#This Row],[C.B Sitrack]])=FALSE),MIP[Sem],0)</f>
        <v>0</v>
      </c>
    </row>
    <row r="310" spans="2:43" x14ac:dyDescent="0.25">
      <c r="B310" s="44">
        <f>WEEKNUM(MIP[[#This Row],[Data]])</f>
        <v>30</v>
      </c>
      <c r="C310" s="45">
        <v>42944</v>
      </c>
      <c r="D310" s="45"/>
      <c r="E310" s="35" t="s">
        <v>350</v>
      </c>
      <c r="F310" s="35" t="s">
        <v>2</v>
      </c>
      <c r="G310" s="35"/>
      <c r="H310" s="44">
        <v>3</v>
      </c>
      <c r="I310" s="44">
        <v>21</v>
      </c>
      <c r="J310" s="44">
        <v>0</v>
      </c>
      <c r="K310" s="44">
        <v>0</v>
      </c>
      <c r="L310" s="44">
        <v>0</v>
      </c>
      <c r="M310" s="43">
        <v>0.92013888888888884</v>
      </c>
      <c r="N310" s="43">
        <v>0.9375</v>
      </c>
      <c r="O310" s="43">
        <f>1+320/24/60</f>
        <v>1.2222222222222223</v>
      </c>
      <c r="P310" s="43">
        <f>1+352/24/60</f>
        <v>1.2444444444444445</v>
      </c>
      <c r="Q310" s="39"/>
      <c r="R310" s="42"/>
      <c r="S310" s="29">
        <f>MIP[[#This Row],[PT-1]]+MIP[[#This Row],[PT-2]]*2+MIP[[#This Row],[PT-3]]*3+MIP[[#This Row],[PT &gt; 3 Pontos]]</f>
        <v>21</v>
      </c>
      <c r="T31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3.9583333333333304E-2</v>
      </c>
      <c r="U310" s="39">
        <f>IF(MIP[[#This Row],[P.S]]-MIP[[#This Row],[U.P]]&gt;=0,MIP[[#This Row],[P.S]]-MIP[[#This Row],[U.P]]+MIP[[#This Row],[S.B]]-MIP[[#This Row],[P.E]],1+MIP[[#This Row],[P.S]]-MIP[[#This Row],[U.P]]+MIP[[#This Row],[S.B]]-MIP[[#This Row],[P.E]])</f>
        <v>3.9583333333333304E-2</v>
      </c>
      <c r="V310" s="41">
        <f>MIP[[#This Row],[Eficiência]]</f>
        <v>2.1622336956521715</v>
      </c>
      <c r="W31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10" s="39">
        <f>IF(MIP[[#This Row],[P.S]]-MIP[[#This Row],[P.E]]&lt;0,1+MIP[[#This Row],[P.S]]-MIP[[#This Row],[P.E]]-1/24,MIP[[#This Row],[P.S]]-MIP[[#This Row],[P.E]]-1/24)</f>
        <v>0.28263888888888894</v>
      </c>
      <c r="Y310" s="39">
        <f>MIP[[#This Row],[PT-1]]*$S$3+MIP[[#This Row],[PT-2]]*$T$3+MIP[[#This Row],[PT-3]]*$U$3+MIP[[#This Row],[PT &gt; 3 Pontos]]*$V$3</f>
        <v>0.52554291213768078</v>
      </c>
      <c r="Z310" s="39">
        <f>MIP[[#This Row],[HH disponível]]-MIP[[#This Row],[HH AC TOT]]</f>
        <v>0.24305555555555564</v>
      </c>
      <c r="AA310" s="38">
        <f>MIP[[#This Row],[HH Produtivo
Total]]/MIP[[#This Row],[HH Trabalhado]]</f>
        <v>2.1622336956521715</v>
      </c>
      <c r="AB310" s="38">
        <f>MIP[[#This Row],[HH Produtivo
Total]]/MIP[[#This Row],[HH disponível]]</f>
        <v>1.8594147259908114</v>
      </c>
      <c r="AC310" s="38">
        <f>MIP[[#This Row],[HH Trabalhado]]/MIP[[#This Row],[HH disponível]]</f>
        <v>0.85995085995086007</v>
      </c>
      <c r="AD310" s="37" t="str">
        <f>LEFT(MIP[[#This Row],[Equipe]], SEARCH("/",MIP[[#This Row],[Equipe]],1)-1)</f>
        <v xml:space="preserve">CLEBER </v>
      </c>
      <c r="AE310" s="37" t="str">
        <f>RIGHT(MIP[[#This Row],[Equipe]], LEN(MIP[[#This Row],[Equipe]])-SEARCH("/",MIP[[#This Row],[Equipe]],1))</f>
        <v xml:space="preserve"> HENRIQUE / HERVAL</v>
      </c>
      <c r="AF310" s="44">
        <f>COUNTIFS('[1]Tempo parado'!H:H,"&gt;="&amp;MIP[[#This Row],[S.B Sitrack]],'[1]Tempo parado'!I:I,"&lt;="&amp;MIP[[#This Row],[C.B Sitrack]],'[1]Tempo parado'!B:B,MIP[[#This Row],[Placa]])</f>
        <v>0</v>
      </c>
      <c r="AG310" s="36"/>
      <c r="AH310" s="35"/>
      <c r="AI310" s="34"/>
      <c r="AJ310" s="34"/>
      <c r="AK31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1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10" s="32">
        <f>SUMIFS('[1]Tempo parado'!J:J,'[1]Tempo parado'!H:H,"&gt;="&amp;MIP[[#This Row],[S.B Sitrack]],'[1]Tempo parado'!I:I,"&lt;="&amp;MIP[[#This Row],[C.B Sitrack]],'[1]Tempo parado'!B:B,MIP[[#This Row],[Placa]])</f>
        <v>0</v>
      </c>
      <c r="AN310" s="32" t="str">
        <f>IFERROR(MIP[[#This Row],[Tempo parado]]/(MIP[[#This Row],[C.B Sitrack]]-MIP[[#This Row],[S.B Sitrack]]),"")</f>
        <v/>
      </c>
      <c r="AO310" s="30"/>
      <c r="AP310" s="44">
        <f>IF(AND(MIP[Exc]=0,MIP[Previsto / Realizado]="Realizado"),MIP[Sem],0)</f>
        <v>30</v>
      </c>
      <c r="AQ310" s="29">
        <f>IF(AND(MIP[Exc]=0,MIP[Previsto / Realizado]="Realizado",ISBLANK(MIP[[#This Row],[S.B Sitrack]])=FALSE,ISBLANK(MIP[[#This Row],[C.B Sitrack]])=FALSE),MIP[Sem],0)</f>
        <v>0</v>
      </c>
    </row>
    <row r="311" spans="2:43" x14ac:dyDescent="0.25">
      <c r="B311" s="44">
        <f>WEEKNUM(MIP[[#This Row],[Data]])</f>
        <v>30</v>
      </c>
      <c r="C311" s="45">
        <v>42944</v>
      </c>
      <c r="D311" s="45"/>
      <c r="E311" s="35" t="s">
        <v>3</v>
      </c>
      <c r="F311" s="35" t="s">
        <v>5</v>
      </c>
      <c r="G311" s="35"/>
      <c r="H311" s="44">
        <v>2</v>
      </c>
      <c r="I311" s="44">
        <v>3</v>
      </c>
      <c r="J311" s="44">
        <v>1</v>
      </c>
      <c r="K311" s="44">
        <v>1</v>
      </c>
      <c r="L311" s="44">
        <v>5</v>
      </c>
      <c r="M311" s="43">
        <v>0.625</v>
      </c>
      <c r="N311" s="43">
        <v>0.64583333333333337</v>
      </c>
      <c r="O311" s="43">
        <f>1+18/24/60</f>
        <v>1.0125</v>
      </c>
      <c r="P311" s="43">
        <f>1+48/24/60</f>
        <v>1.0333333333333334</v>
      </c>
      <c r="Q311" s="39"/>
      <c r="R311" s="42"/>
      <c r="S311" s="29">
        <f>MIP[[#This Row],[PT-1]]+MIP[[#This Row],[PT-2]]*2+MIP[[#This Row],[PT-3]]*3+MIP[[#This Row],[PT &gt; 3 Pontos]]</f>
        <v>13</v>
      </c>
      <c r="T31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311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311" s="41">
        <f>MIP[[#This Row],[Eficiência]]</f>
        <v>0.87082479578705463</v>
      </c>
      <c r="W31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11" s="39">
        <f>IF(MIP[[#This Row],[P.S]]-MIP[[#This Row],[P.E]]&lt;0,1+MIP[[#This Row],[P.S]]-MIP[[#This Row],[P.E]]-1/24,MIP[[#This Row],[P.S]]-MIP[[#This Row],[P.E]]-1/24)</f>
        <v>0.36666666666666675</v>
      </c>
      <c r="Y311" s="39">
        <f>MIP[[#This Row],[PT-1]]*$S$3+MIP[[#This Row],[PT-2]]*$T$3+MIP[[#This Row],[PT-3]]*$U$3+MIP[[#This Row],[PT &gt; 3 Pontos]]*$V$3</f>
        <v>0.28301805863079266</v>
      </c>
      <c r="Z311" s="39">
        <f>MIP[[#This Row],[HH disponível]]-MIP[[#This Row],[HH AC TOT]]</f>
        <v>0.3249999999999999</v>
      </c>
      <c r="AA311" s="38">
        <f>MIP[[#This Row],[HH Produtivo
Total]]/MIP[[#This Row],[HH Trabalhado]]</f>
        <v>0.87082479578705463</v>
      </c>
      <c r="AB311" s="38">
        <f>MIP[[#This Row],[HH Produtivo
Total]]/MIP[[#This Row],[HH disponível]]</f>
        <v>0.77186743262943436</v>
      </c>
      <c r="AC311" s="38">
        <f>MIP[[#This Row],[HH Trabalhado]]/MIP[[#This Row],[HH disponível]]</f>
        <v>0.88636363636363591</v>
      </c>
      <c r="AD311" s="37" t="str">
        <f>LEFT(MIP[[#This Row],[Equipe]], SEARCH("/",MIP[[#This Row],[Equipe]],1)-1)</f>
        <v xml:space="preserve">EDILTON </v>
      </c>
      <c r="AE311" s="37" t="str">
        <f>RIGHT(MIP[[#This Row],[Equipe]], LEN(MIP[[#This Row],[Equipe]])-SEARCH("/",MIP[[#This Row],[Equipe]],1))</f>
        <v xml:space="preserve"> GECIVALDO</v>
      </c>
      <c r="AF311" s="44">
        <f>COUNTIFS('[1]Tempo parado'!H:H,"&gt;="&amp;MIP[[#This Row],[S.B Sitrack]],'[1]Tempo parado'!I:I,"&lt;="&amp;MIP[[#This Row],[C.B Sitrack]],'[1]Tempo parado'!B:B,MIP[[#This Row],[Placa]])</f>
        <v>0</v>
      </c>
      <c r="AG311" s="36"/>
      <c r="AH311" s="35"/>
      <c r="AI311" s="34"/>
      <c r="AJ311" s="34"/>
      <c r="AK31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1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11" s="32">
        <f>SUMIFS('[1]Tempo parado'!J:J,'[1]Tempo parado'!H:H,"&gt;="&amp;MIP[[#This Row],[S.B Sitrack]],'[1]Tempo parado'!I:I,"&lt;="&amp;MIP[[#This Row],[C.B Sitrack]],'[1]Tempo parado'!B:B,MIP[[#This Row],[Placa]])</f>
        <v>0</v>
      </c>
      <c r="AN311" s="32" t="str">
        <f>IFERROR(MIP[[#This Row],[Tempo parado]]/(MIP[[#This Row],[C.B Sitrack]]-MIP[[#This Row],[S.B Sitrack]]),"")</f>
        <v/>
      </c>
      <c r="AO311" s="30"/>
      <c r="AP311" s="44">
        <f>IF(AND(MIP[Exc]=0,MIP[Previsto / Realizado]="Realizado"),MIP[Sem],0)</f>
        <v>0</v>
      </c>
      <c r="AQ311" s="29">
        <f>IF(AND(MIP[Exc]=0,MIP[Previsto / Realizado]="Realizado",ISBLANK(MIP[[#This Row],[S.B Sitrack]])=FALSE,ISBLANK(MIP[[#This Row],[C.B Sitrack]])=FALSE),MIP[Sem],0)</f>
        <v>0</v>
      </c>
    </row>
    <row r="312" spans="2:43" x14ac:dyDescent="0.25">
      <c r="B312" s="44">
        <f>WEEKNUM(MIP[[#This Row],[Data]])</f>
        <v>30</v>
      </c>
      <c r="C312" s="45">
        <v>42944</v>
      </c>
      <c r="D312" s="45"/>
      <c r="E312" s="35" t="s">
        <v>3</v>
      </c>
      <c r="F312" s="35" t="s">
        <v>2</v>
      </c>
      <c r="G312" s="35"/>
      <c r="H312" s="44">
        <v>2</v>
      </c>
      <c r="I312" s="44">
        <v>2</v>
      </c>
      <c r="J312" s="44">
        <v>1</v>
      </c>
      <c r="K312" s="44">
        <v>1</v>
      </c>
      <c r="L312" s="44">
        <v>5</v>
      </c>
      <c r="M312" s="43">
        <v>0.61875000000000002</v>
      </c>
      <c r="N312" s="43">
        <v>0.64097222222222217</v>
      </c>
      <c r="O312" s="43">
        <f>1+30/24/60</f>
        <v>1.0208333333333333</v>
      </c>
      <c r="P312" s="43">
        <f>1+49/24/60</f>
        <v>1.0340277777777778</v>
      </c>
      <c r="Q312" s="39"/>
      <c r="R312" s="42"/>
      <c r="S312" s="29">
        <f>MIP[[#This Row],[PT-1]]+MIP[[#This Row],[PT-2]]*2+MIP[[#This Row],[PT-3]]*3+MIP[[#This Row],[PT &gt; 3 Pontos]]</f>
        <v>12</v>
      </c>
      <c r="T31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3.5416666666666652E-2</v>
      </c>
      <c r="U312" s="39">
        <f>IF(MIP[[#This Row],[P.S]]-MIP[[#This Row],[U.P]]&gt;=0,MIP[[#This Row],[P.S]]-MIP[[#This Row],[U.P]]+MIP[[#This Row],[S.B]]-MIP[[#This Row],[P.E]],1+MIP[[#This Row],[P.S]]-MIP[[#This Row],[U.P]]+MIP[[#This Row],[S.B]]-MIP[[#This Row],[P.E]])</f>
        <v>3.5416666666666652E-2</v>
      </c>
      <c r="V312" s="41">
        <f>MIP[[#This Row],[Eficiência]]</f>
        <v>0.76285169644244732</v>
      </c>
      <c r="W31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12" s="39">
        <f>IF(MIP[[#This Row],[P.S]]-MIP[[#This Row],[P.E]]&lt;0,1+MIP[[#This Row],[P.S]]-MIP[[#This Row],[P.E]]-1/24,MIP[[#This Row],[P.S]]-MIP[[#This Row],[P.E]]-1/24)</f>
        <v>0.37361111111111106</v>
      </c>
      <c r="Y312" s="39">
        <f>MIP[[#This Row],[PT-1]]*$S$3+MIP[[#This Row],[PT-2]]*$T$3+MIP[[#This Row],[PT-3]]*$U$3+MIP[[#This Row],[PT &gt; 3 Pontos]]*$V$3</f>
        <v>0.25799220567185543</v>
      </c>
      <c r="Z312" s="39">
        <f>MIP[[#This Row],[HH disponível]]-MIP[[#This Row],[HH AC TOT]]</f>
        <v>0.33819444444444441</v>
      </c>
      <c r="AA312" s="38">
        <f>MIP[[#This Row],[HH Produtivo
Total]]/MIP[[#This Row],[HH Trabalhado]]</f>
        <v>0.76285169644244732</v>
      </c>
      <c r="AB312" s="38">
        <f>MIP[[#This Row],[HH Produtivo
Total]]/MIP[[#This Row],[HH disponível]]</f>
        <v>0.69053675867559827</v>
      </c>
      <c r="AC312" s="38">
        <f>MIP[[#This Row],[HH Trabalhado]]/MIP[[#This Row],[HH disponível]]</f>
        <v>0.90520446096654272</v>
      </c>
      <c r="AD312" s="37" t="str">
        <f>LEFT(MIP[[#This Row],[Equipe]], SEARCH("/",MIP[[#This Row],[Equipe]],1)-1)</f>
        <v xml:space="preserve">EDILTON </v>
      </c>
      <c r="AE312" s="37" t="str">
        <f>RIGHT(MIP[[#This Row],[Equipe]], LEN(MIP[[#This Row],[Equipe]])-SEARCH("/",MIP[[#This Row],[Equipe]],1))</f>
        <v xml:space="preserve"> GECIVALDO</v>
      </c>
      <c r="AF312" s="44">
        <f>COUNTIFS('[1]Tempo parado'!H:H,"&gt;="&amp;MIP[[#This Row],[S.B Sitrack]],'[1]Tempo parado'!I:I,"&lt;="&amp;MIP[[#This Row],[C.B Sitrack]],'[1]Tempo parado'!B:B,MIP[[#This Row],[Placa]])</f>
        <v>0</v>
      </c>
      <c r="AG312" s="36"/>
      <c r="AH312" s="35"/>
      <c r="AI312" s="34"/>
      <c r="AJ312" s="34"/>
      <c r="AK31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1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12" s="32">
        <f>SUMIFS('[1]Tempo parado'!J:J,'[1]Tempo parado'!H:H,"&gt;="&amp;MIP[[#This Row],[S.B Sitrack]],'[1]Tempo parado'!I:I,"&lt;="&amp;MIP[[#This Row],[C.B Sitrack]],'[1]Tempo parado'!B:B,MIP[[#This Row],[Placa]])</f>
        <v>0</v>
      </c>
      <c r="AN312" s="32" t="str">
        <f>IFERROR(MIP[[#This Row],[Tempo parado]]/(MIP[[#This Row],[C.B Sitrack]]-MIP[[#This Row],[S.B Sitrack]]),"")</f>
        <v/>
      </c>
      <c r="AO312" s="30"/>
      <c r="AP312" s="44">
        <f>IF(AND(MIP[Exc]=0,MIP[Previsto / Realizado]="Realizado"),MIP[Sem],0)</f>
        <v>30</v>
      </c>
      <c r="AQ312" s="29">
        <f>IF(AND(MIP[Exc]=0,MIP[Previsto / Realizado]="Realizado",ISBLANK(MIP[[#This Row],[S.B Sitrack]])=FALSE,ISBLANK(MIP[[#This Row],[C.B Sitrack]])=FALSE),MIP[Sem],0)</f>
        <v>0</v>
      </c>
    </row>
    <row r="313" spans="2:43" x14ac:dyDescent="0.25">
      <c r="B313" s="44">
        <f>WEEKNUM(MIP[[#This Row],[Data]])</f>
        <v>30</v>
      </c>
      <c r="C313" s="45">
        <v>42945</v>
      </c>
      <c r="D313" s="45"/>
      <c r="E313" s="35" t="s">
        <v>3</v>
      </c>
      <c r="F313" s="35" t="s">
        <v>5</v>
      </c>
      <c r="G313" s="35"/>
      <c r="H313" s="44">
        <v>2</v>
      </c>
      <c r="I313" s="44">
        <v>2</v>
      </c>
      <c r="J313" s="44">
        <v>0</v>
      </c>
      <c r="K313" s="44">
        <v>0</v>
      </c>
      <c r="L313" s="44">
        <v>13</v>
      </c>
      <c r="M313" s="43">
        <v>0.625</v>
      </c>
      <c r="N313" s="43">
        <v>0.64583333333333337</v>
      </c>
      <c r="O313" s="43">
        <f>1+18/24/60</f>
        <v>1.0125</v>
      </c>
      <c r="P313" s="43">
        <f>1+48/24/60</f>
        <v>1.0333333333333334</v>
      </c>
      <c r="Q313" s="39"/>
      <c r="R313" s="42"/>
      <c r="S313" s="29">
        <f>MIP[[#This Row],[PT-1]]+MIP[[#This Row],[PT-2]]*2+MIP[[#This Row],[PT-3]]*3+MIP[[#This Row],[PT &gt; 3 Pontos]]</f>
        <v>15</v>
      </c>
      <c r="T31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313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313" s="41">
        <f>MIP[[#This Row],[Eficiência]]</f>
        <v>0.96392568420799163</v>
      </c>
      <c r="W31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13" s="39">
        <f>IF(MIP[[#This Row],[P.S]]-MIP[[#This Row],[P.E]]&lt;0,1+MIP[[#This Row],[P.S]]-MIP[[#This Row],[P.E]]-1/24,MIP[[#This Row],[P.S]]-MIP[[#This Row],[P.E]]-1/24)</f>
        <v>0.36666666666666675</v>
      </c>
      <c r="Y313" s="39">
        <f>MIP[[#This Row],[PT-1]]*$S$3+MIP[[#This Row],[PT-2]]*$T$3+MIP[[#This Row],[PT-3]]*$U$3+MIP[[#This Row],[PT &gt; 3 Pontos]]*$V$3</f>
        <v>0.31327584736759717</v>
      </c>
      <c r="Z313" s="39">
        <f>MIP[[#This Row],[HH disponível]]-MIP[[#This Row],[HH AC TOT]]</f>
        <v>0.3249999999999999</v>
      </c>
      <c r="AA313" s="38">
        <f>MIP[[#This Row],[HH Produtivo
Total]]/MIP[[#This Row],[HH Trabalhado]]</f>
        <v>0.96392568420799163</v>
      </c>
      <c r="AB313" s="38">
        <f>MIP[[#This Row],[HH Produtivo
Total]]/MIP[[#This Row],[HH disponível]]</f>
        <v>0.85438867463890122</v>
      </c>
      <c r="AC313" s="38">
        <f>MIP[[#This Row],[HH Trabalhado]]/MIP[[#This Row],[HH disponível]]</f>
        <v>0.88636363636363591</v>
      </c>
      <c r="AD313" s="37" t="str">
        <f>LEFT(MIP[[#This Row],[Equipe]], SEARCH("/",MIP[[#This Row],[Equipe]],1)-1)</f>
        <v xml:space="preserve">EDILTON </v>
      </c>
      <c r="AE313" s="37" t="str">
        <f>RIGHT(MIP[[#This Row],[Equipe]], LEN(MIP[[#This Row],[Equipe]])-SEARCH("/",MIP[[#This Row],[Equipe]],1))</f>
        <v xml:space="preserve"> GECIVALDO</v>
      </c>
      <c r="AF313" s="44">
        <f>COUNTIFS('[1]Tempo parado'!H:H,"&gt;="&amp;MIP[[#This Row],[S.B Sitrack]],'[1]Tempo parado'!I:I,"&lt;="&amp;MIP[[#This Row],[C.B Sitrack]],'[1]Tempo parado'!B:B,MIP[[#This Row],[Placa]])</f>
        <v>0</v>
      </c>
      <c r="AG313" s="36"/>
      <c r="AH313" s="35"/>
      <c r="AI313" s="34"/>
      <c r="AJ313" s="34"/>
      <c r="AK31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1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13" s="32">
        <f>SUMIFS('[1]Tempo parado'!J:J,'[1]Tempo parado'!H:H,"&gt;="&amp;MIP[[#This Row],[S.B Sitrack]],'[1]Tempo parado'!I:I,"&lt;="&amp;MIP[[#This Row],[C.B Sitrack]],'[1]Tempo parado'!B:B,MIP[[#This Row],[Placa]])</f>
        <v>0</v>
      </c>
      <c r="AN313" s="32" t="str">
        <f>IFERROR(MIP[[#This Row],[Tempo parado]]/(MIP[[#This Row],[C.B Sitrack]]-MIP[[#This Row],[S.B Sitrack]]),"")</f>
        <v/>
      </c>
      <c r="AO313" s="30"/>
      <c r="AP313" s="44">
        <f>IF(AND(MIP[Exc]=0,MIP[Previsto / Realizado]="Realizado"),MIP[Sem],0)</f>
        <v>0</v>
      </c>
      <c r="AQ313" s="29">
        <f>IF(AND(MIP[Exc]=0,MIP[Previsto / Realizado]="Realizado",ISBLANK(MIP[[#This Row],[S.B Sitrack]])=FALSE,ISBLANK(MIP[[#This Row],[C.B Sitrack]])=FALSE),MIP[Sem],0)</f>
        <v>0</v>
      </c>
    </row>
    <row r="314" spans="2:43" x14ac:dyDescent="0.25">
      <c r="B314" s="44">
        <f>WEEKNUM(MIP[[#This Row],[Data]])</f>
        <v>30</v>
      </c>
      <c r="C314" s="45">
        <v>42945</v>
      </c>
      <c r="D314" s="45"/>
      <c r="E314" s="35" t="s">
        <v>3</v>
      </c>
      <c r="F314" s="35" t="s">
        <v>2</v>
      </c>
      <c r="G314" s="35"/>
      <c r="H314" s="44">
        <v>2</v>
      </c>
      <c r="I314" s="44">
        <v>2</v>
      </c>
      <c r="J314" s="44">
        <v>0</v>
      </c>
      <c r="K314" s="44">
        <v>0</v>
      </c>
      <c r="L314" s="44">
        <v>13</v>
      </c>
      <c r="M314" s="43">
        <v>0.63055555555555554</v>
      </c>
      <c r="N314" s="43">
        <v>0.65277777777777779</v>
      </c>
      <c r="O314" s="43">
        <f>1+27/24/60</f>
        <v>1.01875</v>
      </c>
      <c r="P314" s="43">
        <f>1+42/24/60</f>
        <v>1.0291666666666666</v>
      </c>
      <c r="Q314" s="39"/>
      <c r="R314" s="42"/>
      <c r="S314" s="29">
        <f>MIP[[#This Row],[PT-1]]+MIP[[#This Row],[PT-2]]*2+MIP[[#This Row],[PT-3]]*3+MIP[[#This Row],[PT &gt; 3 Pontos]]</f>
        <v>15</v>
      </c>
      <c r="T31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3.2638888888888773E-2</v>
      </c>
      <c r="U314" s="39">
        <f>IF(MIP[[#This Row],[P.S]]-MIP[[#This Row],[U.P]]&gt;=0,MIP[[#This Row],[P.S]]-MIP[[#This Row],[U.P]]+MIP[[#This Row],[S.B]]-MIP[[#This Row],[P.E]],1+MIP[[#This Row],[P.S]]-MIP[[#This Row],[U.P]]+MIP[[#This Row],[S.B]]-MIP[[#This Row],[P.E]])</f>
        <v>3.2638888888888773E-2</v>
      </c>
      <c r="V314" s="41">
        <f>MIP[[#This Row],[Eficiência]]</f>
        <v>0.96598976490222677</v>
      </c>
      <c r="W31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14" s="39">
        <f>IF(MIP[[#This Row],[P.S]]-MIP[[#This Row],[P.E]]&lt;0,1+MIP[[#This Row],[P.S]]-MIP[[#This Row],[P.E]]-1/24,MIP[[#This Row],[P.S]]-MIP[[#This Row],[P.E]]-1/24)</f>
        <v>0.35694444444444434</v>
      </c>
      <c r="Y314" s="39">
        <f>MIP[[#This Row],[PT-1]]*$S$3+MIP[[#This Row],[PT-2]]*$T$3+MIP[[#This Row],[PT-3]]*$U$3+MIP[[#This Row],[PT &gt; 3 Pontos]]*$V$3</f>
        <v>0.31327584736759717</v>
      </c>
      <c r="Z314" s="39">
        <f>MIP[[#This Row],[HH disponível]]-MIP[[#This Row],[HH AC TOT]]</f>
        <v>0.32430555555555557</v>
      </c>
      <c r="AA314" s="38">
        <f>MIP[[#This Row],[HH Produtivo
Total]]/MIP[[#This Row],[HH Trabalhado]]</f>
        <v>0.96598976490222677</v>
      </c>
      <c r="AB314" s="38">
        <f>MIP[[#This Row],[HH Produtivo
Total]]/MIP[[#This Row],[HH disponível]]</f>
        <v>0.8776599614967705</v>
      </c>
      <c r="AC314" s="38">
        <f>MIP[[#This Row],[HH Trabalhado]]/MIP[[#This Row],[HH disponível]]</f>
        <v>0.90856031128404702</v>
      </c>
      <c r="AD314" s="37" t="str">
        <f>LEFT(MIP[[#This Row],[Equipe]], SEARCH("/",MIP[[#This Row],[Equipe]],1)-1)</f>
        <v xml:space="preserve">EDILTON </v>
      </c>
      <c r="AE314" s="37" t="str">
        <f>RIGHT(MIP[[#This Row],[Equipe]], LEN(MIP[[#This Row],[Equipe]])-SEARCH("/",MIP[[#This Row],[Equipe]],1))</f>
        <v xml:space="preserve"> GECIVALDO</v>
      </c>
      <c r="AF314" s="44">
        <f>COUNTIFS('[1]Tempo parado'!H:H,"&gt;="&amp;MIP[[#This Row],[S.B Sitrack]],'[1]Tempo parado'!I:I,"&lt;="&amp;MIP[[#This Row],[C.B Sitrack]],'[1]Tempo parado'!B:B,MIP[[#This Row],[Placa]])</f>
        <v>0</v>
      </c>
      <c r="AG314" s="36"/>
      <c r="AH314" s="35"/>
      <c r="AI314" s="34"/>
      <c r="AJ314" s="34"/>
      <c r="AK31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1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14" s="32">
        <f>SUMIFS('[1]Tempo parado'!J:J,'[1]Tempo parado'!H:H,"&gt;="&amp;MIP[[#This Row],[S.B Sitrack]],'[1]Tempo parado'!I:I,"&lt;="&amp;MIP[[#This Row],[C.B Sitrack]],'[1]Tempo parado'!B:B,MIP[[#This Row],[Placa]])</f>
        <v>0</v>
      </c>
      <c r="AN314" s="32" t="str">
        <f>IFERROR(MIP[[#This Row],[Tempo parado]]/(MIP[[#This Row],[C.B Sitrack]]-MIP[[#This Row],[S.B Sitrack]]),"")</f>
        <v/>
      </c>
      <c r="AO314" s="30"/>
      <c r="AP314" s="44">
        <f>IF(AND(MIP[Exc]=0,MIP[Previsto / Realizado]="Realizado"),MIP[Sem],0)</f>
        <v>30</v>
      </c>
      <c r="AQ314" s="29">
        <f>IF(AND(MIP[Exc]=0,MIP[Previsto / Realizado]="Realizado",ISBLANK(MIP[[#This Row],[S.B Sitrack]])=FALSE,ISBLANK(MIP[[#This Row],[C.B Sitrack]])=FALSE),MIP[Sem],0)</f>
        <v>0</v>
      </c>
    </row>
    <row r="315" spans="2:43" x14ac:dyDescent="0.25">
      <c r="B315" s="44">
        <f>WEEKNUM(MIP[[#This Row],[Data]])</f>
        <v>31</v>
      </c>
      <c r="C315" s="45">
        <v>42946</v>
      </c>
      <c r="D315" s="45"/>
      <c r="E315" s="35" t="s">
        <v>326</v>
      </c>
      <c r="F315" s="35" t="s">
        <v>5</v>
      </c>
      <c r="G315" s="35"/>
      <c r="H315" s="44">
        <v>2</v>
      </c>
      <c r="I315" s="44">
        <v>8</v>
      </c>
      <c r="J315" s="44">
        <v>0</v>
      </c>
      <c r="K315" s="44">
        <v>0</v>
      </c>
      <c r="L315" s="44">
        <v>0</v>
      </c>
      <c r="M315" s="43">
        <v>0.625</v>
      </c>
      <c r="N315" s="43">
        <v>0.64583333333333337</v>
      </c>
      <c r="O315" s="43">
        <f>1+18/24/60</f>
        <v>1.0125</v>
      </c>
      <c r="P315" s="43">
        <f>1+48/24/60</f>
        <v>1.0333333333333334</v>
      </c>
      <c r="Q315" s="39"/>
      <c r="R315" s="42"/>
      <c r="S315" s="29">
        <f>MIP[[#This Row],[PT-1]]+MIP[[#This Row],[PT-2]]*2+MIP[[#This Row],[PT-3]]*3+MIP[[#This Row],[PT &gt; 3 Pontos]]</f>
        <v>8</v>
      </c>
      <c r="T31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315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315" s="41">
        <f>MIP[[#This Row],[Eficiência]]</f>
        <v>0.61602099591229997</v>
      </c>
      <c r="W31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15" s="39">
        <f>IF(MIP[[#This Row],[P.S]]-MIP[[#This Row],[P.E]]&lt;0,1+MIP[[#This Row],[P.S]]-MIP[[#This Row],[P.E]]-1/24,MIP[[#This Row],[P.S]]-MIP[[#This Row],[P.E]]-1/24)</f>
        <v>0.36666666666666675</v>
      </c>
      <c r="Y315" s="39">
        <f>MIP[[#This Row],[PT-1]]*$S$3+MIP[[#This Row],[PT-2]]*$T$3+MIP[[#This Row],[PT-3]]*$U$3+MIP[[#This Row],[PT &gt; 3 Pontos]]*$V$3</f>
        <v>0.20020682367149745</v>
      </c>
      <c r="Z315" s="39">
        <f>MIP[[#This Row],[HH disponível]]-MIP[[#This Row],[HH AC TOT]]</f>
        <v>0.3249999999999999</v>
      </c>
      <c r="AA315" s="38">
        <f>MIP[[#This Row],[HH Produtivo
Total]]/MIP[[#This Row],[HH Trabalhado]]</f>
        <v>0.61602099591229997</v>
      </c>
      <c r="AB315" s="38">
        <f>MIP[[#This Row],[HH Produtivo
Total]]/MIP[[#This Row],[HH disponível]]</f>
        <v>0.54601861001317475</v>
      </c>
      <c r="AC315" s="38">
        <f>MIP[[#This Row],[HH Trabalhado]]/MIP[[#This Row],[HH disponível]]</f>
        <v>0.88636363636363591</v>
      </c>
      <c r="AD315" s="37" t="str">
        <f>LEFT(MIP[[#This Row],[Equipe]], SEARCH("/",MIP[[#This Row],[Equipe]],1)-1)</f>
        <v xml:space="preserve">ANDERSON </v>
      </c>
      <c r="AE315" s="37" t="str">
        <f>RIGHT(MIP[[#This Row],[Equipe]], LEN(MIP[[#This Row],[Equipe]])-SEARCH("/",MIP[[#This Row],[Equipe]],1))</f>
        <v xml:space="preserve"> GECIVALDO</v>
      </c>
      <c r="AF315" s="44">
        <f>COUNTIFS('[1]Tempo parado'!H:H,"&gt;="&amp;MIP[[#This Row],[S.B Sitrack]],'[1]Tempo parado'!I:I,"&lt;="&amp;MIP[[#This Row],[C.B Sitrack]],'[1]Tempo parado'!B:B,MIP[[#This Row],[Placa]])</f>
        <v>0</v>
      </c>
      <c r="AG315" s="36"/>
      <c r="AH315" s="35"/>
      <c r="AI315" s="34"/>
      <c r="AJ315" s="34"/>
      <c r="AK31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1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15" s="32">
        <f>SUMIFS('[1]Tempo parado'!J:J,'[1]Tempo parado'!H:H,"&gt;="&amp;MIP[[#This Row],[S.B Sitrack]],'[1]Tempo parado'!I:I,"&lt;="&amp;MIP[[#This Row],[C.B Sitrack]],'[1]Tempo parado'!B:B,MIP[[#This Row],[Placa]])</f>
        <v>0</v>
      </c>
      <c r="AN315" s="32" t="str">
        <f>IFERROR(MIP[[#This Row],[Tempo parado]]/(MIP[[#This Row],[C.B Sitrack]]-MIP[[#This Row],[S.B Sitrack]]),"")</f>
        <v/>
      </c>
      <c r="AO315" s="30"/>
      <c r="AP315" s="44">
        <f>IF(AND(MIP[Exc]=0,MIP[Previsto / Realizado]="Realizado"),MIP[Sem],0)</f>
        <v>0</v>
      </c>
      <c r="AQ315" s="29">
        <f>IF(AND(MIP[Exc]=0,MIP[Previsto / Realizado]="Realizado",ISBLANK(MIP[[#This Row],[S.B Sitrack]])=FALSE,ISBLANK(MIP[[#This Row],[C.B Sitrack]])=FALSE),MIP[Sem],0)</f>
        <v>0</v>
      </c>
    </row>
    <row r="316" spans="2:43" x14ac:dyDescent="0.25">
      <c r="B316" s="44">
        <f>WEEKNUM(MIP[[#This Row],[Data]])</f>
        <v>31</v>
      </c>
      <c r="C316" s="45">
        <v>42946</v>
      </c>
      <c r="D316" s="45"/>
      <c r="E316" s="35" t="s">
        <v>326</v>
      </c>
      <c r="F316" s="35" t="s">
        <v>2</v>
      </c>
      <c r="G316" s="35"/>
      <c r="H316" s="44">
        <v>2</v>
      </c>
      <c r="I316" s="44">
        <v>8</v>
      </c>
      <c r="J316" s="44">
        <v>0</v>
      </c>
      <c r="K316" s="44">
        <v>0</v>
      </c>
      <c r="L316" s="44">
        <v>0</v>
      </c>
      <c r="M316" s="43">
        <v>0.59097222222222223</v>
      </c>
      <c r="N316" s="43">
        <v>0.60763888888888895</v>
      </c>
      <c r="O316" s="43">
        <v>0.95000000000000007</v>
      </c>
      <c r="P316" s="43">
        <v>0.97499999999999998</v>
      </c>
      <c r="Q316" s="39"/>
      <c r="R316" s="42"/>
      <c r="S316" s="29">
        <f>MIP[[#This Row],[PT-1]]+MIP[[#This Row],[PT-2]]*2+MIP[[#This Row],[PT-3]]*3+MIP[[#This Row],[PT &gt; 3 Pontos]]</f>
        <v>8</v>
      </c>
      <c r="T31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4.166666666666663E-2</v>
      </c>
      <c r="U316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4.166666666666663E-2</v>
      </c>
      <c r="V316" s="41">
        <f>MIP[[#This Row],[Eficiência]]</f>
        <v>0.66581484084747422</v>
      </c>
      <c r="W31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16" s="39">
        <f>IF(MIP[[#This Row],[P.S]]-MIP[[#This Row],[P.E]]&lt;0,1+MIP[[#This Row],[P.S]]-MIP[[#This Row],[P.E]]-1/24,MIP[[#This Row],[P.S]]-MIP[[#This Row],[P.E]]-1/24)</f>
        <v>0.34236111111111106</v>
      </c>
      <c r="Y316" s="39">
        <f>MIP[[#This Row],[PT-1]]*$S$3+MIP[[#This Row],[PT-2]]*$T$3+MIP[[#This Row],[PT-3]]*$U$3+MIP[[#This Row],[PT &gt; 3 Pontos]]*$V$3</f>
        <v>0.20020682367149745</v>
      </c>
      <c r="Z316" s="39">
        <f>MIP[[#This Row],[HH disponível]]-MIP[[#This Row],[HH AC TOT]]</f>
        <v>0.30069444444444443</v>
      </c>
      <c r="AA316" s="38">
        <f>MIP[[#This Row],[HH Produtivo
Total]]/MIP[[#This Row],[HH Trabalhado]]</f>
        <v>0.66581484084747422</v>
      </c>
      <c r="AB316" s="38">
        <f>MIP[[#This Row],[HH Produtivo
Total]]/MIP[[#This Row],[HH disponível]]</f>
        <v>0.58478260869565191</v>
      </c>
      <c r="AC316" s="38">
        <f>MIP[[#This Row],[HH Trabalhado]]/MIP[[#This Row],[HH disponível]]</f>
        <v>0.8782961460446248</v>
      </c>
      <c r="AD316" s="37" t="str">
        <f>LEFT(MIP[[#This Row],[Equipe]], SEARCH("/",MIP[[#This Row],[Equipe]],1)-1)</f>
        <v xml:space="preserve">ANDERSON </v>
      </c>
      <c r="AE316" s="37" t="str">
        <f>RIGHT(MIP[[#This Row],[Equipe]], LEN(MIP[[#This Row],[Equipe]])-SEARCH("/",MIP[[#This Row],[Equipe]],1))</f>
        <v xml:space="preserve"> GECIVALDO</v>
      </c>
      <c r="AF316" s="44">
        <f>COUNTIFS('[1]Tempo parado'!H:H,"&gt;="&amp;MIP[[#This Row],[S.B Sitrack]],'[1]Tempo parado'!I:I,"&lt;="&amp;MIP[[#This Row],[C.B Sitrack]],'[1]Tempo parado'!B:B,MIP[[#This Row],[Placa]])</f>
        <v>0</v>
      </c>
      <c r="AG316" s="36"/>
      <c r="AH316" s="35"/>
      <c r="AI316" s="34"/>
      <c r="AJ316" s="34"/>
      <c r="AK31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1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16" s="32">
        <f>SUMIFS('[1]Tempo parado'!J:J,'[1]Tempo parado'!H:H,"&gt;="&amp;MIP[[#This Row],[S.B Sitrack]],'[1]Tempo parado'!I:I,"&lt;="&amp;MIP[[#This Row],[C.B Sitrack]],'[1]Tempo parado'!B:B,MIP[[#This Row],[Placa]])</f>
        <v>0</v>
      </c>
      <c r="AN316" s="32" t="str">
        <f>IFERROR(MIP[[#This Row],[Tempo parado]]/(MIP[[#This Row],[C.B Sitrack]]-MIP[[#This Row],[S.B Sitrack]]),"")</f>
        <v/>
      </c>
      <c r="AO316" s="30"/>
      <c r="AP316" s="44">
        <f>IF(AND(MIP[Exc]=0,MIP[Previsto / Realizado]="Realizado"),MIP[Sem],0)</f>
        <v>31</v>
      </c>
      <c r="AQ316" s="29">
        <f>IF(AND(MIP[Exc]=0,MIP[Previsto / Realizado]="Realizado",ISBLANK(MIP[[#This Row],[S.B Sitrack]])=FALSE,ISBLANK(MIP[[#This Row],[C.B Sitrack]])=FALSE),MIP[Sem],0)</f>
        <v>0</v>
      </c>
    </row>
    <row r="317" spans="2:43" x14ac:dyDescent="0.25">
      <c r="B317" s="44">
        <f>WEEKNUM(MIP[[#This Row],[Data]])</f>
        <v>31</v>
      </c>
      <c r="C317" s="45">
        <v>42946</v>
      </c>
      <c r="D317" s="45"/>
      <c r="E317" s="35" t="s">
        <v>244</v>
      </c>
      <c r="F317" s="35" t="s">
        <v>5</v>
      </c>
      <c r="G317" s="35"/>
      <c r="H317" s="44">
        <v>2</v>
      </c>
      <c r="I317" s="44">
        <v>0</v>
      </c>
      <c r="J317" s="44">
        <v>0</v>
      </c>
      <c r="K317" s="44">
        <v>0</v>
      </c>
      <c r="L317" s="44">
        <v>15</v>
      </c>
      <c r="M317" s="43">
        <v>0.625</v>
      </c>
      <c r="N317" s="43">
        <v>0.64583333333333337</v>
      </c>
      <c r="O317" s="43">
        <f>1+18/24/60</f>
        <v>1.0125</v>
      </c>
      <c r="P317" s="43">
        <f>1+48/24/60</f>
        <v>1.0333333333333334</v>
      </c>
      <c r="Q317" s="39"/>
      <c r="R317" s="42"/>
      <c r="S317" s="29">
        <f>MIP[[#This Row],[PT-1]]+MIP[[#This Row],[PT-2]]*2+MIP[[#This Row],[PT-3]]*3+MIP[[#This Row],[PT &gt; 3 Pontos]]</f>
        <v>15</v>
      </c>
      <c r="T31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317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317" s="41">
        <f>MIP[[#This Row],[Eficiência]]</f>
        <v>0.93452357911144224</v>
      </c>
      <c r="W31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17" s="39">
        <f>IF(MIP[[#This Row],[P.S]]-MIP[[#This Row],[P.E]]&lt;0,1+MIP[[#This Row],[P.S]]-MIP[[#This Row],[P.E]]-1/24,MIP[[#This Row],[P.S]]-MIP[[#This Row],[P.E]]-1/24)</f>
        <v>0.36666666666666675</v>
      </c>
      <c r="Y317" s="39">
        <f>MIP[[#This Row],[PT-1]]*$S$3+MIP[[#This Row],[PT-2]]*$T$3+MIP[[#This Row],[PT-3]]*$U$3+MIP[[#This Row],[PT &gt; 3 Pontos]]*$V$3</f>
        <v>0.30372016321121864</v>
      </c>
      <c r="Z317" s="39">
        <f>MIP[[#This Row],[HH disponível]]-MIP[[#This Row],[HH AC TOT]]</f>
        <v>0.3249999999999999</v>
      </c>
      <c r="AA317" s="38">
        <f>MIP[[#This Row],[HH Produtivo
Total]]/MIP[[#This Row],[HH Trabalhado]]</f>
        <v>0.93452357911144224</v>
      </c>
      <c r="AB317" s="38">
        <f>MIP[[#This Row],[HH Produtivo
Total]]/MIP[[#This Row],[HH disponível]]</f>
        <v>0.8283277178487779</v>
      </c>
      <c r="AC317" s="38">
        <f>MIP[[#This Row],[HH Trabalhado]]/MIP[[#This Row],[HH disponível]]</f>
        <v>0.88636363636363591</v>
      </c>
      <c r="AD317" s="37" t="str">
        <f>LEFT(MIP[[#This Row],[Equipe]], SEARCH("/",MIP[[#This Row],[Equipe]],1)-1)</f>
        <v xml:space="preserve">EDILTON </v>
      </c>
      <c r="AE317" s="37" t="str">
        <f>RIGHT(MIP[[#This Row],[Equipe]], LEN(MIP[[#This Row],[Equipe]])-SEARCH("/",MIP[[#This Row],[Equipe]],1))</f>
        <v xml:space="preserve"> MARCO</v>
      </c>
      <c r="AF317" s="44">
        <f>COUNTIFS('[1]Tempo parado'!H:H,"&gt;="&amp;MIP[[#This Row],[S.B Sitrack]],'[1]Tempo parado'!I:I,"&lt;="&amp;MIP[[#This Row],[C.B Sitrack]],'[1]Tempo parado'!B:B,MIP[[#This Row],[Placa]])</f>
        <v>0</v>
      </c>
      <c r="AG317" s="36"/>
      <c r="AH317" s="35"/>
      <c r="AI317" s="34"/>
      <c r="AJ317" s="34"/>
      <c r="AK31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1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17" s="32">
        <f>SUMIFS('[1]Tempo parado'!J:J,'[1]Tempo parado'!H:H,"&gt;="&amp;MIP[[#This Row],[S.B Sitrack]],'[1]Tempo parado'!I:I,"&lt;="&amp;MIP[[#This Row],[C.B Sitrack]],'[1]Tempo parado'!B:B,MIP[[#This Row],[Placa]])</f>
        <v>0</v>
      </c>
      <c r="AN317" s="32" t="str">
        <f>IFERROR(MIP[[#This Row],[Tempo parado]]/(MIP[[#This Row],[C.B Sitrack]]-MIP[[#This Row],[S.B Sitrack]]),"")</f>
        <v/>
      </c>
      <c r="AO317" s="30"/>
      <c r="AP317" s="44">
        <f>IF(AND(MIP[Exc]=0,MIP[Previsto / Realizado]="Realizado"),MIP[Sem],0)</f>
        <v>0</v>
      </c>
      <c r="AQ317" s="29">
        <f>IF(AND(MIP[Exc]=0,MIP[Previsto / Realizado]="Realizado",ISBLANK(MIP[[#This Row],[S.B Sitrack]])=FALSE,ISBLANK(MIP[[#This Row],[C.B Sitrack]])=FALSE),MIP[Sem],0)</f>
        <v>0</v>
      </c>
    </row>
    <row r="318" spans="2:43" x14ac:dyDescent="0.25">
      <c r="B318" s="44">
        <f>WEEKNUM(MIP[[#This Row],[Data]])</f>
        <v>31</v>
      </c>
      <c r="C318" s="45">
        <v>42946</v>
      </c>
      <c r="D318" s="45"/>
      <c r="E318" s="35" t="s">
        <v>244</v>
      </c>
      <c r="F318" s="35" t="s">
        <v>2</v>
      </c>
      <c r="G318" s="35"/>
      <c r="H318" s="44">
        <v>2</v>
      </c>
      <c r="I318" s="44">
        <v>0</v>
      </c>
      <c r="J318" s="44">
        <v>0</v>
      </c>
      <c r="K318" s="44">
        <v>0</v>
      </c>
      <c r="L318" s="44">
        <v>15</v>
      </c>
      <c r="M318" s="43">
        <v>0.625</v>
      </c>
      <c r="N318" s="43">
        <v>0.64583333333333337</v>
      </c>
      <c r="O318" s="43">
        <f>1+23/24/60</f>
        <v>1.0159722222222223</v>
      </c>
      <c r="P318" s="43">
        <f>1+48/24/60</f>
        <v>1.0333333333333334</v>
      </c>
      <c r="Q318" s="39"/>
      <c r="R318" s="42"/>
      <c r="S318" s="29">
        <f>MIP[[#This Row],[PT-1]]+MIP[[#This Row],[PT-2]]*2+MIP[[#This Row],[PT-3]]*3+MIP[[#This Row],[PT &gt; 3 Pontos]]</f>
        <v>15</v>
      </c>
      <c r="T31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3.8194444444444531E-2</v>
      </c>
      <c r="U318" s="39">
        <f>IF(MIP[[#This Row],[P.S]]-MIP[[#This Row],[U.P]]&gt;=0,MIP[[#This Row],[P.S]]-MIP[[#This Row],[U.P]]+MIP[[#This Row],[S.B]]-MIP[[#This Row],[P.E]],1+MIP[[#This Row],[P.S]]-MIP[[#This Row],[U.P]]+MIP[[#This Row],[S.B]]-MIP[[#This Row],[P.E]])</f>
        <v>3.8194444444444531E-2</v>
      </c>
      <c r="V318" s="41">
        <f>MIP[[#This Row],[Eficiência]]</f>
        <v>0.92464489434282204</v>
      </c>
      <c r="W31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18" s="39">
        <f>IF(MIP[[#This Row],[P.S]]-MIP[[#This Row],[P.E]]&lt;0,1+MIP[[#This Row],[P.S]]-MIP[[#This Row],[P.E]]-1/24,MIP[[#This Row],[P.S]]-MIP[[#This Row],[P.E]]-1/24)</f>
        <v>0.36666666666666675</v>
      </c>
      <c r="Y318" s="39">
        <f>MIP[[#This Row],[PT-1]]*$S$3+MIP[[#This Row],[PT-2]]*$T$3+MIP[[#This Row],[PT-3]]*$U$3+MIP[[#This Row],[PT &gt; 3 Pontos]]*$V$3</f>
        <v>0.30372016321121864</v>
      </c>
      <c r="Z318" s="39">
        <f>MIP[[#This Row],[HH disponível]]-MIP[[#This Row],[HH AC TOT]]</f>
        <v>0.32847222222222222</v>
      </c>
      <c r="AA318" s="38">
        <f>MIP[[#This Row],[HH Produtivo
Total]]/MIP[[#This Row],[HH Trabalhado]]</f>
        <v>0.92464489434282204</v>
      </c>
      <c r="AB318" s="38">
        <f>MIP[[#This Row],[HH Produtivo
Total]]/MIP[[#This Row],[HH disponível]]</f>
        <v>0.8283277178487779</v>
      </c>
      <c r="AC318" s="38">
        <f>MIP[[#This Row],[HH Trabalhado]]/MIP[[#This Row],[HH disponível]]</f>
        <v>0.89583333333333315</v>
      </c>
      <c r="AD318" s="37" t="str">
        <f>LEFT(MIP[[#This Row],[Equipe]], SEARCH("/",MIP[[#This Row],[Equipe]],1)-1)</f>
        <v xml:space="preserve">EDILTON </v>
      </c>
      <c r="AE318" s="37" t="str">
        <f>RIGHT(MIP[[#This Row],[Equipe]], LEN(MIP[[#This Row],[Equipe]])-SEARCH("/",MIP[[#This Row],[Equipe]],1))</f>
        <v xml:space="preserve"> MARCO</v>
      </c>
      <c r="AF318" s="44">
        <f>COUNTIFS('[1]Tempo parado'!H:H,"&gt;="&amp;MIP[[#This Row],[S.B Sitrack]],'[1]Tempo parado'!I:I,"&lt;="&amp;MIP[[#This Row],[C.B Sitrack]],'[1]Tempo parado'!B:B,MIP[[#This Row],[Placa]])</f>
        <v>0</v>
      </c>
      <c r="AG318" s="36"/>
      <c r="AH318" s="35"/>
      <c r="AI318" s="34"/>
      <c r="AJ318" s="34"/>
      <c r="AK31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1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18" s="32">
        <f>SUMIFS('[1]Tempo parado'!J:J,'[1]Tempo parado'!H:H,"&gt;="&amp;MIP[[#This Row],[S.B Sitrack]],'[1]Tempo parado'!I:I,"&lt;="&amp;MIP[[#This Row],[C.B Sitrack]],'[1]Tempo parado'!B:B,MIP[[#This Row],[Placa]])</f>
        <v>0</v>
      </c>
      <c r="AN318" s="32" t="str">
        <f>IFERROR(MIP[[#This Row],[Tempo parado]]/(MIP[[#This Row],[C.B Sitrack]]-MIP[[#This Row],[S.B Sitrack]]),"")</f>
        <v/>
      </c>
      <c r="AO318" s="30"/>
      <c r="AP318" s="44">
        <f>IF(AND(MIP[Exc]=0,MIP[Previsto / Realizado]="Realizado"),MIP[Sem],0)</f>
        <v>31</v>
      </c>
      <c r="AQ318" s="29">
        <f>IF(AND(MIP[Exc]=0,MIP[Previsto / Realizado]="Realizado",ISBLANK(MIP[[#This Row],[S.B Sitrack]])=FALSE,ISBLANK(MIP[[#This Row],[C.B Sitrack]])=FALSE),MIP[Sem],0)</f>
        <v>0</v>
      </c>
    </row>
    <row r="319" spans="2:43" x14ac:dyDescent="0.25">
      <c r="B319" s="44">
        <f>WEEKNUM(MIP[[#This Row],[Data]])</f>
        <v>31</v>
      </c>
      <c r="C319" s="45">
        <v>42947</v>
      </c>
      <c r="D319" s="45"/>
      <c r="E319" s="35" t="s">
        <v>19</v>
      </c>
      <c r="F319" s="35" t="s">
        <v>5</v>
      </c>
      <c r="G319" s="35"/>
      <c r="H319" s="44">
        <v>2</v>
      </c>
      <c r="I319" s="44">
        <v>2</v>
      </c>
      <c r="J319" s="44">
        <v>1</v>
      </c>
      <c r="K319" s="44">
        <v>0</v>
      </c>
      <c r="L319" s="44">
        <v>5</v>
      </c>
      <c r="M319" s="43">
        <v>0.625</v>
      </c>
      <c r="N319" s="43">
        <v>0.64583333333333337</v>
      </c>
      <c r="O319" s="43">
        <f>1+18/24/60</f>
        <v>1.0125</v>
      </c>
      <c r="P319" s="43">
        <f>1+48/24/60</f>
        <v>1.0333333333333334</v>
      </c>
      <c r="Q319" s="39"/>
      <c r="R319" s="42"/>
      <c r="S319" s="29">
        <f>MIP[[#This Row],[PT-1]]+MIP[[#This Row],[PT-2]]*2+MIP[[#This Row],[PT-3]]*3+MIP[[#This Row],[PT &gt; 3 Pontos]]</f>
        <v>9</v>
      </c>
      <c r="T31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319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319" s="41">
        <f>MIP[[#This Row],[Eficiência]]</f>
        <v>0.60061700438361088</v>
      </c>
      <c r="W31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19" s="39">
        <f>IF(MIP[[#This Row],[P.S]]-MIP[[#This Row],[P.E]]&lt;0,1+MIP[[#This Row],[P.S]]-MIP[[#This Row],[P.E]]-1/24,MIP[[#This Row],[P.S]]-MIP[[#This Row],[P.E]]-1/24)</f>
        <v>0.36666666666666675</v>
      </c>
      <c r="Y319" s="39">
        <f>MIP[[#This Row],[PT-1]]*$S$3+MIP[[#This Row],[PT-2]]*$T$3+MIP[[#This Row],[PT-3]]*$U$3+MIP[[#This Row],[PT &gt; 3 Pontos]]*$V$3</f>
        <v>0.19520052642467348</v>
      </c>
      <c r="Z319" s="39">
        <f>MIP[[#This Row],[HH disponível]]-MIP[[#This Row],[HH AC TOT]]</f>
        <v>0.3249999999999999</v>
      </c>
      <c r="AA319" s="38">
        <f>MIP[[#This Row],[HH Produtivo
Total]]/MIP[[#This Row],[HH Trabalhado]]</f>
        <v>0.60061700438361088</v>
      </c>
      <c r="AB319" s="38">
        <f>MIP[[#This Row],[HH Produtivo
Total]]/MIP[[#This Row],[HH disponível]]</f>
        <v>0.53236507206729122</v>
      </c>
      <c r="AC319" s="38">
        <f>MIP[[#This Row],[HH Trabalhado]]/MIP[[#This Row],[HH disponível]]</f>
        <v>0.88636363636363591</v>
      </c>
      <c r="AD319" s="37" t="str">
        <f>LEFT(MIP[[#This Row],[Equipe]], SEARCH("/",MIP[[#This Row],[Equipe]],1)-1)</f>
        <v xml:space="preserve">ADEMÁRIO </v>
      </c>
      <c r="AE319" s="37" t="str">
        <f>RIGHT(MIP[[#This Row],[Equipe]], LEN(MIP[[#This Row],[Equipe]])-SEARCH("/",MIP[[#This Row],[Equipe]],1))</f>
        <v xml:space="preserve"> RONALDO</v>
      </c>
      <c r="AF319" s="44">
        <f>COUNTIFS('[1]Tempo parado'!H:H,"&gt;="&amp;MIP[[#This Row],[S.B Sitrack]],'[1]Tempo parado'!I:I,"&lt;="&amp;MIP[[#This Row],[C.B Sitrack]],'[1]Tempo parado'!B:B,MIP[[#This Row],[Placa]])</f>
        <v>0</v>
      </c>
      <c r="AG319" s="36"/>
      <c r="AH319" s="35"/>
      <c r="AI319" s="34"/>
      <c r="AJ319" s="34"/>
      <c r="AK31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1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19" s="32">
        <f>SUMIFS('[1]Tempo parado'!J:J,'[1]Tempo parado'!H:H,"&gt;="&amp;MIP[[#This Row],[S.B Sitrack]],'[1]Tempo parado'!I:I,"&lt;="&amp;MIP[[#This Row],[C.B Sitrack]],'[1]Tempo parado'!B:B,MIP[[#This Row],[Placa]])</f>
        <v>0</v>
      </c>
      <c r="AN319" s="32" t="str">
        <f>IFERROR(MIP[[#This Row],[Tempo parado]]/(MIP[[#This Row],[C.B Sitrack]]-MIP[[#This Row],[S.B Sitrack]]),"")</f>
        <v/>
      </c>
      <c r="AO319" s="30"/>
      <c r="AP319" s="44">
        <f>IF(AND(MIP[Exc]=0,MIP[Previsto / Realizado]="Realizado"),MIP[Sem],0)</f>
        <v>0</v>
      </c>
      <c r="AQ319" s="29">
        <f>IF(AND(MIP[Exc]=0,MIP[Previsto / Realizado]="Realizado",ISBLANK(MIP[[#This Row],[S.B Sitrack]])=FALSE,ISBLANK(MIP[[#This Row],[C.B Sitrack]])=FALSE),MIP[Sem],0)</f>
        <v>0</v>
      </c>
    </row>
    <row r="320" spans="2:43" x14ac:dyDescent="0.25">
      <c r="B320" s="44">
        <f>WEEKNUM(MIP[[#This Row],[Data]])</f>
        <v>31</v>
      </c>
      <c r="C320" s="45">
        <v>42947</v>
      </c>
      <c r="D320" s="45"/>
      <c r="E320" s="35" t="s">
        <v>19</v>
      </c>
      <c r="F320" s="35" t="s">
        <v>2</v>
      </c>
      <c r="G320" s="35"/>
      <c r="H320" s="44">
        <v>2</v>
      </c>
      <c r="I320" s="44">
        <v>2</v>
      </c>
      <c r="J320" s="44">
        <v>1</v>
      </c>
      <c r="K320" s="44">
        <v>0</v>
      </c>
      <c r="L320" s="44">
        <v>5</v>
      </c>
      <c r="M320" s="43">
        <v>0.64444444444444449</v>
      </c>
      <c r="N320" s="43">
        <v>0.6875</v>
      </c>
      <c r="O320" s="43">
        <f>1+30/24/60</f>
        <v>1.0208333333333333</v>
      </c>
      <c r="P320" s="43">
        <f>1+49/24/60</f>
        <v>1.0340277777777778</v>
      </c>
      <c r="Q320" s="39"/>
      <c r="R320" s="42" t="s">
        <v>349</v>
      </c>
      <c r="S320" s="29">
        <f>MIP[[#This Row],[PT-1]]+MIP[[#This Row],[PT-2]]*2+MIP[[#This Row],[PT-3]]*3+MIP[[#This Row],[PT &gt; 3 Pontos]]</f>
        <v>9</v>
      </c>
      <c r="T32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5.6250000000000022E-2</v>
      </c>
      <c r="U320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5.6250000000000022E-2</v>
      </c>
      <c r="V320" s="41">
        <f>MIP[[#This Row],[Eficiência]]</f>
        <v>0.66925894774173789</v>
      </c>
      <c r="W32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20" s="39">
        <f>IF(MIP[[#This Row],[P.S]]-MIP[[#This Row],[P.E]]&lt;0,1+MIP[[#This Row],[P.S]]-MIP[[#This Row],[P.E]]-1/24,MIP[[#This Row],[P.S]]-MIP[[#This Row],[P.E]]-1/24)</f>
        <v>0.3479166666666666</v>
      </c>
      <c r="Y320" s="39">
        <f>MIP[[#This Row],[PT-1]]*$S$3+MIP[[#This Row],[PT-2]]*$T$3+MIP[[#This Row],[PT-3]]*$U$3+MIP[[#This Row],[PT &gt; 3 Pontos]]*$V$3</f>
        <v>0.19520052642467348</v>
      </c>
      <c r="Z320" s="39">
        <f>MIP[[#This Row],[HH disponível]]-MIP[[#This Row],[HH AC TOT]]</f>
        <v>0.29166666666666657</v>
      </c>
      <c r="AA320" s="38">
        <f>MIP[[#This Row],[HH Produtivo
Total]]/MIP[[#This Row],[HH Trabalhado]]</f>
        <v>0.66925894774173789</v>
      </c>
      <c r="AB320" s="38">
        <f>MIP[[#This Row],[HH Produtivo
Total]]/MIP[[#This Row],[HH disponível]]</f>
        <v>0.56105540529247477</v>
      </c>
      <c r="AC320" s="38">
        <f>MIP[[#This Row],[HH Trabalhado]]/MIP[[#This Row],[HH disponível]]</f>
        <v>0.83832335329341312</v>
      </c>
      <c r="AD320" s="37" t="str">
        <f>LEFT(MIP[[#This Row],[Equipe]], SEARCH("/",MIP[[#This Row],[Equipe]],1)-1)</f>
        <v xml:space="preserve">ADEMÁRIO </v>
      </c>
      <c r="AE320" s="37" t="str">
        <f>RIGHT(MIP[[#This Row],[Equipe]], LEN(MIP[[#This Row],[Equipe]])-SEARCH("/",MIP[[#This Row],[Equipe]],1))</f>
        <v xml:space="preserve"> RONALDO</v>
      </c>
      <c r="AF320" s="44">
        <f>COUNTIFS('[1]Tempo parado'!H:H,"&gt;="&amp;MIP[[#This Row],[S.B Sitrack]],'[1]Tempo parado'!I:I,"&lt;="&amp;MIP[[#This Row],[C.B Sitrack]],'[1]Tempo parado'!B:B,MIP[[#This Row],[Placa]])</f>
        <v>0</v>
      </c>
      <c r="AG320" s="36"/>
      <c r="AH320" s="35"/>
      <c r="AI320" s="34"/>
      <c r="AJ320" s="34"/>
      <c r="AK32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2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20" s="32">
        <f>SUMIFS('[1]Tempo parado'!J:J,'[1]Tempo parado'!H:H,"&gt;="&amp;MIP[[#This Row],[S.B Sitrack]],'[1]Tempo parado'!I:I,"&lt;="&amp;MIP[[#This Row],[C.B Sitrack]],'[1]Tempo parado'!B:B,MIP[[#This Row],[Placa]])</f>
        <v>0</v>
      </c>
      <c r="AN320" s="32" t="str">
        <f>IFERROR(MIP[[#This Row],[Tempo parado]]/(MIP[[#This Row],[C.B Sitrack]]-MIP[[#This Row],[S.B Sitrack]]),"")</f>
        <v/>
      </c>
      <c r="AO320" s="30"/>
      <c r="AP320" s="44">
        <f>IF(AND(MIP[Exc]=0,MIP[Previsto / Realizado]="Realizado"),MIP[Sem],0)</f>
        <v>31</v>
      </c>
      <c r="AQ320" s="29">
        <f>IF(AND(MIP[Exc]=0,MIP[Previsto / Realizado]="Realizado",ISBLANK(MIP[[#This Row],[S.B Sitrack]])=FALSE,ISBLANK(MIP[[#This Row],[C.B Sitrack]])=FALSE),MIP[Sem],0)</f>
        <v>0</v>
      </c>
    </row>
    <row r="321" spans="1:43" x14ac:dyDescent="0.25">
      <c r="B321" s="44">
        <f>WEEKNUM(MIP[[#This Row],[Data]])</f>
        <v>31</v>
      </c>
      <c r="C321" s="45">
        <v>42947</v>
      </c>
      <c r="D321" s="45"/>
      <c r="E321" s="35" t="s">
        <v>7</v>
      </c>
      <c r="F321" s="35" t="s">
        <v>5</v>
      </c>
      <c r="G321" s="35"/>
      <c r="H321" s="44">
        <v>2</v>
      </c>
      <c r="I321" s="44">
        <v>2</v>
      </c>
      <c r="J321" s="44">
        <v>1</v>
      </c>
      <c r="K321" s="44">
        <v>1</v>
      </c>
      <c r="L321" s="44">
        <v>4</v>
      </c>
      <c r="M321" s="43">
        <v>0.25</v>
      </c>
      <c r="N321" s="43">
        <v>0.27083333333333331</v>
      </c>
      <c r="O321" s="43">
        <v>0.63750000000000007</v>
      </c>
      <c r="P321" s="43">
        <v>0.65833333333333333</v>
      </c>
      <c r="Q321" s="39"/>
      <c r="R321" s="42"/>
      <c r="S321" s="29">
        <f>MIP[[#This Row],[PT-1]]+MIP[[#This Row],[PT-2]]*2+MIP[[#This Row],[PT-3]]*3+MIP[[#This Row],[PT &gt; 3 Pontos]]</f>
        <v>11</v>
      </c>
      <c r="T32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321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321" s="41">
        <f>MIP[[#This Row],[Eficiência]]</f>
        <v>0.73152059935725389</v>
      </c>
      <c r="W32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21" s="39">
        <f>IF(MIP[[#This Row],[P.S]]-MIP[[#This Row],[P.E]]&lt;0,1+MIP[[#This Row],[P.S]]-MIP[[#This Row],[P.E]]-1/24,MIP[[#This Row],[P.S]]-MIP[[#This Row],[P.E]]-1/24)</f>
        <v>0.36666666666666664</v>
      </c>
      <c r="Y321" s="39">
        <f>MIP[[#This Row],[PT-1]]*$S$3+MIP[[#This Row],[PT-2]]*$T$3+MIP[[#This Row],[PT-3]]*$U$3+MIP[[#This Row],[PT &gt; 3 Pontos]]*$V$3</f>
        <v>0.23774419479110756</v>
      </c>
      <c r="Z321" s="39">
        <f>MIP[[#This Row],[HH disponível]]-MIP[[#This Row],[HH AC TOT]]</f>
        <v>0.32500000000000007</v>
      </c>
      <c r="AA321" s="38">
        <f>MIP[[#This Row],[HH Produtivo
Total]]/MIP[[#This Row],[HH Trabalhado]]</f>
        <v>0.73152059935725389</v>
      </c>
      <c r="AB321" s="38">
        <f>MIP[[#This Row],[HH Produtivo
Total]]/MIP[[#This Row],[HH disponível]]</f>
        <v>0.64839325852120244</v>
      </c>
      <c r="AC321" s="38">
        <f>MIP[[#This Row],[HH Trabalhado]]/MIP[[#This Row],[HH disponível]]</f>
        <v>0.88636363636363658</v>
      </c>
      <c r="AD321" s="37" t="str">
        <f>LEFT(MIP[[#This Row],[Equipe]], SEARCH("/",MIP[[#This Row],[Equipe]],1)-1)</f>
        <v xml:space="preserve">ANDERSON </v>
      </c>
      <c r="AE321" s="37" t="str">
        <f>RIGHT(MIP[[#This Row],[Equipe]], LEN(MIP[[#This Row],[Equipe]])-SEARCH("/",MIP[[#This Row],[Equipe]],1))</f>
        <v xml:space="preserve"> MARCO</v>
      </c>
      <c r="AF321" s="44">
        <f>COUNTIFS('[1]Tempo parado'!H:H,"&gt;="&amp;MIP[[#This Row],[S.B Sitrack]],'[1]Tempo parado'!I:I,"&lt;="&amp;MIP[[#This Row],[C.B Sitrack]],'[1]Tempo parado'!B:B,MIP[[#This Row],[Placa]])</f>
        <v>0</v>
      </c>
      <c r="AG321" s="36"/>
      <c r="AH321" s="35"/>
      <c r="AI321" s="34"/>
      <c r="AJ321" s="34"/>
      <c r="AK32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2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21" s="32">
        <f>SUMIFS('[1]Tempo parado'!J:J,'[1]Tempo parado'!H:H,"&gt;="&amp;MIP[[#This Row],[S.B Sitrack]],'[1]Tempo parado'!I:I,"&lt;="&amp;MIP[[#This Row],[C.B Sitrack]],'[1]Tempo parado'!B:B,MIP[[#This Row],[Placa]])</f>
        <v>0</v>
      </c>
      <c r="AN321" s="32" t="str">
        <f>IFERROR(MIP[[#This Row],[Tempo parado]]/(MIP[[#This Row],[C.B Sitrack]]-MIP[[#This Row],[S.B Sitrack]]),"")</f>
        <v/>
      </c>
      <c r="AO321" s="30"/>
      <c r="AP321" s="44">
        <f>IF(AND(MIP[Exc]=0,MIP[Previsto / Realizado]="Realizado"),MIP[Sem],0)</f>
        <v>0</v>
      </c>
      <c r="AQ321" s="29">
        <f>IF(AND(MIP[Exc]=0,MIP[Previsto / Realizado]="Realizado",ISBLANK(MIP[[#This Row],[S.B Sitrack]])=FALSE,ISBLANK(MIP[[#This Row],[C.B Sitrack]])=FALSE),MIP[Sem],0)</f>
        <v>0</v>
      </c>
    </row>
    <row r="322" spans="1:43" x14ac:dyDescent="0.25">
      <c r="B322" s="44">
        <f>WEEKNUM(MIP[[#This Row],[Data]])</f>
        <v>31</v>
      </c>
      <c r="C322" s="45">
        <v>42947</v>
      </c>
      <c r="D322" s="45"/>
      <c r="E322" s="35" t="s">
        <v>7</v>
      </c>
      <c r="F322" s="35" t="s">
        <v>2</v>
      </c>
      <c r="G322" s="35"/>
      <c r="H322" s="44">
        <v>2</v>
      </c>
      <c r="I322" s="44">
        <v>2</v>
      </c>
      <c r="J322" s="44">
        <v>1</v>
      </c>
      <c r="K322" s="44">
        <v>1</v>
      </c>
      <c r="L322" s="44">
        <v>4</v>
      </c>
      <c r="M322" s="43">
        <v>0.63472222222222219</v>
      </c>
      <c r="N322" s="43">
        <v>0.6875</v>
      </c>
      <c r="O322" s="43">
        <f>1+30/24/60</f>
        <v>1.0208333333333333</v>
      </c>
      <c r="P322" s="43">
        <f>1+48/24/60</f>
        <v>1.0333333333333334</v>
      </c>
      <c r="Q322" s="39"/>
      <c r="R322" s="42"/>
      <c r="S322" s="29">
        <f>MIP[[#This Row],[PT-1]]+MIP[[#This Row],[PT-2]]*2+MIP[[#This Row],[PT-3]]*3+MIP[[#This Row],[PT &gt; 3 Pontos]]</f>
        <v>11</v>
      </c>
      <c r="T32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6.527777777777799E-2</v>
      </c>
      <c r="U322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6.527777777777799E-2</v>
      </c>
      <c r="V322" s="41">
        <f>MIP[[#This Row],[Eficiência]]</f>
        <v>0.81512295356951192</v>
      </c>
      <c r="W32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22" s="39">
        <f>IF(MIP[[#This Row],[P.S]]-MIP[[#This Row],[P.E]]&lt;0,1+MIP[[#This Row],[P.S]]-MIP[[#This Row],[P.E]]-1/24,MIP[[#This Row],[P.S]]-MIP[[#This Row],[P.E]]-1/24)</f>
        <v>0.35694444444444456</v>
      </c>
      <c r="Y322" s="39">
        <f>MIP[[#This Row],[PT-1]]*$S$3+MIP[[#This Row],[PT-2]]*$T$3+MIP[[#This Row],[PT-3]]*$U$3+MIP[[#This Row],[PT &gt; 3 Pontos]]*$V$3</f>
        <v>0.23774419479110756</v>
      </c>
      <c r="Z322" s="39">
        <f>MIP[[#This Row],[HH disponível]]-MIP[[#This Row],[HH AC TOT]]</f>
        <v>0.29166666666666657</v>
      </c>
      <c r="AA322" s="38">
        <f>MIP[[#This Row],[HH Produtivo
Total]]/MIP[[#This Row],[HH Trabalhado]]</f>
        <v>0.81512295356951192</v>
      </c>
      <c r="AB322" s="38">
        <f>MIP[[#This Row],[HH Produtivo
Total]]/MIP[[#This Row],[HH disponível]]</f>
        <v>0.66605377529026222</v>
      </c>
      <c r="AC322" s="38">
        <f>MIP[[#This Row],[HH Trabalhado]]/MIP[[#This Row],[HH disponível]]</f>
        <v>0.81712062256809281</v>
      </c>
      <c r="AD322" s="37" t="str">
        <f>LEFT(MIP[[#This Row],[Equipe]], SEARCH("/",MIP[[#This Row],[Equipe]],1)-1)</f>
        <v xml:space="preserve">ANDERSON </v>
      </c>
      <c r="AE322" s="37" t="str">
        <f>RIGHT(MIP[[#This Row],[Equipe]], LEN(MIP[[#This Row],[Equipe]])-SEARCH("/",MIP[[#This Row],[Equipe]],1))</f>
        <v xml:space="preserve"> MARCO</v>
      </c>
      <c r="AF322" s="44">
        <f>COUNTIFS('[1]Tempo parado'!H:H,"&gt;="&amp;MIP[[#This Row],[S.B Sitrack]],'[1]Tempo parado'!I:I,"&lt;="&amp;MIP[[#This Row],[C.B Sitrack]],'[1]Tempo parado'!B:B,MIP[[#This Row],[Placa]])</f>
        <v>0</v>
      </c>
      <c r="AG322" s="36"/>
      <c r="AH322" s="35"/>
      <c r="AI322" s="34"/>
      <c r="AJ322" s="34"/>
      <c r="AK32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2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22" s="32">
        <f>SUMIFS('[1]Tempo parado'!J:J,'[1]Tempo parado'!H:H,"&gt;="&amp;MIP[[#This Row],[S.B Sitrack]],'[1]Tempo parado'!I:I,"&lt;="&amp;MIP[[#This Row],[C.B Sitrack]],'[1]Tempo parado'!B:B,MIP[[#This Row],[Placa]])</f>
        <v>0</v>
      </c>
      <c r="AN322" s="32" t="str">
        <f>IFERROR(MIP[[#This Row],[Tempo parado]]/(MIP[[#This Row],[C.B Sitrack]]-MIP[[#This Row],[S.B Sitrack]]),"")</f>
        <v/>
      </c>
      <c r="AO322" s="30"/>
      <c r="AP322" s="44">
        <f>IF(AND(MIP[Exc]=0,MIP[Previsto / Realizado]="Realizado"),MIP[Sem],0)</f>
        <v>31</v>
      </c>
      <c r="AQ322" s="29">
        <f>IF(AND(MIP[Exc]=0,MIP[Previsto / Realizado]="Realizado",ISBLANK(MIP[[#This Row],[S.B Sitrack]])=FALSE,ISBLANK(MIP[[#This Row],[C.B Sitrack]])=FALSE),MIP[Sem],0)</f>
        <v>0</v>
      </c>
    </row>
    <row r="323" spans="1:43" x14ac:dyDescent="0.25">
      <c r="B323" s="44">
        <f>WEEKNUM(MIP[[#This Row],[Data]])</f>
        <v>31</v>
      </c>
      <c r="C323" s="45">
        <v>42948</v>
      </c>
      <c r="D323" s="45"/>
      <c r="E323" s="35" t="s">
        <v>3</v>
      </c>
      <c r="F323" s="35" t="s">
        <v>5</v>
      </c>
      <c r="G323" s="35"/>
      <c r="H323" s="44">
        <v>2</v>
      </c>
      <c r="I323" s="44">
        <v>9</v>
      </c>
      <c r="J323" s="44">
        <v>1</v>
      </c>
      <c r="K323" s="44">
        <v>0</v>
      </c>
      <c r="L323" s="44">
        <v>8</v>
      </c>
      <c r="M323" s="43">
        <v>0.625</v>
      </c>
      <c r="N323" s="43">
        <v>0.64583333333333337</v>
      </c>
      <c r="O323" s="43">
        <f>1+18/24/60</f>
        <v>1.0125</v>
      </c>
      <c r="P323" s="43">
        <f>1+48/24/60</f>
        <v>1.0333333333333334</v>
      </c>
      <c r="Q323" s="39"/>
      <c r="R323" s="42"/>
      <c r="S323" s="29">
        <f>MIP[[#This Row],[PT-1]]+MIP[[#This Row],[PT-2]]*2+MIP[[#This Row],[PT-3]]*3+MIP[[#This Row],[PT &gt; 3 Pontos]]</f>
        <v>19</v>
      </c>
      <c r="T32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323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323" s="41">
        <f>MIP[[#This Row],[Eficiência]]</f>
        <v>1.3265400916291619</v>
      </c>
      <c r="W32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23" s="39">
        <f>IF(MIP[[#This Row],[P.S]]-MIP[[#This Row],[P.E]]&lt;0,1+MIP[[#This Row],[P.S]]-MIP[[#This Row],[P.E]]-1/24,MIP[[#This Row],[P.S]]-MIP[[#This Row],[P.E]]-1/24)</f>
        <v>0.36666666666666675</v>
      </c>
      <c r="Y323" s="39">
        <f>MIP[[#This Row],[PT-1]]*$S$3+MIP[[#This Row],[PT-2]]*$T$3+MIP[[#This Row],[PT-3]]*$U$3+MIP[[#This Row],[PT &gt; 3 Pontos]]*$V$3</f>
        <v>0.43112552977947749</v>
      </c>
      <c r="Z323" s="39">
        <f>MIP[[#This Row],[HH disponível]]-MIP[[#This Row],[HH AC TOT]]</f>
        <v>0.3249999999999999</v>
      </c>
      <c r="AA323" s="38">
        <f>MIP[[#This Row],[HH Produtivo
Total]]/MIP[[#This Row],[HH Trabalhado]]</f>
        <v>1.3265400916291619</v>
      </c>
      <c r="AB323" s="38">
        <f>MIP[[#This Row],[HH Produtivo
Total]]/MIP[[#This Row],[HH disponível]]</f>
        <v>1.1757968993985748</v>
      </c>
      <c r="AC323" s="38">
        <f>MIP[[#This Row],[HH Trabalhado]]/MIP[[#This Row],[HH disponível]]</f>
        <v>0.88636363636363591</v>
      </c>
      <c r="AD323" s="37" t="str">
        <f>LEFT(MIP[[#This Row],[Equipe]], SEARCH("/",MIP[[#This Row],[Equipe]],1)-1)</f>
        <v xml:space="preserve">EDILTON </v>
      </c>
      <c r="AE323" s="37" t="str">
        <f>RIGHT(MIP[[#This Row],[Equipe]], LEN(MIP[[#This Row],[Equipe]])-SEARCH("/",MIP[[#This Row],[Equipe]],1))</f>
        <v xml:space="preserve"> GECIVALDO</v>
      </c>
      <c r="AF323" s="44">
        <f>COUNTIFS('[1]Tempo parado'!H:H,"&gt;="&amp;MIP[[#This Row],[S.B Sitrack]],'[1]Tempo parado'!I:I,"&lt;="&amp;MIP[[#This Row],[C.B Sitrack]],'[1]Tempo parado'!B:B,MIP[[#This Row],[Placa]])</f>
        <v>0</v>
      </c>
      <c r="AG323" s="36"/>
      <c r="AH323" s="35"/>
      <c r="AI323" s="34"/>
      <c r="AJ323" s="34"/>
      <c r="AK32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2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23" s="32">
        <f>SUMIFS('[1]Tempo parado'!J:J,'[1]Tempo parado'!H:H,"&gt;="&amp;MIP[[#This Row],[S.B Sitrack]],'[1]Tempo parado'!I:I,"&lt;="&amp;MIP[[#This Row],[C.B Sitrack]],'[1]Tempo parado'!B:B,MIP[[#This Row],[Placa]])</f>
        <v>0</v>
      </c>
      <c r="AN323" s="32" t="str">
        <f>IFERROR(MIP[[#This Row],[Tempo parado]]/(MIP[[#This Row],[C.B Sitrack]]-MIP[[#This Row],[S.B Sitrack]]),"")</f>
        <v/>
      </c>
      <c r="AO323" s="30"/>
      <c r="AP323" s="44">
        <f>IF(AND(MIP[Exc]=0,MIP[Previsto / Realizado]="Realizado"),MIP[Sem],0)</f>
        <v>0</v>
      </c>
      <c r="AQ323" s="29">
        <f>IF(AND(MIP[Exc]=0,MIP[Previsto / Realizado]="Realizado",ISBLANK(MIP[[#This Row],[S.B Sitrack]])=FALSE,ISBLANK(MIP[[#This Row],[C.B Sitrack]])=FALSE),MIP[Sem],0)</f>
        <v>0</v>
      </c>
    </row>
    <row r="324" spans="1:43" x14ac:dyDescent="0.25">
      <c r="B324" s="44">
        <f>WEEKNUM(MIP[[#This Row],[Data]])</f>
        <v>31</v>
      </c>
      <c r="C324" s="45">
        <v>42948</v>
      </c>
      <c r="D324" s="45"/>
      <c r="E324" s="35" t="s">
        <v>3</v>
      </c>
      <c r="F324" s="35" t="s">
        <v>2</v>
      </c>
      <c r="G324" s="35"/>
      <c r="H324" s="44">
        <v>2</v>
      </c>
      <c r="I324" s="44">
        <v>8</v>
      </c>
      <c r="J324" s="44">
        <v>1</v>
      </c>
      <c r="K324" s="44">
        <v>0</v>
      </c>
      <c r="L324" s="44">
        <v>0</v>
      </c>
      <c r="M324" s="43">
        <v>0.62291666666666667</v>
      </c>
      <c r="N324" s="43">
        <v>0.68055555555555547</v>
      </c>
      <c r="O324" s="43">
        <f>1+25/24/60</f>
        <v>1.0173611111111112</v>
      </c>
      <c r="P324" s="43">
        <f>1+50/24/60</f>
        <v>1.0347222222222223</v>
      </c>
      <c r="Q324" s="39"/>
      <c r="R324" s="42" t="s">
        <v>348</v>
      </c>
      <c r="S324" s="29">
        <f>MIP[[#This Row],[PT-1]]+MIP[[#This Row],[PT-2]]*2+MIP[[#This Row],[PT-3]]*3+MIP[[#This Row],[PT &gt; 3 Pontos]]</f>
        <v>10</v>
      </c>
      <c r="T32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7.4999999999999956E-2</v>
      </c>
      <c r="U324" s="39">
        <f>IF(MIP[[#This Row],[P.S]]-MIP[[#This Row],[U.P]]&gt;=0,MIP[[#This Row],[P.S]]-MIP[[#This Row],[U.P]]+MIP[[#This Row],[S.B]]-MIP[[#This Row],[P.E]],1+MIP[[#This Row],[P.S]]-MIP[[#This Row],[U.P]]+MIP[[#This Row],[S.B]]-MIP[[#This Row],[P.E]])</f>
        <v>7.4999999999999956E-2</v>
      </c>
      <c r="V324" s="41">
        <f>MIP[[#This Row],[Eficiência]]</f>
        <v>0.82712105711849881</v>
      </c>
      <c r="W32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24" s="39">
        <f>IF(MIP[[#This Row],[P.S]]-MIP[[#This Row],[P.E]]&lt;0,1+MIP[[#This Row],[P.S]]-MIP[[#This Row],[P.E]]-1/24,MIP[[#This Row],[P.S]]-MIP[[#This Row],[P.E]]-1/24)</f>
        <v>0.37013888888888896</v>
      </c>
      <c r="Y324" s="39">
        <f>MIP[[#This Row],[PT-1]]*$S$3+MIP[[#This Row],[PT-2]]*$T$3+MIP[[#This Row],[PT-3]]*$U$3+MIP[[#This Row],[PT &gt; 3 Pontos]]*$V$3</f>
        <v>0.24411558977455702</v>
      </c>
      <c r="Z324" s="39">
        <f>MIP[[#This Row],[HH disponível]]-MIP[[#This Row],[HH AC TOT]]</f>
        <v>0.29513888888888901</v>
      </c>
      <c r="AA324" s="38">
        <f>MIP[[#This Row],[HH Produtivo
Total]]/MIP[[#This Row],[HH Trabalhado]]</f>
        <v>0.82712105711849881</v>
      </c>
      <c r="AB324" s="38">
        <f>MIP[[#This Row],[HH Produtivo
Total]]/MIP[[#This Row],[HH disponível]]</f>
        <v>0.65952429507572619</v>
      </c>
      <c r="AC324" s="38">
        <f>MIP[[#This Row],[HH Trabalhado]]/MIP[[#This Row],[HH disponível]]</f>
        <v>0.79737335834896828</v>
      </c>
      <c r="AD324" s="37" t="str">
        <f>LEFT(MIP[[#This Row],[Equipe]], SEARCH("/",MIP[[#This Row],[Equipe]],1)-1)</f>
        <v xml:space="preserve">EDILTON </v>
      </c>
      <c r="AE324" s="37" t="str">
        <f>RIGHT(MIP[[#This Row],[Equipe]], LEN(MIP[[#This Row],[Equipe]])-SEARCH("/",MIP[[#This Row],[Equipe]],1))</f>
        <v xml:space="preserve"> GECIVALDO</v>
      </c>
      <c r="AF324" s="44">
        <f>COUNTIFS('[1]Tempo parado'!H:H,"&gt;="&amp;MIP[[#This Row],[S.B Sitrack]],'[1]Tempo parado'!I:I,"&lt;="&amp;MIP[[#This Row],[C.B Sitrack]],'[1]Tempo parado'!B:B,MIP[[#This Row],[Placa]])</f>
        <v>0</v>
      </c>
      <c r="AG324" s="36"/>
      <c r="AH324" s="35"/>
      <c r="AI324" s="34"/>
      <c r="AJ324" s="34"/>
      <c r="AK32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2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24" s="32">
        <f>SUMIFS('[1]Tempo parado'!J:J,'[1]Tempo parado'!H:H,"&gt;="&amp;MIP[[#This Row],[S.B Sitrack]],'[1]Tempo parado'!I:I,"&lt;="&amp;MIP[[#This Row],[C.B Sitrack]],'[1]Tempo parado'!B:B,MIP[[#This Row],[Placa]])</f>
        <v>0</v>
      </c>
      <c r="AN324" s="32" t="str">
        <f>IFERROR(MIP[[#This Row],[Tempo parado]]/(MIP[[#This Row],[C.B Sitrack]]-MIP[[#This Row],[S.B Sitrack]]),"")</f>
        <v/>
      </c>
      <c r="AO324" s="30"/>
      <c r="AP324" s="44">
        <f>IF(AND(MIP[Exc]=0,MIP[Previsto / Realizado]="Realizado"),MIP[Sem],0)</f>
        <v>31</v>
      </c>
      <c r="AQ324" s="29">
        <f>IF(AND(MIP[Exc]=0,MIP[Previsto / Realizado]="Realizado",ISBLANK(MIP[[#This Row],[S.B Sitrack]])=FALSE,ISBLANK(MIP[[#This Row],[C.B Sitrack]])=FALSE),MIP[Sem],0)</f>
        <v>0</v>
      </c>
    </row>
    <row r="325" spans="1:43" x14ac:dyDescent="0.25">
      <c r="B325" s="44">
        <f>WEEKNUM(MIP[[#This Row],[Data]])</f>
        <v>31</v>
      </c>
      <c r="C325" s="45">
        <v>42948</v>
      </c>
      <c r="D325" s="45"/>
      <c r="E325" s="35" t="s">
        <v>10</v>
      </c>
      <c r="F325" s="35" t="s">
        <v>5</v>
      </c>
      <c r="G325" s="35"/>
      <c r="H325" s="44">
        <v>2</v>
      </c>
      <c r="I325" s="44">
        <v>6</v>
      </c>
      <c r="J325" s="44">
        <v>2</v>
      </c>
      <c r="K325" s="44">
        <v>0</v>
      </c>
      <c r="L325" s="44">
        <v>0</v>
      </c>
      <c r="M325" s="43">
        <v>0.25</v>
      </c>
      <c r="N325" s="43">
        <v>0.27083333333333331</v>
      </c>
      <c r="O325" s="43">
        <v>0.63750000000000007</v>
      </c>
      <c r="P325" s="43">
        <v>0.65833333333333333</v>
      </c>
      <c r="Q325" s="39"/>
      <c r="R325" s="42"/>
      <c r="S325" s="29">
        <f>MIP[[#This Row],[PT-1]]+MIP[[#This Row],[PT-2]]*2+MIP[[#This Row],[PT-3]]*3+MIP[[#This Row],[PT &gt; 3 Pontos]]</f>
        <v>10</v>
      </c>
      <c r="T32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325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325" s="41">
        <f>MIP[[#This Row],[Eficiência]]</f>
        <v>0.7322235383376684</v>
      </c>
      <c r="W32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25" s="39">
        <f>IF(MIP[[#This Row],[P.S]]-MIP[[#This Row],[P.E]]&lt;0,1+MIP[[#This Row],[P.S]]-MIP[[#This Row],[P.E]]-1/24,MIP[[#This Row],[P.S]]-MIP[[#This Row],[P.E]]-1/24)</f>
        <v>0.36666666666666664</v>
      </c>
      <c r="Y325" s="39">
        <f>MIP[[#This Row],[PT-1]]*$S$3+MIP[[#This Row],[PT-2]]*$T$3+MIP[[#This Row],[PT-3]]*$U$3+MIP[[#This Row],[PT &gt; 3 Pontos]]*$V$3</f>
        <v>0.23797264995974227</v>
      </c>
      <c r="Z325" s="39">
        <f>MIP[[#This Row],[HH disponível]]-MIP[[#This Row],[HH AC TOT]]</f>
        <v>0.32500000000000007</v>
      </c>
      <c r="AA325" s="38">
        <f>MIP[[#This Row],[HH Produtivo
Total]]/MIP[[#This Row],[HH Trabalhado]]</f>
        <v>0.7322235383376684</v>
      </c>
      <c r="AB325" s="38">
        <f>MIP[[#This Row],[HH Produtivo
Total]]/MIP[[#This Row],[HH disponível]]</f>
        <v>0.64901631807202442</v>
      </c>
      <c r="AC325" s="38">
        <f>MIP[[#This Row],[HH Trabalhado]]/MIP[[#This Row],[HH disponível]]</f>
        <v>0.88636363636363658</v>
      </c>
      <c r="AD325" s="37" t="str">
        <f>LEFT(MIP[[#This Row],[Equipe]], SEARCH("/",MIP[[#This Row],[Equipe]],1)-1)</f>
        <v xml:space="preserve">JOILSON </v>
      </c>
      <c r="AE325" s="37" t="str">
        <f>RIGHT(MIP[[#This Row],[Equipe]], LEN(MIP[[#This Row],[Equipe]])-SEARCH("/",MIP[[#This Row],[Equipe]],1))</f>
        <v xml:space="preserve"> VALDEI</v>
      </c>
      <c r="AF325" s="44">
        <f>COUNTIFS('[1]Tempo parado'!H:H,"&gt;="&amp;MIP[[#This Row],[S.B Sitrack]],'[1]Tempo parado'!I:I,"&lt;="&amp;MIP[[#This Row],[C.B Sitrack]],'[1]Tempo parado'!B:B,MIP[[#This Row],[Placa]])</f>
        <v>0</v>
      </c>
      <c r="AG325" s="36"/>
      <c r="AH325" s="35"/>
      <c r="AI325" s="34"/>
      <c r="AJ325" s="34"/>
      <c r="AK32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2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25" s="32">
        <f>SUMIFS('[1]Tempo parado'!J:J,'[1]Tempo parado'!H:H,"&gt;="&amp;MIP[[#This Row],[S.B Sitrack]],'[1]Tempo parado'!I:I,"&lt;="&amp;MIP[[#This Row],[C.B Sitrack]],'[1]Tempo parado'!B:B,MIP[[#This Row],[Placa]])</f>
        <v>0</v>
      </c>
      <c r="AN325" s="32" t="str">
        <f>IFERROR(MIP[[#This Row],[Tempo parado]]/(MIP[[#This Row],[C.B Sitrack]]-MIP[[#This Row],[S.B Sitrack]]),"")</f>
        <v/>
      </c>
      <c r="AO325" s="30"/>
      <c r="AP325" s="44">
        <f>IF(AND(MIP[Exc]=0,MIP[Previsto / Realizado]="Realizado"),MIP[Sem],0)</f>
        <v>0</v>
      </c>
      <c r="AQ325" s="29">
        <f>IF(AND(MIP[Exc]=0,MIP[Previsto / Realizado]="Realizado",ISBLANK(MIP[[#This Row],[S.B Sitrack]])=FALSE,ISBLANK(MIP[[#This Row],[C.B Sitrack]])=FALSE),MIP[Sem],0)</f>
        <v>0</v>
      </c>
    </row>
    <row r="326" spans="1:43" x14ac:dyDescent="0.25">
      <c r="B326" s="44">
        <f>WEEKNUM(MIP[[#This Row],[Data]])</f>
        <v>31</v>
      </c>
      <c r="C326" s="45">
        <v>42948</v>
      </c>
      <c r="D326" s="45"/>
      <c r="E326" s="35" t="s">
        <v>10</v>
      </c>
      <c r="F326" s="35" t="s">
        <v>2</v>
      </c>
      <c r="G326" s="35"/>
      <c r="H326" s="44">
        <v>2</v>
      </c>
      <c r="I326" s="44">
        <v>6</v>
      </c>
      <c r="J326" s="44">
        <v>2</v>
      </c>
      <c r="K326" s="44">
        <v>0</v>
      </c>
      <c r="L326" s="44">
        <v>0</v>
      </c>
      <c r="M326" s="43">
        <v>0.25138888888888888</v>
      </c>
      <c r="N326" s="43">
        <v>0.28680555555555554</v>
      </c>
      <c r="O326" s="43">
        <v>0.61805555555555558</v>
      </c>
      <c r="P326" s="43">
        <v>0.66319444444444442</v>
      </c>
      <c r="Q326" s="39"/>
      <c r="R326" s="42"/>
      <c r="S326" s="29">
        <f>MIP[[#This Row],[PT-1]]+MIP[[#This Row],[PT-2]]*2+MIP[[#This Row],[PT-3]]*3+MIP[[#This Row],[PT &gt; 3 Pontos]]</f>
        <v>10</v>
      </c>
      <c r="T32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8.0555555555555491E-2</v>
      </c>
      <c r="U326" s="39">
        <f>IF(MIP[[#This Row],[P.S]]-MIP[[#This Row],[U.P]]&gt;=0,MIP[[#This Row],[P.S]]-MIP[[#This Row],[U.P]]+MIP[[#This Row],[S.B]]-MIP[[#This Row],[P.E]],1+MIP[[#This Row],[P.S]]-MIP[[#This Row],[U.P]]+MIP[[#This Row],[S.B]]-MIP[[#This Row],[P.E]])</f>
        <v>8.0555555555555491E-2</v>
      </c>
      <c r="V326" s="41">
        <f>MIP[[#This Row],[Eficiência]]</f>
        <v>0.8217760574149372</v>
      </c>
      <c r="W32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26" s="39">
        <f>IF(MIP[[#This Row],[P.S]]-MIP[[#This Row],[P.E]]&lt;0,1+MIP[[#This Row],[P.S]]-MIP[[#This Row],[P.E]]-1/24,MIP[[#This Row],[P.S]]-MIP[[#This Row],[P.E]]-1/24)</f>
        <v>0.37013888888888885</v>
      </c>
      <c r="Y326" s="39">
        <f>MIP[[#This Row],[PT-1]]*$S$3+MIP[[#This Row],[PT-2]]*$T$3+MIP[[#This Row],[PT-3]]*$U$3+MIP[[#This Row],[PT &gt; 3 Pontos]]*$V$3</f>
        <v>0.23797264995974227</v>
      </c>
      <c r="Z326" s="39">
        <f>MIP[[#This Row],[HH disponível]]-MIP[[#This Row],[HH AC TOT]]</f>
        <v>0.28958333333333336</v>
      </c>
      <c r="AA326" s="38">
        <f>MIP[[#This Row],[HH Produtivo
Total]]/MIP[[#This Row],[HH Trabalhado]]</f>
        <v>0.8217760574149372</v>
      </c>
      <c r="AB326" s="38">
        <f>MIP[[#This Row],[HH Produtivo
Total]]/MIP[[#This Row],[HH disponível]]</f>
        <v>0.64292798488185532</v>
      </c>
      <c r="AC326" s="38">
        <f>MIP[[#This Row],[HH Trabalhado]]/MIP[[#This Row],[HH disponível]]</f>
        <v>0.7823639774859289</v>
      </c>
      <c r="AD326" s="37" t="str">
        <f>LEFT(MIP[[#This Row],[Equipe]], SEARCH("/",MIP[[#This Row],[Equipe]],1)-1)</f>
        <v xml:space="preserve">JOILSON </v>
      </c>
      <c r="AE326" s="37" t="str">
        <f>RIGHT(MIP[[#This Row],[Equipe]], LEN(MIP[[#This Row],[Equipe]])-SEARCH("/",MIP[[#This Row],[Equipe]],1))</f>
        <v xml:space="preserve"> VALDEI</v>
      </c>
      <c r="AF326" s="44">
        <f>COUNTIFS('[1]Tempo parado'!H:H,"&gt;="&amp;MIP[[#This Row],[S.B Sitrack]],'[1]Tempo parado'!I:I,"&lt;="&amp;MIP[[#This Row],[C.B Sitrack]],'[1]Tempo parado'!B:B,MIP[[#This Row],[Placa]])</f>
        <v>0</v>
      </c>
      <c r="AG326" s="36"/>
      <c r="AH326" s="35"/>
      <c r="AI326" s="34"/>
      <c r="AJ326" s="34"/>
      <c r="AK32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2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26" s="32">
        <f>SUMIFS('[1]Tempo parado'!J:J,'[1]Tempo parado'!H:H,"&gt;="&amp;MIP[[#This Row],[S.B Sitrack]],'[1]Tempo parado'!I:I,"&lt;="&amp;MIP[[#This Row],[C.B Sitrack]],'[1]Tempo parado'!B:B,MIP[[#This Row],[Placa]])</f>
        <v>0</v>
      </c>
      <c r="AN326" s="32" t="str">
        <f>IFERROR(MIP[[#This Row],[Tempo parado]]/(MIP[[#This Row],[C.B Sitrack]]-MIP[[#This Row],[S.B Sitrack]]),"")</f>
        <v/>
      </c>
      <c r="AO326" s="30"/>
      <c r="AP326" s="44">
        <f>IF(AND(MIP[Exc]=0,MIP[Previsto / Realizado]="Realizado"),MIP[Sem],0)</f>
        <v>31</v>
      </c>
      <c r="AQ326" s="29">
        <f>IF(AND(MIP[Exc]=0,MIP[Previsto / Realizado]="Realizado",ISBLANK(MIP[[#This Row],[S.B Sitrack]])=FALSE,ISBLANK(MIP[[#This Row],[C.B Sitrack]])=FALSE),MIP[Sem],0)</f>
        <v>0</v>
      </c>
    </row>
    <row r="327" spans="1:43" x14ac:dyDescent="0.25">
      <c r="B327" s="44">
        <f>WEEKNUM(MIP[[#This Row],[Data]])</f>
        <v>31</v>
      </c>
      <c r="C327" s="45">
        <v>42949</v>
      </c>
      <c r="D327" s="45"/>
      <c r="E327" s="35" t="s">
        <v>7</v>
      </c>
      <c r="F327" s="35" t="s">
        <v>5</v>
      </c>
      <c r="G327" s="35"/>
      <c r="H327" s="44">
        <v>2</v>
      </c>
      <c r="I327" s="44">
        <v>6</v>
      </c>
      <c r="J327" s="44">
        <v>1</v>
      </c>
      <c r="K327" s="44">
        <v>0</v>
      </c>
      <c r="L327" s="44">
        <v>0</v>
      </c>
      <c r="M327" s="43">
        <v>0.625</v>
      </c>
      <c r="N327" s="43">
        <v>0.64583333333333337</v>
      </c>
      <c r="O327" s="43">
        <f>1+18/24/60</f>
        <v>1.0125</v>
      </c>
      <c r="P327" s="43">
        <f>1+48/24/60</f>
        <v>1.0333333333333334</v>
      </c>
      <c r="Q327" s="39"/>
      <c r="R327" s="42"/>
      <c r="S327" s="29">
        <f>MIP[[#This Row],[PT-1]]+MIP[[#This Row],[PT-2]]*2+MIP[[#This Row],[PT-3]]*3+MIP[[#This Row],[PT &gt; 3 Pontos]]</f>
        <v>8</v>
      </c>
      <c r="T32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327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327" s="41">
        <f>MIP[[#This Row],[Eficiência]]</f>
        <v>0.59711964263594686</v>
      </c>
      <c r="W32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27" s="39">
        <f>IF(MIP[[#This Row],[P.S]]-MIP[[#This Row],[P.E]]&lt;0,1+MIP[[#This Row],[P.S]]-MIP[[#This Row],[P.E]]-1/24,MIP[[#This Row],[P.S]]-MIP[[#This Row],[P.E]]-1/24)</f>
        <v>0.36666666666666675</v>
      </c>
      <c r="Y327" s="39">
        <f>MIP[[#This Row],[PT-1]]*$S$3+MIP[[#This Row],[PT-2]]*$T$3+MIP[[#This Row],[PT-3]]*$U$3+MIP[[#This Row],[PT &gt; 3 Pontos]]*$V$3</f>
        <v>0.19406388385668266</v>
      </c>
      <c r="Z327" s="39">
        <f>MIP[[#This Row],[HH disponível]]-MIP[[#This Row],[HH AC TOT]]</f>
        <v>0.3249999999999999</v>
      </c>
      <c r="AA327" s="38">
        <f>MIP[[#This Row],[HH Produtivo
Total]]/MIP[[#This Row],[HH Trabalhado]]</f>
        <v>0.59711964263594686</v>
      </c>
      <c r="AB327" s="38">
        <f>MIP[[#This Row],[HH Produtivo
Total]]/MIP[[#This Row],[HH disponível]]</f>
        <v>0.52926513779095263</v>
      </c>
      <c r="AC327" s="38">
        <f>MIP[[#This Row],[HH Trabalhado]]/MIP[[#This Row],[HH disponível]]</f>
        <v>0.88636363636363591</v>
      </c>
      <c r="AD327" s="37" t="str">
        <f>LEFT(MIP[[#This Row],[Equipe]], SEARCH("/",MIP[[#This Row],[Equipe]],1)-1)</f>
        <v xml:space="preserve">ANDERSON </v>
      </c>
      <c r="AE327" s="37" t="str">
        <f>RIGHT(MIP[[#This Row],[Equipe]], LEN(MIP[[#This Row],[Equipe]])-SEARCH("/",MIP[[#This Row],[Equipe]],1))</f>
        <v xml:space="preserve"> MARCO</v>
      </c>
      <c r="AF327" s="44">
        <f>COUNTIFS('[1]Tempo parado'!H:H,"&gt;="&amp;MIP[[#This Row],[S.B Sitrack]],'[1]Tempo parado'!I:I,"&lt;="&amp;MIP[[#This Row],[C.B Sitrack]],'[1]Tempo parado'!B:B,MIP[[#This Row],[Placa]])</f>
        <v>0</v>
      </c>
      <c r="AG327" s="36"/>
      <c r="AH327" s="35"/>
      <c r="AI327" s="34"/>
      <c r="AJ327" s="34"/>
      <c r="AK32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2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27" s="32">
        <f>SUMIFS('[1]Tempo parado'!J:J,'[1]Tempo parado'!H:H,"&gt;="&amp;MIP[[#This Row],[S.B Sitrack]],'[1]Tempo parado'!I:I,"&lt;="&amp;MIP[[#This Row],[C.B Sitrack]],'[1]Tempo parado'!B:B,MIP[[#This Row],[Placa]])</f>
        <v>0</v>
      </c>
      <c r="AN327" s="32" t="str">
        <f>IFERROR(MIP[[#This Row],[Tempo parado]]/(MIP[[#This Row],[C.B Sitrack]]-MIP[[#This Row],[S.B Sitrack]]),"")</f>
        <v/>
      </c>
      <c r="AO327" s="30"/>
      <c r="AP327" s="44">
        <f>IF(AND(MIP[Exc]=0,MIP[Previsto / Realizado]="Realizado"),MIP[Sem],0)</f>
        <v>0</v>
      </c>
      <c r="AQ327" s="29">
        <f>IF(AND(MIP[Exc]=0,MIP[Previsto / Realizado]="Realizado",ISBLANK(MIP[[#This Row],[S.B Sitrack]])=FALSE,ISBLANK(MIP[[#This Row],[C.B Sitrack]])=FALSE),MIP[Sem],0)</f>
        <v>0</v>
      </c>
    </row>
    <row r="328" spans="1:43" x14ac:dyDescent="0.25">
      <c r="B328" s="44">
        <f>WEEKNUM(MIP[[#This Row],[Data]])</f>
        <v>31</v>
      </c>
      <c r="C328" s="45">
        <v>42949</v>
      </c>
      <c r="D328" s="45"/>
      <c r="E328" s="35" t="s">
        <v>7</v>
      </c>
      <c r="F328" s="35" t="s">
        <v>2</v>
      </c>
      <c r="G328" s="35"/>
      <c r="H328" s="44">
        <v>2</v>
      </c>
      <c r="I328" s="44">
        <v>6</v>
      </c>
      <c r="J328" s="44">
        <v>1</v>
      </c>
      <c r="K328" s="44">
        <v>0</v>
      </c>
      <c r="L328" s="44">
        <v>4</v>
      </c>
      <c r="M328" s="43">
        <v>0.63888888888888895</v>
      </c>
      <c r="N328" s="43">
        <v>0.67013888888888884</v>
      </c>
      <c r="O328" s="43">
        <f>1+22/24/60</f>
        <v>1.0152777777777777</v>
      </c>
      <c r="P328" s="43">
        <f>1+48/24/60</f>
        <v>1.0333333333333334</v>
      </c>
      <c r="Q328" s="39"/>
      <c r="R328" s="42" t="s">
        <v>347</v>
      </c>
      <c r="S328" s="29">
        <f>MIP[[#This Row],[PT-1]]+MIP[[#This Row],[PT-2]]*2+MIP[[#This Row],[PT-3]]*3+MIP[[#This Row],[PT &gt; 3 Pontos]]</f>
        <v>12</v>
      </c>
      <c r="T32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4.9305555555555602E-2</v>
      </c>
      <c r="U328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4.9305555555555602E-2</v>
      </c>
      <c r="V328" s="41">
        <f>MIP[[#This Row],[Eficiência]]</f>
        <v>0.90636278129686743</v>
      </c>
      <c r="W32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28" s="39">
        <f>IF(MIP[[#This Row],[P.S]]-MIP[[#This Row],[P.E]]&lt;0,1+MIP[[#This Row],[P.S]]-MIP[[#This Row],[P.E]]-1/24,MIP[[#This Row],[P.S]]-MIP[[#This Row],[P.E]]-1/24)</f>
        <v>0.3527777777777778</v>
      </c>
      <c r="Y328" s="39">
        <f>MIP[[#This Row],[PT-1]]*$S$3+MIP[[#This Row],[PT-2]]*$T$3+MIP[[#This Row],[PT-3]]*$U$3+MIP[[#This Row],[PT &gt; 3 Pontos]]*$V$3</f>
        <v>0.27505592737967433</v>
      </c>
      <c r="Z328" s="39">
        <f>MIP[[#This Row],[HH disponível]]-MIP[[#This Row],[HH AC TOT]]</f>
        <v>0.3034722222222222</v>
      </c>
      <c r="AA328" s="38">
        <f>MIP[[#This Row],[HH Produtivo
Total]]/MIP[[#This Row],[HH Trabalhado]]</f>
        <v>0.90636278129686743</v>
      </c>
      <c r="AB328" s="38">
        <f>MIP[[#This Row],[HH Produtivo
Total]]/MIP[[#This Row],[HH disponível]]</f>
        <v>0.77968609335970673</v>
      </c>
      <c r="AC328" s="38">
        <f>MIP[[#This Row],[HH Trabalhado]]/MIP[[#This Row],[HH disponível]]</f>
        <v>0.86023622047244086</v>
      </c>
      <c r="AD328" s="37" t="str">
        <f>LEFT(MIP[[#This Row],[Equipe]], SEARCH("/",MIP[[#This Row],[Equipe]],1)-1)</f>
        <v xml:space="preserve">ANDERSON </v>
      </c>
      <c r="AE328" s="37" t="str">
        <f>RIGHT(MIP[[#This Row],[Equipe]], LEN(MIP[[#This Row],[Equipe]])-SEARCH("/",MIP[[#This Row],[Equipe]],1))</f>
        <v xml:space="preserve"> MARCO</v>
      </c>
      <c r="AF328" s="44">
        <f>COUNTIFS('[1]Tempo parado'!H:H,"&gt;="&amp;MIP[[#This Row],[S.B Sitrack]],'[1]Tempo parado'!I:I,"&lt;="&amp;MIP[[#This Row],[C.B Sitrack]],'[1]Tempo parado'!B:B,MIP[[#This Row],[Placa]])</f>
        <v>0</v>
      </c>
      <c r="AG328" s="36"/>
      <c r="AH328" s="35"/>
      <c r="AI328" s="34"/>
      <c r="AJ328" s="34"/>
      <c r="AK32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2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28" s="32">
        <f>SUMIFS('[1]Tempo parado'!J:J,'[1]Tempo parado'!H:H,"&gt;="&amp;MIP[[#This Row],[S.B Sitrack]],'[1]Tempo parado'!I:I,"&lt;="&amp;MIP[[#This Row],[C.B Sitrack]],'[1]Tempo parado'!B:B,MIP[[#This Row],[Placa]])</f>
        <v>0</v>
      </c>
      <c r="AN328" s="32" t="str">
        <f>IFERROR(MIP[[#This Row],[Tempo parado]]/(MIP[[#This Row],[C.B Sitrack]]-MIP[[#This Row],[S.B Sitrack]]),"")</f>
        <v/>
      </c>
      <c r="AO328" s="30"/>
      <c r="AP328" s="44">
        <f>IF(AND(MIP[Exc]=0,MIP[Previsto / Realizado]="Realizado"),MIP[Sem],0)</f>
        <v>31</v>
      </c>
      <c r="AQ328" s="29">
        <f>IF(AND(MIP[Exc]=0,MIP[Previsto / Realizado]="Realizado",ISBLANK(MIP[[#This Row],[S.B Sitrack]])=FALSE,ISBLANK(MIP[[#This Row],[C.B Sitrack]])=FALSE),MIP[Sem],0)</f>
        <v>0</v>
      </c>
    </row>
    <row r="329" spans="1:43" x14ac:dyDescent="0.25">
      <c r="B329" s="44">
        <f>WEEKNUM(MIP[[#This Row],[Data]])</f>
        <v>31</v>
      </c>
      <c r="C329" s="45">
        <v>42949</v>
      </c>
      <c r="D329" s="45"/>
      <c r="E329" s="35" t="s">
        <v>3</v>
      </c>
      <c r="F329" s="35" t="s">
        <v>5</v>
      </c>
      <c r="G329" s="35"/>
      <c r="H329" s="44">
        <v>2</v>
      </c>
      <c r="I329" s="44">
        <v>3</v>
      </c>
      <c r="J329" s="44">
        <v>2</v>
      </c>
      <c r="K329" s="44">
        <v>1</v>
      </c>
      <c r="L329" s="44">
        <v>8</v>
      </c>
      <c r="M329" s="43">
        <v>0.625</v>
      </c>
      <c r="N329" s="43">
        <v>0.64583333333333337</v>
      </c>
      <c r="O329" s="43">
        <f>1+18/24/60</f>
        <v>1.0125</v>
      </c>
      <c r="P329" s="43">
        <f>1+48/24/60</f>
        <v>1.0333333333333334</v>
      </c>
      <c r="Q329" s="39"/>
      <c r="R329" s="42"/>
      <c r="S329" s="29">
        <f>MIP[[#This Row],[PT-1]]+MIP[[#This Row],[PT-2]]*2+MIP[[#This Row],[PT-3]]*3+MIP[[#This Row],[PT &gt; 3 Pontos]]</f>
        <v>18</v>
      </c>
      <c r="T32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329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329" s="41">
        <f>MIP[[#This Row],[Eficiência]]</f>
        <v>1.1928334073110649</v>
      </c>
      <c r="W32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29" s="39">
        <f>IF(MIP[[#This Row],[P.S]]-MIP[[#This Row],[P.E]]&lt;0,1+MIP[[#This Row],[P.S]]-MIP[[#This Row],[P.E]]-1/24,MIP[[#This Row],[P.S]]-MIP[[#This Row],[P.E]]-1/24)</f>
        <v>0.36666666666666675</v>
      </c>
      <c r="Y329" s="39">
        <f>MIP[[#This Row],[PT-1]]*$S$3+MIP[[#This Row],[PT-2]]*$T$3+MIP[[#This Row],[PT-3]]*$U$3+MIP[[#This Row],[PT &gt; 3 Pontos]]*$V$3</f>
        <v>0.38767085737609597</v>
      </c>
      <c r="Z329" s="39">
        <f>MIP[[#This Row],[HH disponível]]-MIP[[#This Row],[HH AC TOT]]</f>
        <v>0.3249999999999999</v>
      </c>
      <c r="AA329" s="38">
        <f>MIP[[#This Row],[HH Produtivo
Total]]/MIP[[#This Row],[HH Trabalhado]]</f>
        <v>1.1928334073110649</v>
      </c>
      <c r="AB329" s="38">
        <f>MIP[[#This Row],[HH Produtivo
Total]]/MIP[[#This Row],[HH disponível]]</f>
        <v>1.0572841564802615</v>
      </c>
      <c r="AC329" s="38">
        <f>MIP[[#This Row],[HH Trabalhado]]/MIP[[#This Row],[HH disponível]]</f>
        <v>0.88636363636363591</v>
      </c>
      <c r="AD329" s="37" t="str">
        <f>LEFT(MIP[[#This Row],[Equipe]], SEARCH("/",MIP[[#This Row],[Equipe]],1)-1)</f>
        <v xml:space="preserve">EDILTON </v>
      </c>
      <c r="AE329" s="37" t="str">
        <f>RIGHT(MIP[[#This Row],[Equipe]], LEN(MIP[[#This Row],[Equipe]])-SEARCH("/",MIP[[#This Row],[Equipe]],1))</f>
        <v xml:space="preserve"> GECIVALDO</v>
      </c>
      <c r="AF329" s="44">
        <f>COUNTIFS('[1]Tempo parado'!H:H,"&gt;="&amp;MIP[[#This Row],[S.B Sitrack]],'[1]Tempo parado'!I:I,"&lt;="&amp;MIP[[#This Row],[C.B Sitrack]],'[1]Tempo parado'!B:B,MIP[[#This Row],[Placa]])</f>
        <v>0</v>
      </c>
      <c r="AG329" s="36"/>
      <c r="AH329" s="35"/>
      <c r="AI329" s="34"/>
      <c r="AJ329" s="34"/>
      <c r="AK32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2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29" s="32">
        <f>SUMIFS('[1]Tempo parado'!J:J,'[1]Tempo parado'!H:H,"&gt;="&amp;MIP[[#This Row],[S.B Sitrack]],'[1]Tempo parado'!I:I,"&lt;="&amp;MIP[[#This Row],[C.B Sitrack]],'[1]Tempo parado'!B:B,MIP[[#This Row],[Placa]])</f>
        <v>0</v>
      </c>
      <c r="AN329" s="32" t="str">
        <f>IFERROR(MIP[[#This Row],[Tempo parado]]/(MIP[[#This Row],[C.B Sitrack]]-MIP[[#This Row],[S.B Sitrack]]),"")</f>
        <v/>
      </c>
      <c r="AO329" s="30"/>
      <c r="AP329" s="44">
        <f>IF(AND(MIP[Exc]=0,MIP[Previsto / Realizado]="Realizado"),MIP[Sem],0)</f>
        <v>0</v>
      </c>
      <c r="AQ329" s="29">
        <f>IF(AND(MIP[Exc]=0,MIP[Previsto / Realizado]="Realizado",ISBLANK(MIP[[#This Row],[S.B Sitrack]])=FALSE,ISBLANK(MIP[[#This Row],[C.B Sitrack]])=FALSE),MIP[Sem],0)</f>
        <v>0</v>
      </c>
    </row>
    <row r="330" spans="1:43" x14ac:dyDescent="0.25">
      <c r="B330" s="44">
        <f>WEEKNUM(MIP[[#This Row],[Data]])</f>
        <v>31</v>
      </c>
      <c r="C330" s="45">
        <v>42949</v>
      </c>
      <c r="D330" s="45"/>
      <c r="E330" s="35" t="s">
        <v>3</v>
      </c>
      <c r="F330" s="35" t="s">
        <v>2</v>
      </c>
      <c r="G330" s="35"/>
      <c r="H330" s="44">
        <v>2</v>
      </c>
      <c r="I330" s="44">
        <v>3</v>
      </c>
      <c r="J330" s="44">
        <v>2</v>
      </c>
      <c r="K330" s="44">
        <v>1</v>
      </c>
      <c r="L330" s="44">
        <v>4</v>
      </c>
      <c r="M330" s="43">
        <v>0.63194444444444442</v>
      </c>
      <c r="N330" s="43">
        <v>0.67013888888888884</v>
      </c>
      <c r="O330" s="43">
        <f>1+22/24/60</f>
        <v>1.0152777777777777</v>
      </c>
      <c r="P330" s="43">
        <f>1+48/24/60</f>
        <v>1.0333333333333334</v>
      </c>
      <c r="Q330" s="39"/>
      <c r="R330" s="42"/>
      <c r="S330" s="29">
        <f>MIP[[#This Row],[PT-1]]+MIP[[#This Row],[PT-2]]*2+MIP[[#This Row],[PT-3]]*3+MIP[[#This Row],[PT &gt; 3 Pontos]]</f>
        <v>14</v>
      </c>
      <c r="T33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5.6250000000000133E-2</v>
      </c>
      <c r="U330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5.6250000000000133E-2</v>
      </c>
      <c r="V330" s="41">
        <f>MIP[[#This Row],[Eficiência]]</f>
        <v>1.0105663431315111</v>
      </c>
      <c r="W33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30" s="39">
        <f>IF(MIP[[#This Row],[P.S]]-MIP[[#This Row],[P.E]]&lt;0,1+MIP[[#This Row],[P.S]]-MIP[[#This Row],[P.E]]-1/24,MIP[[#This Row],[P.S]]-MIP[[#This Row],[P.E]]-1/24)</f>
        <v>0.35972222222222233</v>
      </c>
      <c r="Y330" s="39">
        <f>MIP[[#This Row],[PT-1]]*$S$3+MIP[[#This Row],[PT-2]]*$T$3+MIP[[#This Row],[PT-3]]*$U$3+MIP[[#This Row],[PT &gt; 3 Pontos]]*$V$3</f>
        <v>0.30667881385310436</v>
      </c>
      <c r="Z330" s="39">
        <f>MIP[[#This Row],[HH disponível]]-MIP[[#This Row],[HH AC TOT]]</f>
        <v>0.3034722222222222</v>
      </c>
      <c r="AA330" s="38">
        <f>MIP[[#This Row],[HH Produtivo
Total]]/MIP[[#This Row],[HH Trabalhado]]</f>
        <v>1.0105663431315111</v>
      </c>
      <c r="AB330" s="38">
        <f>MIP[[#This Row],[HH Produtivo
Total]]/MIP[[#This Row],[HH disponível]]</f>
        <v>0.85254342074994238</v>
      </c>
      <c r="AC330" s="38">
        <f>MIP[[#This Row],[HH Trabalhado]]/MIP[[#This Row],[HH disponível]]</f>
        <v>0.84362934362934328</v>
      </c>
      <c r="AD330" s="37" t="str">
        <f>LEFT(MIP[[#This Row],[Equipe]], SEARCH("/",MIP[[#This Row],[Equipe]],1)-1)</f>
        <v xml:space="preserve">EDILTON </v>
      </c>
      <c r="AE330" s="37" t="str">
        <f>RIGHT(MIP[[#This Row],[Equipe]], LEN(MIP[[#This Row],[Equipe]])-SEARCH("/",MIP[[#This Row],[Equipe]],1))</f>
        <v xml:space="preserve"> GECIVALDO</v>
      </c>
      <c r="AF330" s="44">
        <f>COUNTIFS('[1]Tempo parado'!H:H,"&gt;="&amp;MIP[[#This Row],[S.B Sitrack]],'[1]Tempo parado'!I:I,"&lt;="&amp;MIP[[#This Row],[C.B Sitrack]],'[1]Tempo parado'!B:B,MIP[[#This Row],[Placa]])</f>
        <v>0</v>
      </c>
      <c r="AG330" s="36"/>
      <c r="AH330" s="35"/>
      <c r="AI330" s="34"/>
      <c r="AJ330" s="34"/>
      <c r="AK33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3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30" s="32">
        <f>SUMIFS('[1]Tempo parado'!J:J,'[1]Tempo parado'!H:H,"&gt;="&amp;MIP[[#This Row],[S.B Sitrack]],'[1]Tempo parado'!I:I,"&lt;="&amp;MIP[[#This Row],[C.B Sitrack]],'[1]Tempo parado'!B:B,MIP[[#This Row],[Placa]])</f>
        <v>0</v>
      </c>
      <c r="AN330" s="32" t="str">
        <f>IFERROR(MIP[[#This Row],[Tempo parado]]/(MIP[[#This Row],[C.B Sitrack]]-MIP[[#This Row],[S.B Sitrack]]),"")</f>
        <v/>
      </c>
      <c r="AO330" s="30"/>
      <c r="AP330" s="44">
        <f>IF(AND(MIP[Exc]=0,MIP[Previsto / Realizado]="Realizado"),MIP[Sem],0)</f>
        <v>31</v>
      </c>
      <c r="AQ330" s="29">
        <f>IF(AND(MIP[Exc]=0,MIP[Previsto / Realizado]="Realizado",ISBLANK(MIP[[#This Row],[S.B Sitrack]])=FALSE,ISBLANK(MIP[[#This Row],[C.B Sitrack]])=FALSE),MIP[Sem],0)</f>
        <v>0</v>
      </c>
    </row>
    <row r="331" spans="1:43" x14ac:dyDescent="0.25">
      <c r="B331" s="44">
        <f>WEEKNUM(MIP[[#This Row],[Data]])</f>
        <v>31</v>
      </c>
      <c r="C331" s="45">
        <v>42949</v>
      </c>
      <c r="D331" s="45"/>
      <c r="E331" s="35" t="s">
        <v>19</v>
      </c>
      <c r="F331" s="35" t="s">
        <v>5</v>
      </c>
      <c r="G331" s="35"/>
      <c r="H331" s="44">
        <v>2</v>
      </c>
      <c r="I331" s="44">
        <v>0</v>
      </c>
      <c r="J331" s="44">
        <v>0</v>
      </c>
      <c r="K331" s="44">
        <v>1</v>
      </c>
      <c r="L331" s="44">
        <v>17</v>
      </c>
      <c r="M331" s="43">
        <v>0.625</v>
      </c>
      <c r="N331" s="43">
        <v>0.64583333333333337</v>
      </c>
      <c r="O331" s="43">
        <f>1+18/24/60</f>
        <v>1.0125</v>
      </c>
      <c r="P331" s="43">
        <f>1+48/24/60</f>
        <v>1.0333333333333334</v>
      </c>
      <c r="Q331" s="39"/>
      <c r="R331" s="42"/>
      <c r="S331" s="29">
        <f>MIP[[#This Row],[PT-1]]+MIP[[#This Row],[PT-2]]*2+MIP[[#This Row],[PT-3]]*3+MIP[[#This Row],[PT &gt; 3 Pontos]]</f>
        <v>20</v>
      </c>
      <c r="T33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331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331" s="41">
        <f>MIP[[#This Row],[Eficiência]]</f>
        <v>1.2523318899073741</v>
      </c>
      <c r="W33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31" s="39">
        <f>IF(MIP[[#This Row],[P.S]]-MIP[[#This Row],[P.E]]&lt;0,1+MIP[[#This Row],[P.S]]-MIP[[#This Row],[P.E]]-1/24,MIP[[#This Row],[P.S]]-MIP[[#This Row],[P.E]]-1/24)</f>
        <v>0.36666666666666675</v>
      </c>
      <c r="Y331" s="39">
        <f>MIP[[#This Row],[PT-1]]*$S$3+MIP[[#This Row],[PT-2]]*$T$3+MIP[[#This Row],[PT-3]]*$U$3+MIP[[#This Row],[PT &gt; 3 Pontos]]*$V$3</f>
        <v>0.40700786421989643</v>
      </c>
      <c r="Z331" s="39">
        <f>MIP[[#This Row],[HH disponível]]-MIP[[#This Row],[HH AC TOT]]</f>
        <v>0.3249999999999999</v>
      </c>
      <c r="AA331" s="38">
        <f>MIP[[#This Row],[HH Produtivo
Total]]/MIP[[#This Row],[HH Trabalhado]]</f>
        <v>1.2523318899073741</v>
      </c>
      <c r="AB331" s="38">
        <f>MIP[[#This Row],[HH Produtivo
Total]]/MIP[[#This Row],[HH disponível]]</f>
        <v>1.1100214478724446</v>
      </c>
      <c r="AC331" s="38">
        <f>MIP[[#This Row],[HH Trabalhado]]/MIP[[#This Row],[HH disponível]]</f>
        <v>0.88636363636363591</v>
      </c>
      <c r="AD331" s="37" t="str">
        <f>LEFT(MIP[[#This Row],[Equipe]], SEARCH("/",MIP[[#This Row],[Equipe]],1)-1)</f>
        <v xml:space="preserve">ADEMÁRIO </v>
      </c>
      <c r="AE331" s="37" t="str">
        <f>RIGHT(MIP[[#This Row],[Equipe]], LEN(MIP[[#This Row],[Equipe]])-SEARCH("/",MIP[[#This Row],[Equipe]],1))</f>
        <v xml:space="preserve"> RONALDO</v>
      </c>
      <c r="AF331" s="44">
        <f>COUNTIFS('[1]Tempo parado'!H:H,"&gt;="&amp;MIP[[#This Row],[S.B Sitrack]],'[1]Tempo parado'!I:I,"&lt;="&amp;MIP[[#This Row],[C.B Sitrack]],'[1]Tempo parado'!B:B,MIP[[#This Row],[Placa]])</f>
        <v>0</v>
      </c>
      <c r="AG331" s="36"/>
      <c r="AH331" s="35"/>
      <c r="AI331" s="34"/>
      <c r="AJ331" s="34"/>
      <c r="AK33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3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31" s="32">
        <f>SUMIFS('[1]Tempo parado'!J:J,'[1]Tempo parado'!H:H,"&gt;="&amp;MIP[[#This Row],[S.B Sitrack]],'[1]Tempo parado'!I:I,"&lt;="&amp;MIP[[#This Row],[C.B Sitrack]],'[1]Tempo parado'!B:B,MIP[[#This Row],[Placa]])</f>
        <v>0</v>
      </c>
      <c r="AN331" s="32" t="str">
        <f>IFERROR(MIP[[#This Row],[Tempo parado]]/(MIP[[#This Row],[C.B Sitrack]]-MIP[[#This Row],[S.B Sitrack]]),"")</f>
        <v/>
      </c>
      <c r="AO331" s="30"/>
      <c r="AP331" s="44">
        <f>IF(AND(MIP[Exc]=0,MIP[Previsto / Realizado]="Realizado"),MIP[Sem],0)</f>
        <v>0</v>
      </c>
      <c r="AQ331" s="29">
        <f>IF(AND(MIP[Exc]=0,MIP[Previsto / Realizado]="Realizado",ISBLANK(MIP[[#This Row],[S.B Sitrack]])=FALSE,ISBLANK(MIP[[#This Row],[C.B Sitrack]])=FALSE),MIP[Sem],0)</f>
        <v>0</v>
      </c>
    </row>
    <row r="332" spans="1:43" x14ac:dyDescent="0.25">
      <c r="B332" s="44">
        <f>WEEKNUM(MIP[[#This Row],[Data]])</f>
        <v>31</v>
      </c>
      <c r="C332" s="45">
        <v>42949</v>
      </c>
      <c r="D332" s="45"/>
      <c r="E332" s="35" t="s">
        <v>19</v>
      </c>
      <c r="F332" s="35" t="s">
        <v>2</v>
      </c>
      <c r="G332" s="35"/>
      <c r="H332" s="44">
        <v>2</v>
      </c>
      <c r="I332" s="44">
        <v>0</v>
      </c>
      <c r="J332" s="44">
        <v>0</v>
      </c>
      <c r="K332" s="44">
        <v>1</v>
      </c>
      <c r="L332" s="44">
        <v>17</v>
      </c>
      <c r="M332" s="43">
        <v>0.6430555555555556</v>
      </c>
      <c r="N332" s="43">
        <v>0.67013888888888884</v>
      </c>
      <c r="O332" s="43">
        <f>1+43/24/60</f>
        <v>1.0298611111111111</v>
      </c>
      <c r="P332" s="43">
        <f>1+64/24/60</f>
        <v>1.0444444444444445</v>
      </c>
      <c r="Q332" s="39">
        <v>2.0833333333333332E-2</v>
      </c>
      <c r="R332" s="42" t="s">
        <v>346</v>
      </c>
      <c r="S332" s="29">
        <f>MIP[[#This Row],[PT-1]]+MIP[[#This Row],[PT-2]]*2+MIP[[#This Row],[PT-3]]*3+MIP[[#This Row],[PT &gt; 3 Pontos]]</f>
        <v>20</v>
      </c>
      <c r="T33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6.2499999999999958E-2</v>
      </c>
      <c r="U332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4.166666666666663E-2</v>
      </c>
      <c r="V332" s="41">
        <f>MIP[[#This Row],[Eficiência]]</f>
        <v>1.3693722534501185</v>
      </c>
      <c r="W33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32" s="39">
        <f>IF(MIP[[#This Row],[P.S]]-MIP[[#This Row],[P.E]]&lt;0,1+MIP[[#This Row],[P.S]]-MIP[[#This Row],[P.E]]-1/24,MIP[[#This Row],[P.S]]-MIP[[#This Row],[P.E]]-1/24)</f>
        <v>0.35972222222222222</v>
      </c>
      <c r="Y332" s="39">
        <f>MIP[[#This Row],[PT-1]]*$S$3+MIP[[#This Row],[PT-2]]*$T$3+MIP[[#This Row],[PT-3]]*$U$3+MIP[[#This Row],[PT &gt; 3 Pontos]]*$V$3</f>
        <v>0.40700786421989643</v>
      </c>
      <c r="Z332" s="39">
        <f>MIP[[#This Row],[HH disponível]]-MIP[[#This Row],[HH AC TOT]]</f>
        <v>0.29722222222222228</v>
      </c>
      <c r="AA332" s="38">
        <f>MIP[[#This Row],[HH Produtivo
Total]]/MIP[[#This Row],[HH Trabalhado]]</f>
        <v>1.3693722534501185</v>
      </c>
      <c r="AB332" s="38">
        <f>MIP[[#This Row],[HH Produtivo
Total]]/MIP[[#This Row],[HH disponível]]</f>
        <v>1.1314504333526079</v>
      </c>
      <c r="AC332" s="38">
        <f>MIP[[#This Row],[HH Trabalhado]]/MIP[[#This Row],[HH disponível]]</f>
        <v>0.82625482625482638</v>
      </c>
      <c r="AD332" s="37" t="str">
        <f>LEFT(MIP[[#This Row],[Equipe]], SEARCH("/",MIP[[#This Row],[Equipe]],1)-1)</f>
        <v xml:space="preserve">ADEMÁRIO </v>
      </c>
      <c r="AE332" s="37" t="str">
        <f>RIGHT(MIP[[#This Row],[Equipe]], LEN(MIP[[#This Row],[Equipe]])-SEARCH("/",MIP[[#This Row],[Equipe]],1))</f>
        <v xml:space="preserve"> RONALDO</v>
      </c>
      <c r="AF332" s="44">
        <f>COUNTIFS('[1]Tempo parado'!H:H,"&gt;="&amp;MIP[[#This Row],[S.B Sitrack]],'[1]Tempo parado'!I:I,"&lt;="&amp;MIP[[#This Row],[C.B Sitrack]],'[1]Tempo parado'!B:B,MIP[[#This Row],[Placa]])</f>
        <v>0</v>
      </c>
      <c r="AG332" s="36"/>
      <c r="AH332" s="35"/>
      <c r="AI332" s="34"/>
      <c r="AJ332" s="34"/>
      <c r="AK33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3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32" s="32">
        <f>SUMIFS('[1]Tempo parado'!J:J,'[1]Tempo parado'!H:H,"&gt;="&amp;MIP[[#This Row],[S.B Sitrack]],'[1]Tempo parado'!I:I,"&lt;="&amp;MIP[[#This Row],[C.B Sitrack]],'[1]Tempo parado'!B:B,MIP[[#This Row],[Placa]])</f>
        <v>0</v>
      </c>
      <c r="AN332" s="32" t="str">
        <f>IFERROR(MIP[[#This Row],[Tempo parado]]/(MIP[[#This Row],[C.B Sitrack]]-MIP[[#This Row],[S.B Sitrack]]),"")</f>
        <v/>
      </c>
      <c r="AO332" s="30"/>
      <c r="AP332" s="44">
        <f>IF(AND(MIP[Exc]=0,MIP[Previsto / Realizado]="Realizado"),MIP[Sem],0)</f>
        <v>31</v>
      </c>
      <c r="AQ332" s="29">
        <f>IF(AND(MIP[Exc]=0,MIP[Previsto / Realizado]="Realizado",ISBLANK(MIP[[#This Row],[S.B Sitrack]])=FALSE,ISBLANK(MIP[[#This Row],[C.B Sitrack]])=FALSE),MIP[Sem],0)</f>
        <v>0</v>
      </c>
    </row>
    <row r="333" spans="1:43" x14ac:dyDescent="0.25">
      <c r="B333" s="44">
        <f>WEEKNUM(MIP[[#This Row],[Data]])</f>
        <v>31</v>
      </c>
      <c r="C333" s="45">
        <v>42950</v>
      </c>
      <c r="D333" s="45"/>
      <c r="E333" s="35" t="s">
        <v>10</v>
      </c>
      <c r="F333" s="35" t="s">
        <v>5</v>
      </c>
      <c r="G333" s="35"/>
      <c r="H333" s="44">
        <v>2</v>
      </c>
      <c r="I333" s="44">
        <v>1</v>
      </c>
      <c r="J333" s="44">
        <v>3</v>
      </c>
      <c r="K333" s="44">
        <v>1</v>
      </c>
      <c r="L333" s="44">
        <v>9</v>
      </c>
      <c r="M333" s="43">
        <v>0.25</v>
      </c>
      <c r="N333" s="43">
        <v>0.27083333333333331</v>
      </c>
      <c r="O333" s="43">
        <v>0.63750000000000007</v>
      </c>
      <c r="P333" s="43">
        <v>0.65833333333333333</v>
      </c>
      <c r="Q333" s="39"/>
      <c r="R333" s="42"/>
      <c r="S333" s="29">
        <f>MIP[[#This Row],[PT-1]]+MIP[[#This Row],[PT-2]]*2+MIP[[#This Row],[PT-3]]*3+MIP[[#This Row],[PT &gt; 3 Pontos]]</f>
        <v>19</v>
      </c>
      <c r="T33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333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333" s="41">
        <f>MIP[[#This Row],[Eficiência]]</f>
        <v>1.2362336259754738</v>
      </c>
      <c r="W33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33" s="39">
        <f>IF(MIP[[#This Row],[P.S]]-MIP[[#This Row],[P.E]]&lt;0,1+MIP[[#This Row],[P.S]]-MIP[[#This Row],[P.E]]-1/24,MIP[[#This Row],[P.S]]-MIP[[#This Row],[P.E]]-1/24)</f>
        <v>0.36666666666666664</v>
      </c>
      <c r="Y333" s="39">
        <f>MIP[[#This Row],[PT-1]]*$S$3+MIP[[#This Row],[PT-2]]*$T$3+MIP[[#This Row],[PT-3]]*$U$3+MIP[[#This Row],[PT &gt; 3 Pontos]]*$V$3</f>
        <v>0.40177592844202908</v>
      </c>
      <c r="Z333" s="39">
        <f>MIP[[#This Row],[HH disponível]]-MIP[[#This Row],[HH AC TOT]]</f>
        <v>0.32500000000000007</v>
      </c>
      <c r="AA333" s="38">
        <f>MIP[[#This Row],[HH Produtivo
Total]]/MIP[[#This Row],[HH Trabalhado]]</f>
        <v>1.2362336259754738</v>
      </c>
      <c r="AB333" s="38">
        <f>MIP[[#This Row],[HH Produtivo
Total]]/MIP[[#This Row],[HH disponível]]</f>
        <v>1.0957525321146249</v>
      </c>
      <c r="AC333" s="38">
        <f>MIP[[#This Row],[HH Trabalhado]]/MIP[[#This Row],[HH disponível]]</f>
        <v>0.88636363636363658</v>
      </c>
      <c r="AD333" s="37" t="str">
        <f>LEFT(MIP[[#This Row],[Equipe]], SEARCH("/",MIP[[#This Row],[Equipe]],1)-1)</f>
        <v xml:space="preserve">JOILSON </v>
      </c>
      <c r="AE333" s="37" t="str">
        <f>RIGHT(MIP[[#This Row],[Equipe]], LEN(MIP[[#This Row],[Equipe]])-SEARCH("/",MIP[[#This Row],[Equipe]],1))</f>
        <v xml:space="preserve"> VALDEI</v>
      </c>
      <c r="AF333" s="44">
        <f>COUNTIFS('[1]Tempo parado'!H:H,"&gt;="&amp;MIP[[#This Row],[S.B Sitrack]],'[1]Tempo parado'!I:I,"&lt;="&amp;MIP[[#This Row],[C.B Sitrack]],'[1]Tempo parado'!B:B,MIP[[#This Row],[Placa]])</f>
        <v>0</v>
      </c>
      <c r="AG333" s="36"/>
      <c r="AH333" s="35"/>
      <c r="AI333" s="34"/>
      <c r="AJ333" s="34"/>
      <c r="AK33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3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33" s="32">
        <f>SUMIFS('[1]Tempo parado'!J:J,'[1]Tempo parado'!H:H,"&gt;="&amp;MIP[[#This Row],[S.B Sitrack]],'[1]Tempo parado'!I:I,"&lt;="&amp;MIP[[#This Row],[C.B Sitrack]],'[1]Tempo parado'!B:B,MIP[[#This Row],[Placa]])</f>
        <v>0</v>
      </c>
      <c r="AN333" s="32" t="str">
        <f>IFERROR(MIP[[#This Row],[Tempo parado]]/(MIP[[#This Row],[C.B Sitrack]]-MIP[[#This Row],[S.B Sitrack]]),"")</f>
        <v/>
      </c>
      <c r="AO333" s="30"/>
      <c r="AP333" s="44">
        <f>IF(AND(MIP[Exc]=0,MIP[Previsto / Realizado]="Realizado"),MIP[Sem],0)</f>
        <v>0</v>
      </c>
      <c r="AQ333" s="29">
        <f>IF(AND(MIP[Exc]=0,MIP[Previsto / Realizado]="Realizado",ISBLANK(MIP[[#This Row],[S.B Sitrack]])=FALSE,ISBLANK(MIP[[#This Row],[C.B Sitrack]])=FALSE),MIP[Sem],0)</f>
        <v>0</v>
      </c>
    </row>
    <row r="334" spans="1:43" x14ac:dyDescent="0.25">
      <c r="B334" s="44">
        <f>WEEKNUM(MIP[[#This Row],[Data]])</f>
        <v>31</v>
      </c>
      <c r="C334" s="45">
        <v>42950</v>
      </c>
      <c r="D334" s="45"/>
      <c r="E334" s="35" t="s">
        <v>10</v>
      </c>
      <c r="F334" s="35" t="s">
        <v>2</v>
      </c>
      <c r="G334" s="35"/>
      <c r="H334" s="44">
        <v>2</v>
      </c>
      <c r="I334" s="44">
        <v>1</v>
      </c>
      <c r="J334" s="44">
        <v>3</v>
      </c>
      <c r="K334" s="44">
        <v>0</v>
      </c>
      <c r="L334" s="44">
        <v>4</v>
      </c>
      <c r="M334" s="43">
        <v>0.25</v>
      </c>
      <c r="N334" s="43">
        <v>0.29166666666666669</v>
      </c>
      <c r="O334" s="43">
        <v>0.62708333333333333</v>
      </c>
      <c r="P334" s="43">
        <v>0.66319444444444442</v>
      </c>
      <c r="Q334" s="39"/>
      <c r="R334" s="42"/>
      <c r="S334" s="29">
        <f>MIP[[#This Row],[PT-1]]+MIP[[#This Row],[PT-2]]*2+MIP[[#This Row],[PT-3]]*3+MIP[[#This Row],[PT &gt; 3 Pontos]]</f>
        <v>11</v>
      </c>
      <c r="T33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7.7777777777777779E-2</v>
      </c>
      <c r="U334" s="39">
        <f>IF(MIP[[#This Row],[P.S]]-MIP[[#This Row],[U.P]]&gt;=0,MIP[[#This Row],[P.S]]-MIP[[#This Row],[U.P]]+MIP[[#This Row],[S.B]]-MIP[[#This Row],[P.E]],1+MIP[[#This Row],[P.S]]-MIP[[#This Row],[U.P]]+MIP[[#This Row],[S.B]]-MIP[[#This Row],[P.E]])</f>
        <v>7.7777777777777779E-2</v>
      </c>
      <c r="V334" s="41">
        <f>MIP[[#This Row],[Eficiência]]</f>
        <v>0.80934193971440882</v>
      </c>
      <c r="W33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34" s="39">
        <f>IF(MIP[[#This Row],[P.S]]-MIP[[#This Row],[P.E]]&lt;0,1+MIP[[#This Row],[P.S]]-MIP[[#This Row],[P.E]]-1/24,MIP[[#This Row],[P.S]]-MIP[[#This Row],[P.E]]-1/24)</f>
        <v>0.37152777777777773</v>
      </c>
      <c r="Y334" s="39">
        <f>MIP[[#This Row],[PT-1]]*$S$3+MIP[[#This Row],[PT-2]]*$T$3+MIP[[#This Row],[PT-3]]*$U$3+MIP[[#This Row],[PT &gt; 3 Pontos]]*$V$3</f>
        <v>0.23774419479110756</v>
      </c>
      <c r="Z334" s="39">
        <f>MIP[[#This Row],[HH disponível]]-MIP[[#This Row],[HH AC TOT]]</f>
        <v>0.29374999999999996</v>
      </c>
      <c r="AA334" s="38">
        <f>MIP[[#This Row],[HH Produtivo
Total]]/MIP[[#This Row],[HH Trabalhado]]</f>
        <v>0.80934193971440882</v>
      </c>
      <c r="AB334" s="38">
        <f>MIP[[#This Row],[HH Produtivo
Total]]/MIP[[#This Row],[HH disponível]]</f>
        <v>0.63990960840971012</v>
      </c>
      <c r="AC334" s="38">
        <f>MIP[[#This Row],[HH Trabalhado]]/MIP[[#This Row],[HH disponível]]</f>
        <v>0.79065420560747657</v>
      </c>
      <c r="AD334" s="37" t="str">
        <f>LEFT(MIP[[#This Row],[Equipe]], SEARCH("/",MIP[[#This Row],[Equipe]],1)-1)</f>
        <v xml:space="preserve">JOILSON </v>
      </c>
      <c r="AE334" s="37" t="str">
        <f>RIGHT(MIP[[#This Row],[Equipe]], LEN(MIP[[#This Row],[Equipe]])-SEARCH("/",MIP[[#This Row],[Equipe]],1))</f>
        <v xml:space="preserve"> VALDEI</v>
      </c>
      <c r="AF334" s="44">
        <f>COUNTIFS('[1]Tempo parado'!H:H,"&gt;="&amp;MIP[[#This Row],[S.B Sitrack]],'[1]Tempo parado'!I:I,"&lt;="&amp;MIP[[#This Row],[C.B Sitrack]],'[1]Tempo parado'!B:B,MIP[[#This Row],[Placa]])</f>
        <v>0</v>
      </c>
      <c r="AG334" s="36"/>
      <c r="AH334" s="35"/>
      <c r="AI334" s="34"/>
      <c r="AJ334" s="34"/>
      <c r="AK33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3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34" s="32">
        <f>SUMIFS('[1]Tempo parado'!J:J,'[1]Tempo parado'!H:H,"&gt;="&amp;MIP[[#This Row],[S.B Sitrack]],'[1]Tempo parado'!I:I,"&lt;="&amp;MIP[[#This Row],[C.B Sitrack]],'[1]Tempo parado'!B:B,MIP[[#This Row],[Placa]])</f>
        <v>0</v>
      </c>
      <c r="AN334" s="32" t="str">
        <f>IFERROR(MIP[[#This Row],[Tempo parado]]/(MIP[[#This Row],[C.B Sitrack]]-MIP[[#This Row],[S.B Sitrack]]),"")</f>
        <v/>
      </c>
      <c r="AO334" s="30"/>
      <c r="AP334" s="44">
        <f>IF(AND(MIP[Exc]=0,MIP[Previsto / Realizado]="Realizado"),MIP[Sem],0)</f>
        <v>31</v>
      </c>
      <c r="AQ334" s="29">
        <f>IF(AND(MIP[Exc]=0,MIP[Previsto / Realizado]="Realizado",ISBLANK(MIP[[#This Row],[S.B Sitrack]])=FALSE,ISBLANK(MIP[[#This Row],[C.B Sitrack]])=FALSE),MIP[Sem],0)</f>
        <v>0</v>
      </c>
    </row>
    <row r="335" spans="1:43" s="47" customFormat="1" x14ac:dyDescent="0.25">
      <c r="A335" s="11"/>
      <c r="B335" s="44">
        <f>WEEKNUM(MIP[[#This Row],[Data]])</f>
        <v>31</v>
      </c>
      <c r="C335" s="45">
        <v>42951</v>
      </c>
      <c r="D335" s="45"/>
      <c r="E335" s="35" t="s">
        <v>10</v>
      </c>
      <c r="F335" s="35" t="s">
        <v>5</v>
      </c>
      <c r="G335" s="35"/>
      <c r="H335" s="44">
        <v>2</v>
      </c>
      <c r="I335" s="44">
        <v>5</v>
      </c>
      <c r="J335" s="44">
        <v>0</v>
      </c>
      <c r="K335" s="44">
        <v>1</v>
      </c>
      <c r="L335" s="44">
        <v>5</v>
      </c>
      <c r="M335" s="43">
        <v>0.25</v>
      </c>
      <c r="N335" s="43">
        <v>0.27083333333333331</v>
      </c>
      <c r="O335" s="43">
        <v>0.63750000000000007</v>
      </c>
      <c r="P335" s="43">
        <v>0.65833333333333333</v>
      </c>
      <c r="Q335" s="39"/>
      <c r="R335" s="42"/>
      <c r="S335" s="29">
        <f>MIP[[#This Row],[PT-1]]+MIP[[#This Row],[PT-2]]*2+MIP[[#This Row],[PT-3]]*3+MIP[[#This Row],[PT &gt; 3 Pontos]]</f>
        <v>13</v>
      </c>
      <c r="T33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335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335" s="41">
        <f>MIP[[#This Row],[Eficiência]]</f>
        <v>0.88972614906340719</v>
      </c>
      <c r="W33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35" s="39">
        <f>IF(MIP[[#This Row],[P.S]]-MIP[[#This Row],[P.E]]&lt;0,1+MIP[[#This Row],[P.S]]-MIP[[#This Row],[P.E]]-1/24,MIP[[#This Row],[P.S]]-MIP[[#This Row],[P.E]]-1/24)</f>
        <v>0.36666666666666664</v>
      </c>
      <c r="Y335" s="39">
        <f>MIP[[#This Row],[PT-1]]*$S$3+MIP[[#This Row],[PT-2]]*$T$3+MIP[[#This Row],[PT-3]]*$U$3+MIP[[#This Row],[PT &gt; 3 Pontos]]*$V$3</f>
        <v>0.28916099844560739</v>
      </c>
      <c r="Z335" s="39">
        <f>MIP[[#This Row],[HH disponível]]-MIP[[#This Row],[HH AC TOT]]</f>
        <v>0.32500000000000007</v>
      </c>
      <c r="AA335" s="38">
        <f>MIP[[#This Row],[HH Produtivo
Total]]/MIP[[#This Row],[HH Trabalhado]]</f>
        <v>0.88972614906340719</v>
      </c>
      <c r="AB335" s="38">
        <f>MIP[[#This Row],[HH Produtivo
Total]]/MIP[[#This Row],[HH disponível]]</f>
        <v>0.78862090485165659</v>
      </c>
      <c r="AC335" s="38">
        <f>MIP[[#This Row],[HH Trabalhado]]/MIP[[#This Row],[HH disponível]]</f>
        <v>0.88636363636363658</v>
      </c>
      <c r="AD335" s="37" t="str">
        <f>LEFT(MIP[[#This Row],[Equipe]], SEARCH("/",MIP[[#This Row],[Equipe]],1)-1)</f>
        <v xml:space="preserve">JOILSON </v>
      </c>
      <c r="AE335" s="37" t="str">
        <f>RIGHT(MIP[[#This Row],[Equipe]], LEN(MIP[[#This Row],[Equipe]])-SEARCH("/",MIP[[#This Row],[Equipe]],1))</f>
        <v xml:space="preserve"> VALDEI</v>
      </c>
      <c r="AF335" s="44">
        <f>COUNTIFS('[1]Tempo parado'!H:H,"&gt;="&amp;MIP[[#This Row],[S.B Sitrack]],'[1]Tempo parado'!I:I,"&lt;="&amp;MIP[[#This Row],[C.B Sitrack]],'[1]Tempo parado'!B:B,MIP[[#This Row],[Placa]])</f>
        <v>0</v>
      </c>
      <c r="AG335" s="36"/>
      <c r="AH335" s="35"/>
      <c r="AI335" s="34"/>
      <c r="AJ335" s="34"/>
      <c r="AK33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3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35" s="32">
        <f>SUMIFS('[1]Tempo parado'!J:J,'[1]Tempo parado'!H:H,"&gt;="&amp;MIP[[#This Row],[S.B Sitrack]],'[1]Tempo parado'!I:I,"&lt;="&amp;MIP[[#This Row],[C.B Sitrack]],'[1]Tempo parado'!B:B,MIP[[#This Row],[Placa]])</f>
        <v>0</v>
      </c>
      <c r="AN335" s="32" t="str">
        <f>IFERROR(MIP[[#This Row],[Tempo parado]]/(MIP[[#This Row],[C.B Sitrack]]-MIP[[#This Row],[S.B Sitrack]]),"")</f>
        <v/>
      </c>
      <c r="AO335" s="30"/>
      <c r="AP335" s="44">
        <f>IF(AND(MIP[Exc]=0,MIP[Previsto / Realizado]="Realizado"),MIP[Sem],0)</f>
        <v>0</v>
      </c>
      <c r="AQ335" s="29">
        <f>IF(AND(MIP[Exc]=0,MIP[Previsto / Realizado]="Realizado",ISBLANK(MIP[[#This Row],[S.B Sitrack]])=FALSE,ISBLANK(MIP[[#This Row],[C.B Sitrack]])=FALSE),MIP[Sem],0)</f>
        <v>0</v>
      </c>
    </row>
    <row r="336" spans="1:43" s="64" customFormat="1" x14ac:dyDescent="0.25">
      <c r="A336" s="11"/>
      <c r="B336" s="44">
        <f>WEEKNUM(MIP[[#This Row],[Data]])</f>
        <v>31</v>
      </c>
      <c r="C336" s="45">
        <v>42951</v>
      </c>
      <c r="D336" s="45"/>
      <c r="E336" s="35" t="s">
        <v>10</v>
      </c>
      <c r="F336" s="35" t="s">
        <v>2</v>
      </c>
      <c r="G336" s="35"/>
      <c r="H336" s="44">
        <v>2</v>
      </c>
      <c r="I336" s="44">
        <v>2</v>
      </c>
      <c r="J336" s="44">
        <v>0</v>
      </c>
      <c r="K336" s="44">
        <v>0</v>
      </c>
      <c r="L336" s="44">
        <v>0</v>
      </c>
      <c r="M336" s="43">
        <v>0.26041666666666669</v>
      </c>
      <c r="N336" s="43">
        <v>0.2902777777777778</v>
      </c>
      <c r="O336" s="43">
        <v>0.41666666666666669</v>
      </c>
      <c r="P336" s="43">
        <v>0.66736111111111107</v>
      </c>
      <c r="Q336" s="39"/>
      <c r="R336" s="42" t="s">
        <v>345</v>
      </c>
      <c r="S336" s="29">
        <f>MIP[[#This Row],[PT-1]]+MIP[[#This Row],[PT-2]]*2+MIP[[#This Row],[PT-3]]*3+MIP[[#This Row],[PT &gt; 3 Pontos]]</f>
        <v>2</v>
      </c>
      <c r="T33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0.2805555555555555</v>
      </c>
      <c r="U336" s="39">
        <f>IF(MIP[[#This Row],[P.S]]-MIP[[#This Row],[U.P]]&gt;=0,MIP[[#This Row],[P.S]]-MIP[[#This Row],[U.P]]+MIP[[#This Row],[S.B]]-MIP[[#This Row],[P.E]],1+MIP[[#This Row],[P.S]]-MIP[[#This Row],[U.P]]+MIP[[#This Row],[S.B]]-MIP[[#This Row],[P.E]])</f>
        <v>0.2805555555555555</v>
      </c>
      <c r="V336" s="41">
        <f>MIP[[#This Row],[Eficiência]]</f>
        <v>0.59077423378474669</v>
      </c>
      <c r="W33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36" s="39">
        <f>IF(MIP[[#This Row],[P.S]]-MIP[[#This Row],[P.E]]&lt;0,1+MIP[[#This Row],[P.S]]-MIP[[#This Row],[P.E]]-1/24,MIP[[#This Row],[P.S]]-MIP[[#This Row],[P.E]]-1/24)</f>
        <v>0.3652777777777777</v>
      </c>
      <c r="Y336" s="39">
        <f>MIP[[#This Row],[PT-1]]*$S$3+MIP[[#This Row],[PT-2]]*$T$3+MIP[[#This Row],[PT-3]]*$U$3+MIP[[#This Row],[PT &gt; 3 Pontos]]*$V$3</f>
        <v>5.0051705917874362E-2</v>
      </c>
      <c r="Z336" s="39">
        <f>MIP[[#This Row],[HH disponível]]-MIP[[#This Row],[HH AC TOT]]</f>
        <v>8.4722222222222199E-2</v>
      </c>
      <c r="AA336" s="38">
        <f>MIP[[#This Row],[HH Produtivo
Total]]/MIP[[#This Row],[HH Trabalhado]]</f>
        <v>0.59077423378474669</v>
      </c>
      <c r="AB336" s="38">
        <f>MIP[[#This Row],[HH Produtivo
Total]]/MIP[[#This Row],[HH disponível]]</f>
        <v>0.13702368160026443</v>
      </c>
      <c r="AC336" s="38">
        <f>MIP[[#This Row],[HH Trabalhado]]/MIP[[#This Row],[HH disponível]]</f>
        <v>0.23193916349809884</v>
      </c>
      <c r="AD336" s="37" t="str">
        <f>LEFT(MIP[[#This Row],[Equipe]], SEARCH("/",MIP[[#This Row],[Equipe]],1)-1)</f>
        <v xml:space="preserve">JOILSON </v>
      </c>
      <c r="AE336" s="37" t="str">
        <f>RIGHT(MIP[[#This Row],[Equipe]], LEN(MIP[[#This Row],[Equipe]])-SEARCH("/",MIP[[#This Row],[Equipe]],1))</f>
        <v xml:space="preserve"> VALDEI</v>
      </c>
      <c r="AF336" s="44">
        <f>COUNTIFS('[1]Tempo parado'!H:H,"&gt;="&amp;MIP[[#This Row],[S.B Sitrack]],'[1]Tempo parado'!I:I,"&lt;="&amp;MIP[[#This Row],[C.B Sitrack]],'[1]Tempo parado'!B:B,MIP[[#This Row],[Placa]])</f>
        <v>0</v>
      </c>
      <c r="AG336" s="36"/>
      <c r="AH336" s="35"/>
      <c r="AI336" s="34"/>
      <c r="AJ336" s="34"/>
      <c r="AK33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3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36" s="32">
        <f>SUMIFS('[1]Tempo parado'!J:J,'[1]Tempo parado'!H:H,"&gt;="&amp;MIP[[#This Row],[S.B Sitrack]],'[1]Tempo parado'!I:I,"&lt;="&amp;MIP[[#This Row],[C.B Sitrack]],'[1]Tempo parado'!B:B,MIP[[#This Row],[Placa]])</f>
        <v>0</v>
      </c>
      <c r="AN336" s="32" t="str">
        <f>IFERROR(MIP[[#This Row],[Tempo parado]]/(MIP[[#This Row],[C.B Sitrack]]-MIP[[#This Row],[S.B Sitrack]]),"")</f>
        <v/>
      </c>
      <c r="AO336" s="30"/>
      <c r="AP336" s="44">
        <f>IF(AND(MIP[Exc]=0,MIP[Previsto / Realizado]="Realizado"),MIP[Sem],0)</f>
        <v>31</v>
      </c>
      <c r="AQ336" s="29">
        <f>IF(AND(MIP[Exc]=0,MIP[Previsto / Realizado]="Realizado",ISBLANK(MIP[[#This Row],[S.B Sitrack]])=FALSE,ISBLANK(MIP[[#This Row],[C.B Sitrack]])=FALSE),MIP[Sem],0)</f>
        <v>0</v>
      </c>
    </row>
    <row r="337" spans="1:43" s="47" customFormat="1" x14ac:dyDescent="0.25">
      <c r="A337" s="11"/>
      <c r="B337" s="44">
        <f>WEEKNUM(MIP[[#This Row],[Data]])</f>
        <v>31</v>
      </c>
      <c r="C337" s="45">
        <v>42951</v>
      </c>
      <c r="D337" s="45"/>
      <c r="E337" s="35" t="s">
        <v>3</v>
      </c>
      <c r="F337" s="35" t="s">
        <v>5</v>
      </c>
      <c r="G337" s="35"/>
      <c r="H337" s="44">
        <v>2</v>
      </c>
      <c r="I337" s="44">
        <v>9</v>
      </c>
      <c r="J337" s="44">
        <v>3</v>
      </c>
      <c r="K337" s="44">
        <v>1</v>
      </c>
      <c r="L337" s="44">
        <v>5</v>
      </c>
      <c r="M337" s="43">
        <v>0.625</v>
      </c>
      <c r="N337" s="43">
        <v>0.64583333333333337</v>
      </c>
      <c r="O337" s="43">
        <f>1+18/24/60</f>
        <v>1.0125</v>
      </c>
      <c r="P337" s="43">
        <f>1+48/24/60</f>
        <v>1.0333333333333334</v>
      </c>
      <c r="Q337" s="39"/>
      <c r="R337" s="42"/>
      <c r="S337" s="29">
        <f>MIP[[#This Row],[PT-1]]+MIP[[#This Row],[PT-2]]*2+MIP[[#This Row],[PT-3]]*3+MIP[[#This Row],[PT &gt; 3 Pontos]]</f>
        <v>23</v>
      </c>
      <c r="T33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337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337" s="41">
        <f>MIP[[#This Row],[Eficiência]]</f>
        <v>1.6030483341247233</v>
      </c>
      <c r="W33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37" s="39">
        <f>IF(MIP[[#This Row],[P.S]]-MIP[[#This Row],[P.E]]&lt;0,1+MIP[[#This Row],[P.S]]-MIP[[#This Row],[P.E]]-1/24,MIP[[#This Row],[P.S]]-MIP[[#This Row],[P.E]]-1/24)</f>
        <v>0.36666666666666675</v>
      </c>
      <c r="Y337" s="39">
        <f>MIP[[#This Row],[PT-1]]*$S$3+MIP[[#This Row],[PT-2]]*$T$3+MIP[[#This Row],[PT-3]]*$U$3+MIP[[#This Row],[PT &gt; 3 Pontos]]*$V$3</f>
        <v>0.52099070859053487</v>
      </c>
      <c r="Z337" s="39">
        <f>MIP[[#This Row],[HH disponível]]-MIP[[#This Row],[HH AC TOT]]</f>
        <v>0.3249999999999999</v>
      </c>
      <c r="AA337" s="38">
        <f>MIP[[#This Row],[HH Produtivo
Total]]/MIP[[#This Row],[HH Trabalhado]]</f>
        <v>1.6030483341247233</v>
      </c>
      <c r="AB337" s="38">
        <f>MIP[[#This Row],[HH Produtivo
Total]]/MIP[[#This Row],[HH disponível]]</f>
        <v>1.4208837507014584</v>
      </c>
      <c r="AC337" s="38">
        <f>MIP[[#This Row],[HH Trabalhado]]/MIP[[#This Row],[HH disponível]]</f>
        <v>0.88636363636363591</v>
      </c>
      <c r="AD337" s="37" t="str">
        <f>LEFT(MIP[[#This Row],[Equipe]], SEARCH("/",MIP[[#This Row],[Equipe]],1)-1)</f>
        <v xml:space="preserve">EDILTON </v>
      </c>
      <c r="AE337" s="37" t="str">
        <f>RIGHT(MIP[[#This Row],[Equipe]], LEN(MIP[[#This Row],[Equipe]])-SEARCH("/",MIP[[#This Row],[Equipe]],1))</f>
        <v xml:space="preserve"> GECIVALDO</v>
      </c>
      <c r="AF337" s="44">
        <f>COUNTIFS('[1]Tempo parado'!H:H,"&gt;="&amp;MIP[[#This Row],[S.B Sitrack]],'[1]Tempo parado'!I:I,"&lt;="&amp;MIP[[#This Row],[C.B Sitrack]],'[1]Tempo parado'!B:B,MIP[[#This Row],[Placa]])</f>
        <v>0</v>
      </c>
      <c r="AG337" s="36"/>
      <c r="AH337" s="35"/>
      <c r="AI337" s="34"/>
      <c r="AJ337" s="34"/>
      <c r="AK33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3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37" s="32">
        <f>SUMIFS('[1]Tempo parado'!J:J,'[1]Tempo parado'!H:H,"&gt;="&amp;MIP[[#This Row],[S.B Sitrack]],'[1]Tempo parado'!I:I,"&lt;="&amp;MIP[[#This Row],[C.B Sitrack]],'[1]Tempo parado'!B:B,MIP[[#This Row],[Placa]])</f>
        <v>0</v>
      </c>
      <c r="AN337" s="32" t="str">
        <f>IFERROR(MIP[[#This Row],[Tempo parado]]/(MIP[[#This Row],[C.B Sitrack]]-MIP[[#This Row],[S.B Sitrack]]),"")</f>
        <v/>
      </c>
      <c r="AO337" s="30"/>
      <c r="AP337" s="44">
        <f>IF(AND(MIP[Exc]=0,MIP[Previsto / Realizado]="Realizado"),MIP[Sem],0)</f>
        <v>0</v>
      </c>
      <c r="AQ337" s="29">
        <f>IF(AND(MIP[Exc]=0,MIP[Previsto / Realizado]="Realizado",ISBLANK(MIP[[#This Row],[S.B Sitrack]])=FALSE,ISBLANK(MIP[[#This Row],[C.B Sitrack]])=FALSE),MIP[Sem],0)</f>
        <v>0</v>
      </c>
    </row>
    <row r="338" spans="1:43" s="64" customFormat="1" x14ac:dyDescent="0.25">
      <c r="A338" s="11"/>
      <c r="B338" s="44">
        <f>WEEKNUM(MIP[[#This Row],[Data]])</f>
        <v>31</v>
      </c>
      <c r="C338" s="45">
        <v>42951</v>
      </c>
      <c r="D338" s="45"/>
      <c r="E338" s="35" t="s">
        <v>3</v>
      </c>
      <c r="F338" s="35" t="s">
        <v>2</v>
      </c>
      <c r="G338" s="35"/>
      <c r="H338" s="44">
        <v>2</v>
      </c>
      <c r="I338" s="44">
        <v>6</v>
      </c>
      <c r="J338" s="44">
        <v>3</v>
      </c>
      <c r="K338" s="44">
        <v>0</v>
      </c>
      <c r="L338" s="44">
        <v>0</v>
      </c>
      <c r="M338" s="43">
        <v>0.61458333333333337</v>
      </c>
      <c r="N338" s="43">
        <v>0.67013888888888884</v>
      </c>
      <c r="O338" s="43">
        <f>1+34/24/60</f>
        <v>1.023611111111111</v>
      </c>
      <c r="P338" s="43">
        <f>1+50/24/60</f>
        <v>1.0347222222222223</v>
      </c>
      <c r="Q338" s="39"/>
      <c r="R338" s="42" t="s">
        <v>344</v>
      </c>
      <c r="S338" s="29">
        <f>MIP[[#This Row],[PT-1]]+MIP[[#This Row],[PT-2]]*2+MIP[[#This Row],[PT-3]]*3+MIP[[#This Row],[PT &gt; 3 Pontos]]</f>
        <v>12</v>
      </c>
      <c r="T33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6.6666666666666763E-2</v>
      </c>
      <c r="U338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6.6666666666666763E-2</v>
      </c>
      <c r="V338" s="41">
        <f>MIP[[#This Row],[Eficiência]]</f>
        <v>0.90402948581388576</v>
      </c>
      <c r="W33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38" s="39">
        <f>IF(MIP[[#This Row],[P.S]]-MIP[[#This Row],[P.E]]&lt;0,1+MIP[[#This Row],[P.S]]-MIP[[#This Row],[P.E]]-1/24,MIP[[#This Row],[P.S]]-MIP[[#This Row],[P.E]]-1/24)</f>
        <v>0.37847222222222227</v>
      </c>
      <c r="Y338" s="39">
        <f>MIP[[#This Row],[PT-1]]*$S$3+MIP[[#This Row],[PT-2]]*$T$3+MIP[[#This Row],[PT-3]]*$U$3+MIP[[#This Row],[PT &gt; 3 Pontos]]*$V$3</f>
        <v>0.28188141606280182</v>
      </c>
      <c r="Z338" s="39">
        <f>MIP[[#This Row],[HH disponível]]-MIP[[#This Row],[HH AC TOT]]</f>
        <v>0.3118055555555555</v>
      </c>
      <c r="AA338" s="38">
        <f>MIP[[#This Row],[HH Produtivo
Total]]/MIP[[#This Row],[HH Trabalhado]]</f>
        <v>0.90402948581388576</v>
      </c>
      <c r="AB338" s="38">
        <f>MIP[[#This Row],[HH Produtivo
Total]]/MIP[[#This Row],[HH disponível]]</f>
        <v>0.74478759473474232</v>
      </c>
      <c r="AC338" s="38">
        <f>MIP[[#This Row],[HH Trabalhado]]/MIP[[#This Row],[HH disponível]]</f>
        <v>0.82385321100917408</v>
      </c>
      <c r="AD338" s="37" t="str">
        <f>LEFT(MIP[[#This Row],[Equipe]], SEARCH("/",MIP[[#This Row],[Equipe]],1)-1)</f>
        <v xml:space="preserve">EDILTON </v>
      </c>
      <c r="AE338" s="37" t="str">
        <f>RIGHT(MIP[[#This Row],[Equipe]], LEN(MIP[[#This Row],[Equipe]])-SEARCH("/",MIP[[#This Row],[Equipe]],1))</f>
        <v xml:space="preserve"> GECIVALDO</v>
      </c>
      <c r="AF338" s="44">
        <f>COUNTIFS('[1]Tempo parado'!H:H,"&gt;="&amp;MIP[[#This Row],[S.B Sitrack]],'[1]Tempo parado'!I:I,"&lt;="&amp;MIP[[#This Row],[C.B Sitrack]],'[1]Tempo parado'!B:B,MIP[[#This Row],[Placa]])</f>
        <v>0</v>
      </c>
      <c r="AG338" s="36"/>
      <c r="AH338" s="35"/>
      <c r="AI338" s="34"/>
      <c r="AJ338" s="34"/>
      <c r="AK33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3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38" s="32">
        <f>SUMIFS('[1]Tempo parado'!J:J,'[1]Tempo parado'!H:H,"&gt;="&amp;MIP[[#This Row],[S.B Sitrack]],'[1]Tempo parado'!I:I,"&lt;="&amp;MIP[[#This Row],[C.B Sitrack]],'[1]Tempo parado'!B:B,MIP[[#This Row],[Placa]])</f>
        <v>0</v>
      </c>
      <c r="AN338" s="32" t="str">
        <f>IFERROR(MIP[[#This Row],[Tempo parado]]/(MIP[[#This Row],[C.B Sitrack]]-MIP[[#This Row],[S.B Sitrack]]),"")</f>
        <v/>
      </c>
      <c r="AO338" s="30"/>
      <c r="AP338" s="44">
        <f>IF(AND(MIP[Exc]=0,MIP[Previsto / Realizado]="Realizado"),MIP[Sem],0)</f>
        <v>31</v>
      </c>
      <c r="AQ338" s="29">
        <f>IF(AND(MIP[Exc]=0,MIP[Previsto / Realizado]="Realizado",ISBLANK(MIP[[#This Row],[S.B Sitrack]])=FALSE,ISBLANK(MIP[[#This Row],[C.B Sitrack]])=FALSE),MIP[Sem],0)</f>
        <v>0</v>
      </c>
    </row>
    <row r="339" spans="1:43" s="47" customFormat="1" x14ac:dyDescent="0.25">
      <c r="A339" s="11"/>
      <c r="B339" s="44">
        <f>WEEKNUM(MIP[[#This Row],[Data]])</f>
        <v>31</v>
      </c>
      <c r="C339" s="45">
        <v>42952</v>
      </c>
      <c r="D339" s="45"/>
      <c r="E339" s="35" t="s">
        <v>10</v>
      </c>
      <c r="F339" s="35" t="s">
        <v>5</v>
      </c>
      <c r="G339" s="35"/>
      <c r="H339" s="44">
        <v>2</v>
      </c>
      <c r="I339" s="44">
        <v>0</v>
      </c>
      <c r="J339" s="44">
        <v>0</v>
      </c>
      <c r="K339" s="44">
        <v>0</v>
      </c>
      <c r="L339" s="44">
        <v>0</v>
      </c>
      <c r="M339" s="43">
        <v>0.25</v>
      </c>
      <c r="N339" s="43">
        <v>0.27083333333333331</v>
      </c>
      <c r="O339" s="43">
        <v>0.63750000000000007</v>
      </c>
      <c r="P339" s="43">
        <v>0.65833333333333333</v>
      </c>
      <c r="Q339" s="39"/>
      <c r="R339" s="42"/>
      <c r="S339" s="29">
        <f>MIP[[#This Row],[PT-1]]+MIP[[#This Row],[PT-2]]*2+MIP[[#This Row],[PT-3]]*3+MIP[[#This Row],[PT &gt; 3 Pontos]]</f>
        <v>0</v>
      </c>
      <c r="T33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339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339" s="41">
        <f>MIP[[#This Row],[Eficiência]]</f>
        <v>0</v>
      </c>
      <c r="W33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39" s="39">
        <f>IF(MIP[[#This Row],[P.S]]-MIP[[#This Row],[P.E]]&lt;0,1+MIP[[#This Row],[P.S]]-MIP[[#This Row],[P.E]]-1/24,MIP[[#This Row],[P.S]]-MIP[[#This Row],[P.E]]-1/24)</f>
        <v>0.36666666666666664</v>
      </c>
      <c r="Y339" s="39">
        <f>MIP[[#This Row],[PT-1]]*$S$3+MIP[[#This Row],[PT-2]]*$T$3+MIP[[#This Row],[PT-3]]*$U$3+MIP[[#This Row],[PT &gt; 3 Pontos]]*$V$3</f>
        <v>0</v>
      </c>
      <c r="Z339" s="39">
        <f>MIP[[#This Row],[HH disponível]]-MIP[[#This Row],[HH AC TOT]]</f>
        <v>0.32500000000000007</v>
      </c>
      <c r="AA339" s="38">
        <f>MIP[[#This Row],[HH Produtivo
Total]]/MIP[[#This Row],[HH Trabalhado]]</f>
        <v>0</v>
      </c>
      <c r="AB339" s="38">
        <f>MIP[[#This Row],[HH Produtivo
Total]]/MIP[[#This Row],[HH disponível]]</f>
        <v>0</v>
      </c>
      <c r="AC339" s="38">
        <f>MIP[[#This Row],[HH Trabalhado]]/MIP[[#This Row],[HH disponível]]</f>
        <v>0.88636363636363658</v>
      </c>
      <c r="AD339" s="37" t="str">
        <f>LEFT(MIP[[#This Row],[Equipe]], SEARCH("/",MIP[[#This Row],[Equipe]],1)-1)</f>
        <v xml:space="preserve">JOILSON </v>
      </c>
      <c r="AE339" s="37" t="str">
        <f>RIGHT(MIP[[#This Row],[Equipe]], LEN(MIP[[#This Row],[Equipe]])-SEARCH("/",MIP[[#This Row],[Equipe]],1))</f>
        <v xml:space="preserve"> VALDEI</v>
      </c>
      <c r="AF339" s="44">
        <f>COUNTIFS('[1]Tempo parado'!H:H,"&gt;="&amp;MIP[[#This Row],[S.B Sitrack]],'[1]Tempo parado'!I:I,"&lt;="&amp;MIP[[#This Row],[C.B Sitrack]],'[1]Tempo parado'!B:B,MIP[[#This Row],[Placa]])</f>
        <v>0</v>
      </c>
      <c r="AG339" s="36"/>
      <c r="AH339" s="35"/>
      <c r="AI339" s="34"/>
      <c r="AJ339" s="34"/>
      <c r="AK33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3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39" s="32">
        <f>SUMIFS('[1]Tempo parado'!J:J,'[1]Tempo parado'!H:H,"&gt;="&amp;MIP[[#This Row],[S.B Sitrack]],'[1]Tempo parado'!I:I,"&lt;="&amp;MIP[[#This Row],[C.B Sitrack]],'[1]Tempo parado'!B:B,MIP[[#This Row],[Placa]])</f>
        <v>0</v>
      </c>
      <c r="AN339" s="32" t="str">
        <f>IFERROR(MIP[[#This Row],[Tempo parado]]/(MIP[[#This Row],[C.B Sitrack]]-MIP[[#This Row],[S.B Sitrack]]),"")</f>
        <v/>
      </c>
      <c r="AO339" s="30"/>
      <c r="AP339" s="44">
        <f>IF(AND(MIP[Exc]=0,MIP[Previsto / Realizado]="Realizado"),MIP[Sem],0)</f>
        <v>0</v>
      </c>
      <c r="AQ339" s="29">
        <f>IF(AND(MIP[Exc]=0,MIP[Previsto / Realizado]="Realizado",ISBLANK(MIP[[#This Row],[S.B Sitrack]])=FALSE,ISBLANK(MIP[[#This Row],[C.B Sitrack]])=FALSE),MIP[Sem],0)</f>
        <v>0</v>
      </c>
    </row>
    <row r="340" spans="1:43" s="64" customFormat="1" x14ac:dyDescent="0.25">
      <c r="A340" s="11"/>
      <c r="B340" s="44">
        <f>WEEKNUM(MIP[[#This Row],[Data]])</f>
        <v>31</v>
      </c>
      <c r="C340" s="45">
        <v>42952</v>
      </c>
      <c r="D340" s="45"/>
      <c r="E340" s="35" t="s">
        <v>10</v>
      </c>
      <c r="F340" s="35" t="s">
        <v>2</v>
      </c>
      <c r="G340" s="35"/>
      <c r="H340" s="44">
        <v>2</v>
      </c>
      <c r="I340" s="44">
        <v>3</v>
      </c>
      <c r="J340" s="44">
        <v>0</v>
      </c>
      <c r="K340" s="44">
        <v>1</v>
      </c>
      <c r="L340" s="44">
        <v>4</v>
      </c>
      <c r="M340" s="43">
        <v>0.24513888888888888</v>
      </c>
      <c r="N340" s="43">
        <v>0.27777777777777779</v>
      </c>
      <c r="O340" s="43">
        <v>0.60069444444444442</v>
      </c>
      <c r="P340" s="43">
        <v>0.6333333333333333</v>
      </c>
      <c r="Q340" s="39"/>
      <c r="R340" s="42" t="s">
        <v>343</v>
      </c>
      <c r="S340" s="29">
        <f>MIP[[#This Row],[PT-1]]+MIP[[#This Row],[PT-2]]*2+MIP[[#This Row],[PT-3]]*3+MIP[[#This Row],[PT &gt; 3 Pontos]]</f>
        <v>10</v>
      </c>
      <c r="T34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6.5277777777777796E-2</v>
      </c>
      <c r="U340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6.5277777777777796E-2</v>
      </c>
      <c r="V340" s="41">
        <f>MIP[[#This Row],[Eficiência]]</f>
        <v>0.77817344585594761</v>
      </c>
      <c r="W34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40" s="39">
        <f>IF(MIP[[#This Row],[P.S]]-MIP[[#This Row],[P.E]]&lt;0,1+MIP[[#This Row],[P.S]]-MIP[[#This Row],[P.E]]-1/24,MIP[[#This Row],[P.S]]-MIP[[#This Row],[P.E]]-1/24)</f>
        <v>0.34652777777777771</v>
      </c>
      <c r="Y340" s="39">
        <f>MIP[[#This Row],[PT-1]]*$S$3+MIP[[#This Row],[PT-2]]*$T$3+MIP[[#This Row],[PT-3]]*$U$3+MIP[[#This Row],[PT &gt; 3 Pontos]]*$V$3</f>
        <v>0.21886128164698518</v>
      </c>
      <c r="Z340" s="39">
        <f>MIP[[#This Row],[HH disponível]]-MIP[[#This Row],[HH AC TOT]]</f>
        <v>0.28124999999999989</v>
      </c>
      <c r="AA340" s="38">
        <f>MIP[[#This Row],[HH Produtivo
Total]]/MIP[[#This Row],[HH Trabalhado]]</f>
        <v>0.77817344585594761</v>
      </c>
      <c r="AB340" s="38">
        <f>MIP[[#This Row],[HH Produtivo
Total]]/MIP[[#This Row],[HH disponível]]</f>
        <v>0.6315836584602379</v>
      </c>
      <c r="AC340" s="38">
        <f>MIP[[#This Row],[HH Trabalhado]]/MIP[[#This Row],[HH disponível]]</f>
        <v>0.81162324649298578</v>
      </c>
      <c r="AD340" s="37" t="str">
        <f>LEFT(MIP[[#This Row],[Equipe]], SEARCH("/",MIP[[#This Row],[Equipe]],1)-1)</f>
        <v xml:space="preserve">JOILSON </v>
      </c>
      <c r="AE340" s="37" t="str">
        <f>RIGHT(MIP[[#This Row],[Equipe]], LEN(MIP[[#This Row],[Equipe]])-SEARCH("/",MIP[[#This Row],[Equipe]],1))</f>
        <v xml:space="preserve"> VALDEI</v>
      </c>
      <c r="AF340" s="44">
        <f>COUNTIFS('[1]Tempo parado'!H:H,"&gt;="&amp;MIP[[#This Row],[S.B Sitrack]],'[1]Tempo parado'!I:I,"&lt;="&amp;MIP[[#This Row],[C.B Sitrack]],'[1]Tempo parado'!B:B,MIP[[#This Row],[Placa]])</f>
        <v>0</v>
      </c>
      <c r="AG340" s="36"/>
      <c r="AH340" s="35"/>
      <c r="AI340" s="34"/>
      <c r="AJ340" s="34"/>
      <c r="AK34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4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40" s="32">
        <f>SUMIFS('[1]Tempo parado'!J:J,'[1]Tempo parado'!H:H,"&gt;="&amp;MIP[[#This Row],[S.B Sitrack]],'[1]Tempo parado'!I:I,"&lt;="&amp;MIP[[#This Row],[C.B Sitrack]],'[1]Tempo parado'!B:B,MIP[[#This Row],[Placa]])</f>
        <v>0</v>
      </c>
      <c r="AN340" s="32" t="str">
        <f>IFERROR(MIP[[#This Row],[Tempo parado]]/(MIP[[#This Row],[C.B Sitrack]]-MIP[[#This Row],[S.B Sitrack]]),"")</f>
        <v/>
      </c>
      <c r="AO340" s="30"/>
      <c r="AP340" s="44">
        <f>IF(AND(MIP[Exc]=0,MIP[Previsto / Realizado]="Realizado"),MIP[Sem],0)</f>
        <v>31</v>
      </c>
      <c r="AQ340" s="29">
        <f>IF(AND(MIP[Exc]=0,MIP[Previsto / Realizado]="Realizado",ISBLANK(MIP[[#This Row],[S.B Sitrack]])=FALSE,ISBLANK(MIP[[#This Row],[C.B Sitrack]])=FALSE),MIP[Sem],0)</f>
        <v>0</v>
      </c>
    </row>
    <row r="341" spans="1:43" s="47" customFormat="1" x14ac:dyDescent="0.25">
      <c r="A341" s="11"/>
      <c r="B341" s="44">
        <f>WEEKNUM(MIP[[#This Row],[Data]])</f>
        <v>32</v>
      </c>
      <c r="C341" s="45">
        <v>42953</v>
      </c>
      <c r="D341" s="45"/>
      <c r="E341" s="35" t="s">
        <v>19</v>
      </c>
      <c r="F341" s="35" t="s">
        <v>5</v>
      </c>
      <c r="G341" s="35"/>
      <c r="H341" s="44">
        <v>2</v>
      </c>
      <c r="I341" s="44">
        <v>0</v>
      </c>
      <c r="J341" s="44">
        <v>0</v>
      </c>
      <c r="K341" s="44">
        <v>0</v>
      </c>
      <c r="L341" s="44">
        <v>0</v>
      </c>
      <c r="M341" s="43">
        <v>0.625</v>
      </c>
      <c r="N341" s="43">
        <v>0.64583333333333337</v>
      </c>
      <c r="O341" s="43">
        <f>1+18/24/60</f>
        <v>1.0125</v>
      </c>
      <c r="P341" s="43">
        <f>1+48/24/60</f>
        <v>1.0333333333333334</v>
      </c>
      <c r="Q341" s="39"/>
      <c r="R341" s="42"/>
      <c r="S341" s="29">
        <f>MIP[[#This Row],[PT-1]]+MIP[[#This Row],[PT-2]]*2+MIP[[#This Row],[PT-3]]*3+MIP[[#This Row],[PT &gt; 3 Pontos]]</f>
        <v>0</v>
      </c>
      <c r="T34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341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341" s="41">
        <f>MIP[[#This Row],[Eficiência]]</f>
        <v>0</v>
      </c>
      <c r="W34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41" s="39">
        <f>IF(MIP[[#This Row],[P.S]]-MIP[[#This Row],[P.E]]&lt;0,1+MIP[[#This Row],[P.S]]-MIP[[#This Row],[P.E]]-1/24,MIP[[#This Row],[P.S]]-MIP[[#This Row],[P.E]]-1/24)</f>
        <v>0.36666666666666675</v>
      </c>
      <c r="Y341" s="39">
        <f>MIP[[#This Row],[PT-1]]*$S$3+MIP[[#This Row],[PT-2]]*$T$3+MIP[[#This Row],[PT-3]]*$U$3+MIP[[#This Row],[PT &gt; 3 Pontos]]*$V$3</f>
        <v>0</v>
      </c>
      <c r="Z341" s="39">
        <f>MIP[[#This Row],[HH disponível]]-MIP[[#This Row],[HH AC TOT]]</f>
        <v>0.3249999999999999</v>
      </c>
      <c r="AA341" s="38">
        <f>MIP[[#This Row],[HH Produtivo
Total]]/MIP[[#This Row],[HH Trabalhado]]</f>
        <v>0</v>
      </c>
      <c r="AB341" s="38">
        <f>MIP[[#This Row],[HH Produtivo
Total]]/MIP[[#This Row],[HH disponível]]</f>
        <v>0</v>
      </c>
      <c r="AC341" s="38">
        <f>MIP[[#This Row],[HH Trabalhado]]/MIP[[#This Row],[HH disponível]]</f>
        <v>0.88636363636363591</v>
      </c>
      <c r="AD341" s="37" t="str">
        <f>LEFT(MIP[[#This Row],[Equipe]], SEARCH("/",MIP[[#This Row],[Equipe]],1)-1)</f>
        <v xml:space="preserve">ADEMÁRIO </v>
      </c>
      <c r="AE341" s="37" t="str">
        <f>RIGHT(MIP[[#This Row],[Equipe]], LEN(MIP[[#This Row],[Equipe]])-SEARCH("/",MIP[[#This Row],[Equipe]],1))</f>
        <v xml:space="preserve"> RONALDO</v>
      </c>
      <c r="AF341" s="44">
        <f>COUNTIFS('[1]Tempo parado'!H:H,"&gt;="&amp;MIP[[#This Row],[S.B Sitrack]],'[1]Tempo parado'!I:I,"&lt;="&amp;MIP[[#This Row],[C.B Sitrack]],'[1]Tempo parado'!B:B,MIP[[#This Row],[Placa]])</f>
        <v>0</v>
      </c>
      <c r="AG341" s="36"/>
      <c r="AH341" s="35"/>
      <c r="AI341" s="34"/>
      <c r="AJ341" s="34"/>
      <c r="AK34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4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41" s="32">
        <f>SUMIFS('[1]Tempo parado'!J:J,'[1]Tempo parado'!H:H,"&gt;="&amp;MIP[[#This Row],[S.B Sitrack]],'[1]Tempo parado'!I:I,"&lt;="&amp;MIP[[#This Row],[C.B Sitrack]],'[1]Tempo parado'!B:B,MIP[[#This Row],[Placa]])</f>
        <v>0</v>
      </c>
      <c r="AN341" s="32" t="str">
        <f>IFERROR(MIP[[#This Row],[Tempo parado]]/(MIP[[#This Row],[C.B Sitrack]]-MIP[[#This Row],[S.B Sitrack]]),"")</f>
        <v/>
      </c>
      <c r="AO341" s="30"/>
      <c r="AP341" s="44">
        <f>IF(AND(MIP[Exc]=0,MIP[Previsto / Realizado]="Realizado"),MIP[Sem],0)</f>
        <v>0</v>
      </c>
      <c r="AQ341" s="29">
        <f>IF(AND(MIP[Exc]=0,MIP[Previsto / Realizado]="Realizado",ISBLANK(MIP[[#This Row],[S.B Sitrack]])=FALSE,ISBLANK(MIP[[#This Row],[C.B Sitrack]])=FALSE),MIP[Sem],0)</f>
        <v>0</v>
      </c>
    </row>
    <row r="342" spans="1:43" s="64" customFormat="1" x14ac:dyDescent="0.25">
      <c r="A342" s="11"/>
      <c r="B342" s="44">
        <f>WEEKNUM(MIP[[#This Row],[Data]])</f>
        <v>32</v>
      </c>
      <c r="C342" s="45">
        <v>42953</v>
      </c>
      <c r="D342" s="45"/>
      <c r="E342" s="35" t="s">
        <v>19</v>
      </c>
      <c r="F342" s="35" t="s">
        <v>2</v>
      </c>
      <c r="G342" s="35"/>
      <c r="H342" s="44">
        <v>2</v>
      </c>
      <c r="I342" s="44">
        <v>0</v>
      </c>
      <c r="J342" s="44">
        <v>0</v>
      </c>
      <c r="K342" s="44">
        <v>0</v>
      </c>
      <c r="L342" s="44">
        <v>4</v>
      </c>
      <c r="M342" s="43">
        <v>0.62291666666666667</v>
      </c>
      <c r="N342" s="43">
        <v>0.65972222222222221</v>
      </c>
      <c r="O342" s="43">
        <f>1+15/24/60</f>
        <v>1.0104166666666667</v>
      </c>
      <c r="P342" s="43">
        <f>1+52/24/60</f>
        <v>1.0361111111111112</v>
      </c>
      <c r="Q342" s="39">
        <v>0.25</v>
      </c>
      <c r="R342" s="42" t="s">
        <v>342</v>
      </c>
      <c r="S342" s="29">
        <f>MIP[[#This Row],[PT-1]]+MIP[[#This Row],[PT-2]]*2+MIP[[#This Row],[PT-3]]*3+MIP[[#This Row],[PT &gt; 3 Pontos]]</f>
        <v>4</v>
      </c>
      <c r="T34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0.3125</v>
      </c>
      <c r="U342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6.25E-2</v>
      </c>
      <c r="V342" s="41">
        <f>MIP[[#This Row],[Eficiência]]</f>
        <v>1.3721005020365626</v>
      </c>
      <c r="W34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42" s="39">
        <f>IF(MIP[[#This Row],[P.S]]-MIP[[#This Row],[P.E]]&lt;0,1+MIP[[#This Row],[P.S]]-MIP[[#This Row],[P.E]]-1/24,MIP[[#This Row],[P.S]]-MIP[[#This Row],[P.E]]-1/24)</f>
        <v>0.37152777777777785</v>
      </c>
      <c r="Y342" s="39">
        <f>MIP[[#This Row],[PT-1]]*$S$3+MIP[[#This Row],[PT-2]]*$T$3+MIP[[#This Row],[PT-3]]*$U$3+MIP[[#This Row],[PT &gt; 3 Pontos]]*$V$3</f>
        <v>8.0992043522991636E-2</v>
      </c>
      <c r="Z342" s="39">
        <f>MIP[[#This Row],[HH disponível]]-MIP[[#This Row],[HH AC TOT]]</f>
        <v>5.9027777777777846E-2</v>
      </c>
      <c r="AA342" s="38">
        <f>MIP[[#This Row],[HH Produtivo
Total]]/MIP[[#This Row],[HH Trabalhado]]</f>
        <v>1.3721005020365626</v>
      </c>
      <c r="AB342" s="38">
        <f>MIP[[#This Row],[HH Produtivo
Total]]/MIP[[#This Row],[HH disponível]]</f>
        <v>0.21799727602450081</v>
      </c>
      <c r="AC342" s="38">
        <f>MIP[[#This Row],[HH Trabalhado]]/MIP[[#This Row],[HH disponível]]</f>
        <v>0.15887850467289735</v>
      </c>
      <c r="AD342" s="37" t="str">
        <f>LEFT(MIP[[#This Row],[Equipe]], SEARCH("/",MIP[[#This Row],[Equipe]],1)-1)</f>
        <v xml:space="preserve">ADEMÁRIO </v>
      </c>
      <c r="AE342" s="37" t="str">
        <f>RIGHT(MIP[[#This Row],[Equipe]], LEN(MIP[[#This Row],[Equipe]])-SEARCH("/",MIP[[#This Row],[Equipe]],1))</f>
        <v xml:space="preserve"> RONALDO</v>
      </c>
      <c r="AF342" s="44">
        <f>COUNTIFS('[1]Tempo parado'!H:H,"&gt;="&amp;MIP[[#This Row],[S.B Sitrack]],'[1]Tempo parado'!I:I,"&lt;="&amp;MIP[[#This Row],[C.B Sitrack]],'[1]Tempo parado'!B:B,MIP[[#This Row],[Placa]])</f>
        <v>0</v>
      </c>
      <c r="AG342" s="36"/>
      <c r="AH342" s="35"/>
      <c r="AI342" s="34"/>
      <c r="AJ342" s="34"/>
      <c r="AK34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4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42" s="32">
        <f>SUMIFS('[1]Tempo parado'!J:J,'[1]Tempo parado'!H:H,"&gt;="&amp;MIP[[#This Row],[S.B Sitrack]],'[1]Tempo parado'!I:I,"&lt;="&amp;MIP[[#This Row],[C.B Sitrack]],'[1]Tempo parado'!B:B,MIP[[#This Row],[Placa]])</f>
        <v>0</v>
      </c>
      <c r="AN342" s="32" t="str">
        <f>IFERROR(MIP[[#This Row],[Tempo parado]]/(MIP[[#This Row],[C.B Sitrack]]-MIP[[#This Row],[S.B Sitrack]]),"")</f>
        <v/>
      </c>
      <c r="AO342" s="30"/>
      <c r="AP342" s="44">
        <f>IF(AND(MIP[Exc]=0,MIP[Previsto / Realizado]="Realizado"),MIP[Sem],0)</f>
        <v>32</v>
      </c>
      <c r="AQ342" s="29">
        <f>IF(AND(MIP[Exc]=0,MIP[Previsto / Realizado]="Realizado",ISBLANK(MIP[[#This Row],[S.B Sitrack]])=FALSE,ISBLANK(MIP[[#This Row],[C.B Sitrack]])=FALSE),MIP[Sem],0)</f>
        <v>0</v>
      </c>
    </row>
    <row r="343" spans="1:43" s="47" customFormat="1" x14ac:dyDescent="0.25">
      <c r="A343" s="11"/>
      <c r="B343" s="44">
        <f>WEEKNUM(MIP[[#This Row],[Data]])</f>
        <v>32</v>
      </c>
      <c r="C343" s="45">
        <v>42954</v>
      </c>
      <c r="D343" s="45"/>
      <c r="E343" s="35" t="s">
        <v>3</v>
      </c>
      <c r="F343" s="35" t="s">
        <v>5</v>
      </c>
      <c r="G343" s="35"/>
      <c r="H343" s="44">
        <v>2</v>
      </c>
      <c r="I343" s="44">
        <v>9</v>
      </c>
      <c r="J343" s="44">
        <v>3</v>
      </c>
      <c r="K343" s="44">
        <v>0</v>
      </c>
      <c r="L343" s="44">
        <v>0</v>
      </c>
      <c r="M343" s="43">
        <v>0.625</v>
      </c>
      <c r="N343" s="43">
        <v>0.64583333333333337</v>
      </c>
      <c r="O343" s="43">
        <f>1+18/24/60</f>
        <v>1.0125</v>
      </c>
      <c r="P343" s="43">
        <f>1+48/24/60</f>
        <v>1.0333333333333334</v>
      </c>
      <c r="Q343" s="39"/>
      <c r="R343" s="42"/>
      <c r="S343" s="29">
        <f>MIP[[#This Row],[PT-1]]+MIP[[#This Row],[PT-2]]*2+MIP[[#This Row],[PT-3]]*3+MIP[[#This Row],[PT &gt; 3 Pontos]]</f>
        <v>15</v>
      </c>
      <c r="T34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343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343" s="41">
        <f>MIP[[#This Row],[Eficiência]]</f>
        <v>1.098335307506503</v>
      </c>
      <c r="W34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43" s="39">
        <f>IF(MIP[[#This Row],[P.S]]-MIP[[#This Row],[P.E]]&lt;0,1+MIP[[#This Row],[P.S]]-MIP[[#This Row],[P.E]]-1/24,MIP[[#This Row],[P.S]]-MIP[[#This Row],[P.E]]-1/24)</f>
        <v>0.36666666666666675</v>
      </c>
      <c r="Y343" s="39">
        <f>MIP[[#This Row],[PT-1]]*$S$3+MIP[[#This Row],[PT-2]]*$T$3+MIP[[#This Row],[PT-3]]*$U$3+MIP[[#This Row],[PT &gt; 3 Pontos]]*$V$3</f>
        <v>0.35695897493961337</v>
      </c>
      <c r="Z343" s="39">
        <f>MIP[[#This Row],[HH disponível]]-MIP[[#This Row],[HH AC TOT]]</f>
        <v>0.3249999999999999</v>
      </c>
      <c r="AA343" s="38">
        <f>MIP[[#This Row],[HH Produtivo
Total]]/MIP[[#This Row],[HH Trabalhado]]</f>
        <v>1.098335307506503</v>
      </c>
      <c r="AB343" s="38">
        <f>MIP[[#This Row],[HH Produtivo
Total]]/MIP[[#This Row],[HH disponível]]</f>
        <v>0.97352447710803625</v>
      </c>
      <c r="AC343" s="38">
        <f>MIP[[#This Row],[HH Trabalhado]]/MIP[[#This Row],[HH disponível]]</f>
        <v>0.88636363636363591</v>
      </c>
      <c r="AD343" s="37" t="str">
        <f>LEFT(MIP[[#This Row],[Equipe]], SEARCH("/",MIP[[#This Row],[Equipe]],1)-1)</f>
        <v xml:space="preserve">EDILTON </v>
      </c>
      <c r="AE343" s="37" t="str">
        <f>RIGHT(MIP[[#This Row],[Equipe]], LEN(MIP[[#This Row],[Equipe]])-SEARCH("/",MIP[[#This Row],[Equipe]],1))</f>
        <v xml:space="preserve"> GECIVALDO</v>
      </c>
      <c r="AF343" s="44">
        <f>COUNTIFS('[1]Tempo parado'!H:H,"&gt;="&amp;MIP[[#This Row],[S.B Sitrack]],'[1]Tempo parado'!I:I,"&lt;="&amp;MIP[[#This Row],[C.B Sitrack]],'[1]Tempo parado'!B:B,MIP[[#This Row],[Placa]])</f>
        <v>0</v>
      </c>
      <c r="AG343" s="36"/>
      <c r="AH343" s="35"/>
      <c r="AI343" s="34"/>
      <c r="AJ343" s="34"/>
      <c r="AK34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4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43" s="32">
        <f>SUMIFS('[1]Tempo parado'!J:J,'[1]Tempo parado'!H:H,"&gt;="&amp;MIP[[#This Row],[S.B Sitrack]],'[1]Tempo parado'!I:I,"&lt;="&amp;MIP[[#This Row],[C.B Sitrack]],'[1]Tempo parado'!B:B,MIP[[#This Row],[Placa]])</f>
        <v>0</v>
      </c>
      <c r="AN343" s="32" t="str">
        <f>IFERROR(MIP[[#This Row],[Tempo parado]]/(MIP[[#This Row],[C.B Sitrack]]-MIP[[#This Row],[S.B Sitrack]]),"")</f>
        <v/>
      </c>
      <c r="AO343" s="30"/>
      <c r="AP343" s="44">
        <f>IF(AND(MIP[Exc]=0,MIP[Previsto / Realizado]="Realizado"),MIP[Sem],0)</f>
        <v>0</v>
      </c>
      <c r="AQ343" s="29">
        <f>IF(AND(MIP[Exc]=0,MIP[Previsto / Realizado]="Realizado",ISBLANK(MIP[[#This Row],[S.B Sitrack]])=FALSE,ISBLANK(MIP[[#This Row],[C.B Sitrack]])=FALSE),MIP[Sem],0)</f>
        <v>0</v>
      </c>
    </row>
    <row r="344" spans="1:43" s="64" customFormat="1" x14ac:dyDescent="0.25">
      <c r="A344" s="11"/>
      <c r="B344" s="44">
        <f>WEEKNUM(MIP[[#This Row],[Data]])</f>
        <v>32</v>
      </c>
      <c r="C344" s="45">
        <v>42954</v>
      </c>
      <c r="D344" s="45"/>
      <c r="E344" s="35" t="s">
        <v>3</v>
      </c>
      <c r="F344" s="35" t="s">
        <v>2</v>
      </c>
      <c r="G344" s="35"/>
      <c r="H344" s="44">
        <v>2</v>
      </c>
      <c r="I344" s="44">
        <v>6</v>
      </c>
      <c r="J344" s="44">
        <v>3</v>
      </c>
      <c r="K344" s="44">
        <v>0</v>
      </c>
      <c r="L344" s="44">
        <v>0</v>
      </c>
      <c r="M344" s="43">
        <v>0.62222222222222223</v>
      </c>
      <c r="N344" s="43">
        <v>0.66180555555555554</v>
      </c>
      <c r="O344" s="43">
        <f>1+28/24/60</f>
        <v>1.0194444444444444</v>
      </c>
      <c r="P344" s="43">
        <f>1+48/24/60</f>
        <v>1.0333333333333334</v>
      </c>
      <c r="Q344" s="39"/>
      <c r="R344" s="42"/>
      <c r="S344" s="29">
        <f>MIP[[#This Row],[PT-1]]+MIP[[#This Row],[PT-2]]*2+MIP[[#This Row],[PT-3]]*3+MIP[[#This Row],[PT &gt; 3 Pontos]]</f>
        <v>12</v>
      </c>
      <c r="T34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5.3472222222222365E-2</v>
      </c>
      <c r="U344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5.3472222222222365E-2</v>
      </c>
      <c r="V344" s="41">
        <f>MIP[[#This Row],[Eficiência]]</f>
        <v>0.89210821786908723</v>
      </c>
      <c r="W34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44" s="39">
        <f>IF(MIP[[#This Row],[P.S]]-MIP[[#This Row],[P.E]]&lt;0,1+MIP[[#This Row],[P.S]]-MIP[[#This Row],[P.E]]-1/24,MIP[[#This Row],[P.S]]-MIP[[#This Row],[P.E]]-1/24)</f>
        <v>0.36944444444444452</v>
      </c>
      <c r="Y344" s="39">
        <f>MIP[[#This Row],[PT-1]]*$S$3+MIP[[#This Row],[PT-2]]*$T$3+MIP[[#This Row],[PT-3]]*$U$3+MIP[[#This Row],[PT &gt; 3 Pontos]]*$V$3</f>
        <v>0.28188141606280182</v>
      </c>
      <c r="Z344" s="39">
        <f>MIP[[#This Row],[HH disponível]]-MIP[[#This Row],[HH AC TOT]]</f>
        <v>0.31597222222222215</v>
      </c>
      <c r="AA344" s="38">
        <f>MIP[[#This Row],[HH Produtivo
Total]]/MIP[[#This Row],[HH Trabalhado]]</f>
        <v>0.89210821786908723</v>
      </c>
      <c r="AB344" s="38">
        <f>MIP[[#This Row],[HH Produtivo
Total]]/MIP[[#This Row],[HH disponível]]</f>
        <v>0.76298729159856116</v>
      </c>
      <c r="AC344" s="38">
        <f>MIP[[#This Row],[HH Trabalhado]]/MIP[[#This Row],[HH disponível]]</f>
        <v>0.8552631578947365</v>
      </c>
      <c r="AD344" s="37" t="str">
        <f>LEFT(MIP[[#This Row],[Equipe]], SEARCH("/",MIP[[#This Row],[Equipe]],1)-1)</f>
        <v xml:space="preserve">EDILTON </v>
      </c>
      <c r="AE344" s="37" t="str">
        <f>RIGHT(MIP[[#This Row],[Equipe]], LEN(MIP[[#This Row],[Equipe]])-SEARCH("/",MIP[[#This Row],[Equipe]],1))</f>
        <v xml:space="preserve"> GECIVALDO</v>
      </c>
      <c r="AF344" s="44">
        <f>COUNTIFS('[1]Tempo parado'!H:H,"&gt;="&amp;MIP[[#This Row],[S.B Sitrack]],'[1]Tempo parado'!I:I,"&lt;="&amp;MIP[[#This Row],[C.B Sitrack]],'[1]Tempo parado'!B:B,MIP[[#This Row],[Placa]])</f>
        <v>0</v>
      </c>
      <c r="AG344" s="36"/>
      <c r="AH344" s="35"/>
      <c r="AI344" s="34"/>
      <c r="AJ344" s="34"/>
      <c r="AK34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4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44" s="32">
        <f>SUMIFS('[1]Tempo parado'!J:J,'[1]Tempo parado'!H:H,"&gt;="&amp;MIP[[#This Row],[S.B Sitrack]],'[1]Tempo parado'!I:I,"&lt;="&amp;MIP[[#This Row],[C.B Sitrack]],'[1]Tempo parado'!B:B,MIP[[#This Row],[Placa]])</f>
        <v>0</v>
      </c>
      <c r="AN344" s="32" t="str">
        <f>IFERROR(MIP[[#This Row],[Tempo parado]]/(MIP[[#This Row],[C.B Sitrack]]-MIP[[#This Row],[S.B Sitrack]]),"")</f>
        <v/>
      </c>
      <c r="AO344" s="30"/>
      <c r="AP344" s="44">
        <f>IF(AND(MIP[Exc]=0,MIP[Previsto / Realizado]="Realizado"),MIP[Sem],0)</f>
        <v>32</v>
      </c>
      <c r="AQ344" s="29">
        <f>IF(AND(MIP[Exc]=0,MIP[Previsto / Realizado]="Realizado",ISBLANK(MIP[[#This Row],[S.B Sitrack]])=FALSE,ISBLANK(MIP[[#This Row],[C.B Sitrack]])=FALSE),MIP[Sem],0)</f>
        <v>0</v>
      </c>
    </row>
    <row r="345" spans="1:43" s="47" customFormat="1" x14ac:dyDescent="0.25">
      <c r="A345" s="11"/>
      <c r="B345" s="44">
        <f>WEEKNUM(MIP[[#This Row],[Data]])</f>
        <v>32</v>
      </c>
      <c r="C345" s="45">
        <v>42955</v>
      </c>
      <c r="D345" s="45"/>
      <c r="E345" s="35" t="s">
        <v>341</v>
      </c>
      <c r="F345" s="35" t="s">
        <v>5</v>
      </c>
      <c r="G345" s="35"/>
      <c r="H345" s="44">
        <v>3</v>
      </c>
      <c r="I345" s="44">
        <v>11</v>
      </c>
      <c r="J345" s="44">
        <v>2</v>
      </c>
      <c r="K345" s="44">
        <v>0</v>
      </c>
      <c r="L345" s="44">
        <v>8</v>
      </c>
      <c r="M345" s="43">
        <v>0.625</v>
      </c>
      <c r="N345" s="43">
        <v>0.64583333333333337</v>
      </c>
      <c r="O345" s="43">
        <f>1+18/24/60</f>
        <v>1.0125</v>
      </c>
      <c r="P345" s="43">
        <f>1+48/24/60</f>
        <v>1.0333333333333334</v>
      </c>
      <c r="Q345" s="39"/>
      <c r="R345" s="42"/>
      <c r="S345" s="29">
        <f>MIP[[#This Row],[PT-1]]+MIP[[#This Row],[PT-2]]*2+MIP[[#This Row],[PT-3]]*3+MIP[[#This Row],[PT &gt; 3 Pontos]]</f>
        <v>23</v>
      </c>
      <c r="T34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345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345" s="41">
        <f>MIP[[#This Row],[Eficiência]]</f>
        <v>1.6156492363089587</v>
      </c>
      <c r="W34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45" s="39">
        <f>IF(MIP[[#This Row],[P.S]]-MIP[[#This Row],[P.E]]&lt;0,1+MIP[[#This Row],[P.S]]-MIP[[#This Row],[P.E]]-1/24,MIP[[#This Row],[P.S]]-MIP[[#This Row],[P.E]]-1/24)</f>
        <v>0.36666666666666675</v>
      </c>
      <c r="Y345" s="39">
        <f>MIP[[#This Row],[PT-1]]*$S$3+MIP[[#This Row],[PT-2]]*$T$3+MIP[[#This Row],[PT-3]]*$U$3+MIP[[#This Row],[PT &gt; 3 Pontos]]*$V$3</f>
        <v>0.52508600180041143</v>
      </c>
      <c r="Z345" s="39">
        <f>MIP[[#This Row],[HH disponível]]-MIP[[#This Row],[HH AC TOT]]</f>
        <v>0.3249999999999999</v>
      </c>
      <c r="AA345" s="38">
        <f>MIP[[#This Row],[HH Produtivo
Total]]/MIP[[#This Row],[HH Trabalhado]]</f>
        <v>1.6156492363089587</v>
      </c>
      <c r="AB345" s="38">
        <f>MIP[[#This Row],[HH Produtivo
Total]]/MIP[[#This Row],[HH disponível]]</f>
        <v>1.4320527321829399</v>
      </c>
      <c r="AC345" s="38">
        <f>MIP[[#This Row],[HH Trabalhado]]/MIP[[#This Row],[HH disponível]]</f>
        <v>0.88636363636363591</v>
      </c>
      <c r="AD345" s="37" t="str">
        <f>LEFT(MIP[[#This Row],[Equipe]], SEARCH("/",MIP[[#This Row],[Equipe]],1)-1)</f>
        <v xml:space="preserve">ANDERSON </v>
      </c>
      <c r="AE345" s="37" t="str">
        <f>RIGHT(MIP[[#This Row],[Equipe]], LEN(MIP[[#This Row],[Equipe]])-SEARCH("/",MIP[[#This Row],[Equipe]],1))</f>
        <v xml:space="preserve"> EDILTON / GECIVALDO</v>
      </c>
      <c r="AF345" s="44">
        <f>COUNTIFS('[1]Tempo parado'!H:H,"&gt;="&amp;MIP[[#This Row],[S.B Sitrack]],'[1]Tempo parado'!I:I,"&lt;="&amp;MIP[[#This Row],[C.B Sitrack]],'[1]Tempo parado'!B:B,MIP[[#This Row],[Placa]])</f>
        <v>0</v>
      </c>
      <c r="AG345" s="36"/>
      <c r="AH345" s="35"/>
      <c r="AI345" s="34"/>
      <c r="AJ345" s="34"/>
      <c r="AK34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4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45" s="32">
        <f>SUMIFS('[1]Tempo parado'!J:J,'[1]Tempo parado'!H:H,"&gt;="&amp;MIP[[#This Row],[S.B Sitrack]],'[1]Tempo parado'!I:I,"&lt;="&amp;MIP[[#This Row],[C.B Sitrack]],'[1]Tempo parado'!B:B,MIP[[#This Row],[Placa]])</f>
        <v>0</v>
      </c>
      <c r="AN345" s="32" t="str">
        <f>IFERROR(MIP[[#This Row],[Tempo parado]]/(MIP[[#This Row],[C.B Sitrack]]-MIP[[#This Row],[S.B Sitrack]]),"")</f>
        <v/>
      </c>
      <c r="AO345" s="30"/>
      <c r="AP345" s="44">
        <f>IF(AND(MIP[Exc]=0,MIP[Previsto / Realizado]="Realizado"),MIP[Sem],0)</f>
        <v>0</v>
      </c>
      <c r="AQ345" s="29">
        <f>IF(AND(MIP[Exc]=0,MIP[Previsto / Realizado]="Realizado",ISBLANK(MIP[[#This Row],[S.B Sitrack]])=FALSE,ISBLANK(MIP[[#This Row],[C.B Sitrack]])=FALSE),MIP[Sem],0)</f>
        <v>0</v>
      </c>
    </row>
    <row r="346" spans="1:43" s="64" customFormat="1" x14ac:dyDescent="0.25">
      <c r="A346" s="11"/>
      <c r="B346" s="44">
        <f>WEEKNUM(MIP[[#This Row],[Data]])</f>
        <v>32</v>
      </c>
      <c r="C346" s="45">
        <v>42955</v>
      </c>
      <c r="D346" s="45"/>
      <c r="E346" s="35" t="s">
        <v>341</v>
      </c>
      <c r="F346" s="35" t="s">
        <v>2</v>
      </c>
      <c r="G346" s="35"/>
      <c r="H346" s="44">
        <v>3</v>
      </c>
      <c r="I346" s="44">
        <v>5</v>
      </c>
      <c r="J346" s="44">
        <v>0</v>
      </c>
      <c r="K346" s="44">
        <v>0</v>
      </c>
      <c r="L346" s="44">
        <v>8</v>
      </c>
      <c r="M346" s="43">
        <v>0.63680555555555551</v>
      </c>
      <c r="N346" s="43">
        <v>0.65347222222222223</v>
      </c>
      <c r="O346" s="43">
        <v>0.97916666666666663</v>
      </c>
      <c r="P346" s="43">
        <f>1+58/24/60</f>
        <v>1.0402777777777779</v>
      </c>
      <c r="Q346" s="39"/>
      <c r="R346" s="42"/>
      <c r="S346" s="29">
        <f>MIP[[#This Row],[PT-1]]+MIP[[#This Row],[PT-2]]*2+MIP[[#This Row],[PT-3]]*3+MIP[[#This Row],[PT &gt; 3 Pontos]]</f>
        <v>13</v>
      </c>
      <c r="T34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7.7777777777777946E-2</v>
      </c>
      <c r="U346" s="39">
        <f>IF(MIP[[#This Row],[P.S]]-MIP[[#This Row],[U.P]]&gt;=0,MIP[[#This Row],[P.S]]-MIP[[#This Row],[U.P]]+MIP[[#This Row],[S.B]]-MIP[[#This Row],[P.E]],1+MIP[[#This Row],[P.S]]-MIP[[#This Row],[U.P]]+MIP[[#This Row],[S.B]]-MIP[[#This Row],[P.E]])</f>
        <v>7.7777777777777946E-2</v>
      </c>
      <c r="V346" s="41">
        <f>MIP[[#This Row],[Eficiência]]</f>
        <v>1.010863634842454</v>
      </c>
      <c r="W34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46" s="39">
        <f>IF(MIP[[#This Row],[P.S]]-MIP[[#This Row],[P.E]]&lt;0,1+MIP[[#This Row],[P.S]]-MIP[[#This Row],[P.E]]-1/24,MIP[[#This Row],[P.S]]-MIP[[#This Row],[P.E]]-1/24)</f>
        <v>0.36180555555555566</v>
      </c>
      <c r="Y346" s="39">
        <f>MIP[[#This Row],[PT-1]]*$S$3+MIP[[#This Row],[PT-2]]*$T$3+MIP[[#This Row],[PT-3]]*$U$3+MIP[[#This Row],[PT &gt; 3 Pontos]]*$V$3</f>
        <v>0.28711335184066916</v>
      </c>
      <c r="Z346" s="39">
        <f>MIP[[#This Row],[HH disponível]]-MIP[[#This Row],[HH AC TOT]]</f>
        <v>0.28402777777777771</v>
      </c>
      <c r="AA346" s="38">
        <f>MIP[[#This Row],[HH Produtivo
Total]]/MIP[[#This Row],[HH Trabalhado]]</f>
        <v>1.010863634842454</v>
      </c>
      <c r="AB346" s="38">
        <f>MIP[[#This Row],[HH Produtivo
Total]]/MIP[[#This Row],[HH disponível]]</f>
        <v>0.79355705691087042</v>
      </c>
      <c r="AC346" s="38">
        <f>MIP[[#This Row],[HH Trabalhado]]/MIP[[#This Row],[HH disponível]]</f>
        <v>0.78502879078694776</v>
      </c>
      <c r="AD346" s="37" t="str">
        <f>LEFT(MIP[[#This Row],[Equipe]], SEARCH("/",MIP[[#This Row],[Equipe]],1)-1)</f>
        <v xml:space="preserve">ANDERSON </v>
      </c>
      <c r="AE346" s="37" t="str">
        <f>RIGHT(MIP[[#This Row],[Equipe]], LEN(MIP[[#This Row],[Equipe]])-SEARCH("/",MIP[[#This Row],[Equipe]],1))</f>
        <v xml:space="preserve"> EDILTON / GECIVALDO</v>
      </c>
      <c r="AF346" s="44">
        <f>COUNTIFS('[1]Tempo parado'!H:H,"&gt;="&amp;MIP[[#This Row],[S.B Sitrack]],'[1]Tempo parado'!I:I,"&lt;="&amp;MIP[[#This Row],[C.B Sitrack]],'[1]Tempo parado'!B:B,MIP[[#This Row],[Placa]])</f>
        <v>0</v>
      </c>
      <c r="AG346" s="36"/>
      <c r="AH346" s="35"/>
      <c r="AI346" s="34"/>
      <c r="AJ346" s="34"/>
      <c r="AK34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4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46" s="32">
        <f>SUMIFS('[1]Tempo parado'!J:J,'[1]Tempo parado'!H:H,"&gt;="&amp;MIP[[#This Row],[S.B Sitrack]],'[1]Tempo parado'!I:I,"&lt;="&amp;MIP[[#This Row],[C.B Sitrack]],'[1]Tempo parado'!B:B,MIP[[#This Row],[Placa]])</f>
        <v>0</v>
      </c>
      <c r="AN346" s="32" t="str">
        <f>IFERROR(MIP[[#This Row],[Tempo parado]]/(MIP[[#This Row],[C.B Sitrack]]-MIP[[#This Row],[S.B Sitrack]]),"")</f>
        <v/>
      </c>
      <c r="AO346" s="30"/>
      <c r="AP346" s="44">
        <f>IF(AND(MIP[Exc]=0,MIP[Previsto / Realizado]="Realizado"),MIP[Sem],0)</f>
        <v>32</v>
      </c>
      <c r="AQ346" s="29">
        <f>IF(AND(MIP[Exc]=0,MIP[Previsto / Realizado]="Realizado",ISBLANK(MIP[[#This Row],[S.B Sitrack]])=FALSE,ISBLANK(MIP[[#This Row],[C.B Sitrack]])=FALSE),MIP[Sem],0)</f>
        <v>0</v>
      </c>
    </row>
    <row r="347" spans="1:43" s="47" customFormat="1" x14ac:dyDescent="0.25">
      <c r="A347" s="11"/>
      <c r="B347" s="44">
        <f>WEEKNUM(MIP[[#This Row],[Data]])</f>
        <v>32</v>
      </c>
      <c r="C347" s="45">
        <v>42955</v>
      </c>
      <c r="D347" s="45"/>
      <c r="E347" s="35" t="s">
        <v>10</v>
      </c>
      <c r="F347" s="35" t="s">
        <v>5</v>
      </c>
      <c r="G347" s="35"/>
      <c r="H347" s="44">
        <v>2</v>
      </c>
      <c r="I347" s="44">
        <v>6</v>
      </c>
      <c r="J347" s="44">
        <v>0</v>
      </c>
      <c r="K347" s="44">
        <v>0</v>
      </c>
      <c r="L347" s="44">
        <v>4</v>
      </c>
      <c r="M347" s="43">
        <v>0.25</v>
      </c>
      <c r="N347" s="43">
        <v>0.27083333333333331</v>
      </c>
      <c r="O347" s="43">
        <v>0.63750000000000007</v>
      </c>
      <c r="P347" s="43">
        <v>0.65833333333333333</v>
      </c>
      <c r="Q347" s="39"/>
      <c r="R347" s="42" t="s">
        <v>70</v>
      </c>
      <c r="S347" s="29">
        <f>MIP[[#This Row],[PT-1]]+MIP[[#This Row],[PT-2]]*2+MIP[[#This Row],[PT-3]]*3+MIP[[#This Row],[PT &gt; 3 Pontos]]</f>
        <v>10</v>
      </c>
      <c r="T34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347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347" s="41">
        <f>MIP[[#This Row],[Eficiência]]</f>
        <v>0.71122203469727596</v>
      </c>
      <c r="W34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47" s="39">
        <f>IF(MIP[[#This Row],[P.S]]-MIP[[#This Row],[P.E]]&lt;0,1+MIP[[#This Row],[P.S]]-MIP[[#This Row],[P.E]]-1/24,MIP[[#This Row],[P.S]]-MIP[[#This Row],[P.E]]-1/24)</f>
        <v>0.36666666666666664</v>
      </c>
      <c r="Y347" s="39">
        <f>MIP[[#This Row],[PT-1]]*$S$3+MIP[[#This Row],[PT-2]]*$T$3+MIP[[#This Row],[PT-3]]*$U$3+MIP[[#This Row],[PT &gt; 3 Pontos]]*$V$3</f>
        <v>0.23114716127661472</v>
      </c>
      <c r="Z347" s="39">
        <f>MIP[[#This Row],[HH disponível]]-MIP[[#This Row],[HH AC TOT]]</f>
        <v>0.32500000000000007</v>
      </c>
      <c r="AA347" s="38">
        <f>MIP[[#This Row],[HH Produtivo
Total]]/MIP[[#This Row],[HH Trabalhado]]</f>
        <v>0.71122203469727596</v>
      </c>
      <c r="AB347" s="38">
        <f>MIP[[#This Row],[HH Produtivo
Total]]/MIP[[#This Row],[HH disponível]]</f>
        <v>0.63040134893622202</v>
      </c>
      <c r="AC347" s="38">
        <f>MIP[[#This Row],[HH Trabalhado]]/MIP[[#This Row],[HH disponível]]</f>
        <v>0.88636363636363658</v>
      </c>
      <c r="AD347" s="37" t="str">
        <f>LEFT(MIP[[#This Row],[Equipe]], SEARCH("/",MIP[[#This Row],[Equipe]],1)-1)</f>
        <v xml:space="preserve">JOILSON </v>
      </c>
      <c r="AE347" s="37" t="str">
        <f>RIGHT(MIP[[#This Row],[Equipe]], LEN(MIP[[#This Row],[Equipe]])-SEARCH("/",MIP[[#This Row],[Equipe]],1))</f>
        <v xml:space="preserve"> VALDEI</v>
      </c>
      <c r="AF347" s="44">
        <f>COUNTIFS('[1]Tempo parado'!H:H,"&gt;="&amp;MIP[[#This Row],[S.B Sitrack]],'[1]Tempo parado'!I:I,"&lt;="&amp;MIP[[#This Row],[C.B Sitrack]],'[1]Tempo parado'!B:B,MIP[[#This Row],[Placa]])</f>
        <v>0</v>
      </c>
      <c r="AG347" s="36"/>
      <c r="AH347" s="35"/>
      <c r="AI347" s="34"/>
      <c r="AJ347" s="34"/>
      <c r="AK34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4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47" s="32">
        <f>SUMIFS('[1]Tempo parado'!J:J,'[1]Tempo parado'!H:H,"&gt;="&amp;MIP[[#This Row],[S.B Sitrack]],'[1]Tempo parado'!I:I,"&lt;="&amp;MIP[[#This Row],[C.B Sitrack]],'[1]Tempo parado'!B:B,MIP[[#This Row],[Placa]])</f>
        <v>0</v>
      </c>
      <c r="AN347" s="32" t="str">
        <f>IFERROR(MIP[[#This Row],[Tempo parado]]/(MIP[[#This Row],[C.B Sitrack]]-MIP[[#This Row],[S.B Sitrack]]),"")</f>
        <v/>
      </c>
      <c r="AO347" s="30"/>
      <c r="AP347" s="44">
        <f>IF(AND(MIP[Exc]=0,MIP[Previsto / Realizado]="Realizado"),MIP[Sem],0)</f>
        <v>0</v>
      </c>
      <c r="AQ347" s="29">
        <f>IF(AND(MIP[Exc]=0,MIP[Previsto / Realizado]="Realizado",ISBLANK(MIP[[#This Row],[S.B Sitrack]])=FALSE,ISBLANK(MIP[[#This Row],[C.B Sitrack]])=FALSE),MIP[Sem],0)</f>
        <v>0</v>
      </c>
    </row>
    <row r="348" spans="1:43" s="64" customFormat="1" x14ac:dyDescent="0.25">
      <c r="A348" s="11"/>
      <c r="B348" s="44">
        <f>WEEKNUM(MIP[[#This Row],[Data]])</f>
        <v>32</v>
      </c>
      <c r="C348" s="45">
        <v>42955</v>
      </c>
      <c r="D348" s="45"/>
      <c r="E348" s="35" t="s">
        <v>10</v>
      </c>
      <c r="F348" s="35" t="s">
        <v>2</v>
      </c>
      <c r="G348" s="35"/>
      <c r="H348" s="44">
        <v>2</v>
      </c>
      <c r="I348" s="44">
        <v>6</v>
      </c>
      <c r="J348" s="44">
        <v>0</v>
      </c>
      <c r="K348" s="44">
        <v>0</v>
      </c>
      <c r="L348" s="44">
        <v>4</v>
      </c>
      <c r="M348" s="43">
        <v>0.25416666666666665</v>
      </c>
      <c r="N348" s="43">
        <v>0.29166666666666669</v>
      </c>
      <c r="O348" s="43">
        <v>0.6479166666666667</v>
      </c>
      <c r="P348" s="43">
        <v>0.67361111111111116</v>
      </c>
      <c r="Q348" s="39"/>
      <c r="R348" s="42"/>
      <c r="S348" s="29">
        <f>MIP[[#This Row],[PT-1]]+MIP[[#This Row],[PT-2]]*2+MIP[[#This Row],[PT-3]]*3+MIP[[#This Row],[PT &gt; 3 Pontos]]</f>
        <v>10</v>
      </c>
      <c r="T34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6.3194444444444497E-2</v>
      </c>
      <c r="U348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6.3194444444444497E-2</v>
      </c>
      <c r="V348" s="41">
        <f>MIP[[#This Row],[Eficiência]]</f>
        <v>0.73477243319718588</v>
      </c>
      <c r="W34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48" s="39">
        <f>IF(MIP[[#This Row],[P.S]]-MIP[[#This Row],[P.E]]&lt;0,1+MIP[[#This Row],[P.S]]-MIP[[#This Row],[P.E]]-1/24,MIP[[#This Row],[P.S]]-MIP[[#This Row],[P.E]]-1/24)</f>
        <v>0.37777777777777782</v>
      </c>
      <c r="Y348" s="39">
        <f>MIP[[#This Row],[PT-1]]*$S$3+MIP[[#This Row],[PT-2]]*$T$3+MIP[[#This Row],[PT-3]]*$U$3+MIP[[#This Row],[PT &gt; 3 Pontos]]*$V$3</f>
        <v>0.23114716127661472</v>
      </c>
      <c r="Z348" s="39">
        <f>MIP[[#This Row],[HH disponível]]-MIP[[#This Row],[HH AC TOT]]</f>
        <v>0.31458333333333333</v>
      </c>
      <c r="AA348" s="38">
        <f>MIP[[#This Row],[HH Produtivo
Total]]/MIP[[#This Row],[HH Trabalhado]]</f>
        <v>0.73477243319718588</v>
      </c>
      <c r="AB348" s="38">
        <f>MIP[[#This Row],[HH Produtivo
Total]]/MIP[[#This Row],[HH disponível]]</f>
        <v>0.6118601327910389</v>
      </c>
      <c r="AC348" s="38">
        <f>MIP[[#This Row],[HH Trabalhado]]/MIP[[#This Row],[HH disponível]]</f>
        <v>0.83272058823529405</v>
      </c>
      <c r="AD348" s="37" t="str">
        <f>LEFT(MIP[[#This Row],[Equipe]], SEARCH("/",MIP[[#This Row],[Equipe]],1)-1)</f>
        <v xml:space="preserve">JOILSON </v>
      </c>
      <c r="AE348" s="37" t="str">
        <f>RIGHT(MIP[[#This Row],[Equipe]], LEN(MIP[[#This Row],[Equipe]])-SEARCH("/",MIP[[#This Row],[Equipe]],1))</f>
        <v xml:space="preserve"> VALDEI</v>
      </c>
      <c r="AF348" s="44">
        <f>COUNTIFS('[1]Tempo parado'!H:H,"&gt;="&amp;MIP[[#This Row],[S.B Sitrack]],'[1]Tempo parado'!I:I,"&lt;="&amp;MIP[[#This Row],[C.B Sitrack]],'[1]Tempo parado'!B:B,MIP[[#This Row],[Placa]])</f>
        <v>0</v>
      </c>
      <c r="AG348" s="36"/>
      <c r="AH348" s="35"/>
      <c r="AI348" s="34"/>
      <c r="AJ348" s="34"/>
      <c r="AK34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4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48" s="32">
        <f>SUMIFS('[1]Tempo parado'!J:J,'[1]Tempo parado'!H:H,"&gt;="&amp;MIP[[#This Row],[S.B Sitrack]],'[1]Tempo parado'!I:I,"&lt;="&amp;MIP[[#This Row],[C.B Sitrack]],'[1]Tempo parado'!B:B,MIP[[#This Row],[Placa]])</f>
        <v>0</v>
      </c>
      <c r="AN348" s="32" t="str">
        <f>IFERROR(MIP[[#This Row],[Tempo parado]]/(MIP[[#This Row],[C.B Sitrack]]-MIP[[#This Row],[S.B Sitrack]]),"")</f>
        <v/>
      </c>
      <c r="AO348" s="30"/>
      <c r="AP348" s="44">
        <f>IF(AND(MIP[Exc]=0,MIP[Previsto / Realizado]="Realizado"),MIP[Sem],0)</f>
        <v>32</v>
      </c>
      <c r="AQ348" s="29">
        <f>IF(AND(MIP[Exc]=0,MIP[Previsto / Realizado]="Realizado",ISBLANK(MIP[[#This Row],[S.B Sitrack]])=FALSE,ISBLANK(MIP[[#This Row],[C.B Sitrack]])=FALSE),MIP[Sem],0)</f>
        <v>0</v>
      </c>
    </row>
    <row r="349" spans="1:43" s="47" customFormat="1" x14ac:dyDescent="0.25">
      <c r="A349" s="11"/>
      <c r="B349" s="44">
        <f>WEEKNUM(MIP[[#This Row],[Data]])</f>
        <v>32</v>
      </c>
      <c r="C349" s="45">
        <v>42956</v>
      </c>
      <c r="D349" s="45"/>
      <c r="E349" s="35" t="s">
        <v>10</v>
      </c>
      <c r="F349" s="35" t="s">
        <v>5</v>
      </c>
      <c r="G349" s="35"/>
      <c r="H349" s="44">
        <v>2</v>
      </c>
      <c r="I349" s="44">
        <v>8</v>
      </c>
      <c r="J349" s="44">
        <v>3</v>
      </c>
      <c r="K349" s="44">
        <v>0</v>
      </c>
      <c r="L349" s="44">
        <v>0</v>
      </c>
      <c r="M349" s="43">
        <v>0.25</v>
      </c>
      <c r="N349" s="43">
        <v>0.27083333333333331</v>
      </c>
      <c r="O349" s="43">
        <v>0.63750000000000007</v>
      </c>
      <c r="P349" s="43">
        <v>0.65833333333333333</v>
      </c>
      <c r="Q349" s="39"/>
      <c r="R349" s="42"/>
      <c r="S349" s="29">
        <f>MIP[[#This Row],[PT-1]]+MIP[[#This Row],[PT-2]]*2+MIP[[#This Row],[PT-3]]*3+MIP[[#This Row],[PT &gt; 3 Pontos]]</f>
        <v>14</v>
      </c>
      <c r="T34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349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349" s="41">
        <f>MIP[[#This Row],[Eficiência]]</f>
        <v>1.0213326830174649</v>
      </c>
      <c r="W34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49" s="39">
        <f>IF(MIP[[#This Row],[P.S]]-MIP[[#This Row],[P.E]]&lt;0,1+MIP[[#This Row],[P.S]]-MIP[[#This Row],[P.E]]-1/24,MIP[[#This Row],[P.S]]-MIP[[#This Row],[P.E]]-1/24)</f>
        <v>0.36666666666666664</v>
      </c>
      <c r="Y349" s="39">
        <f>MIP[[#This Row],[PT-1]]*$S$3+MIP[[#This Row],[PT-2]]*$T$3+MIP[[#This Row],[PT-3]]*$U$3+MIP[[#This Row],[PT &gt; 3 Pontos]]*$V$3</f>
        <v>0.3319331219806762</v>
      </c>
      <c r="Z349" s="39">
        <f>MIP[[#This Row],[HH disponível]]-MIP[[#This Row],[HH AC TOT]]</f>
        <v>0.32500000000000007</v>
      </c>
      <c r="AA349" s="38">
        <f>MIP[[#This Row],[HH Produtivo
Total]]/MIP[[#This Row],[HH Trabalhado]]</f>
        <v>1.0213326830174649</v>
      </c>
      <c r="AB349" s="38">
        <f>MIP[[#This Row],[HH Produtivo
Total]]/MIP[[#This Row],[HH disponível]]</f>
        <v>0.90527215085638968</v>
      </c>
      <c r="AC349" s="38">
        <f>MIP[[#This Row],[HH Trabalhado]]/MIP[[#This Row],[HH disponível]]</f>
        <v>0.88636363636363658</v>
      </c>
      <c r="AD349" s="37" t="str">
        <f>LEFT(MIP[[#This Row],[Equipe]], SEARCH("/",MIP[[#This Row],[Equipe]],1)-1)</f>
        <v xml:space="preserve">JOILSON </v>
      </c>
      <c r="AE349" s="37" t="str">
        <f>RIGHT(MIP[[#This Row],[Equipe]], LEN(MIP[[#This Row],[Equipe]])-SEARCH("/",MIP[[#This Row],[Equipe]],1))</f>
        <v xml:space="preserve"> VALDEI</v>
      </c>
      <c r="AF349" s="44">
        <f>COUNTIFS('[1]Tempo parado'!H:H,"&gt;="&amp;MIP[[#This Row],[S.B Sitrack]],'[1]Tempo parado'!I:I,"&lt;="&amp;MIP[[#This Row],[C.B Sitrack]],'[1]Tempo parado'!B:B,MIP[[#This Row],[Placa]])</f>
        <v>0</v>
      </c>
      <c r="AG349" s="36"/>
      <c r="AH349" s="35"/>
      <c r="AI349" s="34"/>
      <c r="AJ349" s="34"/>
      <c r="AK34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4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49" s="32">
        <f>SUMIFS('[1]Tempo parado'!J:J,'[1]Tempo parado'!H:H,"&gt;="&amp;MIP[[#This Row],[S.B Sitrack]],'[1]Tempo parado'!I:I,"&lt;="&amp;MIP[[#This Row],[C.B Sitrack]],'[1]Tempo parado'!B:B,MIP[[#This Row],[Placa]])</f>
        <v>0</v>
      </c>
      <c r="AN349" s="32" t="str">
        <f>IFERROR(MIP[[#This Row],[Tempo parado]]/(MIP[[#This Row],[C.B Sitrack]]-MIP[[#This Row],[S.B Sitrack]]),"")</f>
        <v/>
      </c>
      <c r="AO349" s="30"/>
      <c r="AP349" s="44">
        <f>IF(AND(MIP[Exc]=0,MIP[Previsto / Realizado]="Realizado"),MIP[Sem],0)</f>
        <v>0</v>
      </c>
      <c r="AQ349" s="29">
        <f>IF(AND(MIP[Exc]=0,MIP[Previsto / Realizado]="Realizado",ISBLANK(MIP[[#This Row],[S.B Sitrack]])=FALSE,ISBLANK(MIP[[#This Row],[C.B Sitrack]])=FALSE),MIP[Sem],0)</f>
        <v>0</v>
      </c>
    </row>
    <row r="350" spans="1:43" s="64" customFormat="1" x14ac:dyDescent="0.25">
      <c r="A350" s="11"/>
      <c r="B350" s="44">
        <f>WEEKNUM(MIP[[#This Row],[Data]])</f>
        <v>32</v>
      </c>
      <c r="C350" s="45">
        <v>42956</v>
      </c>
      <c r="D350" s="45"/>
      <c r="E350" s="35" t="s">
        <v>10</v>
      </c>
      <c r="F350" s="35" t="s">
        <v>2</v>
      </c>
      <c r="G350" s="35"/>
      <c r="H350" s="44">
        <v>2</v>
      </c>
      <c r="I350" s="44">
        <v>6</v>
      </c>
      <c r="J350" s="44">
        <v>3</v>
      </c>
      <c r="K350" s="44">
        <v>0</v>
      </c>
      <c r="L350" s="44">
        <v>0</v>
      </c>
      <c r="M350" s="43">
        <v>0.25416666666666665</v>
      </c>
      <c r="N350" s="43">
        <v>0.3034722222222222</v>
      </c>
      <c r="O350" s="43">
        <v>0.61458333333333337</v>
      </c>
      <c r="P350" s="43">
        <v>0.65833333333333333</v>
      </c>
      <c r="Q350" s="39"/>
      <c r="R350" s="42"/>
      <c r="S350" s="29">
        <f>MIP[[#This Row],[PT-1]]+MIP[[#This Row],[PT-2]]*2+MIP[[#This Row],[PT-3]]*3+MIP[[#This Row],[PT &gt; 3 Pontos]]</f>
        <v>12</v>
      </c>
      <c r="T35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9.3055555555555503E-2</v>
      </c>
      <c r="U350" s="39">
        <f>IF(MIP[[#This Row],[P.S]]-MIP[[#This Row],[U.P]]&gt;=0,MIP[[#This Row],[P.S]]-MIP[[#This Row],[U.P]]+MIP[[#This Row],[S.B]]-MIP[[#This Row],[P.E]],1+MIP[[#This Row],[P.S]]-MIP[[#This Row],[U.P]]+MIP[[#This Row],[S.B]]-MIP[[#This Row],[P.E]])</f>
        <v>9.3055555555555503E-2</v>
      </c>
      <c r="V350" s="41">
        <f>MIP[[#This Row],[Eficiência]]</f>
        <v>1.0461578328103984</v>
      </c>
      <c r="W35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50" s="39">
        <f>IF(MIP[[#This Row],[P.S]]-MIP[[#This Row],[P.E]]&lt;0,1+MIP[[#This Row],[P.S]]-MIP[[#This Row],[P.E]]-1/24,MIP[[#This Row],[P.S]]-MIP[[#This Row],[P.E]]-1/24)</f>
        <v>0.36249999999999999</v>
      </c>
      <c r="Y350" s="39">
        <f>MIP[[#This Row],[PT-1]]*$S$3+MIP[[#This Row],[PT-2]]*$T$3+MIP[[#This Row],[PT-3]]*$U$3+MIP[[#This Row],[PT &gt; 3 Pontos]]*$V$3</f>
        <v>0.28188141606280182</v>
      </c>
      <c r="Z350" s="39">
        <f>MIP[[#This Row],[HH disponível]]-MIP[[#This Row],[HH AC TOT]]</f>
        <v>0.26944444444444449</v>
      </c>
      <c r="AA350" s="38">
        <f>MIP[[#This Row],[HH Produtivo
Total]]/MIP[[#This Row],[HH Trabalhado]]</f>
        <v>1.0461578328103984</v>
      </c>
      <c r="AB350" s="38">
        <f>MIP[[#This Row],[HH Produtivo
Total]]/MIP[[#This Row],[HH disponível]]</f>
        <v>0.77760390638014298</v>
      </c>
      <c r="AC350" s="38">
        <f>MIP[[#This Row],[HH Trabalhado]]/MIP[[#This Row],[HH disponível]]</f>
        <v>0.74329501915708829</v>
      </c>
      <c r="AD350" s="37" t="str">
        <f>LEFT(MIP[[#This Row],[Equipe]], SEARCH("/",MIP[[#This Row],[Equipe]],1)-1)</f>
        <v xml:space="preserve">JOILSON </v>
      </c>
      <c r="AE350" s="37" t="str">
        <f>RIGHT(MIP[[#This Row],[Equipe]], LEN(MIP[[#This Row],[Equipe]])-SEARCH("/",MIP[[#This Row],[Equipe]],1))</f>
        <v xml:space="preserve"> VALDEI</v>
      </c>
      <c r="AF350" s="44">
        <f>COUNTIFS('[1]Tempo parado'!H:H,"&gt;="&amp;MIP[[#This Row],[S.B Sitrack]],'[1]Tempo parado'!I:I,"&lt;="&amp;MIP[[#This Row],[C.B Sitrack]],'[1]Tempo parado'!B:B,MIP[[#This Row],[Placa]])</f>
        <v>0</v>
      </c>
      <c r="AG350" s="36"/>
      <c r="AH350" s="35"/>
      <c r="AI350" s="34"/>
      <c r="AJ350" s="34"/>
      <c r="AK35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5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50" s="32">
        <f>SUMIFS('[1]Tempo parado'!J:J,'[1]Tempo parado'!H:H,"&gt;="&amp;MIP[[#This Row],[S.B Sitrack]],'[1]Tempo parado'!I:I,"&lt;="&amp;MIP[[#This Row],[C.B Sitrack]],'[1]Tempo parado'!B:B,MIP[[#This Row],[Placa]])</f>
        <v>0</v>
      </c>
      <c r="AN350" s="32" t="str">
        <f>IFERROR(MIP[[#This Row],[Tempo parado]]/(MIP[[#This Row],[C.B Sitrack]]-MIP[[#This Row],[S.B Sitrack]]),"")</f>
        <v/>
      </c>
      <c r="AO350" s="30"/>
      <c r="AP350" s="44">
        <f>IF(AND(MIP[Exc]=0,MIP[Previsto / Realizado]="Realizado"),MIP[Sem],0)</f>
        <v>32</v>
      </c>
      <c r="AQ350" s="29">
        <f>IF(AND(MIP[Exc]=0,MIP[Previsto / Realizado]="Realizado",ISBLANK(MIP[[#This Row],[S.B Sitrack]])=FALSE,ISBLANK(MIP[[#This Row],[C.B Sitrack]])=FALSE),MIP[Sem],0)</f>
        <v>0</v>
      </c>
    </row>
    <row r="351" spans="1:43" s="47" customFormat="1" x14ac:dyDescent="0.25">
      <c r="A351" s="11"/>
      <c r="B351" s="44">
        <f>WEEKNUM(MIP[[#This Row],[Data]])</f>
        <v>32</v>
      </c>
      <c r="C351" s="45">
        <v>42956</v>
      </c>
      <c r="D351" s="45"/>
      <c r="E351" s="35" t="s">
        <v>3</v>
      </c>
      <c r="F351" s="35" t="s">
        <v>5</v>
      </c>
      <c r="G351" s="35"/>
      <c r="H351" s="44">
        <v>2</v>
      </c>
      <c r="I351" s="44">
        <v>5</v>
      </c>
      <c r="J351" s="44">
        <v>1</v>
      </c>
      <c r="K351" s="44">
        <v>2</v>
      </c>
      <c r="L351" s="44">
        <v>0</v>
      </c>
      <c r="M351" s="43">
        <v>0.625</v>
      </c>
      <c r="N351" s="43">
        <v>0.64583333333333337</v>
      </c>
      <c r="O351" s="43">
        <f>1+18/24/60</f>
        <v>1.0125</v>
      </c>
      <c r="P351" s="43">
        <f>1+48/24/60</f>
        <v>1.0333333333333334</v>
      </c>
      <c r="Q351" s="39"/>
      <c r="R351" s="42"/>
      <c r="S351" s="29">
        <f>MIP[[#This Row],[PT-1]]+MIP[[#This Row],[PT-2]]*2+MIP[[#This Row],[PT-3]]*3+MIP[[#This Row],[PT &gt; 3 Pontos]]</f>
        <v>13</v>
      </c>
      <c r="T35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351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351" s="41">
        <f>MIP[[#This Row],[Eficiência]]</f>
        <v>0.90652735197572176</v>
      </c>
      <c r="W35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51" s="39">
        <f>IF(MIP[[#This Row],[P.S]]-MIP[[#This Row],[P.E]]&lt;0,1+MIP[[#This Row],[P.S]]-MIP[[#This Row],[P.E]]-1/24,MIP[[#This Row],[P.S]]-MIP[[#This Row],[P.E]]-1/24)</f>
        <v>0.36666666666666675</v>
      </c>
      <c r="Y351" s="39">
        <f>MIP[[#This Row],[PT-1]]*$S$3+MIP[[#This Row],[PT-2]]*$T$3+MIP[[#This Row],[PT-3]]*$U$3+MIP[[#This Row],[PT &gt; 3 Pontos]]*$V$3</f>
        <v>0.29462138939210947</v>
      </c>
      <c r="Z351" s="39">
        <f>MIP[[#This Row],[HH disponível]]-MIP[[#This Row],[HH AC TOT]]</f>
        <v>0.3249999999999999</v>
      </c>
      <c r="AA351" s="38">
        <f>MIP[[#This Row],[HH Produtivo
Total]]/MIP[[#This Row],[HH Trabalhado]]</f>
        <v>0.90652735197572176</v>
      </c>
      <c r="AB351" s="38">
        <f>MIP[[#This Row],[HH Produtivo
Total]]/MIP[[#This Row],[HH disponível]]</f>
        <v>0.80351288016029832</v>
      </c>
      <c r="AC351" s="38">
        <f>MIP[[#This Row],[HH Trabalhado]]/MIP[[#This Row],[HH disponível]]</f>
        <v>0.88636363636363591</v>
      </c>
      <c r="AD351" s="37" t="str">
        <f>LEFT(MIP[[#This Row],[Equipe]], SEARCH("/",MIP[[#This Row],[Equipe]],1)-1)</f>
        <v xml:space="preserve">EDILTON </v>
      </c>
      <c r="AE351" s="37" t="str">
        <f>RIGHT(MIP[[#This Row],[Equipe]], LEN(MIP[[#This Row],[Equipe]])-SEARCH("/",MIP[[#This Row],[Equipe]],1))</f>
        <v xml:space="preserve"> GECIVALDO</v>
      </c>
      <c r="AF351" s="44">
        <f>COUNTIFS('[1]Tempo parado'!H:H,"&gt;="&amp;MIP[[#This Row],[S.B Sitrack]],'[1]Tempo parado'!I:I,"&lt;="&amp;MIP[[#This Row],[C.B Sitrack]],'[1]Tempo parado'!B:B,MIP[[#This Row],[Placa]])</f>
        <v>0</v>
      </c>
      <c r="AG351" s="36"/>
      <c r="AH351" s="35"/>
      <c r="AI351" s="34"/>
      <c r="AJ351" s="34"/>
      <c r="AK35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5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51" s="32">
        <f>SUMIFS('[1]Tempo parado'!J:J,'[1]Tempo parado'!H:H,"&gt;="&amp;MIP[[#This Row],[S.B Sitrack]],'[1]Tempo parado'!I:I,"&lt;="&amp;MIP[[#This Row],[C.B Sitrack]],'[1]Tempo parado'!B:B,MIP[[#This Row],[Placa]])</f>
        <v>0</v>
      </c>
      <c r="AN351" s="32" t="str">
        <f>IFERROR(MIP[[#This Row],[Tempo parado]]/(MIP[[#This Row],[C.B Sitrack]]-MIP[[#This Row],[S.B Sitrack]]),"")</f>
        <v/>
      </c>
      <c r="AO351" s="30"/>
      <c r="AP351" s="44">
        <f>IF(AND(MIP[Exc]=0,MIP[Previsto / Realizado]="Realizado"),MIP[Sem],0)</f>
        <v>0</v>
      </c>
      <c r="AQ351" s="29">
        <f>IF(AND(MIP[Exc]=0,MIP[Previsto / Realizado]="Realizado",ISBLANK(MIP[[#This Row],[S.B Sitrack]])=FALSE,ISBLANK(MIP[[#This Row],[C.B Sitrack]])=FALSE),MIP[Sem],0)</f>
        <v>0</v>
      </c>
    </row>
    <row r="352" spans="1:43" s="64" customFormat="1" x14ac:dyDescent="0.25">
      <c r="A352" s="11"/>
      <c r="B352" s="44">
        <f>WEEKNUM(MIP[[#This Row],[Data]])</f>
        <v>32</v>
      </c>
      <c r="C352" s="45">
        <v>42956</v>
      </c>
      <c r="D352" s="45"/>
      <c r="E352" s="35" t="s">
        <v>3</v>
      </c>
      <c r="F352" s="35" t="s">
        <v>2</v>
      </c>
      <c r="G352" s="35"/>
      <c r="H352" s="44">
        <v>2</v>
      </c>
      <c r="I352" s="44">
        <v>8</v>
      </c>
      <c r="J352" s="44">
        <v>1</v>
      </c>
      <c r="K352" s="44">
        <v>1</v>
      </c>
      <c r="L352" s="44">
        <v>0</v>
      </c>
      <c r="M352" s="43">
        <v>0.62152777777777779</v>
      </c>
      <c r="N352" s="43">
        <v>0.65347222222222223</v>
      </c>
      <c r="O352" s="43">
        <v>0.9868055555555556</v>
      </c>
      <c r="P352" s="43">
        <f>1+51/24/60</f>
        <v>1.0354166666666667</v>
      </c>
      <c r="Q352" s="39"/>
      <c r="R352" s="42" t="s">
        <v>340</v>
      </c>
      <c r="S352" s="29">
        <f>MIP[[#This Row],[PT-1]]+MIP[[#This Row],[PT-2]]*2+MIP[[#This Row],[PT-3]]*3+MIP[[#This Row],[PT &gt; 3 Pontos]]</f>
        <v>13</v>
      </c>
      <c r="T35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8.0555555555555491E-2</v>
      </c>
      <c r="U352" s="39">
        <f>IF(MIP[[#This Row],[P.S]]-MIP[[#This Row],[U.P]]&gt;=0,MIP[[#This Row],[P.S]]-MIP[[#This Row],[U.P]]+MIP[[#This Row],[S.B]]-MIP[[#This Row],[P.E]],1+MIP[[#This Row],[P.S]]-MIP[[#This Row],[U.P]]+MIP[[#This Row],[S.B]]-MIP[[#This Row],[P.E]])</f>
        <v>8.0555555555555491E-2</v>
      </c>
      <c r="V352" s="41">
        <f>MIP[[#This Row],[Eficiência]]</f>
        <v>1.0522534937888195</v>
      </c>
      <c r="W35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52" s="39">
        <f>IF(MIP[[#This Row],[P.S]]-MIP[[#This Row],[P.E]]&lt;0,1+MIP[[#This Row],[P.S]]-MIP[[#This Row],[P.E]]-1/24,MIP[[#This Row],[P.S]]-MIP[[#This Row],[P.E]]-1/24)</f>
        <v>0.37222222222222218</v>
      </c>
      <c r="Y352" s="39">
        <f>MIP[[#This Row],[PT-1]]*$S$3+MIP[[#This Row],[PT-2]]*$T$3+MIP[[#This Row],[PT-3]]*$U$3+MIP[[#This Row],[PT &gt; 3 Pontos]]*$V$3</f>
        <v>0.30690726902173904</v>
      </c>
      <c r="Z352" s="39">
        <f>MIP[[#This Row],[HH disponível]]-MIP[[#This Row],[HH AC TOT]]</f>
        <v>0.29166666666666669</v>
      </c>
      <c r="AA352" s="38">
        <f>MIP[[#This Row],[HH Produtivo
Total]]/MIP[[#This Row],[HH Trabalhado]]</f>
        <v>1.0522534937888195</v>
      </c>
      <c r="AB352" s="38">
        <f>MIP[[#This Row],[HH Produtivo
Total]]/MIP[[#This Row],[HH disponível]]</f>
        <v>0.82452699140168706</v>
      </c>
      <c r="AC352" s="38">
        <f>MIP[[#This Row],[HH Trabalhado]]/MIP[[#This Row],[HH disponível]]</f>
        <v>0.78358208955223896</v>
      </c>
      <c r="AD352" s="37" t="str">
        <f>LEFT(MIP[[#This Row],[Equipe]], SEARCH("/",MIP[[#This Row],[Equipe]],1)-1)</f>
        <v xml:space="preserve">EDILTON </v>
      </c>
      <c r="AE352" s="37" t="str">
        <f>RIGHT(MIP[[#This Row],[Equipe]], LEN(MIP[[#This Row],[Equipe]])-SEARCH("/",MIP[[#This Row],[Equipe]],1))</f>
        <v xml:space="preserve"> GECIVALDO</v>
      </c>
      <c r="AF352" s="44">
        <f>COUNTIFS('[1]Tempo parado'!H:H,"&gt;="&amp;MIP[[#This Row],[S.B Sitrack]],'[1]Tempo parado'!I:I,"&lt;="&amp;MIP[[#This Row],[C.B Sitrack]],'[1]Tempo parado'!B:B,MIP[[#This Row],[Placa]])</f>
        <v>0</v>
      </c>
      <c r="AG352" s="36"/>
      <c r="AH352" s="35"/>
      <c r="AI352" s="34"/>
      <c r="AJ352" s="34"/>
      <c r="AK35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5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52" s="32">
        <f>SUMIFS('[1]Tempo parado'!J:J,'[1]Tempo parado'!H:H,"&gt;="&amp;MIP[[#This Row],[S.B Sitrack]],'[1]Tempo parado'!I:I,"&lt;="&amp;MIP[[#This Row],[C.B Sitrack]],'[1]Tempo parado'!B:B,MIP[[#This Row],[Placa]])</f>
        <v>0</v>
      </c>
      <c r="AN352" s="32" t="str">
        <f>IFERROR(MIP[[#This Row],[Tempo parado]]/(MIP[[#This Row],[C.B Sitrack]]-MIP[[#This Row],[S.B Sitrack]]),"")</f>
        <v/>
      </c>
      <c r="AO352" s="30"/>
      <c r="AP352" s="44">
        <f>IF(AND(MIP[Exc]=0,MIP[Previsto / Realizado]="Realizado"),MIP[Sem],0)</f>
        <v>32</v>
      </c>
      <c r="AQ352" s="29">
        <f>IF(AND(MIP[Exc]=0,MIP[Previsto / Realizado]="Realizado",ISBLANK(MIP[[#This Row],[S.B Sitrack]])=FALSE,ISBLANK(MIP[[#This Row],[C.B Sitrack]])=FALSE),MIP[Sem],0)</f>
        <v>0</v>
      </c>
    </row>
    <row r="353" spans="1:43" s="47" customFormat="1" x14ac:dyDescent="0.25">
      <c r="A353" s="11"/>
      <c r="B353" s="44">
        <f>WEEKNUM(MIP[[#This Row],[Data]])</f>
        <v>32</v>
      </c>
      <c r="C353" s="45">
        <v>42956</v>
      </c>
      <c r="D353" s="45"/>
      <c r="E353" s="35" t="s">
        <v>19</v>
      </c>
      <c r="F353" s="35" t="s">
        <v>5</v>
      </c>
      <c r="G353" s="35"/>
      <c r="H353" s="44">
        <v>2</v>
      </c>
      <c r="I353" s="44">
        <v>5</v>
      </c>
      <c r="J353" s="44">
        <v>2</v>
      </c>
      <c r="K353" s="44">
        <v>0</v>
      </c>
      <c r="L353" s="44">
        <v>4</v>
      </c>
      <c r="M353" s="43">
        <v>0.625</v>
      </c>
      <c r="N353" s="43">
        <v>0.64583333333333337</v>
      </c>
      <c r="O353" s="43">
        <f>1+18/24/60</f>
        <v>1.0125</v>
      </c>
      <c r="P353" s="43">
        <f>1+48/24/60</f>
        <v>1.0333333333333334</v>
      </c>
      <c r="Q353" s="39"/>
      <c r="R353" s="42" t="s">
        <v>339</v>
      </c>
      <c r="S353" s="29">
        <f>MIP[[#This Row],[PT-1]]+MIP[[#This Row],[PT-2]]*2+MIP[[#This Row],[PT-3]]*3+MIP[[#This Row],[PT &gt; 3 Pontos]]</f>
        <v>13</v>
      </c>
      <c r="T35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353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353" s="41">
        <f>MIP[[#This Row],[Eficiência]]</f>
        <v>0.90442720161168244</v>
      </c>
      <c r="W35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53" s="39">
        <f>IF(MIP[[#This Row],[P.S]]-MIP[[#This Row],[P.E]]&lt;0,1+MIP[[#This Row],[P.S]]-MIP[[#This Row],[P.E]]-1/24,MIP[[#This Row],[P.S]]-MIP[[#This Row],[P.E]]-1/24)</f>
        <v>0.36666666666666675</v>
      </c>
      <c r="Y353" s="39">
        <f>MIP[[#This Row],[PT-1]]*$S$3+MIP[[#This Row],[PT-2]]*$T$3+MIP[[#This Row],[PT-3]]*$U$3+MIP[[#This Row],[PT &gt; 3 Pontos]]*$V$3</f>
        <v>0.29393884052379671</v>
      </c>
      <c r="Z353" s="39">
        <f>MIP[[#This Row],[HH disponível]]-MIP[[#This Row],[HH AC TOT]]</f>
        <v>0.3249999999999999</v>
      </c>
      <c r="AA353" s="38">
        <f>MIP[[#This Row],[HH Produtivo
Total]]/MIP[[#This Row],[HH Trabalhado]]</f>
        <v>0.90442720161168244</v>
      </c>
      <c r="AB353" s="38">
        <f>MIP[[#This Row],[HH Produtivo
Total]]/MIP[[#This Row],[HH disponível]]</f>
        <v>0.80165138324671814</v>
      </c>
      <c r="AC353" s="38">
        <f>MIP[[#This Row],[HH Trabalhado]]/MIP[[#This Row],[HH disponível]]</f>
        <v>0.88636363636363591</v>
      </c>
      <c r="AD353" s="37" t="str">
        <f>LEFT(MIP[[#This Row],[Equipe]], SEARCH("/",MIP[[#This Row],[Equipe]],1)-1)</f>
        <v xml:space="preserve">ADEMÁRIO </v>
      </c>
      <c r="AE353" s="37" t="str">
        <f>RIGHT(MIP[[#This Row],[Equipe]], LEN(MIP[[#This Row],[Equipe]])-SEARCH("/",MIP[[#This Row],[Equipe]],1))</f>
        <v xml:space="preserve"> RONALDO</v>
      </c>
      <c r="AF353" s="44">
        <f>COUNTIFS('[1]Tempo parado'!H:H,"&gt;="&amp;MIP[[#This Row],[S.B Sitrack]],'[1]Tempo parado'!I:I,"&lt;="&amp;MIP[[#This Row],[C.B Sitrack]],'[1]Tempo parado'!B:B,MIP[[#This Row],[Placa]])</f>
        <v>0</v>
      </c>
      <c r="AG353" s="36"/>
      <c r="AH353" s="35"/>
      <c r="AI353" s="34"/>
      <c r="AJ353" s="34"/>
      <c r="AK35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5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53" s="32">
        <f>SUMIFS('[1]Tempo parado'!J:J,'[1]Tempo parado'!H:H,"&gt;="&amp;MIP[[#This Row],[S.B Sitrack]],'[1]Tempo parado'!I:I,"&lt;="&amp;MIP[[#This Row],[C.B Sitrack]],'[1]Tempo parado'!B:B,MIP[[#This Row],[Placa]])</f>
        <v>0</v>
      </c>
      <c r="AN353" s="32" t="str">
        <f>IFERROR(MIP[[#This Row],[Tempo parado]]/(MIP[[#This Row],[C.B Sitrack]]-MIP[[#This Row],[S.B Sitrack]]),"")</f>
        <v/>
      </c>
      <c r="AO353" s="30"/>
      <c r="AP353" s="44">
        <f>IF(AND(MIP[Exc]=0,MIP[Previsto / Realizado]="Realizado"),MIP[Sem],0)</f>
        <v>0</v>
      </c>
      <c r="AQ353" s="29">
        <f>IF(AND(MIP[Exc]=0,MIP[Previsto / Realizado]="Realizado",ISBLANK(MIP[[#This Row],[S.B Sitrack]])=FALSE,ISBLANK(MIP[[#This Row],[C.B Sitrack]])=FALSE),MIP[Sem],0)</f>
        <v>0</v>
      </c>
    </row>
    <row r="354" spans="1:43" s="64" customFormat="1" x14ac:dyDescent="0.25">
      <c r="A354" s="11"/>
      <c r="B354" s="44">
        <f>WEEKNUM(MIP[[#This Row],[Data]])</f>
        <v>32</v>
      </c>
      <c r="C354" s="45">
        <v>42956</v>
      </c>
      <c r="D354" s="45"/>
      <c r="E354" s="35" t="s">
        <v>19</v>
      </c>
      <c r="F354" s="35" t="s">
        <v>2</v>
      </c>
      <c r="G354" s="35"/>
      <c r="H354" s="44">
        <v>2</v>
      </c>
      <c r="I354" s="44">
        <v>5</v>
      </c>
      <c r="J354" s="44">
        <v>3</v>
      </c>
      <c r="K354" s="44">
        <v>0</v>
      </c>
      <c r="L354" s="44">
        <v>4</v>
      </c>
      <c r="M354" s="43">
        <v>0.63750000000000007</v>
      </c>
      <c r="N354" s="43">
        <v>0.65625</v>
      </c>
      <c r="O354" s="43">
        <f>1+18/24/60</f>
        <v>1.0125</v>
      </c>
      <c r="P354" s="43">
        <f>1+65/24/60</f>
        <v>1.0451388888888888</v>
      </c>
      <c r="Q354" s="39"/>
      <c r="R354" s="42" t="s">
        <v>338</v>
      </c>
      <c r="S354" s="29">
        <f>MIP[[#This Row],[PT-1]]+MIP[[#This Row],[PT-2]]*2+MIP[[#This Row],[PT-3]]*3+MIP[[#This Row],[PT &gt; 3 Pontos]]</f>
        <v>15</v>
      </c>
      <c r="T35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5.1388888888888817E-2</v>
      </c>
      <c r="U354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5.1388888888888817E-2</v>
      </c>
      <c r="V354" s="41">
        <f>MIP[[#This Row],[Eficiência]]</f>
        <v>1.0739526568270932</v>
      </c>
      <c r="W35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54" s="39">
        <f>IF(MIP[[#This Row],[P.S]]-MIP[[#This Row],[P.E]]&lt;0,1+MIP[[#This Row],[P.S]]-MIP[[#This Row],[P.E]]-1/24,MIP[[#This Row],[P.S]]-MIP[[#This Row],[P.E]]-1/24)</f>
        <v>0.36597222222222209</v>
      </c>
      <c r="Y354" s="39">
        <f>MIP[[#This Row],[PT-1]]*$S$3+MIP[[#This Row],[PT-2]]*$T$3+MIP[[#This Row],[PT-3]]*$U$3+MIP[[#This Row],[PT &gt; 3 Pontos]]*$V$3</f>
        <v>0.33784760662685631</v>
      </c>
      <c r="Z354" s="39">
        <f>MIP[[#This Row],[HH disponível]]-MIP[[#This Row],[HH AC TOT]]</f>
        <v>0.31458333333333327</v>
      </c>
      <c r="AA354" s="38">
        <f>MIP[[#This Row],[HH Produtivo
Total]]/MIP[[#This Row],[HH Trabalhado]]</f>
        <v>1.0739526568270932</v>
      </c>
      <c r="AB354" s="38">
        <f>MIP[[#This Row],[HH Produtivo
Total]]/MIP[[#This Row],[HH disponível]]</f>
        <v>0.92315095548894355</v>
      </c>
      <c r="AC354" s="38">
        <f>MIP[[#This Row],[HH Trabalhado]]/MIP[[#This Row],[HH disponível]]</f>
        <v>0.8595825426944973</v>
      </c>
      <c r="AD354" s="37" t="str">
        <f>LEFT(MIP[[#This Row],[Equipe]], SEARCH("/",MIP[[#This Row],[Equipe]],1)-1)</f>
        <v xml:space="preserve">ADEMÁRIO </v>
      </c>
      <c r="AE354" s="37" t="str">
        <f>RIGHT(MIP[[#This Row],[Equipe]], LEN(MIP[[#This Row],[Equipe]])-SEARCH("/",MIP[[#This Row],[Equipe]],1))</f>
        <v xml:space="preserve"> RONALDO</v>
      </c>
      <c r="AF354" s="44">
        <f>COUNTIFS('[1]Tempo parado'!H:H,"&gt;="&amp;MIP[[#This Row],[S.B Sitrack]],'[1]Tempo parado'!I:I,"&lt;="&amp;MIP[[#This Row],[C.B Sitrack]],'[1]Tempo parado'!B:B,MIP[[#This Row],[Placa]])</f>
        <v>0</v>
      </c>
      <c r="AG354" s="36"/>
      <c r="AH354" s="35"/>
      <c r="AI354" s="34"/>
      <c r="AJ354" s="34"/>
      <c r="AK35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5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54" s="32">
        <f>SUMIFS('[1]Tempo parado'!J:J,'[1]Tempo parado'!H:H,"&gt;="&amp;MIP[[#This Row],[S.B Sitrack]],'[1]Tempo parado'!I:I,"&lt;="&amp;MIP[[#This Row],[C.B Sitrack]],'[1]Tempo parado'!B:B,MIP[[#This Row],[Placa]])</f>
        <v>0</v>
      </c>
      <c r="AN354" s="32" t="str">
        <f>IFERROR(MIP[[#This Row],[Tempo parado]]/(MIP[[#This Row],[C.B Sitrack]]-MIP[[#This Row],[S.B Sitrack]]),"")</f>
        <v/>
      </c>
      <c r="AO354" s="30"/>
      <c r="AP354" s="44">
        <f>IF(AND(MIP[Exc]=0,MIP[Previsto / Realizado]="Realizado"),MIP[Sem],0)</f>
        <v>32</v>
      </c>
      <c r="AQ354" s="29">
        <f>IF(AND(MIP[Exc]=0,MIP[Previsto / Realizado]="Realizado",ISBLANK(MIP[[#This Row],[S.B Sitrack]])=FALSE,ISBLANK(MIP[[#This Row],[C.B Sitrack]])=FALSE),MIP[Sem],0)</f>
        <v>0</v>
      </c>
    </row>
    <row r="355" spans="1:43" s="47" customFormat="1" x14ac:dyDescent="0.25">
      <c r="A355" s="11"/>
      <c r="B355" s="44">
        <f>WEEKNUM(MIP[[#This Row],[Data]])</f>
        <v>32</v>
      </c>
      <c r="C355" s="45">
        <v>42957</v>
      </c>
      <c r="D355" s="45"/>
      <c r="E355" s="35" t="s">
        <v>10</v>
      </c>
      <c r="F355" s="35" t="s">
        <v>5</v>
      </c>
      <c r="G355" s="35"/>
      <c r="H355" s="44">
        <v>2</v>
      </c>
      <c r="I355" s="44">
        <v>0</v>
      </c>
      <c r="J355" s="44">
        <v>0</v>
      </c>
      <c r="K355" s="44">
        <v>1</v>
      </c>
      <c r="L355" s="44">
        <v>4</v>
      </c>
      <c r="M355" s="43">
        <v>0.25</v>
      </c>
      <c r="N355" s="43">
        <v>0.27083333333333331</v>
      </c>
      <c r="O355" s="43">
        <v>0.63750000000000007</v>
      </c>
      <c r="P355" s="43">
        <v>0.65833333333333333</v>
      </c>
      <c r="Q355" s="39"/>
      <c r="R355" s="42"/>
      <c r="S355" s="29">
        <f>MIP[[#This Row],[PT-1]]+MIP[[#This Row],[PT-2]]*2+MIP[[#This Row],[PT-3]]*3+MIP[[#This Row],[PT &gt; 3 Pontos]]</f>
        <v>7</v>
      </c>
      <c r="T35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355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355" s="41">
        <f>MIP[[#This Row],[Eficiência]]</f>
        <v>0.44241145467745718</v>
      </c>
      <c r="W35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55" s="39">
        <f>IF(MIP[[#This Row],[P.S]]-MIP[[#This Row],[P.E]]&lt;0,1+MIP[[#This Row],[P.S]]-MIP[[#This Row],[P.E]]-1/24,MIP[[#This Row],[P.S]]-MIP[[#This Row],[P.E]]-1/24)</f>
        <v>0.36666666666666664</v>
      </c>
      <c r="Y355" s="39">
        <f>MIP[[#This Row],[PT-1]]*$S$3+MIP[[#This Row],[PT-2]]*$T$3+MIP[[#This Row],[PT-3]]*$U$3+MIP[[#This Row],[PT &gt; 3 Pontos]]*$V$3</f>
        <v>0.14378372277017362</v>
      </c>
      <c r="Z355" s="39">
        <f>MIP[[#This Row],[HH disponível]]-MIP[[#This Row],[HH AC TOT]]</f>
        <v>0.32500000000000007</v>
      </c>
      <c r="AA355" s="38">
        <f>MIP[[#This Row],[HH Produtivo
Total]]/MIP[[#This Row],[HH Trabalhado]]</f>
        <v>0.44241145467745718</v>
      </c>
      <c r="AB355" s="38">
        <f>MIP[[#This Row],[HH Produtivo
Total]]/MIP[[#This Row],[HH disponível]]</f>
        <v>0.39213742573683719</v>
      </c>
      <c r="AC355" s="38">
        <f>MIP[[#This Row],[HH Trabalhado]]/MIP[[#This Row],[HH disponível]]</f>
        <v>0.88636363636363658</v>
      </c>
      <c r="AD355" s="37" t="str">
        <f>LEFT(MIP[[#This Row],[Equipe]], SEARCH("/",MIP[[#This Row],[Equipe]],1)-1)</f>
        <v xml:space="preserve">JOILSON </v>
      </c>
      <c r="AE355" s="37" t="str">
        <f>RIGHT(MIP[[#This Row],[Equipe]], LEN(MIP[[#This Row],[Equipe]])-SEARCH("/",MIP[[#This Row],[Equipe]],1))</f>
        <v xml:space="preserve"> VALDEI</v>
      </c>
      <c r="AF355" s="44">
        <f>COUNTIFS('[1]Tempo parado'!H:H,"&gt;="&amp;MIP[[#This Row],[S.B Sitrack]],'[1]Tempo parado'!I:I,"&lt;="&amp;MIP[[#This Row],[C.B Sitrack]],'[1]Tempo parado'!B:B,MIP[[#This Row],[Placa]])</f>
        <v>0</v>
      </c>
      <c r="AG355" s="36"/>
      <c r="AH355" s="35"/>
      <c r="AI355" s="34"/>
      <c r="AJ355" s="34"/>
      <c r="AK35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5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55" s="32">
        <f>SUMIFS('[1]Tempo parado'!J:J,'[1]Tempo parado'!H:H,"&gt;="&amp;MIP[[#This Row],[S.B Sitrack]],'[1]Tempo parado'!I:I,"&lt;="&amp;MIP[[#This Row],[C.B Sitrack]],'[1]Tempo parado'!B:B,MIP[[#This Row],[Placa]])</f>
        <v>0</v>
      </c>
      <c r="AN355" s="32" t="str">
        <f>IFERROR(MIP[[#This Row],[Tempo parado]]/(MIP[[#This Row],[C.B Sitrack]]-MIP[[#This Row],[S.B Sitrack]]),"")</f>
        <v/>
      </c>
      <c r="AO355" s="30"/>
      <c r="AP355" s="44">
        <f>IF(AND(MIP[Exc]=0,MIP[Previsto / Realizado]="Realizado"),MIP[Sem],0)</f>
        <v>0</v>
      </c>
      <c r="AQ355" s="29">
        <f>IF(AND(MIP[Exc]=0,MIP[Previsto / Realizado]="Realizado",ISBLANK(MIP[[#This Row],[S.B Sitrack]])=FALSE,ISBLANK(MIP[[#This Row],[C.B Sitrack]])=FALSE),MIP[Sem],0)</f>
        <v>0</v>
      </c>
    </row>
    <row r="356" spans="1:43" s="64" customFormat="1" x14ac:dyDescent="0.25">
      <c r="A356" s="11"/>
      <c r="B356" s="44">
        <f>WEEKNUM(MIP[[#This Row],[Data]])</f>
        <v>32</v>
      </c>
      <c r="C356" s="45">
        <v>42957</v>
      </c>
      <c r="D356" s="45"/>
      <c r="E356" s="35" t="s">
        <v>10</v>
      </c>
      <c r="F356" s="35" t="s">
        <v>2</v>
      </c>
      <c r="G356" s="35"/>
      <c r="H356" s="44">
        <v>2</v>
      </c>
      <c r="I356" s="44">
        <v>2</v>
      </c>
      <c r="J356" s="44">
        <v>2</v>
      </c>
      <c r="K356" s="44">
        <v>1</v>
      </c>
      <c r="L356" s="44">
        <v>4</v>
      </c>
      <c r="M356" s="43">
        <v>0.24722222222222223</v>
      </c>
      <c r="N356" s="43">
        <v>0.29236111111111113</v>
      </c>
      <c r="O356" s="43">
        <v>0.61805555555555558</v>
      </c>
      <c r="P356" s="43">
        <v>0.65833333333333333</v>
      </c>
      <c r="Q356" s="39"/>
      <c r="R356" s="42" t="s">
        <v>337</v>
      </c>
      <c r="S356" s="29">
        <f>MIP[[#This Row],[PT-1]]+MIP[[#This Row],[PT-2]]*2+MIP[[#This Row],[PT-3]]*3+MIP[[#This Row],[PT &gt; 3 Pontos]]</f>
        <v>13</v>
      </c>
      <c r="T35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8.5416666666666641E-2</v>
      </c>
      <c r="U356" s="39">
        <f>IF(MIP[[#This Row],[P.S]]-MIP[[#This Row],[U.P]]&gt;=0,MIP[[#This Row],[P.S]]-MIP[[#This Row],[U.P]]+MIP[[#This Row],[S.B]]-MIP[[#This Row],[P.E]],1+MIP[[#This Row],[P.S]]-MIP[[#This Row],[U.P]]+MIP[[#This Row],[S.B]]-MIP[[#This Row],[P.E]])</f>
        <v>8.5416666666666641E-2</v>
      </c>
      <c r="V356" s="41">
        <f>MIP[[#This Row],[Eficiência]]</f>
        <v>0.99163878652225113</v>
      </c>
      <c r="W35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56" s="39">
        <f>IF(MIP[[#This Row],[P.S]]-MIP[[#This Row],[P.E]]&lt;0,1+MIP[[#This Row],[P.S]]-MIP[[#This Row],[P.E]]-1/24,MIP[[#This Row],[P.S]]-MIP[[#This Row],[P.E]]-1/24)</f>
        <v>0.36944444444444441</v>
      </c>
      <c r="Y356" s="39">
        <f>MIP[[#This Row],[PT-1]]*$S$3+MIP[[#This Row],[PT-2]]*$T$3+MIP[[#This Row],[PT-3]]*$U$3+MIP[[#This Row],[PT &gt; 3 Pontos]]*$V$3</f>
        <v>0.28165296089416714</v>
      </c>
      <c r="Z356" s="39">
        <f>MIP[[#This Row],[HH disponível]]-MIP[[#This Row],[HH AC TOT]]</f>
        <v>0.28402777777777777</v>
      </c>
      <c r="AA356" s="38">
        <f>MIP[[#This Row],[HH Produtivo
Total]]/MIP[[#This Row],[HH Trabalhado]]</f>
        <v>0.99163878652225113</v>
      </c>
      <c r="AB356" s="38">
        <f>MIP[[#This Row],[HH Produtivo
Total]]/MIP[[#This Row],[HH disponível]]</f>
        <v>0.76236891670601636</v>
      </c>
      <c r="AC356" s="38">
        <f>MIP[[#This Row],[HH Trabalhado]]/MIP[[#This Row],[HH disponível]]</f>
        <v>0.76879699248120303</v>
      </c>
      <c r="AD356" s="37" t="str">
        <f>LEFT(MIP[[#This Row],[Equipe]], SEARCH("/",MIP[[#This Row],[Equipe]],1)-1)</f>
        <v xml:space="preserve">JOILSON </v>
      </c>
      <c r="AE356" s="37" t="str">
        <f>RIGHT(MIP[[#This Row],[Equipe]], LEN(MIP[[#This Row],[Equipe]])-SEARCH("/",MIP[[#This Row],[Equipe]],1))</f>
        <v xml:space="preserve"> VALDEI</v>
      </c>
      <c r="AF356" s="44">
        <f>COUNTIFS('[1]Tempo parado'!H:H,"&gt;="&amp;MIP[[#This Row],[S.B Sitrack]],'[1]Tempo parado'!I:I,"&lt;="&amp;MIP[[#This Row],[C.B Sitrack]],'[1]Tempo parado'!B:B,MIP[[#This Row],[Placa]])</f>
        <v>0</v>
      </c>
      <c r="AG356" s="36"/>
      <c r="AH356" s="35"/>
      <c r="AI356" s="34"/>
      <c r="AJ356" s="34"/>
      <c r="AK35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5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56" s="32">
        <f>SUMIFS('[1]Tempo parado'!J:J,'[1]Tempo parado'!H:H,"&gt;="&amp;MIP[[#This Row],[S.B Sitrack]],'[1]Tempo parado'!I:I,"&lt;="&amp;MIP[[#This Row],[C.B Sitrack]],'[1]Tempo parado'!B:B,MIP[[#This Row],[Placa]])</f>
        <v>0</v>
      </c>
      <c r="AN356" s="32" t="str">
        <f>IFERROR(MIP[[#This Row],[Tempo parado]]/(MIP[[#This Row],[C.B Sitrack]]-MIP[[#This Row],[S.B Sitrack]]),"")</f>
        <v/>
      </c>
      <c r="AO356" s="30"/>
      <c r="AP356" s="44">
        <f>IF(AND(MIP[Exc]=0,MIP[Previsto / Realizado]="Realizado"),MIP[Sem],0)</f>
        <v>32</v>
      </c>
      <c r="AQ356" s="29">
        <f>IF(AND(MIP[Exc]=0,MIP[Previsto / Realizado]="Realizado",ISBLANK(MIP[[#This Row],[S.B Sitrack]])=FALSE,ISBLANK(MIP[[#This Row],[C.B Sitrack]])=FALSE),MIP[Sem],0)</f>
        <v>0</v>
      </c>
    </row>
    <row r="357" spans="1:43" s="47" customFormat="1" x14ac:dyDescent="0.25">
      <c r="A357" s="11"/>
      <c r="B357" s="44">
        <f>WEEKNUM(MIP[[#This Row],[Data]])</f>
        <v>32</v>
      </c>
      <c r="C357" s="45">
        <v>42957</v>
      </c>
      <c r="D357" s="45"/>
      <c r="E357" s="35" t="s">
        <v>19</v>
      </c>
      <c r="F357" s="35" t="s">
        <v>5</v>
      </c>
      <c r="G357" s="35"/>
      <c r="H357" s="44">
        <v>2</v>
      </c>
      <c r="I357" s="44">
        <v>1</v>
      </c>
      <c r="J357" s="44">
        <v>1</v>
      </c>
      <c r="K357" s="44">
        <v>0</v>
      </c>
      <c r="L357" s="44">
        <v>4</v>
      </c>
      <c r="M357" s="43">
        <v>0.625</v>
      </c>
      <c r="N357" s="43">
        <v>0.64583333333333337</v>
      </c>
      <c r="O357" s="43">
        <f>1+18/24/60</f>
        <v>1.0125</v>
      </c>
      <c r="P357" s="43">
        <f>1+48/24/60</f>
        <v>1.0333333333333334</v>
      </c>
      <c r="Q357" s="39"/>
      <c r="R357" s="42" t="s">
        <v>336</v>
      </c>
      <c r="S357" s="29">
        <f>MIP[[#This Row],[PT-1]]+MIP[[#This Row],[PT-2]]*2+MIP[[#This Row],[PT-3]]*3+MIP[[#This Row],[PT &gt; 3 Pontos]]</f>
        <v>7</v>
      </c>
      <c r="T35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357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357" s="41">
        <f>MIP[[#This Row],[Eficiência]]</f>
        <v>0.46131280795381063</v>
      </c>
      <c r="W35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57" s="39">
        <f>IF(MIP[[#This Row],[P.S]]-MIP[[#This Row],[P.E]]&lt;0,1+MIP[[#This Row],[P.S]]-MIP[[#This Row],[P.E]]-1/24,MIP[[#This Row],[P.S]]-MIP[[#This Row],[P.E]]-1/24)</f>
        <v>0.36666666666666675</v>
      </c>
      <c r="Y357" s="39">
        <f>MIP[[#This Row],[PT-1]]*$S$3+MIP[[#This Row],[PT-2]]*$T$3+MIP[[#This Row],[PT-3]]*$U$3+MIP[[#This Row],[PT &gt; 3 Pontos]]*$V$3</f>
        <v>0.14992666258498841</v>
      </c>
      <c r="Z357" s="39">
        <f>MIP[[#This Row],[HH disponível]]-MIP[[#This Row],[HH AC TOT]]</f>
        <v>0.3249999999999999</v>
      </c>
      <c r="AA357" s="38">
        <f>MIP[[#This Row],[HH Produtivo
Total]]/MIP[[#This Row],[HH Trabalhado]]</f>
        <v>0.46131280795381063</v>
      </c>
      <c r="AB357" s="38">
        <f>MIP[[#This Row],[HH Produtivo
Total]]/MIP[[#This Row],[HH disponível]]</f>
        <v>0.4088908979590592</v>
      </c>
      <c r="AC357" s="38">
        <f>MIP[[#This Row],[HH Trabalhado]]/MIP[[#This Row],[HH disponível]]</f>
        <v>0.88636363636363591</v>
      </c>
      <c r="AD357" s="37" t="str">
        <f>LEFT(MIP[[#This Row],[Equipe]], SEARCH("/",MIP[[#This Row],[Equipe]],1)-1)</f>
        <v xml:space="preserve">ADEMÁRIO </v>
      </c>
      <c r="AE357" s="37" t="str">
        <f>RIGHT(MIP[[#This Row],[Equipe]], LEN(MIP[[#This Row],[Equipe]])-SEARCH("/",MIP[[#This Row],[Equipe]],1))</f>
        <v xml:space="preserve"> RONALDO</v>
      </c>
      <c r="AF357" s="44">
        <f>COUNTIFS('[1]Tempo parado'!H:H,"&gt;="&amp;MIP[[#This Row],[S.B Sitrack]],'[1]Tempo parado'!I:I,"&lt;="&amp;MIP[[#This Row],[C.B Sitrack]],'[1]Tempo parado'!B:B,MIP[[#This Row],[Placa]])</f>
        <v>0</v>
      </c>
      <c r="AG357" s="36"/>
      <c r="AH357" s="35"/>
      <c r="AI357" s="34"/>
      <c r="AJ357" s="34"/>
      <c r="AK35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5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57" s="32">
        <f>SUMIFS('[1]Tempo parado'!J:J,'[1]Tempo parado'!H:H,"&gt;="&amp;MIP[[#This Row],[S.B Sitrack]],'[1]Tempo parado'!I:I,"&lt;="&amp;MIP[[#This Row],[C.B Sitrack]],'[1]Tempo parado'!B:B,MIP[[#This Row],[Placa]])</f>
        <v>0</v>
      </c>
      <c r="AN357" s="32" t="str">
        <f>IFERROR(MIP[[#This Row],[Tempo parado]]/(MIP[[#This Row],[C.B Sitrack]]-MIP[[#This Row],[S.B Sitrack]]),"")</f>
        <v/>
      </c>
      <c r="AO357" s="30"/>
      <c r="AP357" s="44">
        <f>IF(AND(MIP[Exc]=0,MIP[Previsto / Realizado]="Realizado"),MIP[Sem],0)</f>
        <v>0</v>
      </c>
      <c r="AQ357" s="29">
        <f>IF(AND(MIP[Exc]=0,MIP[Previsto / Realizado]="Realizado",ISBLANK(MIP[[#This Row],[S.B Sitrack]])=FALSE,ISBLANK(MIP[[#This Row],[C.B Sitrack]])=FALSE),MIP[Sem],0)</f>
        <v>0</v>
      </c>
    </row>
    <row r="358" spans="1:43" s="64" customFormat="1" x14ac:dyDescent="0.25">
      <c r="A358" s="11"/>
      <c r="B358" s="44">
        <f>WEEKNUM(MIP[[#This Row],[Data]])</f>
        <v>32</v>
      </c>
      <c r="C358" s="45">
        <v>42957</v>
      </c>
      <c r="D358" s="45"/>
      <c r="E358" s="35" t="s">
        <v>19</v>
      </c>
      <c r="F358" s="35" t="s">
        <v>2</v>
      </c>
      <c r="G358" s="35"/>
      <c r="H358" s="44">
        <v>2</v>
      </c>
      <c r="I358" s="44">
        <v>0</v>
      </c>
      <c r="J358" s="44">
        <v>0</v>
      </c>
      <c r="K358" s="44">
        <v>0</v>
      </c>
      <c r="L358" s="44">
        <v>4</v>
      </c>
      <c r="M358" s="43">
        <v>0.64374999999999993</v>
      </c>
      <c r="N358" s="43">
        <v>0.68611111111111101</v>
      </c>
      <c r="O358" s="43">
        <v>1.0125</v>
      </c>
      <c r="P358" s="43">
        <f>1+50/24/60</f>
        <v>1.0347222222222223</v>
      </c>
      <c r="Q358" s="39">
        <f>19/24-MIP[[#This Row],[S.B]]+2.5/24</f>
        <v>0.20972222222222231</v>
      </c>
      <c r="R358" s="42" t="s">
        <v>335</v>
      </c>
      <c r="S358" s="29">
        <f>MIP[[#This Row],[PT-1]]+MIP[[#This Row],[PT-2]]*2+MIP[[#This Row],[PT-3]]*3+MIP[[#This Row],[PT &gt; 3 Pontos]]</f>
        <v>4</v>
      </c>
      <c r="T35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0.27430555555555575</v>
      </c>
      <c r="U358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6.4583333333333437E-2</v>
      </c>
      <c r="V358" s="41">
        <f>MIP[[#This Row],[Eficiência]]</f>
        <v>1.0798939136398891</v>
      </c>
      <c r="W35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58" s="39">
        <f>IF(MIP[[#This Row],[P.S]]-MIP[[#This Row],[P.E]]&lt;0,1+MIP[[#This Row],[P.S]]-MIP[[#This Row],[P.E]]-1/24,MIP[[#This Row],[P.S]]-MIP[[#This Row],[P.E]]-1/24)</f>
        <v>0.3493055555555557</v>
      </c>
      <c r="Y358" s="39">
        <f>MIP[[#This Row],[PT-1]]*$S$3+MIP[[#This Row],[PT-2]]*$T$3+MIP[[#This Row],[PT-3]]*$U$3+MIP[[#This Row],[PT &gt; 3 Pontos]]*$V$3</f>
        <v>8.0992043522991636E-2</v>
      </c>
      <c r="Z358" s="39">
        <f>MIP[[#This Row],[HH disponível]]-MIP[[#This Row],[HH AC TOT]]</f>
        <v>7.4999999999999956E-2</v>
      </c>
      <c r="AA358" s="38">
        <f>MIP[[#This Row],[HH Produtivo
Total]]/MIP[[#This Row],[HH Trabalhado]]</f>
        <v>1.0798939136398891</v>
      </c>
      <c r="AB358" s="38">
        <f>MIP[[#This Row],[HH Produtivo
Total]]/MIP[[#This Row],[HH disponível]]</f>
        <v>0.23186589000617874</v>
      </c>
      <c r="AC358" s="38">
        <f>MIP[[#This Row],[HH Trabalhado]]/MIP[[#This Row],[HH disponível]]</f>
        <v>0.21471172962226617</v>
      </c>
      <c r="AD358" s="37" t="str">
        <f>LEFT(MIP[[#This Row],[Equipe]], SEARCH("/",MIP[[#This Row],[Equipe]],1)-1)</f>
        <v xml:space="preserve">ADEMÁRIO </v>
      </c>
      <c r="AE358" s="37" t="str">
        <f>RIGHT(MIP[[#This Row],[Equipe]], LEN(MIP[[#This Row],[Equipe]])-SEARCH("/",MIP[[#This Row],[Equipe]],1))</f>
        <v xml:space="preserve"> RONALDO</v>
      </c>
      <c r="AF358" s="44">
        <f>COUNTIFS('[1]Tempo parado'!H:H,"&gt;="&amp;MIP[[#This Row],[S.B Sitrack]],'[1]Tempo parado'!I:I,"&lt;="&amp;MIP[[#This Row],[C.B Sitrack]],'[1]Tempo parado'!B:B,MIP[[#This Row],[Placa]])</f>
        <v>0</v>
      </c>
      <c r="AG358" s="36"/>
      <c r="AH358" s="35"/>
      <c r="AI358" s="34"/>
      <c r="AJ358" s="34"/>
      <c r="AK35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5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58" s="32">
        <f>SUMIFS('[1]Tempo parado'!J:J,'[1]Tempo parado'!H:H,"&gt;="&amp;MIP[[#This Row],[S.B Sitrack]],'[1]Tempo parado'!I:I,"&lt;="&amp;MIP[[#This Row],[C.B Sitrack]],'[1]Tempo parado'!B:B,MIP[[#This Row],[Placa]])</f>
        <v>0</v>
      </c>
      <c r="AN358" s="32" t="str">
        <f>IFERROR(MIP[[#This Row],[Tempo parado]]/(MIP[[#This Row],[C.B Sitrack]]-MIP[[#This Row],[S.B Sitrack]]),"")</f>
        <v/>
      </c>
      <c r="AO358" s="30"/>
      <c r="AP358" s="44">
        <f>IF(AND(MIP[Exc]=0,MIP[Previsto / Realizado]="Realizado"),MIP[Sem],0)</f>
        <v>32</v>
      </c>
      <c r="AQ358" s="29">
        <f>IF(AND(MIP[Exc]=0,MIP[Previsto / Realizado]="Realizado",ISBLANK(MIP[[#This Row],[S.B Sitrack]])=FALSE,ISBLANK(MIP[[#This Row],[C.B Sitrack]])=FALSE),MIP[Sem],0)</f>
        <v>0</v>
      </c>
    </row>
    <row r="359" spans="1:43" s="47" customFormat="1" x14ac:dyDescent="0.25">
      <c r="A359" s="11"/>
      <c r="B359" s="44">
        <f>WEEKNUM(MIP[[#This Row],[Data]])</f>
        <v>32</v>
      </c>
      <c r="C359" s="45">
        <v>42957</v>
      </c>
      <c r="D359" s="45"/>
      <c r="E359" s="35" t="s">
        <v>7</v>
      </c>
      <c r="F359" s="35" t="s">
        <v>5</v>
      </c>
      <c r="G359" s="35"/>
      <c r="H359" s="44">
        <v>2</v>
      </c>
      <c r="I359" s="44">
        <v>3</v>
      </c>
      <c r="J359" s="44">
        <v>2</v>
      </c>
      <c r="K359" s="44">
        <v>0</v>
      </c>
      <c r="L359" s="44">
        <v>5</v>
      </c>
      <c r="M359" s="43">
        <v>0.625</v>
      </c>
      <c r="N359" s="43">
        <v>0.64583333333333337</v>
      </c>
      <c r="O359" s="43">
        <f>1+18/24/60</f>
        <v>1.0125</v>
      </c>
      <c r="P359" s="43">
        <f>1+48/24/60</f>
        <v>1.0333333333333334</v>
      </c>
      <c r="Q359" s="39"/>
      <c r="R359" s="42" t="s">
        <v>334</v>
      </c>
      <c r="S359" s="29">
        <f>MIP[[#This Row],[PT-1]]+MIP[[#This Row],[PT-2]]*2+MIP[[#This Row],[PT-3]]*3+MIP[[#This Row],[PT &gt; 3 Pontos]]</f>
        <v>12</v>
      </c>
      <c r="T35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359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359" s="41">
        <f>MIP[[#This Row],[Eficiência]]</f>
        <v>0.81272352457437036</v>
      </c>
      <c r="W35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59" s="39">
        <f>IF(MIP[[#This Row],[P.S]]-MIP[[#This Row],[P.E]]&lt;0,1+MIP[[#This Row],[P.S]]-MIP[[#This Row],[P.E]]-1/24,MIP[[#This Row],[P.S]]-MIP[[#This Row],[P.E]]-1/24)</f>
        <v>0.36666666666666675</v>
      </c>
      <c r="Y359" s="39">
        <f>MIP[[#This Row],[PT-1]]*$S$3+MIP[[#This Row],[PT-2]]*$T$3+MIP[[#This Row],[PT-3]]*$U$3+MIP[[#This Row],[PT &gt; 3 Pontos]]*$V$3</f>
        <v>0.26413514548667028</v>
      </c>
      <c r="Z359" s="39">
        <f>MIP[[#This Row],[HH disponível]]-MIP[[#This Row],[HH AC TOT]]</f>
        <v>0.3249999999999999</v>
      </c>
      <c r="AA359" s="38">
        <f>MIP[[#This Row],[HH Produtivo
Total]]/MIP[[#This Row],[HH Trabalhado]]</f>
        <v>0.81272352457437036</v>
      </c>
      <c r="AB359" s="38">
        <f>MIP[[#This Row],[HH Produtivo
Total]]/MIP[[#This Row],[HH disponível]]</f>
        <v>0.72036857860000969</v>
      </c>
      <c r="AC359" s="38">
        <f>MIP[[#This Row],[HH Trabalhado]]/MIP[[#This Row],[HH disponível]]</f>
        <v>0.88636363636363591</v>
      </c>
      <c r="AD359" s="37" t="str">
        <f>LEFT(MIP[[#This Row],[Equipe]], SEARCH("/",MIP[[#This Row],[Equipe]],1)-1)</f>
        <v xml:space="preserve">ANDERSON </v>
      </c>
      <c r="AE359" s="37" t="str">
        <f>RIGHT(MIP[[#This Row],[Equipe]], LEN(MIP[[#This Row],[Equipe]])-SEARCH("/",MIP[[#This Row],[Equipe]],1))</f>
        <v xml:space="preserve"> MARCO</v>
      </c>
      <c r="AF359" s="44">
        <f>COUNTIFS('[1]Tempo parado'!H:H,"&gt;="&amp;MIP[[#This Row],[S.B Sitrack]],'[1]Tempo parado'!I:I,"&lt;="&amp;MIP[[#This Row],[C.B Sitrack]],'[1]Tempo parado'!B:B,MIP[[#This Row],[Placa]])</f>
        <v>0</v>
      </c>
      <c r="AG359" s="36"/>
      <c r="AH359" s="35"/>
      <c r="AI359" s="34"/>
      <c r="AJ359" s="34"/>
      <c r="AK35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5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59" s="32">
        <f>SUMIFS('[1]Tempo parado'!J:J,'[1]Tempo parado'!H:H,"&gt;="&amp;MIP[[#This Row],[S.B Sitrack]],'[1]Tempo parado'!I:I,"&lt;="&amp;MIP[[#This Row],[C.B Sitrack]],'[1]Tempo parado'!B:B,MIP[[#This Row],[Placa]])</f>
        <v>0</v>
      </c>
      <c r="AN359" s="32" t="str">
        <f>IFERROR(MIP[[#This Row],[Tempo parado]]/(MIP[[#This Row],[C.B Sitrack]]-MIP[[#This Row],[S.B Sitrack]]),"")</f>
        <v/>
      </c>
      <c r="AO359" s="30"/>
      <c r="AP359" s="44">
        <f>IF(AND(MIP[Exc]=0,MIP[Previsto / Realizado]="Realizado"),MIP[Sem],0)</f>
        <v>0</v>
      </c>
      <c r="AQ359" s="29">
        <f>IF(AND(MIP[Exc]=0,MIP[Previsto / Realizado]="Realizado",ISBLANK(MIP[[#This Row],[S.B Sitrack]])=FALSE,ISBLANK(MIP[[#This Row],[C.B Sitrack]])=FALSE),MIP[Sem],0)</f>
        <v>0</v>
      </c>
    </row>
    <row r="360" spans="1:43" s="64" customFormat="1" x14ac:dyDescent="0.25">
      <c r="A360" s="11"/>
      <c r="B360" s="44">
        <f>WEEKNUM(MIP[[#This Row],[Data]])</f>
        <v>32</v>
      </c>
      <c r="C360" s="45">
        <v>42957</v>
      </c>
      <c r="D360" s="45"/>
      <c r="E360" s="35" t="s">
        <v>7</v>
      </c>
      <c r="F360" s="35" t="s">
        <v>2</v>
      </c>
      <c r="G360" s="35"/>
      <c r="H360" s="44">
        <v>2</v>
      </c>
      <c r="I360" s="44">
        <v>3</v>
      </c>
      <c r="J360" s="44">
        <v>2</v>
      </c>
      <c r="K360" s="44">
        <v>0</v>
      </c>
      <c r="L360" s="44">
        <v>5</v>
      </c>
      <c r="M360" s="43">
        <v>0.625</v>
      </c>
      <c r="N360" s="43">
        <v>0.66319444444444442</v>
      </c>
      <c r="O360" s="43">
        <f>1+0/24/60</f>
        <v>1</v>
      </c>
      <c r="P360" s="43">
        <f>1+48/24/60</f>
        <v>1.0333333333333334</v>
      </c>
      <c r="Q360" s="39">
        <v>3.4722222222222224E-2</v>
      </c>
      <c r="R360" s="42" t="s">
        <v>333</v>
      </c>
      <c r="S360" s="29">
        <f>MIP[[#This Row],[PT-1]]+MIP[[#This Row],[PT-2]]*2+MIP[[#This Row],[PT-3]]*3+MIP[[#This Row],[PT &gt; 3 Pontos]]</f>
        <v>12</v>
      </c>
      <c r="T36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0.10625000000000008</v>
      </c>
      <c r="U360" s="39">
        <f>IF(MIP[[#This Row],[P.S]]-MIP[[#This Row],[U.P]]&gt;=0,MIP[[#This Row],[P.S]]-MIP[[#This Row],[U.P]]+MIP[[#This Row],[S.B]]-MIP[[#This Row],[P.E]],1+MIP[[#This Row],[P.S]]-MIP[[#This Row],[U.P]]+MIP[[#This Row],[S.B]]-MIP[[#This Row],[P.E]])</f>
        <v>7.1527777777777857E-2</v>
      </c>
      <c r="V360" s="41">
        <f>MIP[[#This Row],[Eficiência]]</f>
        <v>1.0142789586688137</v>
      </c>
      <c r="W36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60" s="39">
        <f>IF(MIP[[#This Row],[P.S]]-MIP[[#This Row],[P.E]]&lt;0,1+MIP[[#This Row],[P.S]]-MIP[[#This Row],[P.E]]-1/24,MIP[[#This Row],[P.S]]-MIP[[#This Row],[P.E]]-1/24)</f>
        <v>0.36666666666666675</v>
      </c>
      <c r="Y360" s="39">
        <f>MIP[[#This Row],[PT-1]]*$S$3+MIP[[#This Row],[PT-2]]*$T$3+MIP[[#This Row],[PT-3]]*$U$3+MIP[[#This Row],[PT &gt; 3 Pontos]]*$V$3</f>
        <v>0.26413514548667028</v>
      </c>
      <c r="Z360" s="39">
        <f>MIP[[#This Row],[HH disponível]]-MIP[[#This Row],[HH AC TOT]]</f>
        <v>0.26041666666666669</v>
      </c>
      <c r="AA360" s="38">
        <f>MIP[[#This Row],[HH Produtivo
Total]]/MIP[[#This Row],[HH Trabalhado]]</f>
        <v>1.0142789586688137</v>
      </c>
      <c r="AB360" s="38">
        <f>MIP[[#This Row],[HH Produtivo
Total]]/MIP[[#This Row],[HH disponível]]</f>
        <v>0.72036857860000969</v>
      </c>
      <c r="AC360" s="38">
        <f>MIP[[#This Row],[HH Trabalhado]]/MIP[[#This Row],[HH disponível]]</f>
        <v>0.7102272727272726</v>
      </c>
      <c r="AD360" s="37" t="str">
        <f>LEFT(MIP[[#This Row],[Equipe]], SEARCH("/",MIP[[#This Row],[Equipe]],1)-1)</f>
        <v xml:space="preserve">ANDERSON </v>
      </c>
      <c r="AE360" s="37" t="str">
        <f>RIGHT(MIP[[#This Row],[Equipe]], LEN(MIP[[#This Row],[Equipe]])-SEARCH("/",MIP[[#This Row],[Equipe]],1))</f>
        <v xml:space="preserve"> MARCO</v>
      </c>
      <c r="AF360" s="44">
        <f>COUNTIFS('[1]Tempo parado'!H:H,"&gt;="&amp;MIP[[#This Row],[S.B Sitrack]],'[1]Tempo parado'!I:I,"&lt;="&amp;MIP[[#This Row],[C.B Sitrack]],'[1]Tempo parado'!B:B,MIP[[#This Row],[Placa]])</f>
        <v>0</v>
      </c>
      <c r="AG360" s="36"/>
      <c r="AH360" s="35"/>
      <c r="AI360" s="34"/>
      <c r="AJ360" s="34"/>
      <c r="AK36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6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60" s="32">
        <f>SUMIFS('[1]Tempo parado'!J:J,'[1]Tempo parado'!H:H,"&gt;="&amp;MIP[[#This Row],[S.B Sitrack]],'[1]Tempo parado'!I:I,"&lt;="&amp;MIP[[#This Row],[C.B Sitrack]],'[1]Tempo parado'!B:B,MIP[[#This Row],[Placa]])</f>
        <v>0</v>
      </c>
      <c r="AN360" s="32" t="str">
        <f>IFERROR(MIP[[#This Row],[Tempo parado]]/(MIP[[#This Row],[C.B Sitrack]]-MIP[[#This Row],[S.B Sitrack]]),"")</f>
        <v/>
      </c>
      <c r="AO360" s="30"/>
      <c r="AP360" s="44">
        <f>IF(AND(MIP[Exc]=0,MIP[Previsto / Realizado]="Realizado"),MIP[Sem],0)</f>
        <v>32</v>
      </c>
      <c r="AQ360" s="29">
        <f>IF(AND(MIP[Exc]=0,MIP[Previsto / Realizado]="Realizado",ISBLANK(MIP[[#This Row],[S.B Sitrack]])=FALSE,ISBLANK(MIP[[#This Row],[C.B Sitrack]])=FALSE),MIP[Sem],0)</f>
        <v>0</v>
      </c>
    </row>
    <row r="361" spans="1:43" s="47" customFormat="1" x14ac:dyDescent="0.25">
      <c r="A361" s="11"/>
      <c r="B361" s="44">
        <f>WEEKNUM(MIP[[#This Row],[Data]])</f>
        <v>32</v>
      </c>
      <c r="C361" s="45">
        <v>42958</v>
      </c>
      <c r="D361" s="45"/>
      <c r="E361" s="35" t="s">
        <v>3</v>
      </c>
      <c r="F361" s="35" t="s">
        <v>5</v>
      </c>
      <c r="G361" s="35"/>
      <c r="H361" s="44">
        <v>2</v>
      </c>
      <c r="I361" s="44">
        <v>4</v>
      </c>
      <c r="J361" s="44">
        <v>1</v>
      </c>
      <c r="K361" s="44">
        <v>0</v>
      </c>
      <c r="L361" s="44">
        <v>0</v>
      </c>
      <c r="M361" s="43">
        <v>0.625</v>
      </c>
      <c r="N361" s="43">
        <v>0.64583333333333337</v>
      </c>
      <c r="O361" s="43">
        <f>1+18/24/60</f>
        <v>1.0125</v>
      </c>
      <c r="P361" s="43">
        <f>1+48/24/60</f>
        <v>1.0333333333333334</v>
      </c>
      <c r="Q361" s="39"/>
      <c r="R361" s="42"/>
      <c r="S361" s="29">
        <f>MIP[[#This Row],[PT-1]]+MIP[[#This Row],[PT-2]]*2+MIP[[#This Row],[PT-3]]*3+MIP[[#This Row],[PT &gt; 3 Pontos]]</f>
        <v>6</v>
      </c>
      <c r="T36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361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361" s="41">
        <f>MIP[[#This Row],[Eficiência]]</f>
        <v>0.44311439365787181</v>
      </c>
      <c r="W36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61" s="39">
        <f>IF(MIP[[#This Row],[P.S]]-MIP[[#This Row],[P.E]]&lt;0,1+MIP[[#This Row],[P.S]]-MIP[[#This Row],[P.E]]-1/24,MIP[[#This Row],[P.S]]-MIP[[#This Row],[P.E]]-1/24)</f>
        <v>0.36666666666666675</v>
      </c>
      <c r="Y361" s="39">
        <f>MIP[[#This Row],[PT-1]]*$S$3+MIP[[#This Row],[PT-2]]*$T$3+MIP[[#This Row],[PT-3]]*$U$3+MIP[[#This Row],[PT &gt; 3 Pontos]]*$V$3</f>
        <v>0.1440121779388083</v>
      </c>
      <c r="Z361" s="39">
        <f>MIP[[#This Row],[HH disponível]]-MIP[[#This Row],[HH AC TOT]]</f>
        <v>0.3249999999999999</v>
      </c>
      <c r="AA361" s="38">
        <f>MIP[[#This Row],[HH Produtivo
Total]]/MIP[[#This Row],[HH Trabalhado]]</f>
        <v>0.44311439365787181</v>
      </c>
      <c r="AB361" s="38">
        <f>MIP[[#This Row],[HH Produtivo
Total]]/MIP[[#This Row],[HH disponível]]</f>
        <v>0.39276048528765889</v>
      </c>
      <c r="AC361" s="38">
        <f>MIP[[#This Row],[HH Trabalhado]]/MIP[[#This Row],[HH disponível]]</f>
        <v>0.88636363636363591</v>
      </c>
      <c r="AD361" s="37" t="str">
        <f>LEFT(MIP[[#This Row],[Equipe]], SEARCH("/",MIP[[#This Row],[Equipe]],1)-1)</f>
        <v xml:space="preserve">EDILTON </v>
      </c>
      <c r="AE361" s="37" t="str">
        <f>RIGHT(MIP[[#This Row],[Equipe]], LEN(MIP[[#This Row],[Equipe]])-SEARCH("/",MIP[[#This Row],[Equipe]],1))</f>
        <v xml:space="preserve"> GECIVALDO</v>
      </c>
      <c r="AF361" s="44">
        <f>COUNTIFS('[1]Tempo parado'!H:H,"&gt;="&amp;MIP[[#This Row],[S.B Sitrack]],'[1]Tempo parado'!I:I,"&lt;="&amp;MIP[[#This Row],[C.B Sitrack]],'[1]Tempo parado'!B:B,MIP[[#This Row],[Placa]])</f>
        <v>0</v>
      </c>
      <c r="AG361" s="36"/>
      <c r="AH361" s="35"/>
      <c r="AI361" s="34"/>
      <c r="AJ361" s="34"/>
      <c r="AK36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6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61" s="32">
        <f>SUMIFS('[1]Tempo parado'!J:J,'[1]Tempo parado'!H:H,"&gt;="&amp;MIP[[#This Row],[S.B Sitrack]],'[1]Tempo parado'!I:I,"&lt;="&amp;MIP[[#This Row],[C.B Sitrack]],'[1]Tempo parado'!B:B,MIP[[#This Row],[Placa]])</f>
        <v>0</v>
      </c>
      <c r="AN361" s="32" t="str">
        <f>IFERROR(MIP[[#This Row],[Tempo parado]]/(MIP[[#This Row],[C.B Sitrack]]-MIP[[#This Row],[S.B Sitrack]]),"")</f>
        <v/>
      </c>
      <c r="AO361" s="30"/>
      <c r="AP361" s="44">
        <f>IF(AND(MIP[Exc]=0,MIP[Previsto / Realizado]="Realizado"),MIP[Sem],0)</f>
        <v>0</v>
      </c>
      <c r="AQ361" s="29">
        <f>IF(AND(MIP[Exc]=0,MIP[Previsto / Realizado]="Realizado",ISBLANK(MIP[[#This Row],[S.B Sitrack]])=FALSE,ISBLANK(MIP[[#This Row],[C.B Sitrack]])=FALSE),MIP[Sem],0)</f>
        <v>0</v>
      </c>
    </row>
    <row r="362" spans="1:43" s="64" customFormat="1" x14ac:dyDescent="0.25">
      <c r="A362" s="11"/>
      <c r="B362" s="44">
        <f>WEEKNUM(MIP[[#This Row],[Data]])</f>
        <v>32</v>
      </c>
      <c r="C362" s="45">
        <v>42958</v>
      </c>
      <c r="D362" s="45"/>
      <c r="E362" s="35" t="s">
        <v>3</v>
      </c>
      <c r="F362" s="35" t="s">
        <v>2</v>
      </c>
      <c r="G362" s="35"/>
      <c r="H362" s="44">
        <v>2</v>
      </c>
      <c r="I362" s="44">
        <v>4</v>
      </c>
      <c r="J362" s="44">
        <v>1</v>
      </c>
      <c r="K362" s="44">
        <v>0</v>
      </c>
      <c r="L362" s="44">
        <v>0</v>
      </c>
      <c r="M362" s="43">
        <v>0.65069444444444446</v>
      </c>
      <c r="N362" s="43">
        <v>0.68611111111111101</v>
      </c>
      <c r="O362" s="43">
        <f>1+28/24/60</f>
        <v>1.0194444444444444</v>
      </c>
      <c r="P362" s="43">
        <f>1+48/24/60</f>
        <v>1.0333333333333334</v>
      </c>
      <c r="Q362" s="39">
        <f>1+18/24/60-20/24-50/24/60</f>
        <v>0.14444444444444438</v>
      </c>
      <c r="R362" s="42" t="s">
        <v>332</v>
      </c>
      <c r="S362" s="29">
        <f>MIP[[#This Row],[PT-1]]+MIP[[#This Row],[PT-2]]*2+MIP[[#This Row],[PT-3]]*3+MIP[[#This Row],[PT &gt; 3 Pontos]]</f>
        <v>6</v>
      </c>
      <c r="T36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0.19374999999999998</v>
      </c>
      <c r="U362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4.9305555555555602E-2</v>
      </c>
      <c r="V362" s="41">
        <f>MIP[[#This Row],[Eficiência]]</f>
        <v>0.97819592562209357</v>
      </c>
      <c r="W36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62" s="39">
        <f>IF(MIP[[#This Row],[P.S]]-MIP[[#This Row],[P.E]]&lt;0,1+MIP[[#This Row],[P.S]]-MIP[[#This Row],[P.E]]-1/24,MIP[[#This Row],[P.S]]-MIP[[#This Row],[P.E]]-1/24)</f>
        <v>0.34097222222222229</v>
      </c>
      <c r="Y362" s="39">
        <f>MIP[[#This Row],[PT-1]]*$S$3+MIP[[#This Row],[PT-2]]*$T$3+MIP[[#This Row],[PT-3]]*$U$3+MIP[[#This Row],[PT &gt; 3 Pontos]]*$V$3</f>
        <v>0.1440121779388083</v>
      </c>
      <c r="Z362" s="39">
        <f>MIP[[#This Row],[HH disponível]]-MIP[[#This Row],[HH AC TOT]]</f>
        <v>0.14722222222222231</v>
      </c>
      <c r="AA362" s="38">
        <f>MIP[[#This Row],[HH Produtivo
Total]]/MIP[[#This Row],[HH Trabalhado]]</f>
        <v>0.97819592562209357</v>
      </c>
      <c r="AB362" s="38">
        <f>MIP[[#This Row],[HH Produtivo
Total]]/MIP[[#This Row],[HH disponível]]</f>
        <v>0.42235750760057822</v>
      </c>
      <c r="AC362" s="38">
        <f>MIP[[#This Row],[HH Trabalhado]]/MIP[[#This Row],[HH disponível]]</f>
        <v>0.43177189409368655</v>
      </c>
      <c r="AD362" s="37" t="str">
        <f>LEFT(MIP[[#This Row],[Equipe]], SEARCH("/",MIP[[#This Row],[Equipe]],1)-1)</f>
        <v xml:space="preserve">EDILTON </v>
      </c>
      <c r="AE362" s="37" t="str">
        <f>RIGHT(MIP[[#This Row],[Equipe]], LEN(MIP[[#This Row],[Equipe]])-SEARCH("/",MIP[[#This Row],[Equipe]],1))</f>
        <v xml:space="preserve"> GECIVALDO</v>
      </c>
      <c r="AF362" s="44">
        <f>COUNTIFS('[1]Tempo parado'!H:H,"&gt;="&amp;MIP[[#This Row],[S.B Sitrack]],'[1]Tempo parado'!I:I,"&lt;="&amp;MIP[[#This Row],[C.B Sitrack]],'[1]Tempo parado'!B:B,MIP[[#This Row],[Placa]])</f>
        <v>0</v>
      </c>
      <c r="AG362" s="36"/>
      <c r="AH362" s="35"/>
      <c r="AI362" s="34"/>
      <c r="AJ362" s="34"/>
      <c r="AK36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6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62" s="32">
        <f>SUMIFS('[1]Tempo parado'!J:J,'[1]Tempo parado'!H:H,"&gt;="&amp;MIP[[#This Row],[S.B Sitrack]],'[1]Tempo parado'!I:I,"&lt;="&amp;MIP[[#This Row],[C.B Sitrack]],'[1]Tempo parado'!B:B,MIP[[#This Row],[Placa]])</f>
        <v>0</v>
      </c>
      <c r="AN362" s="32" t="str">
        <f>IFERROR(MIP[[#This Row],[Tempo parado]]/(MIP[[#This Row],[C.B Sitrack]]-MIP[[#This Row],[S.B Sitrack]]),"")</f>
        <v/>
      </c>
      <c r="AO362" s="30"/>
      <c r="AP362" s="44">
        <f>IF(AND(MIP[Exc]=0,MIP[Previsto / Realizado]="Realizado"),MIP[Sem],0)</f>
        <v>32</v>
      </c>
      <c r="AQ362" s="29">
        <f>IF(AND(MIP[Exc]=0,MIP[Previsto / Realizado]="Realizado",ISBLANK(MIP[[#This Row],[S.B Sitrack]])=FALSE,ISBLANK(MIP[[#This Row],[C.B Sitrack]])=FALSE),MIP[Sem],0)</f>
        <v>0</v>
      </c>
    </row>
    <row r="363" spans="1:43" s="47" customFormat="1" x14ac:dyDescent="0.25">
      <c r="A363" s="11"/>
      <c r="B363" s="44">
        <f>WEEKNUM(MIP[[#This Row],[Data]])</f>
        <v>32</v>
      </c>
      <c r="C363" s="45">
        <v>42958</v>
      </c>
      <c r="D363" s="45"/>
      <c r="E363" s="35" t="s">
        <v>7</v>
      </c>
      <c r="F363" s="35" t="s">
        <v>5</v>
      </c>
      <c r="G363" s="35"/>
      <c r="H363" s="44">
        <v>2</v>
      </c>
      <c r="I363" s="44">
        <v>5</v>
      </c>
      <c r="J363" s="44">
        <v>2</v>
      </c>
      <c r="K363" s="44">
        <v>0</v>
      </c>
      <c r="L363" s="44">
        <v>0</v>
      </c>
      <c r="M363" s="43">
        <v>0.625</v>
      </c>
      <c r="N363" s="43">
        <v>0.64583333333333337</v>
      </c>
      <c r="O363" s="43">
        <f>1+18/24/60</f>
        <v>1.0125</v>
      </c>
      <c r="P363" s="43">
        <f>1+48/24/60</f>
        <v>1.0333333333333334</v>
      </c>
      <c r="Q363" s="39"/>
      <c r="R363" s="42"/>
      <c r="S363" s="29">
        <f>MIP[[#This Row],[PT-1]]+MIP[[#This Row],[PT-2]]*2+MIP[[#This Row],[PT-3]]*3+MIP[[#This Row],[PT &gt; 3 Pontos]]</f>
        <v>9</v>
      </c>
      <c r="T36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363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363" s="41">
        <f>MIP[[#This Row],[Eficiência]]</f>
        <v>0.65522091384863113</v>
      </c>
      <c r="W36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63" s="39">
        <f>IF(MIP[[#This Row],[P.S]]-MIP[[#This Row],[P.E]]&lt;0,1+MIP[[#This Row],[P.S]]-MIP[[#This Row],[P.E]]-1/24,MIP[[#This Row],[P.S]]-MIP[[#This Row],[P.E]]-1/24)</f>
        <v>0.36666666666666675</v>
      </c>
      <c r="Y363" s="39">
        <f>MIP[[#This Row],[PT-1]]*$S$3+MIP[[#This Row],[PT-2]]*$T$3+MIP[[#This Row],[PT-3]]*$U$3+MIP[[#This Row],[PT &gt; 3 Pontos]]*$V$3</f>
        <v>0.21294679700080504</v>
      </c>
      <c r="Z363" s="39">
        <f>MIP[[#This Row],[HH disponível]]-MIP[[#This Row],[HH AC TOT]]</f>
        <v>0.3249999999999999</v>
      </c>
      <c r="AA363" s="38">
        <f>MIP[[#This Row],[HH Produtivo
Total]]/MIP[[#This Row],[HH Trabalhado]]</f>
        <v>0.65522091384863113</v>
      </c>
      <c r="AB363" s="38">
        <f>MIP[[#This Row],[HH Produtivo
Total]]/MIP[[#This Row],[HH disponível]]</f>
        <v>0.5807639918203773</v>
      </c>
      <c r="AC363" s="38">
        <f>MIP[[#This Row],[HH Trabalhado]]/MIP[[#This Row],[HH disponível]]</f>
        <v>0.88636363636363591</v>
      </c>
      <c r="AD363" s="37" t="str">
        <f>LEFT(MIP[[#This Row],[Equipe]], SEARCH("/",MIP[[#This Row],[Equipe]],1)-1)</f>
        <v xml:space="preserve">ANDERSON </v>
      </c>
      <c r="AE363" s="37" t="str">
        <f>RIGHT(MIP[[#This Row],[Equipe]], LEN(MIP[[#This Row],[Equipe]])-SEARCH("/",MIP[[#This Row],[Equipe]],1))</f>
        <v xml:space="preserve"> MARCO</v>
      </c>
      <c r="AF363" s="44">
        <f>COUNTIFS('[1]Tempo parado'!H:H,"&gt;="&amp;MIP[[#This Row],[S.B Sitrack]],'[1]Tempo parado'!I:I,"&lt;="&amp;MIP[[#This Row],[C.B Sitrack]],'[1]Tempo parado'!B:B,MIP[[#This Row],[Placa]])</f>
        <v>0</v>
      </c>
      <c r="AG363" s="36"/>
      <c r="AH363" s="35"/>
      <c r="AI363" s="34"/>
      <c r="AJ363" s="34"/>
      <c r="AK36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6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63" s="32">
        <f>SUMIFS('[1]Tempo parado'!J:J,'[1]Tempo parado'!H:H,"&gt;="&amp;MIP[[#This Row],[S.B Sitrack]],'[1]Tempo parado'!I:I,"&lt;="&amp;MIP[[#This Row],[C.B Sitrack]],'[1]Tempo parado'!B:B,MIP[[#This Row],[Placa]])</f>
        <v>0</v>
      </c>
      <c r="AN363" s="32" t="str">
        <f>IFERROR(MIP[[#This Row],[Tempo parado]]/(MIP[[#This Row],[C.B Sitrack]]-MIP[[#This Row],[S.B Sitrack]]),"")</f>
        <v/>
      </c>
      <c r="AO363" s="30"/>
      <c r="AP363" s="44">
        <f>IF(AND(MIP[Exc]=0,MIP[Previsto / Realizado]="Realizado"),MIP[Sem],0)</f>
        <v>0</v>
      </c>
      <c r="AQ363" s="29">
        <f>IF(AND(MIP[Exc]=0,MIP[Previsto / Realizado]="Realizado",ISBLANK(MIP[[#This Row],[S.B Sitrack]])=FALSE,ISBLANK(MIP[[#This Row],[C.B Sitrack]])=FALSE),MIP[Sem],0)</f>
        <v>0</v>
      </c>
    </row>
    <row r="364" spans="1:43" s="64" customFormat="1" x14ac:dyDescent="0.25">
      <c r="A364" s="11"/>
      <c r="B364" s="44">
        <f>WEEKNUM(MIP[[#This Row],[Data]])</f>
        <v>32</v>
      </c>
      <c r="C364" s="45">
        <v>42958</v>
      </c>
      <c r="D364" s="45"/>
      <c r="E364" s="35" t="s">
        <v>7</v>
      </c>
      <c r="F364" s="35" t="s">
        <v>2</v>
      </c>
      <c r="G364" s="35"/>
      <c r="H364" s="44">
        <v>2</v>
      </c>
      <c r="I364" s="44">
        <v>5</v>
      </c>
      <c r="J364" s="44">
        <v>2</v>
      </c>
      <c r="K364" s="44">
        <v>0</v>
      </c>
      <c r="L364" s="44">
        <v>0</v>
      </c>
      <c r="M364" s="43">
        <v>0.62152777777777779</v>
      </c>
      <c r="N364" s="43">
        <v>0.69305555555555554</v>
      </c>
      <c r="O364" s="43">
        <f>1+10/24/60</f>
        <v>1.0069444444444444</v>
      </c>
      <c r="P364" s="43">
        <f>1+48/24/60</f>
        <v>1.0333333333333334</v>
      </c>
      <c r="Q364" s="39"/>
      <c r="R364" s="42" t="s">
        <v>331</v>
      </c>
      <c r="S364" s="29">
        <f>MIP[[#This Row],[PT-1]]+MIP[[#This Row],[PT-2]]*2+MIP[[#This Row],[PT-3]]*3+MIP[[#This Row],[PT &gt; 3 Pontos]]</f>
        <v>9</v>
      </c>
      <c r="T36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9.7916666666666763E-2</v>
      </c>
      <c r="U364" s="39">
        <f>IF(MIP[[#This Row],[P.S]]-MIP[[#This Row],[U.P]]&gt;=0,MIP[[#This Row],[P.S]]-MIP[[#This Row],[U.P]]+MIP[[#This Row],[S.B]]-MIP[[#This Row],[P.E]],1+MIP[[#This Row],[P.S]]-MIP[[#This Row],[U.P]]+MIP[[#This Row],[S.B]]-MIP[[#This Row],[P.E]])</f>
        <v>9.7916666666666763E-2</v>
      </c>
      <c r="V364" s="41">
        <f>MIP[[#This Row],[Eficiência]]</f>
        <v>0.78225354000295733</v>
      </c>
      <c r="W36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64" s="39">
        <f>IF(MIP[[#This Row],[P.S]]-MIP[[#This Row],[P.E]]&lt;0,1+MIP[[#This Row],[P.S]]-MIP[[#This Row],[P.E]]-1/24,MIP[[#This Row],[P.S]]-MIP[[#This Row],[P.E]]-1/24)</f>
        <v>0.37013888888888896</v>
      </c>
      <c r="Y364" s="39">
        <f>MIP[[#This Row],[PT-1]]*$S$3+MIP[[#This Row],[PT-2]]*$T$3+MIP[[#This Row],[PT-3]]*$U$3+MIP[[#This Row],[PT &gt; 3 Pontos]]*$V$3</f>
        <v>0.21294679700080504</v>
      </c>
      <c r="Z364" s="39">
        <f>MIP[[#This Row],[HH disponível]]-MIP[[#This Row],[HH AC TOT]]</f>
        <v>0.2722222222222222</v>
      </c>
      <c r="AA364" s="38">
        <f>MIP[[#This Row],[HH Produtivo
Total]]/MIP[[#This Row],[HH Trabalhado]]</f>
        <v>0.78225354000295733</v>
      </c>
      <c r="AB364" s="38">
        <f>MIP[[#This Row],[HH Produtivo
Total]]/MIP[[#This Row],[HH disponível]]</f>
        <v>0.57531592435489531</v>
      </c>
      <c r="AC364" s="38">
        <f>MIP[[#This Row],[HH Trabalhado]]/MIP[[#This Row],[HH disponível]]</f>
        <v>0.73545966228893034</v>
      </c>
      <c r="AD364" s="37" t="str">
        <f>LEFT(MIP[[#This Row],[Equipe]], SEARCH("/",MIP[[#This Row],[Equipe]],1)-1)</f>
        <v xml:space="preserve">ANDERSON </v>
      </c>
      <c r="AE364" s="37" t="str">
        <f>RIGHT(MIP[[#This Row],[Equipe]], LEN(MIP[[#This Row],[Equipe]])-SEARCH("/",MIP[[#This Row],[Equipe]],1))</f>
        <v xml:space="preserve"> MARCO</v>
      </c>
      <c r="AF364" s="44">
        <f>COUNTIFS('[1]Tempo parado'!H:H,"&gt;="&amp;MIP[[#This Row],[S.B Sitrack]],'[1]Tempo parado'!I:I,"&lt;="&amp;MIP[[#This Row],[C.B Sitrack]],'[1]Tempo parado'!B:B,MIP[[#This Row],[Placa]])</f>
        <v>0</v>
      </c>
      <c r="AG364" s="36"/>
      <c r="AH364" s="35"/>
      <c r="AI364" s="34"/>
      <c r="AJ364" s="34"/>
      <c r="AK36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6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64" s="32">
        <f>SUMIFS('[1]Tempo parado'!J:J,'[1]Tempo parado'!H:H,"&gt;="&amp;MIP[[#This Row],[S.B Sitrack]],'[1]Tempo parado'!I:I,"&lt;="&amp;MIP[[#This Row],[C.B Sitrack]],'[1]Tempo parado'!B:B,MIP[[#This Row],[Placa]])</f>
        <v>0</v>
      </c>
      <c r="AN364" s="32" t="str">
        <f>IFERROR(MIP[[#This Row],[Tempo parado]]/(MIP[[#This Row],[C.B Sitrack]]-MIP[[#This Row],[S.B Sitrack]]),"")</f>
        <v/>
      </c>
      <c r="AO364" s="30"/>
      <c r="AP364" s="44">
        <f>IF(AND(MIP[Exc]=0,MIP[Previsto / Realizado]="Realizado"),MIP[Sem],0)</f>
        <v>32</v>
      </c>
      <c r="AQ364" s="29">
        <f>IF(AND(MIP[Exc]=0,MIP[Previsto / Realizado]="Realizado",ISBLANK(MIP[[#This Row],[S.B Sitrack]])=FALSE,ISBLANK(MIP[[#This Row],[C.B Sitrack]])=FALSE),MIP[Sem],0)</f>
        <v>0</v>
      </c>
    </row>
    <row r="365" spans="1:43" s="47" customFormat="1" x14ac:dyDescent="0.25">
      <c r="A365" s="11"/>
      <c r="B365" s="44">
        <f>WEEKNUM(MIP[[#This Row],[Data]])</f>
        <v>32</v>
      </c>
      <c r="C365" s="45">
        <v>42959</v>
      </c>
      <c r="D365" s="45"/>
      <c r="E365" s="35" t="s">
        <v>3</v>
      </c>
      <c r="F365" s="35" t="s">
        <v>5</v>
      </c>
      <c r="G365" s="35"/>
      <c r="H365" s="44">
        <v>2</v>
      </c>
      <c r="I365" s="44">
        <v>4</v>
      </c>
      <c r="J365" s="44">
        <v>1</v>
      </c>
      <c r="K365" s="44">
        <v>2</v>
      </c>
      <c r="L365" s="44">
        <v>0</v>
      </c>
      <c r="M365" s="43">
        <v>0.625</v>
      </c>
      <c r="N365" s="43">
        <v>0.64583333333333337</v>
      </c>
      <c r="O365" s="43">
        <f>1+18/24/60</f>
        <v>1.0125</v>
      </c>
      <c r="P365" s="43">
        <f>1+48/24/60</f>
        <v>1.0333333333333334</v>
      </c>
      <c r="Q365" s="39"/>
      <c r="R365" s="42"/>
      <c r="S365" s="29">
        <f>MIP[[#This Row],[PT-1]]+MIP[[#This Row],[PT-2]]*2+MIP[[#This Row],[PT-3]]*3+MIP[[#This Row],[PT &gt; 3 Pontos]]</f>
        <v>12</v>
      </c>
      <c r="T36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365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365" s="41">
        <f>MIP[[#This Row],[Eficiência]]</f>
        <v>0.82952472748668404</v>
      </c>
      <c r="W36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65" s="39">
        <f>IF(MIP[[#This Row],[P.S]]-MIP[[#This Row],[P.E]]&lt;0,1+MIP[[#This Row],[P.S]]-MIP[[#This Row],[P.E]]-1/24,MIP[[#This Row],[P.S]]-MIP[[#This Row],[P.E]]-1/24)</f>
        <v>0.36666666666666675</v>
      </c>
      <c r="Y365" s="39">
        <f>MIP[[#This Row],[PT-1]]*$S$3+MIP[[#This Row],[PT-2]]*$T$3+MIP[[#This Row],[PT-3]]*$U$3+MIP[[#This Row],[PT &gt; 3 Pontos]]*$V$3</f>
        <v>0.26959553643317224</v>
      </c>
      <c r="Z365" s="39">
        <f>MIP[[#This Row],[HH disponível]]-MIP[[#This Row],[HH AC TOT]]</f>
        <v>0.3249999999999999</v>
      </c>
      <c r="AA365" s="38">
        <f>MIP[[#This Row],[HH Produtivo
Total]]/MIP[[#This Row],[HH Trabalhado]]</f>
        <v>0.82952472748668404</v>
      </c>
      <c r="AB365" s="38">
        <f>MIP[[#This Row],[HH Produtivo
Total]]/MIP[[#This Row],[HH disponível]]</f>
        <v>0.73526055390865142</v>
      </c>
      <c r="AC365" s="38">
        <f>MIP[[#This Row],[HH Trabalhado]]/MIP[[#This Row],[HH disponível]]</f>
        <v>0.88636363636363591</v>
      </c>
      <c r="AD365" s="37" t="str">
        <f>LEFT(MIP[[#This Row],[Equipe]], SEARCH("/",MIP[[#This Row],[Equipe]],1)-1)</f>
        <v xml:space="preserve">EDILTON </v>
      </c>
      <c r="AE365" s="37" t="str">
        <f>RIGHT(MIP[[#This Row],[Equipe]], LEN(MIP[[#This Row],[Equipe]])-SEARCH("/",MIP[[#This Row],[Equipe]],1))</f>
        <v xml:space="preserve"> GECIVALDO</v>
      </c>
      <c r="AF365" s="44">
        <f>COUNTIFS('[1]Tempo parado'!H:H,"&gt;="&amp;MIP[[#This Row],[S.B Sitrack]],'[1]Tempo parado'!I:I,"&lt;="&amp;MIP[[#This Row],[C.B Sitrack]],'[1]Tempo parado'!B:B,MIP[[#This Row],[Placa]])</f>
        <v>0</v>
      </c>
      <c r="AG365" s="36"/>
      <c r="AH365" s="35"/>
      <c r="AI365" s="34"/>
      <c r="AJ365" s="34"/>
      <c r="AK36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6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65" s="32">
        <f>SUMIFS('[1]Tempo parado'!J:J,'[1]Tempo parado'!H:H,"&gt;="&amp;MIP[[#This Row],[S.B Sitrack]],'[1]Tempo parado'!I:I,"&lt;="&amp;MIP[[#This Row],[C.B Sitrack]],'[1]Tempo parado'!B:B,MIP[[#This Row],[Placa]])</f>
        <v>0</v>
      </c>
      <c r="AN365" s="32" t="str">
        <f>IFERROR(MIP[[#This Row],[Tempo parado]]/(MIP[[#This Row],[C.B Sitrack]]-MIP[[#This Row],[S.B Sitrack]]),"")</f>
        <v/>
      </c>
      <c r="AO365" s="30"/>
      <c r="AP365" s="44">
        <f>IF(AND(MIP[Exc]=0,MIP[Previsto / Realizado]="Realizado"),MIP[Sem],0)</f>
        <v>0</v>
      </c>
      <c r="AQ365" s="29">
        <f>IF(AND(MIP[Exc]=0,MIP[Previsto / Realizado]="Realizado",ISBLANK(MIP[[#This Row],[S.B Sitrack]])=FALSE,ISBLANK(MIP[[#This Row],[C.B Sitrack]])=FALSE),MIP[Sem],0)</f>
        <v>0</v>
      </c>
    </row>
    <row r="366" spans="1:43" s="64" customFormat="1" x14ac:dyDescent="0.25">
      <c r="A366" s="11"/>
      <c r="B366" s="44">
        <f>WEEKNUM(MIP[[#This Row],[Data]])</f>
        <v>32</v>
      </c>
      <c r="C366" s="45">
        <v>42959</v>
      </c>
      <c r="D366" s="45"/>
      <c r="E366" s="35" t="s">
        <v>3</v>
      </c>
      <c r="F366" s="35" t="s">
        <v>2</v>
      </c>
      <c r="G366" s="35"/>
      <c r="H366" s="44">
        <v>2</v>
      </c>
      <c r="I366" s="44">
        <v>4</v>
      </c>
      <c r="J366" s="44">
        <v>1</v>
      </c>
      <c r="K366" s="44">
        <v>2</v>
      </c>
      <c r="L366" s="44">
        <v>0</v>
      </c>
      <c r="M366" s="43">
        <v>0.62222222222222223</v>
      </c>
      <c r="N366" s="43">
        <v>0.64444444444444449</v>
      </c>
      <c r="O366" s="43">
        <f>1+10/24/60</f>
        <v>1.0069444444444444</v>
      </c>
      <c r="P366" s="43">
        <f>1+48/24/60</f>
        <v>1.0333333333333334</v>
      </c>
      <c r="Q366" s="39">
        <v>4.8611111111111112E-2</v>
      </c>
      <c r="R366" s="42" t="s">
        <v>330</v>
      </c>
      <c r="S366" s="29">
        <f>MIP[[#This Row],[PT-1]]+MIP[[#This Row],[PT-2]]*2+MIP[[#This Row],[PT-3]]*3+MIP[[#This Row],[PT &gt; 3 Pontos]]</f>
        <v>12</v>
      </c>
      <c r="T36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9.7222222222222376E-2</v>
      </c>
      <c r="U366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4.8611111111111271E-2</v>
      </c>
      <c r="V366" s="41">
        <f>MIP[[#This Row],[Eficiência]]</f>
        <v>0.99035095016267383</v>
      </c>
      <c r="W36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66" s="39">
        <f>IF(MIP[[#This Row],[P.S]]-MIP[[#This Row],[P.E]]&lt;0,1+MIP[[#This Row],[P.S]]-MIP[[#This Row],[P.E]]-1/24,MIP[[#This Row],[P.S]]-MIP[[#This Row],[P.E]]-1/24)</f>
        <v>0.36944444444444452</v>
      </c>
      <c r="Y366" s="39">
        <f>MIP[[#This Row],[PT-1]]*$S$3+MIP[[#This Row],[PT-2]]*$T$3+MIP[[#This Row],[PT-3]]*$U$3+MIP[[#This Row],[PT &gt; 3 Pontos]]*$V$3</f>
        <v>0.26959553643317224</v>
      </c>
      <c r="Z366" s="39">
        <f>MIP[[#This Row],[HH disponível]]-MIP[[#This Row],[HH AC TOT]]</f>
        <v>0.27222222222222214</v>
      </c>
      <c r="AA366" s="38">
        <f>MIP[[#This Row],[HH Produtivo
Total]]/MIP[[#This Row],[HH Trabalhado]]</f>
        <v>0.99035095016267383</v>
      </c>
      <c r="AB366" s="38">
        <f>MIP[[#This Row],[HH Produtivo
Total]]/MIP[[#This Row],[HH disponível]]</f>
        <v>0.72973227906723304</v>
      </c>
      <c r="AC366" s="38">
        <f>MIP[[#This Row],[HH Trabalhado]]/MIP[[#This Row],[HH disponível]]</f>
        <v>0.73684210526315752</v>
      </c>
      <c r="AD366" s="37" t="str">
        <f>LEFT(MIP[[#This Row],[Equipe]], SEARCH("/",MIP[[#This Row],[Equipe]],1)-1)</f>
        <v xml:space="preserve">EDILTON </v>
      </c>
      <c r="AE366" s="37" t="str">
        <f>RIGHT(MIP[[#This Row],[Equipe]], LEN(MIP[[#This Row],[Equipe]])-SEARCH("/",MIP[[#This Row],[Equipe]],1))</f>
        <v xml:space="preserve"> GECIVALDO</v>
      </c>
      <c r="AF366" s="44">
        <f>COUNTIFS('[1]Tempo parado'!H:H,"&gt;="&amp;MIP[[#This Row],[S.B Sitrack]],'[1]Tempo parado'!I:I,"&lt;="&amp;MIP[[#This Row],[C.B Sitrack]],'[1]Tempo parado'!B:B,MIP[[#This Row],[Placa]])</f>
        <v>0</v>
      </c>
      <c r="AG366" s="36"/>
      <c r="AH366" s="35"/>
      <c r="AI366" s="34"/>
      <c r="AJ366" s="34"/>
      <c r="AK36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6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66" s="32">
        <f>SUMIFS('[1]Tempo parado'!J:J,'[1]Tempo parado'!H:H,"&gt;="&amp;MIP[[#This Row],[S.B Sitrack]],'[1]Tempo parado'!I:I,"&lt;="&amp;MIP[[#This Row],[C.B Sitrack]],'[1]Tempo parado'!B:B,MIP[[#This Row],[Placa]])</f>
        <v>0</v>
      </c>
      <c r="AN366" s="32" t="str">
        <f>IFERROR(MIP[[#This Row],[Tempo parado]]/(MIP[[#This Row],[C.B Sitrack]]-MIP[[#This Row],[S.B Sitrack]]),"")</f>
        <v/>
      </c>
      <c r="AO366" s="30"/>
      <c r="AP366" s="44">
        <f>IF(AND(MIP[Exc]=0,MIP[Previsto / Realizado]="Realizado"),MIP[Sem],0)</f>
        <v>32</v>
      </c>
      <c r="AQ366" s="29">
        <f>IF(AND(MIP[Exc]=0,MIP[Previsto / Realizado]="Realizado",ISBLANK(MIP[[#This Row],[S.B Sitrack]])=FALSE,ISBLANK(MIP[[#This Row],[C.B Sitrack]])=FALSE),MIP[Sem],0)</f>
        <v>0</v>
      </c>
    </row>
    <row r="367" spans="1:43" s="47" customFormat="1" x14ac:dyDescent="0.25">
      <c r="A367" s="11"/>
      <c r="B367" s="44">
        <f>WEEKNUM(MIP[[#This Row],[Data]])</f>
        <v>32</v>
      </c>
      <c r="C367" s="45">
        <v>42959</v>
      </c>
      <c r="D367" s="45"/>
      <c r="E367" s="35" t="s">
        <v>7</v>
      </c>
      <c r="F367" s="35" t="s">
        <v>5</v>
      </c>
      <c r="G367" s="35"/>
      <c r="H367" s="44">
        <v>2</v>
      </c>
      <c r="I367" s="44"/>
      <c r="J367" s="44"/>
      <c r="K367" s="44"/>
      <c r="L367" s="44"/>
      <c r="M367" s="43">
        <v>0.625</v>
      </c>
      <c r="N367" s="43">
        <v>0.64583333333333337</v>
      </c>
      <c r="O367" s="43">
        <f>1+18/24/60</f>
        <v>1.0125</v>
      </c>
      <c r="P367" s="43">
        <f>1+48/24/60</f>
        <v>1.0333333333333334</v>
      </c>
      <c r="Q367" s="39"/>
      <c r="R367" s="42"/>
      <c r="S367" s="29">
        <f>MIP[[#This Row],[PT-1]]+MIP[[#This Row],[PT-2]]*2+MIP[[#This Row],[PT-3]]*3+MIP[[#This Row],[PT &gt; 3 Pontos]]</f>
        <v>0</v>
      </c>
      <c r="T36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367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367" s="41">
        <f>MIP[[#This Row],[Eficiência]]</f>
        <v>0</v>
      </c>
      <c r="W36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67" s="39">
        <f>IF(MIP[[#This Row],[P.S]]-MIP[[#This Row],[P.E]]&lt;0,1+MIP[[#This Row],[P.S]]-MIP[[#This Row],[P.E]]-1/24,MIP[[#This Row],[P.S]]-MIP[[#This Row],[P.E]]-1/24)</f>
        <v>0.36666666666666675</v>
      </c>
      <c r="Y367" s="39">
        <f>MIP[[#This Row],[PT-1]]*$S$3+MIP[[#This Row],[PT-2]]*$T$3+MIP[[#This Row],[PT-3]]*$U$3+MIP[[#This Row],[PT &gt; 3 Pontos]]*$V$3</f>
        <v>0</v>
      </c>
      <c r="Z367" s="39">
        <f>MIP[[#This Row],[HH disponível]]-MIP[[#This Row],[HH AC TOT]]</f>
        <v>0.3249999999999999</v>
      </c>
      <c r="AA367" s="38">
        <f>MIP[[#This Row],[HH Produtivo
Total]]/MIP[[#This Row],[HH Trabalhado]]</f>
        <v>0</v>
      </c>
      <c r="AB367" s="38">
        <f>MIP[[#This Row],[HH Produtivo
Total]]/MIP[[#This Row],[HH disponível]]</f>
        <v>0</v>
      </c>
      <c r="AC367" s="38">
        <f>MIP[[#This Row],[HH Trabalhado]]/MIP[[#This Row],[HH disponível]]</f>
        <v>0.88636363636363591</v>
      </c>
      <c r="AD367" s="37" t="str">
        <f>LEFT(MIP[[#This Row],[Equipe]], SEARCH("/",MIP[[#This Row],[Equipe]],1)-1)</f>
        <v xml:space="preserve">ANDERSON </v>
      </c>
      <c r="AE367" s="37" t="str">
        <f>RIGHT(MIP[[#This Row],[Equipe]], LEN(MIP[[#This Row],[Equipe]])-SEARCH("/",MIP[[#This Row],[Equipe]],1))</f>
        <v xml:space="preserve"> MARCO</v>
      </c>
      <c r="AF367" s="44">
        <f>COUNTIFS('[1]Tempo parado'!H:H,"&gt;="&amp;MIP[[#This Row],[S.B Sitrack]],'[1]Tempo parado'!I:I,"&lt;="&amp;MIP[[#This Row],[C.B Sitrack]],'[1]Tempo parado'!B:B,MIP[[#This Row],[Placa]])</f>
        <v>0</v>
      </c>
      <c r="AG367" s="36"/>
      <c r="AH367" s="35"/>
      <c r="AI367" s="34"/>
      <c r="AJ367" s="34"/>
      <c r="AK36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6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67" s="32">
        <f>SUMIFS('[1]Tempo parado'!J:J,'[1]Tempo parado'!H:H,"&gt;="&amp;MIP[[#This Row],[S.B Sitrack]],'[1]Tempo parado'!I:I,"&lt;="&amp;MIP[[#This Row],[C.B Sitrack]],'[1]Tempo parado'!B:B,MIP[[#This Row],[Placa]])</f>
        <v>0</v>
      </c>
      <c r="AN367" s="32" t="str">
        <f>IFERROR(MIP[[#This Row],[Tempo parado]]/(MIP[[#This Row],[C.B Sitrack]]-MIP[[#This Row],[S.B Sitrack]]),"")</f>
        <v/>
      </c>
      <c r="AO367" s="30"/>
      <c r="AP367" s="44">
        <f>IF(AND(MIP[Exc]=0,MIP[Previsto / Realizado]="Realizado"),MIP[Sem],0)</f>
        <v>0</v>
      </c>
      <c r="AQ367" s="29">
        <f>IF(AND(MIP[Exc]=0,MIP[Previsto / Realizado]="Realizado",ISBLANK(MIP[[#This Row],[S.B Sitrack]])=FALSE,ISBLANK(MIP[[#This Row],[C.B Sitrack]])=FALSE),MIP[Sem],0)</f>
        <v>0</v>
      </c>
    </row>
    <row r="368" spans="1:43" s="64" customFormat="1" x14ac:dyDescent="0.25">
      <c r="A368" s="11"/>
      <c r="B368" s="44">
        <f>WEEKNUM(MIP[[#This Row],[Data]])</f>
        <v>32</v>
      </c>
      <c r="C368" s="45">
        <v>42959</v>
      </c>
      <c r="D368" s="45"/>
      <c r="E368" s="35" t="s">
        <v>7</v>
      </c>
      <c r="F368" s="35" t="s">
        <v>2</v>
      </c>
      <c r="G368" s="35"/>
      <c r="H368" s="44">
        <v>2</v>
      </c>
      <c r="I368" s="44">
        <v>4</v>
      </c>
      <c r="J368" s="44">
        <v>1</v>
      </c>
      <c r="K368" s="44">
        <v>0</v>
      </c>
      <c r="L368" s="44">
        <v>4</v>
      </c>
      <c r="M368" s="43">
        <v>0.63750000000000007</v>
      </c>
      <c r="N368" s="43">
        <v>0.64583333333333337</v>
      </c>
      <c r="O368" s="43">
        <f>1+15/24/60</f>
        <v>1.0104166666666667</v>
      </c>
      <c r="P368" s="43">
        <f>1+56/24/60</f>
        <v>1.038888888888889</v>
      </c>
      <c r="Q368" s="39">
        <v>2.0833333333333332E-2</v>
      </c>
      <c r="R368" s="42" t="s">
        <v>329</v>
      </c>
      <c r="S368" s="29">
        <f>MIP[[#This Row],[PT-1]]+MIP[[#This Row],[PT-2]]*2+MIP[[#This Row],[PT-3]]*3+MIP[[#This Row],[PT &gt; 3 Pontos]]</f>
        <v>10</v>
      </c>
      <c r="T36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5.7638888888888865E-2</v>
      </c>
      <c r="U368" s="39">
        <f>IF(MIP[[#This Row],[P.S]]-MIP[[#This Row],[U.P]]&gt;=0,MIP[[#This Row],[P.S]]-MIP[[#This Row],[U.P]]+MIP[[#This Row],[S.B]]-MIP[[#This Row],[P.E]],1+MIP[[#This Row],[P.S]]-MIP[[#This Row],[U.P]]+MIP[[#This Row],[S.B]]-MIP[[#This Row],[P.E]])</f>
        <v>3.6805555555555536E-2</v>
      </c>
      <c r="V368" s="41">
        <f>MIP[[#This Row],[Eficiência]]</f>
        <v>0.74484156070113072</v>
      </c>
      <c r="W36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68" s="39">
        <f>IF(MIP[[#This Row],[P.S]]-MIP[[#This Row],[P.E]]&lt;0,1+MIP[[#This Row],[P.S]]-MIP[[#This Row],[P.E]]-1/24,MIP[[#This Row],[P.S]]-MIP[[#This Row],[P.E]]-1/24)</f>
        <v>0.35972222222222222</v>
      </c>
      <c r="Y368" s="39">
        <f>MIP[[#This Row],[PT-1]]*$S$3+MIP[[#This Row],[PT-2]]*$T$3+MIP[[#This Row],[PT-3]]*$U$3+MIP[[#This Row],[PT &gt; 3 Pontos]]*$V$3</f>
        <v>0.22500422146179994</v>
      </c>
      <c r="Z368" s="39">
        <f>MIP[[#This Row],[HH disponível]]-MIP[[#This Row],[HH AC TOT]]</f>
        <v>0.30208333333333337</v>
      </c>
      <c r="AA368" s="38">
        <f>MIP[[#This Row],[HH Produtivo
Total]]/MIP[[#This Row],[HH Trabalhado]]</f>
        <v>0.74484156070113072</v>
      </c>
      <c r="AB368" s="38">
        <f>MIP[[#This Row],[HH Produtivo
Total]]/MIP[[#This Row],[HH disponível]]</f>
        <v>0.62549436082044774</v>
      </c>
      <c r="AC368" s="38">
        <f>MIP[[#This Row],[HH Trabalhado]]/MIP[[#This Row],[HH disponível]]</f>
        <v>0.83976833976833987</v>
      </c>
      <c r="AD368" s="37" t="str">
        <f>LEFT(MIP[[#This Row],[Equipe]], SEARCH("/",MIP[[#This Row],[Equipe]],1)-1)</f>
        <v xml:space="preserve">ANDERSON </v>
      </c>
      <c r="AE368" s="37" t="str">
        <f>RIGHT(MIP[[#This Row],[Equipe]], LEN(MIP[[#This Row],[Equipe]])-SEARCH("/",MIP[[#This Row],[Equipe]],1))</f>
        <v xml:space="preserve"> MARCO</v>
      </c>
      <c r="AF368" s="44">
        <f>COUNTIFS('[1]Tempo parado'!H:H,"&gt;="&amp;MIP[[#This Row],[S.B Sitrack]],'[1]Tempo parado'!I:I,"&lt;="&amp;MIP[[#This Row],[C.B Sitrack]],'[1]Tempo parado'!B:B,MIP[[#This Row],[Placa]])</f>
        <v>0</v>
      </c>
      <c r="AG368" s="36"/>
      <c r="AH368" s="35"/>
      <c r="AI368" s="34"/>
      <c r="AJ368" s="34"/>
      <c r="AK36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6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68" s="32">
        <f>SUMIFS('[1]Tempo parado'!J:J,'[1]Tempo parado'!H:H,"&gt;="&amp;MIP[[#This Row],[S.B Sitrack]],'[1]Tempo parado'!I:I,"&lt;="&amp;MIP[[#This Row],[C.B Sitrack]],'[1]Tempo parado'!B:B,MIP[[#This Row],[Placa]])</f>
        <v>0</v>
      </c>
      <c r="AN368" s="32" t="str">
        <f>IFERROR(MIP[[#This Row],[Tempo parado]]/(MIP[[#This Row],[C.B Sitrack]]-MIP[[#This Row],[S.B Sitrack]]),"")</f>
        <v/>
      </c>
      <c r="AO368" s="30"/>
      <c r="AP368" s="44">
        <f>IF(AND(MIP[Exc]=0,MIP[Previsto / Realizado]="Realizado"),MIP[Sem],0)</f>
        <v>32</v>
      </c>
      <c r="AQ368" s="29">
        <f>IF(AND(MIP[Exc]=0,MIP[Previsto / Realizado]="Realizado",ISBLANK(MIP[[#This Row],[S.B Sitrack]])=FALSE,ISBLANK(MIP[[#This Row],[C.B Sitrack]])=FALSE),MIP[Sem],0)</f>
        <v>0</v>
      </c>
    </row>
    <row r="369" spans="1:43" s="47" customFormat="1" x14ac:dyDescent="0.25">
      <c r="A369" s="11"/>
      <c r="B369" s="44">
        <f>WEEKNUM(MIP[[#This Row],[Data]])</f>
        <v>33</v>
      </c>
      <c r="C369" s="45">
        <v>42960</v>
      </c>
      <c r="D369" s="45"/>
      <c r="E369" s="35" t="s">
        <v>7</v>
      </c>
      <c r="F369" s="35" t="s">
        <v>5</v>
      </c>
      <c r="G369" s="35"/>
      <c r="H369" s="44">
        <v>2</v>
      </c>
      <c r="I369" s="44"/>
      <c r="J369" s="44"/>
      <c r="K369" s="44"/>
      <c r="L369" s="44"/>
      <c r="M369" s="43">
        <v>0.625</v>
      </c>
      <c r="N369" s="43">
        <v>0.64583333333333337</v>
      </c>
      <c r="O369" s="43">
        <f>1+18/24/60</f>
        <v>1.0125</v>
      </c>
      <c r="P369" s="43">
        <f>1+48/24/60</f>
        <v>1.0333333333333334</v>
      </c>
      <c r="Q369" s="39"/>
      <c r="R369" s="42"/>
      <c r="S369" s="29">
        <f>MIP[[#This Row],[PT-1]]+MIP[[#This Row],[PT-2]]*2+MIP[[#This Row],[PT-3]]*3+MIP[[#This Row],[PT &gt; 3 Pontos]]</f>
        <v>0</v>
      </c>
      <c r="T36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369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369" s="41">
        <f>MIP[[#This Row],[Eficiência]]</f>
        <v>0</v>
      </c>
      <c r="W36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69" s="39">
        <f>IF(MIP[[#This Row],[P.S]]-MIP[[#This Row],[P.E]]&lt;0,1+MIP[[#This Row],[P.S]]-MIP[[#This Row],[P.E]]-1/24,MIP[[#This Row],[P.S]]-MIP[[#This Row],[P.E]]-1/24)</f>
        <v>0.36666666666666675</v>
      </c>
      <c r="Y369" s="39">
        <f>MIP[[#This Row],[PT-1]]*$S$3+MIP[[#This Row],[PT-2]]*$T$3+MIP[[#This Row],[PT-3]]*$U$3+MIP[[#This Row],[PT &gt; 3 Pontos]]*$V$3</f>
        <v>0</v>
      </c>
      <c r="Z369" s="39">
        <f>MIP[[#This Row],[HH disponível]]-MIP[[#This Row],[HH AC TOT]]</f>
        <v>0.3249999999999999</v>
      </c>
      <c r="AA369" s="38">
        <f>MIP[[#This Row],[HH Produtivo
Total]]/MIP[[#This Row],[HH Trabalhado]]</f>
        <v>0</v>
      </c>
      <c r="AB369" s="38">
        <f>MIP[[#This Row],[HH Produtivo
Total]]/MIP[[#This Row],[HH disponível]]</f>
        <v>0</v>
      </c>
      <c r="AC369" s="38">
        <f>MIP[[#This Row],[HH Trabalhado]]/MIP[[#This Row],[HH disponível]]</f>
        <v>0.88636363636363591</v>
      </c>
      <c r="AD369" s="37" t="str">
        <f>LEFT(MIP[[#This Row],[Equipe]], SEARCH("/",MIP[[#This Row],[Equipe]],1)-1)</f>
        <v xml:space="preserve">ANDERSON </v>
      </c>
      <c r="AE369" s="37" t="str">
        <f>RIGHT(MIP[[#This Row],[Equipe]], LEN(MIP[[#This Row],[Equipe]])-SEARCH("/",MIP[[#This Row],[Equipe]],1))</f>
        <v xml:space="preserve"> MARCO</v>
      </c>
      <c r="AF369" s="44">
        <f>COUNTIFS('[1]Tempo parado'!H:H,"&gt;="&amp;MIP[[#This Row],[S.B Sitrack]],'[1]Tempo parado'!I:I,"&lt;="&amp;MIP[[#This Row],[C.B Sitrack]],'[1]Tempo parado'!B:B,MIP[[#This Row],[Placa]])</f>
        <v>0</v>
      </c>
      <c r="AG369" s="36"/>
      <c r="AH369" s="35"/>
      <c r="AI369" s="34"/>
      <c r="AJ369" s="34"/>
      <c r="AK36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6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69" s="32">
        <f>SUMIFS('[1]Tempo parado'!J:J,'[1]Tempo parado'!H:H,"&gt;="&amp;MIP[[#This Row],[S.B Sitrack]],'[1]Tempo parado'!I:I,"&lt;="&amp;MIP[[#This Row],[C.B Sitrack]],'[1]Tempo parado'!B:B,MIP[[#This Row],[Placa]])</f>
        <v>0</v>
      </c>
      <c r="AN369" s="32" t="str">
        <f>IFERROR(MIP[[#This Row],[Tempo parado]]/(MIP[[#This Row],[C.B Sitrack]]-MIP[[#This Row],[S.B Sitrack]]),"")</f>
        <v/>
      </c>
      <c r="AO369" s="30"/>
      <c r="AP369" s="44">
        <f>IF(AND(MIP[Exc]=0,MIP[Previsto / Realizado]="Realizado"),MIP[Sem],0)</f>
        <v>0</v>
      </c>
      <c r="AQ369" s="29">
        <f>IF(AND(MIP[Exc]=0,MIP[Previsto / Realizado]="Realizado",ISBLANK(MIP[[#This Row],[S.B Sitrack]])=FALSE,ISBLANK(MIP[[#This Row],[C.B Sitrack]])=FALSE),MIP[Sem],0)</f>
        <v>0</v>
      </c>
    </row>
    <row r="370" spans="1:43" s="64" customFormat="1" x14ac:dyDescent="0.25">
      <c r="A370" s="11"/>
      <c r="B370" s="44">
        <f>WEEKNUM(MIP[[#This Row],[Data]])</f>
        <v>33</v>
      </c>
      <c r="C370" s="45">
        <v>42960</v>
      </c>
      <c r="D370" s="45"/>
      <c r="E370" s="35" t="s">
        <v>7</v>
      </c>
      <c r="F370" s="35" t="s">
        <v>2</v>
      </c>
      <c r="G370" s="35"/>
      <c r="H370" s="44">
        <v>2</v>
      </c>
      <c r="I370" s="44">
        <v>5</v>
      </c>
      <c r="J370" s="44">
        <v>1</v>
      </c>
      <c r="K370" s="44">
        <v>0</v>
      </c>
      <c r="L370" s="44">
        <v>6</v>
      </c>
      <c r="M370" s="43">
        <v>0.61805555555555558</v>
      </c>
      <c r="N370" s="43">
        <v>0.64374999999999993</v>
      </c>
      <c r="O370" s="43">
        <f>1+0/24/60</f>
        <v>1</v>
      </c>
      <c r="P370" s="43">
        <f>1+48/24/60</f>
        <v>1.0333333333333334</v>
      </c>
      <c r="Q370" s="39"/>
      <c r="R370" s="42" t="s">
        <v>328</v>
      </c>
      <c r="S370" s="29">
        <f>MIP[[#This Row],[PT-1]]+MIP[[#This Row],[PT-2]]*2+MIP[[#This Row],[PT-3]]*3+MIP[[#This Row],[PT &gt; 3 Pontos]]</f>
        <v>13</v>
      </c>
      <c r="T37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5.902777777777779E-2</v>
      </c>
      <c r="U370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5.902777777777779E-2</v>
      </c>
      <c r="V370" s="41">
        <f>MIP[[#This Row],[Eficiência]]</f>
        <v>0.92352666336074019</v>
      </c>
      <c r="W37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70" s="39">
        <f>IF(MIP[[#This Row],[P.S]]-MIP[[#This Row],[P.E]]&lt;0,1+MIP[[#This Row],[P.S]]-MIP[[#This Row],[P.E]]-1/24,MIP[[#This Row],[P.S]]-MIP[[#This Row],[P.E]]-1/24)</f>
        <v>0.37361111111111117</v>
      </c>
      <c r="Y370" s="39">
        <f>MIP[[#This Row],[PT-1]]*$S$3+MIP[[#This Row],[PT-2]]*$T$3+MIP[[#This Row],[PT-3]]*$U$3+MIP[[#This Row],[PT &gt; 3 Pontos]]*$V$3</f>
        <v>0.29052609618223291</v>
      </c>
      <c r="Z370" s="39">
        <f>MIP[[#This Row],[HH disponível]]-MIP[[#This Row],[HH AC TOT]]</f>
        <v>0.31458333333333338</v>
      </c>
      <c r="AA370" s="38">
        <f>MIP[[#This Row],[HH Produtivo
Total]]/MIP[[#This Row],[HH Trabalhado]]</f>
        <v>0.92352666336074019</v>
      </c>
      <c r="AB370" s="38">
        <f>MIP[[#This Row],[HH Produtivo
Total]]/MIP[[#This Row],[HH disponível]]</f>
        <v>0.77761631691898758</v>
      </c>
      <c r="AC370" s="38">
        <f>MIP[[#This Row],[HH Trabalhado]]/MIP[[#This Row],[HH disponível]]</f>
        <v>0.84200743494423791</v>
      </c>
      <c r="AD370" s="37" t="str">
        <f>LEFT(MIP[[#This Row],[Equipe]], SEARCH("/",MIP[[#This Row],[Equipe]],1)-1)</f>
        <v xml:space="preserve">ANDERSON </v>
      </c>
      <c r="AE370" s="37" t="str">
        <f>RIGHT(MIP[[#This Row],[Equipe]], LEN(MIP[[#This Row],[Equipe]])-SEARCH("/",MIP[[#This Row],[Equipe]],1))</f>
        <v xml:space="preserve"> MARCO</v>
      </c>
      <c r="AF370" s="44">
        <f>COUNTIFS('[1]Tempo parado'!H:H,"&gt;="&amp;MIP[[#This Row],[S.B Sitrack]],'[1]Tempo parado'!I:I,"&lt;="&amp;MIP[[#This Row],[C.B Sitrack]],'[1]Tempo parado'!B:B,MIP[[#This Row],[Placa]])</f>
        <v>0</v>
      </c>
      <c r="AG370" s="36"/>
      <c r="AH370" s="35"/>
      <c r="AI370" s="34"/>
      <c r="AJ370" s="34"/>
      <c r="AK37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7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70" s="32">
        <f>SUMIFS('[1]Tempo parado'!J:J,'[1]Tempo parado'!H:H,"&gt;="&amp;MIP[[#This Row],[S.B Sitrack]],'[1]Tempo parado'!I:I,"&lt;="&amp;MIP[[#This Row],[C.B Sitrack]],'[1]Tempo parado'!B:B,MIP[[#This Row],[Placa]])</f>
        <v>0</v>
      </c>
      <c r="AN370" s="32" t="str">
        <f>IFERROR(MIP[[#This Row],[Tempo parado]]/(MIP[[#This Row],[C.B Sitrack]]-MIP[[#This Row],[S.B Sitrack]]),"")</f>
        <v/>
      </c>
      <c r="AO370" s="30"/>
      <c r="AP370" s="44">
        <f>IF(AND(MIP[Exc]=0,MIP[Previsto / Realizado]="Realizado"),MIP[Sem],0)</f>
        <v>33</v>
      </c>
      <c r="AQ370" s="29">
        <f>IF(AND(MIP[Exc]=0,MIP[Previsto / Realizado]="Realizado",ISBLANK(MIP[[#This Row],[S.B Sitrack]])=FALSE,ISBLANK(MIP[[#This Row],[C.B Sitrack]])=FALSE),MIP[Sem],0)</f>
        <v>0</v>
      </c>
    </row>
    <row r="371" spans="1:43" s="47" customFormat="1" x14ac:dyDescent="0.25">
      <c r="A371" s="11"/>
      <c r="B371" s="44">
        <f>WEEKNUM(MIP[[#This Row],[Data]])</f>
        <v>33</v>
      </c>
      <c r="C371" s="45">
        <v>42960</v>
      </c>
      <c r="D371" s="45"/>
      <c r="E371" s="35" t="s">
        <v>3</v>
      </c>
      <c r="F371" s="35" t="s">
        <v>5</v>
      </c>
      <c r="G371" s="35"/>
      <c r="H371" s="44">
        <v>2</v>
      </c>
      <c r="I371" s="44"/>
      <c r="J371" s="44"/>
      <c r="K371" s="44"/>
      <c r="L371" s="44"/>
      <c r="M371" s="43">
        <v>0.625</v>
      </c>
      <c r="N371" s="43">
        <v>0.64583333333333337</v>
      </c>
      <c r="O371" s="43">
        <f>1+18/24/60</f>
        <v>1.0125</v>
      </c>
      <c r="P371" s="43">
        <f>1+48/24/60</f>
        <v>1.0333333333333334</v>
      </c>
      <c r="Q371" s="39"/>
      <c r="R371" s="42"/>
      <c r="S371" s="29">
        <f>MIP[[#This Row],[PT-1]]+MIP[[#This Row],[PT-2]]*2+MIP[[#This Row],[PT-3]]*3+MIP[[#This Row],[PT &gt; 3 Pontos]]</f>
        <v>0</v>
      </c>
      <c r="T37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371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371" s="41">
        <f>MIP[[#This Row],[Eficiência]]</f>
        <v>0</v>
      </c>
      <c r="W37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71" s="39">
        <f>IF(MIP[[#This Row],[P.S]]-MIP[[#This Row],[P.E]]&lt;0,1+MIP[[#This Row],[P.S]]-MIP[[#This Row],[P.E]]-1/24,MIP[[#This Row],[P.S]]-MIP[[#This Row],[P.E]]-1/24)</f>
        <v>0.36666666666666675</v>
      </c>
      <c r="Y371" s="39">
        <f>MIP[[#This Row],[PT-1]]*$S$3+MIP[[#This Row],[PT-2]]*$T$3+MIP[[#This Row],[PT-3]]*$U$3+MIP[[#This Row],[PT &gt; 3 Pontos]]*$V$3</f>
        <v>0</v>
      </c>
      <c r="Z371" s="39">
        <f>MIP[[#This Row],[HH disponível]]-MIP[[#This Row],[HH AC TOT]]</f>
        <v>0.3249999999999999</v>
      </c>
      <c r="AA371" s="38">
        <f>MIP[[#This Row],[HH Produtivo
Total]]/MIP[[#This Row],[HH Trabalhado]]</f>
        <v>0</v>
      </c>
      <c r="AB371" s="38">
        <f>MIP[[#This Row],[HH Produtivo
Total]]/MIP[[#This Row],[HH disponível]]</f>
        <v>0</v>
      </c>
      <c r="AC371" s="38">
        <f>MIP[[#This Row],[HH Trabalhado]]/MIP[[#This Row],[HH disponível]]</f>
        <v>0.88636363636363591</v>
      </c>
      <c r="AD371" s="37" t="str">
        <f>LEFT(MIP[[#This Row],[Equipe]], SEARCH("/",MIP[[#This Row],[Equipe]],1)-1)</f>
        <v xml:space="preserve">EDILTON </v>
      </c>
      <c r="AE371" s="37" t="str">
        <f>RIGHT(MIP[[#This Row],[Equipe]], LEN(MIP[[#This Row],[Equipe]])-SEARCH("/",MIP[[#This Row],[Equipe]],1))</f>
        <v xml:space="preserve"> GECIVALDO</v>
      </c>
      <c r="AF371" s="44">
        <f>COUNTIFS('[1]Tempo parado'!H:H,"&gt;="&amp;MIP[[#This Row],[S.B Sitrack]],'[1]Tempo parado'!I:I,"&lt;="&amp;MIP[[#This Row],[C.B Sitrack]],'[1]Tempo parado'!B:B,MIP[[#This Row],[Placa]])</f>
        <v>0</v>
      </c>
      <c r="AG371" s="36"/>
      <c r="AH371" s="35"/>
      <c r="AI371" s="34"/>
      <c r="AJ371" s="34"/>
      <c r="AK37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7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71" s="32">
        <f>SUMIFS('[1]Tempo parado'!J:J,'[1]Tempo parado'!H:H,"&gt;="&amp;MIP[[#This Row],[S.B Sitrack]],'[1]Tempo parado'!I:I,"&lt;="&amp;MIP[[#This Row],[C.B Sitrack]],'[1]Tempo parado'!B:B,MIP[[#This Row],[Placa]])</f>
        <v>0</v>
      </c>
      <c r="AN371" s="32" t="str">
        <f>IFERROR(MIP[[#This Row],[Tempo parado]]/(MIP[[#This Row],[C.B Sitrack]]-MIP[[#This Row],[S.B Sitrack]]),"")</f>
        <v/>
      </c>
      <c r="AO371" s="30"/>
      <c r="AP371" s="44">
        <f>IF(AND(MIP[Exc]=0,MIP[Previsto / Realizado]="Realizado"),MIP[Sem],0)</f>
        <v>0</v>
      </c>
      <c r="AQ371" s="29">
        <f>IF(AND(MIP[Exc]=0,MIP[Previsto / Realizado]="Realizado",ISBLANK(MIP[[#This Row],[S.B Sitrack]])=FALSE,ISBLANK(MIP[[#This Row],[C.B Sitrack]])=FALSE),MIP[Sem],0)</f>
        <v>0</v>
      </c>
    </row>
    <row r="372" spans="1:43" s="64" customFormat="1" x14ac:dyDescent="0.25">
      <c r="A372" s="11"/>
      <c r="B372" s="44">
        <f>WEEKNUM(MIP[[#This Row],[Data]])</f>
        <v>33</v>
      </c>
      <c r="C372" s="45">
        <v>42960</v>
      </c>
      <c r="D372" s="45"/>
      <c r="E372" s="35" t="s">
        <v>3</v>
      </c>
      <c r="F372" s="35" t="s">
        <v>2</v>
      </c>
      <c r="G372" s="35"/>
      <c r="H372" s="44">
        <v>2</v>
      </c>
      <c r="I372" s="44">
        <v>4</v>
      </c>
      <c r="J372" s="44">
        <v>1</v>
      </c>
      <c r="K372" s="44">
        <v>0</v>
      </c>
      <c r="L372" s="44">
        <v>5</v>
      </c>
      <c r="M372" s="43">
        <v>0.62222222222222223</v>
      </c>
      <c r="N372" s="43">
        <v>0.64583333333333337</v>
      </c>
      <c r="O372" s="43">
        <v>0.96875</v>
      </c>
      <c r="P372" s="43">
        <f>1+48/24/60</f>
        <v>1.0333333333333334</v>
      </c>
      <c r="Q372" s="39"/>
      <c r="R372" s="42" t="s">
        <v>328</v>
      </c>
      <c r="S372" s="29">
        <f>MIP[[#This Row],[PT-1]]+MIP[[#This Row],[PT-2]]*2+MIP[[#This Row],[PT-3]]*3+MIP[[#This Row],[PT &gt; 3 Pontos]]</f>
        <v>11</v>
      </c>
      <c r="T37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8.8194444444444575E-2</v>
      </c>
      <c r="U372" s="39">
        <f>IF(MIP[[#This Row],[P.S]]-MIP[[#This Row],[U.P]]&gt;=0,MIP[[#This Row],[P.S]]-MIP[[#This Row],[U.P]]+MIP[[#This Row],[S.B]]-MIP[[#This Row],[P.E]],1+MIP[[#This Row],[P.S]]-MIP[[#This Row],[U.P]]+MIP[[#This Row],[S.B]]-MIP[[#This Row],[P.E]])</f>
        <v>8.8194444444444575E-2</v>
      </c>
      <c r="V372" s="41">
        <f>MIP[[#This Row],[Eficiência]]</f>
        <v>0.872007937217948</v>
      </c>
      <c r="W37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72" s="39">
        <f>IF(MIP[[#This Row],[P.S]]-MIP[[#This Row],[P.E]]&lt;0,1+MIP[[#This Row],[P.S]]-MIP[[#This Row],[P.E]]-1/24,MIP[[#This Row],[P.S]]-MIP[[#This Row],[P.E]]-1/24)</f>
        <v>0.36944444444444452</v>
      </c>
      <c r="Y372" s="39">
        <f>MIP[[#This Row],[PT-1]]*$S$3+MIP[[#This Row],[PT-2]]*$T$3+MIP[[#This Row],[PT-3]]*$U$3+MIP[[#This Row],[PT &gt; 3 Pontos]]*$V$3</f>
        <v>0.24525223234254784</v>
      </c>
      <c r="Z372" s="39">
        <f>MIP[[#This Row],[HH disponível]]-MIP[[#This Row],[HH AC TOT]]</f>
        <v>0.28124999999999994</v>
      </c>
      <c r="AA372" s="38">
        <f>MIP[[#This Row],[HH Produtivo
Total]]/MIP[[#This Row],[HH Trabalhado]]</f>
        <v>0.872007937217948</v>
      </c>
      <c r="AB372" s="38">
        <f>MIP[[#This Row],[HH Produtivo
Total]]/MIP[[#This Row],[HH disponível]]</f>
        <v>0.66384062889712181</v>
      </c>
      <c r="AC372" s="38">
        <f>MIP[[#This Row],[HH Trabalhado]]/MIP[[#This Row],[HH disponível]]</f>
        <v>0.76127819548872155</v>
      </c>
      <c r="AD372" s="37" t="str">
        <f>LEFT(MIP[[#This Row],[Equipe]], SEARCH("/",MIP[[#This Row],[Equipe]],1)-1)</f>
        <v xml:space="preserve">EDILTON </v>
      </c>
      <c r="AE372" s="37" t="str">
        <f>RIGHT(MIP[[#This Row],[Equipe]], LEN(MIP[[#This Row],[Equipe]])-SEARCH("/",MIP[[#This Row],[Equipe]],1))</f>
        <v xml:space="preserve"> GECIVALDO</v>
      </c>
      <c r="AF372" s="44">
        <f>COUNTIFS('[1]Tempo parado'!H:H,"&gt;="&amp;MIP[[#This Row],[S.B Sitrack]],'[1]Tempo parado'!I:I,"&lt;="&amp;MIP[[#This Row],[C.B Sitrack]],'[1]Tempo parado'!B:B,MIP[[#This Row],[Placa]])</f>
        <v>0</v>
      </c>
      <c r="AG372" s="36"/>
      <c r="AH372" s="35"/>
      <c r="AI372" s="34"/>
      <c r="AJ372" s="34"/>
      <c r="AK37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7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72" s="32">
        <f>SUMIFS('[1]Tempo parado'!J:J,'[1]Tempo parado'!H:H,"&gt;="&amp;MIP[[#This Row],[S.B Sitrack]],'[1]Tempo parado'!I:I,"&lt;="&amp;MIP[[#This Row],[C.B Sitrack]],'[1]Tempo parado'!B:B,MIP[[#This Row],[Placa]])</f>
        <v>0</v>
      </c>
      <c r="AN372" s="32" t="str">
        <f>IFERROR(MIP[[#This Row],[Tempo parado]]/(MIP[[#This Row],[C.B Sitrack]]-MIP[[#This Row],[S.B Sitrack]]),"")</f>
        <v/>
      </c>
      <c r="AO372" s="30"/>
      <c r="AP372" s="44">
        <f>IF(AND(MIP[Exc]=0,MIP[Previsto / Realizado]="Realizado"),MIP[Sem],0)</f>
        <v>33</v>
      </c>
      <c r="AQ372" s="29">
        <f>IF(AND(MIP[Exc]=0,MIP[Previsto / Realizado]="Realizado",ISBLANK(MIP[[#This Row],[S.B Sitrack]])=FALSE,ISBLANK(MIP[[#This Row],[C.B Sitrack]])=FALSE),MIP[Sem],0)</f>
        <v>0</v>
      </c>
    </row>
    <row r="373" spans="1:43" s="47" customFormat="1" x14ac:dyDescent="0.25">
      <c r="A373" s="11"/>
      <c r="B373" s="44">
        <f>WEEKNUM(MIP[[#This Row],[Data]])</f>
        <v>33</v>
      </c>
      <c r="C373" s="45">
        <v>42961</v>
      </c>
      <c r="D373" s="45"/>
      <c r="E373" s="35" t="s">
        <v>244</v>
      </c>
      <c r="F373" s="35" t="s">
        <v>5</v>
      </c>
      <c r="G373" s="35"/>
      <c r="H373" s="44">
        <v>2</v>
      </c>
      <c r="I373" s="44">
        <v>9</v>
      </c>
      <c r="J373" s="44">
        <v>2</v>
      </c>
      <c r="K373" s="44">
        <v>1</v>
      </c>
      <c r="L373" s="44">
        <v>4</v>
      </c>
      <c r="M373" s="43">
        <v>0.625</v>
      </c>
      <c r="N373" s="43">
        <v>0.64583333333333337</v>
      </c>
      <c r="O373" s="43">
        <f>1+18/24/60</f>
        <v>1.0125</v>
      </c>
      <c r="P373" s="43">
        <f>1+48/24/60</f>
        <v>1.0333333333333334</v>
      </c>
      <c r="Q373" s="39"/>
      <c r="R373" s="42"/>
      <c r="S373" s="29">
        <f>MIP[[#This Row],[PT-1]]+MIP[[#This Row],[PT-2]]*2+MIP[[#This Row],[PT-3]]*3+MIP[[#This Row],[PT &gt; 3 Pontos]]</f>
        <v>20</v>
      </c>
      <c r="T37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373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373" s="41">
        <f>MIP[[#This Row],[Eficiência]]</f>
        <v>1.4056428664822385</v>
      </c>
      <c r="W37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73" s="39">
        <f>IF(MIP[[#This Row],[P.S]]-MIP[[#This Row],[P.E]]&lt;0,1+MIP[[#This Row],[P.S]]-MIP[[#This Row],[P.E]]-1/24,MIP[[#This Row],[P.S]]-MIP[[#This Row],[P.E]]-1/24)</f>
        <v>0.36666666666666675</v>
      </c>
      <c r="Y373" s="39">
        <f>MIP[[#This Row],[PT-1]]*$S$3+MIP[[#This Row],[PT-2]]*$T$3+MIP[[#This Row],[PT-3]]*$U$3+MIP[[#This Row],[PT &gt; 3 Pontos]]*$V$3</f>
        <v>0.45683393160672736</v>
      </c>
      <c r="Z373" s="39">
        <f>MIP[[#This Row],[HH disponível]]-MIP[[#This Row],[HH AC TOT]]</f>
        <v>0.3249999999999999</v>
      </c>
      <c r="AA373" s="38">
        <f>MIP[[#This Row],[HH Produtivo
Total]]/MIP[[#This Row],[HH Trabalhado]]</f>
        <v>1.4056428664822385</v>
      </c>
      <c r="AB373" s="38">
        <f>MIP[[#This Row],[HH Produtivo
Total]]/MIP[[#This Row],[HH disponível]]</f>
        <v>1.2459107225638015</v>
      </c>
      <c r="AC373" s="38">
        <f>MIP[[#This Row],[HH Trabalhado]]/MIP[[#This Row],[HH disponível]]</f>
        <v>0.88636363636363591</v>
      </c>
      <c r="AD373" s="37" t="str">
        <f>LEFT(MIP[[#This Row],[Equipe]], SEARCH("/",MIP[[#This Row],[Equipe]],1)-1)</f>
        <v xml:space="preserve">EDILTON </v>
      </c>
      <c r="AE373" s="37" t="str">
        <f>RIGHT(MIP[[#This Row],[Equipe]], LEN(MIP[[#This Row],[Equipe]])-SEARCH("/",MIP[[#This Row],[Equipe]],1))</f>
        <v xml:space="preserve"> MARCO</v>
      </c>
      <c r="AF373" s="44">
        <f>COUNTIFS('[1]Tempo parado'!H:H,"&gt;="&amp;MIP[[#This Row],[S.B Sitrack]],'[1]Tempo parado'!I:I,"&lt;="&amp;MIP[[#This Row],[C.B Sitrack]],'[1]Tempo parado'!B:B,MIP[[#This Row],[Placa]])</f>
        <v>0</v>
      </c>
      <c r="AG373" s="36"/>
      <c r="AH373" s="35"/>
      <c r="AI373" s="34"/>
      <c r="AJ373" s="34"/>
      <c r="AK37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7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73" s="32">
        <f>SUMIFS('[1]Tempo parado'!J:J,'[1]Tempo parado'!H:H,"&gt;="&amp;MIP[[#This Row],[S.B Sitrack]],'[1]Tempo parado'!I:I,"&lt;="&amp;MIP[[#This Row],[C.B Sitrack]],'[1]Tempo parado'!B:B,MIP[[#This Row],[Placa]])</f>
        <v>0</v>
      </c>
      <c r="AN373" s="32" t="str">
        <f>IFERROR(MIP[[#This Row],[Tempo parado]]/(MIP[[#This Row],[C.B Sitrack]]-MIP[[#This Row],[S.B Sitrack]]),"")</f>
        <v/>
      </c>
      <c r="AO373" s="30"/>
      <c r="AP373" s="44">
        <f>IF(AND(MIP[Exc]=0,MIP[Previsto / Realizado]="Realizado"),MIP[Sem],0)</f>
        <v>0</v>
      </c>
      <c r="AQ373" s="29">
        <f>IF(AND(MIP[Exc]=0,MIP[Previsto / Realizado]="Realizado",ISBLANK(MIP[[#This Row],[S.B Sitrack]])=FALSE,ISBLANK(MIP[[#This Row],[C.B Sitrack]])=FALSE),MIP[Sem],0)</f>
        <v>0</v>
      </c>
    </row>
    <row r="374" spans="1:43" s="64" customFormat="1" x14ac:dyDescent="0.25">
      <c r="A374" s="11"/>
      <c r="B374" s="44">
        <f>WEEKNUM(MIP[[#This Row],[Data]])</f>
        <v>33</v>
      </c>
      <c r="C374" s="45">
        <v>42961</v>
      </c>
      <c r="D374" s="45"/>
      <c r="E374" s="35" t="s">
        <v>244</v>
      </c>
      <c r="F374" s="35" t="s">
        <v>2</v>
      </c>
      <c r="G374" s="35"/>
      <c r="H374" s="44">
        <v>2</v>
      </c>
      <c r="I374" s="44">
        <v>8</v>
      </c>
      <c r="J374" s="44">
        <v>2</v>
      </c>
      <c r="K374" s="44">
        <v>1</v>
      </c>
      <c r="L374" s="44">
        <v>0</v>
      </c>
      <c r="M374" s="43">
        <v>0.61805555555555558</v>
      </c>
      <c r="N374" s="43">
        <v>0.65833333333333333</v>
      </c>
      <c r="O374" s="43">
        <v>0.96527777777777779</v>
      </c>
      <c r="P374" s="43">
        <f>1+48/24/60</f>
        <v>1.0333333333333334</v>
      </c>
      <c r="Q374" s="39"/>
      <c r="R374" s="42"/>
      <c r="S374" s="29">
        <f>MIP[[#This Row],[PT-1]]+MIP[[#This Row],[PT-2]]*2+MIP[[#This Row],[PT-3]]*3+MIP[[#This Row],[PT &gt; 3 Pontos]]</f>
        <v>15</v>
      </c>
      <c r="T37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0.10833333333333339</v>
      </c>
      <c r="U374" s="39">
        <f>IF(MIP[[#This Row],[P.S]]-MIP[[#This Row],[U.P]]&gt;=0,MIP[[#This Row],[P.S]]-MIP[[#This Row],[U.P]]+MIP[[#This Row],[S.B]]-MIP[[#This Row],[P.E]],1+MIP[[#This Row],[P.S]]-MIP[[#This Row],[U.P]]+MIP[[#This Row],[S.B]]-MIP[[#This Row],[P.E]])</f>
        <v>0.10833333333333339</v>
      </c>
      <c r="V374" s="41">
        <f>MIP[[#This Row],[Eficiência]]</f>
        <v>1.3224478810987172</v>
      </c>
      <c r="W37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74" s="39">
        <f>IF(MIP[[#This Row],[P.S]]-MIP[[#This Row],[P.E]]&lt;0,1+MIP[[#This Row],[P.S]]-MIP[[#This Row],[P.E]]-1/24,MIP[[#This Row],[P.S]]-MIP[[#This Row],[P.E]]-1/24)</f>
        <v>0.37361111111111117</v>
      </c>
      <c r="Y374" s="39">
        <f>MIP[[#This Row],[PT-1]]*$S$3+MIP[[#This Row],[PT-2]]*$T$3+MIP[[#This Row],[PT-3]]*$U$3+MIP[[#This Row],[PT &gt; 3 Pontos]]*$V$3</f>
        <v>0.35081603512479859</v>
      </c>
      <c r="Z374" s="39">
        <f>MIP[[#This Row],[HH disponível]]-MIP[[#This Row],[HH AC TOT]]</f>
        <v>0.26527777777777778</v>
      </c>
      <c r="AA374" s="38">
        <f>MIP[[#This Row],[HH Produtivo
Total]]/MIP[[#This Row],[HH Trabalhado]]</f>
        <v>1.3224478810987172</v>
      </c>
      <c r="AB374" s="38">
        <f>MIP[[#This Row],[HH Produtivo
Total]]/MIP[[#This Row],[HH disponível]]</f>
        <v>0.93898715721135662</v>
      </c>
      <c r="AC374" s="38">
        <f>MIP[[#This Row],[HH Trabalhado]]/MIP[[#This Row],[HH disponível]]</f>
        <v>0.71003717472118943</v>
      </c>
      <c r="AD374" s="37" t="str">
        <f>LEFT(MIP[[#This Row],[Equipe]], SEARCH("/",MIP[[#This Row],[Equipe]],1)-1)</f>
        <v xml:space="preserve">EDILTON </v>
      </c>
      <c r="AE374" s="37" t="str">
        <f>RIGHT(MIP[[#This Row],[Equipe]], LEN(MIP[[#This Row],[Equipe]])-SEARCH("/",MIP[[#This Row],[Equipe]],1))</f>
        <v xml:space="preserve"> MARCO</v>
      </c>
      <c r="AF374" s="44">
        <f>COUNTIFS('[1]Tempo parado'!H:H,"&gt;="&amp;MIP[[#This Row],[S.B Sitrack]],'[1]Tempo parado'!I:I,"&lt;="&amp;MIP[[#This Row],[C.B Sitrack]],'[1]Tempo parado'!B:B,MIP[[#This Row],[Placa]])</f>
        <v>0</v>
      </c>
      <c r="AG374" s="36"/>
      <c r="AH374" s="35"/>
      <c r="AI374" s="34"/>
      <c r="AJ374" s="34"/>
      <c r="AK37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7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74" s="32">
        <f>SUMIFS('[1]Tempo parado'!J:J,'[1]Tempo parado'!H:H,"&gt;="&amp;MIP[[#This Row],[S.B Sitrack]],'[1]Tempo parado'!I:I,"&lt;="&amp;MIP[[#This Row],[C.B Sitrack]],'[1]Tempo parado'!B:B,MIP[[#This Row],[Placa]])</f>
        <v>0</v>
      </c>
      <c r="AN374" s="32" t="str">
        <f>IFERROR(MIP[[#This Row],[Tempo parado]]/(MIP[[#This Row],[C.B Sitrack]]-MIP[[#This Row],[S.B Sitrack]]),"")</f>
        <v/>
      </c>
      <c r="AO374" s="30"/>
      <c r="AP374" s="44">
        <f>IF(AND(MIP[Exc]=0,MIP[Previsto / Realizado]="Realizado"),MIP[Sem],0)</f>
        <v>33</v>
      </c>
      <c r="AQ374" s="29">
        <f>IF(AND(MIP[Exc]=0,MIP[Previsto / Realizado]="Realizado",ISBLANK(MIP[[#This Row],[S.B Sitrack]])=FALSE,ISBLANK(MIP[[#This Row],[C.B Sitrack]])=FALSE),MIP[Sem],0)</f>
        <v>0</v>
      </c>
    </row>
    <row r="375" spans="1:43" s="47" customFormat="1" x14ac:dyDescent="0.25">
      <c r="A375" s="11"/>
      <c r="B375" s="44">
        <f>WEEKNUM(MIP[[#This Row],[Data]])</f>
        <v>33</v>
      </c>
      <c r="C375" s="45">
        <v>42961</v>
      </c>
      <c r="D375" s="45"/>
      <c r="E375" s="35" t="s">
        <v>19</v>
      </c>
      <c r="F375" s="35" t="s">
        <v>5</v>
      </c>
      <c r="G375" s="35"/>
      <c r="H375" s="44">
        <v>2</v>
      </c>
      <c r="I375" s="44">
        <v>8</v>
      </c>
      <c r="J375" s="44">
        <v>1</v>
      </c>
      <c r="K375" s="44">
        <v>1</v>
      </c>
      <c r="L375" s="44">
        <v>0</v>
      </c>
      <c r="M375" s="43">
        <v>0.625</v>
      </c>
      <c r="N375" s="43">
        <v>0.64583333333333337</v>
      </c>
      <c r="O375" s="43">
        <f>1+18/24/60</f>
        <v>1.0125</v>
      </c>
      <c r="P375" s="43">
        <f>1+48/24/60</f>
        <v>1.0333333333333334</v>
      </c>
      <c r="Q375" s="39"/>
      <c r="R375" s="42"/>
      <c r="S375" s="29">
        <f>MIP[[#This Row],[PT-1]]+MIP[[#This Row],[PT-2]]*2+MIP[[#This Row],[PT-3]]*3+MIP[[#This Row],[PT &gt; 3 Pontos]]</f>
        <v>13</v>
      </c>
      <c r="T37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375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375" s="41">
        <f>MIP[[#This Row],[Eficiência]]</f>
        <v>0.94433005852842811</v>
      </c>
      <c r="W37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75" s="39">
        <f>IF(MIP[[#This Row],[P.S]]-MIP[[#This Row],[P.E]]&lt;0,1+MIP[[#This Row],[P.S]]-MIP[[#This Row],[P.E]]-1/24,MIP[[#This Row],[P.S]]-MIP[[#This Row],[P.E]]-1/24)</f>
        <v>0.36666666666666675</v>
      </c>
      <c r="Y375" s="39">
        <f>MIP[[#This Row],[PT-1]]*$S$3+MIP[[#This Row],[PT-2]]*$T$3+MIP[[#This Row],[PT-3]]*$U$3+MIP[[#This Row],[PT &gt; 3 Pontos]]*$V$3</f>
        <v>0.30690726902173904</v>
      </c>
      <c r="Z375" s="39">
        <f>MIP[[#This Row],[HH disponível]]-MIP[[#This Row],[HH AC TOT]]</f>
        <v>0.3249999999999999</v>
      </c>
      <c r="AA375" s="38">
        <f>MIP[[#This Row],[HH Produtivo
Total]]/MIP[[#This Row],[HH Trabalhado]]</f>
        <v>0.94433005852842811</v>
      </c>
      <c r="AB375" s="38">
        <f>MIP[[#This Row],[HH Produtivo
Total]]/MIP[[#This Row],[HH disponível]]</f>
        <v>0.83701982460474267</v>
      </c>
      <c r="AC375" s="38">
        <f>MIP[[#This Row],[HH Trabalhado]]/MIP[[#This Row],[HH disponível]]</f>
        <v>0.88636363636363591</v>
      </c>
      <c r="AD375" s="37" t="str">
        <f>LEFT(MIP[[#This Row],[Equipe]], SEARCH("/",MIP[[#This Row],[Equipe]],1)-1)</f>
        <v xml:space="preserve">ADEMÁRIO </v>
      </c>
      <c r="AE375" s="37" t="str">
        <f>RIGHT(MIP[[#This Row],[Equipe]], LEN(MIP[[#This Row],[Equipe]])-SEARCH("/",MIP[[#This Row],[Equipe]],1))</f>
        <v xml:space="preserve"> RONALDO</v>
      </c>
      <c r="AF375" s="44">
        <f>COUNTIFS('[1]Tempo parado'!H:H,"&gt;="&amp;MIP[[#This Row],[S.B Sitrack]],'[1]Tempo parado'!I:I,"&lt;="&amp;MIP[[#This Row],[C.B Sitrack]],'[1]Tempo parado'!B:B,MIP[[#This Row],[Placa]])</f>
        <v>0</v>
      </c>
      <c r="AG375" s="36"/>
      <c r="AH375" s="35"/>
      <c r="AI375" s="34"/>
      <c r="AJ375" s="34"/>
      <c r="AK37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7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75" s="32">
        <f>SUMIFS('[1]Tempo parado'!J:J,'[1]Tempo parado'!H:H,"&gt;="&amp;MIP[[#This Row],[S.B Sitrack]],'[1]Tempo parado'!I:I,"&lt;="&amp;MIP[[#This Row],[C.B Sitrack]],'[1]Tempo parado'!B:B,MIP[[#This Row],[Placa]])</f>
        <v>0</v>
      </c>
      <c r="AN375" s="32" t="str">
        <f>IFERROR(MIP[[#This Row],[Tempo parado]]/(MIP[[#This Row],[C.B Sitrack]]-MIP[[#This Row],[S.B Sitrack]]),"")</f>
        <v/>
      </c>
      <c r="AO375" s="30"/>
      <c r="AP375" s="44">
        <f>IF(AND(MIP[Exc]=0,MIP[Previsto / Realizado]="Realizado"),MIP[Sem],0)</f>
        <v>0</v>
      </c>
      <c r="AQ375" s="29">
        <f>IF(AND(MIP[Exc]=0,MIP[Previsto / Realizado]="Realizado",ISBLANK(MIP[[#This Row],[S.B Sitrack]])=FALSE,ISBLANK(MIP[[#This Row],[C.B Sitrack]])=FALSE),MIP[Sem],0)</f>
        <v>0</v>
      </c>
    </row>
    <row r="376" spans="1:43" s="64" customFormat="1" x14ac:dyDescent="0.25">
      <c r="A376" s="11"/>
      <c r="B376" s="44">
        <f>WEEKNUM(MIP[[#This Row],[Data]])</f>
        <v>33</v>
      </c>
      <c r="C376" s="45">
        <v>42961</v>
      </c>
      <c r="D376" s="45"/>
      <c r="E376" s="35" t="s">
        <v>19</v>
      </c>
      <c r="F376" s="35" t="s">
        <v>2</v>
      </c>
      <c r="G376" s="35"/>
      <c r="H376" s="44">
        <v>2</v>
      </c>
      <c r="I376" s="44">
        <v>10</v>
      </c>
      <c r="J376" s="44">
        <v>0</v>
      </c>
      <c r="K376" s="44">
        <v>0</v>
      </c>
      <c r="L376" s="44">
        <v>0</v>
      </c>
      <c r="M376" s="43">
        <v>0.64652777777777781</v>
      </c>
      <c r="N376" s="43">
        <v>0.66180555555555554</v>
      </c>
      <c r="O376" s="43">
        <v>0.94166666666666676</v>
      </c>
      <c r="P376" s="43">
        <f>1+51/24/60</f>
        <v>1.0354166666666667</v>
      </c>
      <c r="Q376" s="39">
        <f>17/24+3/24/60-MIP[[#This Row],[S.B]]</f>
        <v>4.861111111111116E-2</v>
      </c>
      <c r="R376" s="42" t="s">
        <v>327</v>
      </c>
      <c r="S376" s="29">
        <f>MIP[[#This Row],[PT-1]]+MIP[[#This Row],[PT-2]]*2+MIP[[#This Row],[PT-3]]*3+MIP[[#This Row],[PT &gt; 3 Pontos]]</f>
        <v>10</v>
      </c>
      <c r="T37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0.15763888888888877</v>
      </c>
      <c r="U376" s="39">
        <f>IF(MIP[[#This Row],[P.S]]-MIP[[#This Row],[U.P]]&gt;=0,MIP[[#This Row],[P.S]]-MIP[[#This Row],[U.P]]+MIP[[#This Row],[S.B]]-MIP[[#This Row],[P.E]],1+MIP[[#This Row],[P.S]]-MIP[[#This Row],[U.P]]+MIP[[#This Row],[S.B]]-MIP[[#This Row],[P.E]])</f>
        <v>0.10902777777777761</v>
      </c>
      <c r="V376" s="41">
        <f>MIP[[#This Row],[Eficiência]]</f>
        <v>1.320044991240642</v>
      </c>
      <c r="W37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76" s="39">
        <f>IF(MIP[[#This Row],[P.S]]-MIP[[#This Row],[P.E]]&lt;0,1+MIP[[#This Row],[P.S]]-MIP[[#This Row],[P.E]]-1/24,MIP[[#This Row],[P.S]]-MIP[[#This Row],[P.E]]-1/24)</f>
        <v>0.34722222222222215</v>
      </c>
      <c r="Y376" s="39">
        <f>MIP[[#This Row],[PT-1]]*$S$3+MIP[[#This Row],[PT-2]]*$T$3+MIP[[#This Row],[PT-3]]*$U$3+MIP[[#This Row],[PT &gt; 3 Pontos]]*$V$3</f>
        <v>0.25025852958937178</v>
      </c>
      <c r="Z376" s="39">
        <f>MIP[[#This Row],[HH disponível]]-MIP[[#This Row],[HH AC TOT]]</f>
        <v>0.18958333333333338</v>
      </c>
      <c r="AA376" s="38">
        <f>MIP[[#This Row],[HH Produtivo
Total]]/MIP[[#This Row],[HH Trabalhado]]</f>
        <v>1.320044991240642</v>
      </c>
      <c r="AB376" s="38">
        <f>MIP[[#This Row],[HH Produtivo
Total]]/MIP[[#This Row],[HH disponível]]</f>
        <v>0.72074456521739083</v>
      </c>
      <c r="AC376" s="38">
        <f>MIP[[#This Row],[HH Trabalhado]]/MIP[[#This Row],[HH disponível]]</f>
        <v>0.54600000000000026</v>
      </c>
      <c r="AD376" s="37" t="str">
        <f>LEFT(MIP[[#This Row],[Equipe]], SEARCH("/",MIP[[#This Row],[Equipe]],1)-1)</f>
        <v xml:space="preserve">ADEMÁRIO </v>
      </c>
      <c r="AE376" s="37" t="str">
        <f>RIGHT(MIP[[#This Row],[Equipe]], LEN(MIP[[#This Row],[Equipe]])-SEARCH("/",MIP[[#This Row],[Equipe]],1))</f>
        <v xml:space="preserve"> RONALDO</v>
      </c>
      <c r="AF376" s="44">
        <f>COUNTIFS('[1]Tempo parado'!H:H,"&gt;="&amp;MIP[[#This Row],[S.B Sitrack]],'[1]Tempo parado'!I:I,"&lt;="&amp;MIP[[#This Row],[C.B Sitrack]],'[1]Tempo parado'!B:B,MIP[[#This Row],[Placa]])</f>
        <v>0</v>
      </c>
      <c r="AG376" s="36"/>
      <c r="AH376" s="35"/>
      <c r="AI376" s="34"/>
      <c r="AJ376" s="34"/>
      <c r="AK37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7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76" s="32">
        <f>SUMIFS('[1]Tempo parado'!J:J,'[1]Tempo parado'!H:H,"&gt;="&amp;MIP[[#This Row],[S.B Sitrack]],'[1]Tempo parado'!I:I,"&lt;="&amp;MIP[[#This Row],[C.B Sitrack]],'[1]Tempo parado'!B:B,MIP[[#This Row],[Placa]])</f>
        <v>0</v>
      </c>
      <c r="AN376" s="32" t="str">
        <f>IFERROR(MIP[[#This Row],[Tempo parado]]/(MIP[[#This Row],[C.B Sitrack]]-MIP[[#This Row],[S.B Sitrack]]),"")</f>
        <v/>
      </c>
      <c r="AO376" s="30"/>
      <c r="AP376" s="44">
        <f>IF(AND(MIP[Exc]=0,MIP[Previsto / Realizado]="Realizado"),MIP[Sem],0)</f>
        <v>33</v>
      </c>
      <c r="AQ376" s="29">
        <f>IF(AND(MIP[Exc]=0,MIP[Previsto / Realizado]="Realizado",ISBLANK(MIP[[#This Row],[S.B Sitrack]])=FALSE,ISBLANK(MIP[[#This Row],[C.B Sitrack]])=FALSE),MIP[Sem],0)</f>
        <v>0</v>
      </c>
    </row>
    <row r="377" spans="1:43" s="47" customFormat="1" x14ac:dyDescent="0.25">
      <c r="A377" s="11"/>
      <c r="B377" s="44">
        <f>WEEKNUM(MIP[[#This Row],[Data]])</f>
        <v>33</v>
      </c>
      <c r="C377" s="45">
        <v>42962</v>
      </c>
      <c r="D377" s="45"/>
      <c r="E377" s="35" t="s">
        <v>10</v>
      </c>
      <c r="F377" s="35" t="s">
        <v>5</v>
      </c>
      <c r="G377" s="35"/>
      <c r="H377" s="44">
        <v>2</v>
      </c>
      <c r="I377" s="44">
        <v>4</v>
      </c>
      <c r="J377" s="44">
        <v>3</v>
      </c>
      <c r="K377" s="44">
        <v>2</v>
      </c>
      <c r="L377" s="44">
        <v>0</v>
      </c>
      <c r="M377" s="43">
        <v>0.25</v>
      </c>
      <c r="N377" s="43">
        <v>0.27083333333333331</v>
      </c>
      <c r="O377" s="43">
        <v>0.63750000000000007</v>
      </c>
      <c r="P377" s="43">
        <v>0.65833333333333333</v>
      </c>
      <c r="Q377" s="39"/>
      <c r="R377" s="42"/>
      <c r="S377" s="29">
        <f>MIP[[#This Row],[PT-1]]+MIP[[#This Row],[PT-2]]*2+MIP[[#This Row],[PT-3]]*3+MIP[[#This Row],[PT &gt; 3 Pontos]]</f>
        <v>16</v>
      </c>
      <c r="T37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377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377" s="41">
        <f>MIP[[#This Row],[Eficiência]]</f>
        <v>1.0997325188901272</v>
      </c>
      <c r="W37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77" s="39">
        <f>IF(MIP[[#This Row],[P.S]]-MIP[[#This Row],[P.E]]&lt;0,1+MIP[[#This Row],[P.S]]-MIP[[#This Row],[P.E]]-1/24,MIP[[#This Row],[P.S]]-MIP[[#This Row],[P.E]]-1/24)</f>
        <v>0.36666666666666664</v>
      </c>
      <c r="Y377" s="39">
        <f>MIP[[#This Row],[PT-1]]*$S$3+MIP[[#This Row],[PT-2]]*$T$3+MIP[[#This Row],[PT-3]]*$U$3+MIP[[#This Row],[PT &gt; 3 Pontos]]*$V$3</f>
        <v>0.35741306863929145</v>
      </c>
      <c r="Z377" s="39">
        <f>MIP[[#This Row],[HH disponível]]-MIP[[#This Row],[HH AC TOT]]</f>
        <v>0.32500000000000007</v>
      </c>
      <c r="AA377" s="38">
        <f>MIP[[#This Row],[HH Produtivo
Total]]/MIP[[#This Row],[HH Trabalhado]]</f>
        <v>1.0997325188901272</v>
      </c>
      <c r="AB377" s="38">
        <f>MIP[[#This Row],[HH Produtivo
Total]]/MIP[[#This Row],[HH disponível]]</f>
        <v>0.97476291447079499</v>
      </c>
      <c r="AC377" s="38">
        <f>MIP[[#This Row],[HH Trabalhado]]/MIP[[#This Row],[HH disponível]]</f>
        <v>0.88636363636363658</v>
      </c>
      <c r="AD377" s="37" t="str">
        <f>LEFT(MIP[[#This Row],[Equipe]], SEARCH("/",MIP[[#This Row],[Equipe]],1)-1)</f>
        <v xml:space="preserve">JOILSON </v>
      </c>
      <c r="AE377" s="37" t="str">
        <f>RIGHT(MIP[[#This Row],[Equipe]], LEN(MIP[[#This Row],[Equipe]])-SEARCH("/",MIP[[#This Row],[Equipe]],1))</f>
        <v xml:space="preserve"> VALDEI</v>
      </c>
      <c r="AF377" s="44">
        <f>COUNTIFS('[1]Tempo parado'!H:H,"&gt;="&amp;MIP[[#This Row],[S.B Sitrack]],'[1]Tempo parado'!I:I,"&lt;="&amp;MIP[[#This Row],[C.B Sitrack]],'[1]Tempo parado'!B:B,MIP[[#This Row],[Placa]])</f>
        <v>0</v>
      </c>
      <c r="AG377" s="36"/>
      <c r="AH377" s="35"/>
      <c r="AI377" s="34"/>
      <c r="AJ377" s="34"/>
      <c r="AK37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7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77" s="32">
        <f>SUMIFS('[1]Tempo parado'!J:J,'[1]Tempo parado'!H:H,"&gt;="&amp;MIP[[#This Row],[S.B Sitrack]],'[1]Tempo parado'!I:I,"&lt;="&amp;MIP[[#This Row],[C.B Sitrack]],'[1]Tempo parado'!B:B,MIP[[#This Row],[Placa]])</f>
        <v>0</v>
      </c>
      <c r="AN377" s="32" t="str">
        <f>IFERROR(MIP[[#This Row],[Tempo parado]]/(MIP[[#This Row],[C.B Sitrack]]-MIP[[#This Row],[S.B Sitrack]]),"")</f>
        <v/>
      </c>
      <c r="AO377" s="30"/>
      <c r="AP377" s="44">
        <f>IF(AND(MIP[Exc]=0,MIP[Previsto / Realizado]="Realizado"),MIP[Sem],0)</f>
        <v>0</v>
      </c>
      <c r="AQ377" s="29">
        <f>IF(AND(MIP[Exc]=0,MIP[Previsto / Realizado]="Realizado",ISBLANK(MIP[[#This Row],[S.B Sitrack]])=FALSE,ISBLANK(MIP[[#This Row],[C.B Sitrack]])=FALSE),MIP[Sem],0)</f>
        <v>0</v>
      </c>
    </row>
    <row r="378" spans="1:43" s="64" customFormat="1" x14ac:dyDescent="0.25">
      <c r="A378" s="11"/>
      <c r="B378" s="44">
        <f>WEEKNUM(MIP[[#This Row],[Data]])</f>
        <v>33</v>
      </c>
      <c r="C378" s="45">
        <v>42962</v>
      </c>
      <c r="D378" s="45"/>
      <c r="E378" s="35" t="s">
        <v>10</v>
      </c>
      <c r="F378" s="35" t="s">
        <v>2</v>
      </c>
      <c r="G378" s="35"/>
      <c r="H378" s="44">
        <v>2</v>
      </c>
      <c r="I378" s="44">
        <v>3</v>
      </c>
      <c r="J378" s="44">
        <v>3</v>
      </c>
      <c r="K378" s="44">
        <v>2</v>
      </c>
      <c r="L378" s="44">
        <v>0</v>
      </c>
      <c r="M378" s="43">
        <v>0.24374999999999999</v>
      </c>
      <c r="N378" s="43">
        <v>0.28125</v>
      </c>
      <c r="O378" s="43">
        <v>0.63888888888888895</v>
      </c>
      <c r="P378" s="43">
        <v>0.67152777777777783</v>
      </c>
      <c r="Q378" s="39"/>
      <c r="R378" s="42"/>
      <c r="S378" s="29">
        <f>MIP[[#This Row],[PT-1]]+MIP[[#This Row],[PT-2]]*2+MIP[[#This Row],[PT-3]]*3+MIP[[#This Row],[PT &gt; 3 Pontos]]</f>
        <v>15</v>
      </c>
      <c r="T37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7.013888888888889E-2</v>
      </c>
      <c r="U378" s="39">
        <f>IF(MIP[[#This Row],[P.S]]-MIP[[#This Row],[U.P]]&gt;=0,MIP[[#This Row],[P.S]]-MIP[[#This Row],[U.P]]+MIP[[#This Row],[S.B]]-MIP[[#This Row],[P.E]],1+MIP[[#This Row],[P.S]]-MIP[[#This Row],[U.P]]+MIP[[#This Row],[S.B]]-MIP[[#This Row],[P.E]])</f>
        <v>7.013888888888889E-2</v>
      </c>
      <c r="V378" s="41">
        <f>MIP[[#This Row],[Eficiência]]</f>
        <v>1.0519507485268356</v>
      </c>
      <c r="W37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78" s="39">
        <f>IF(MIP[[#This Row],[P.S]]-MIP[[#This Row],[P.E]]&lt;0,1+MIP[[#This Row],[P.S]]-MIP[[#This Row],[P.E]]-1/24,MIP[[#This Row],[P.S]]-MIP[[#This Row],[P.E]]-1/24)</f>
        <v>0.38611111111111113</v>
      </c>
      <c r="Y378" s="39">
        <f>MIP[[#This Row],[PT-1]]*$S$3+MIP[[#This Row],[PT-2]]*$T$3+MIP[[#This Row],[PT-3]]*$U$3+MIP[[#This Row],[PT &gt; 3 Pontos]]*$V$3</f>
        <v>0.33238721568035429</v>
      </c>
      <c r="Z378" s="39">
        <f>MIP[[#This Row],[HH disponível]]-MIP[[#This Row],[HH AC TOT]]</f>
        <v>0.31597222222222221</v>
      </c>
      <c r="AA378" s="38">
        <f>MIP[[#This Row],[HH Produtivo
Total]]/MIP[[#This Row],[HH Trabalhado]]</f>
        <v>1.0519507485268356</v>
      </c>
      <c r="AB378" s="38">
        <f>MIP[[#This Row],[HH Produtivo
Total]]/MIP[[#This Row],[HH disponível]]</f>
        <v>0.86085897586278803</v>
      </c>
      <c r="AC378" s="38">
        <f>MIP[[#This Row],[HH Trabalhado]]/MIP[[#This Row],[HH disponível]]</f>
        <v>0.8183453237410071</v>
      </c>
      <c r="AD378" s="37" t="str">
        <f>LEFT(MIP[[#This Row],[Equipe]], SEARCH("/",MIP[[#This Row],[Equipe]],1)-1)</f>
        <v xml:space="preserve">JOILSON </v>
      </c>
      <c r="AE378" s="37" t="str">
        <f>RIGHT(MIP[[#This Row],[Equipe]], LEN(MIP[[#This Row],[Equipe]])-SEARCH("/",MIP[[#This Row],[Equipe]],1))</f>
        <v xml:space="preserve"> VALDEI</v>
      </c>
      <c r="AF378" s="44">
        <f>COUNTIFS('[1]Tempo parado'!H:H,"&gt;="&amp;MIP[[#This Row],[S.B Sitrack]],'[1]Tempo parado'!I:I,"&lt;="&amp;MIP[[#This Row],[C.B Sitrack]],'[1]Tempo parado'!B:B,MIP[[#This Row],[Placa]])</f>
        <v>0</v>
      </c>
      <c r="AG378" s="36"/>
      <c r="AH378" s="35"/>
      <c r="AI378" s="34"/>
      <c r="AJ378" s="34"/>
      <c r="AK37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7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78" s="32">
        <f>SUMIFS('[1]Tempo parado'!J:J,'[1]Tempo parado'!H:H,"&gt;="&amp;MIP[[#This Row],[S.B Sitrack]],'[1]Tempo parado'!I:I,"&lt;="&amp;MIP[[#This Row],[C.B Sitrack]],'[1]Tempo parado'!B:B,MIP[[#This Row],[Placa]])</f>
        <v>0</v>
      </c>
      <c r="AN378" s="32" t="str">
        <f>IFERROR(MIP[[#This Row],[Tempo parado]]/(MIP[[#This Row],[C.B Sitrack]]-MIP[[#This Row],[S.B Sitrack]]),"")</f>
        <v/>
      </c>
      <c r="AO378" s="30"/>
      <c r="AP378" s="44">
        <f>IF(AND(MIP[Exc]=0,MIP[Previsto / Realizado]="Realizado"),MIP[Sem],0)</f>
        <v>33</v>
      </c>
      <c r="AQ378" s="29">
        <f>IF(AND(MIP[Exc]=0,MIP[Previsto / Realizado]="Realizado",ISBLANK(MIP[[#This Row],[S.B Sitrack]])=FALSE,ISBLANK(MIP[[#This Row],[C.B Sitrack]])=FALSE),MIP[Sem],0)</f>
        <v>0</v>
      </c>
    </row>
    <row r="379" spans="1:43" s="47" customFormat="1" x14ac:dyDescent="0.25">
      <c r="A379" s="11"/>
      <c r="B379" s="44">
        <f>WEEKNUM(MIP[[#This Row],[Data]])</f>
        <v>33</v>
      </c>
      <c r="C379" s="45">
        <v>42962</v>
      </c>
      <c r="D379" s="45"/>
      <c r="E379" s="35" t="s">
        <v>326</v>
      </c>
      <c r="F379" s="35" t="s">
        <v>5</v>
      </c>
      <c r="G379" s="35"/>
      <c r="H379" s="44">
        <v>2</v>
      </c>
      <c r="I379" s="44">
        <v>3</v>
      </c>
      <c r="J379" s="44">
        <v>3</v>
      </c>
      <c r="K379" s="44">
        <v>0</v>
      </c>
      <c r="L379" s="44">
        <v>0</v>
      </c>
      <c r="M379" s="43">
        <v>0.625</v>
      </c>
      <c r="N379" s="43">
        <v>0.64583333333333337</v>
      </c>
      <c r="O379" s="43">
        <f>1+18/24/60</f>
        <v>1.0125</v>
      </c>
      <c r="P379" s="43">
        <f>1+48/24/60</f>
        <v>1.0333333333333334</v>
      </c>
      <c r="Q379" s="39"/>
      <c r="R379" s="42"/>
      <c r="S379" s="29">
        <f>MIP[[#This Row],[PT-1]]+MIP[[#This Row],[PT-2]]*2+MIP[[#This Row],[PT-3]]*3+MIP[[#This Row],[PT &gt; 3 Pontos]]</f>
        <v>9</v>
      </c>
      <c r="T37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379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379" s="41">
        <f>MIP[[#This Row],[Eficiência]]</f>
        <v>0.63631956057227812</v>
      </c>
      <c r="W37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79" s="39">
        <f>IF(MIP[[#This Row],[P.S]]-MIP[[#This Row],[P.E]]&lt;0,1+MIP[[#This Row],[P.S]]-MIP[[#This Row],[P.E]]-1/24,MIP[[#This Row],[P.S]]-MIP[[#This Row],[P.E]]-1/24)</f>
        <v>0.36666666666666675</v>
      </c>
      <c r="Y379" s="39">
        <f>MIP[[#This Row],[PT-1]]*$S$3+MIP[[#This Row],[PT-2]]*$T$3+MIP[[#This Row],[PT-3]]*$U$3+MIP[[#This Row],[PT &gt; 3 Pontos]]*$V$3</f>
        <v>0.20680385718599031</v>
      </c>
      <c r="Z379" s="39">
        <f>MIP[[#This Row],[HH disponível]]-MIP[[#This Row],[HH AC TOT]]</f>
        <v>0.3249999999999999</v>
      </c>
      <c r="AA379" s="38">
        <f>MIP[[#This Row],[HH Produtivo
Total]]/MIP[[#This Row],[HH Trabalhado]]</f>
        <v>0.63631956057227812</v>
      </c>
      <c r="AB379" s="38">
        <f>MIP[[#This Row],[HH Produtivo
Total]]/MIP[[#This Row],[HH disponível]]</f>
        <v>0.56401051959815529</v>
      </c>
      <c r="AC379" s="38">
        <f>MIP[[#This Row],[HH Trabalhado]]/MIP[[#This Row],[HH disponível]]</f>
        <v>0.88636363636363591</v>
      </c>
      <c r="AD379" s="37" t="str">
        <f>LEFT(MIP[[#This Row],[Equipe]], SEARCH("/",MIP[[#This Row],[Equipe]],1)-1)</f>
        <v xml:space="preserve">ANDERSON </v>
      </c>
      <c r="AE379" s="37" t="str">
        <f>RIGHT(MIP[[#This Row],[Equipe]], LEN(MIP[[#This Row],[Equipe]])-SEARCH("/",MIP[[#This Row],[Equipe]],1))</f>
        <v xml:space="preserve"> GECIVALDO</v>
      </c>
      <c r="AF379" s="44">
        <f>COUNTIFS('[1]Tempo parado'!H:H,"&gt;="&amp;MIP[[#This Row],[S.B Sitrack]],'[1]Tempo parado'!I:I,"&lt;="&amp;MIP[[#This Row],[C.B Sitrack]],'[1]Tempo parado'!B:B,MIP[[#This Row],[Placa]])</f>
        <v>0</v>
      </c>
      <c r="AG379" s="36"/>
      <c r="AH379" s="35"/>
      <c r="AI379" s="34"/>
      <c r="AJ379" s="34"/>
      <c r="AK37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7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79" s="32">
        <f>SUMIFS('[1]Tempo parado'!J:J,'[1]Tempo parado'!H:H,"&gt;="&amp;MIP[[#This Row],[S.B Sitrack]],'[1]Tempo parado'!I:I,"&lt;="&amp;MIP[[#This Row],[C.B Sitrack]],'[1]Tempo parado'!B:B,MIP[[#This Row],[Placa]])</f>
        <v>0</v>
      </c>
      <c r="AN379" s="32" t="str">
        <f>IFERROR(MIP[[#This Row],[Tempo parado]]/(MIP[[#This Row],[C.B Sitrack]]-MIP[[#This Row],[S.B Sitrack]]),"")</f>
        <v/>
      </c>
      <c r="AO379" s="30"/>
      <c r="AP379" s="44">
        <f>IF(AND(MIP[Exc]=0,MIP[Previsto / Realizado]="Realizado"),MIP[Sem],0)</f>
        <v>0</v>
      </c>
      <c r="AQ379" s="29">
        <f>IF(AND(MIP[Exc]=0,MIP[Previsto / Realizado]="Realizado",ISBLANK(MIP[[#This Row],[S.B Sitrack]])=FALSE,ISBLANK(MIP[[#This Row],[C.B Sitrack]])=FALSE),MIP[Sem],0)</f>
        <v>0</v>
      </c>
    </row>
    <row r="380" spans="1:43" s="64" customFormat="1" x14ac:dyDescent="0.25">
      <c r="A380" s="11"/>
      <c r="B380" s="44">
        <f>WEEKNUM(MIP[[#This Row],[Data]])</f>
        <v>33</v>
      </c>
      <c r="C380" s="45">
        <v>42962</v>
      </c>
      <c r="D380" s="45"/>
      <c r="E380" s="35" t="s">
        <v>326</v>
      </c>
      <c r="F380" s="35" t="s">
        <v>2</v>
      </c>
      <c r="G380" s="35"/>
      <c r="H380" s="44">
        <v>2</v>
      </c>
      <c r="I380" s="44">
        <v>3</v>
      </c>
      <c r="J380" s="44">
        <v>3</v>
      </c>
      <c r="K380" s="44">
        <v>0</v>
      </c>
      <c r="L380" s="44">
        <v>4</v>
      </c>
      <c r="M380" s="43">
        <v>0.61944444444444446</v>
      </c>
      <c r="N380" s="43">
        <v>0.65972222222222221</v>
      </c>
      <c r="O380" s="43">
        <v>0.99513888888888891</v>
      </c>
      <c r="P380" s="43">
        <f>1+52/24/60</f>
        <v>1.0361111111111112</v>
      </c>
      <c r="Q380" s="39"/>
      <c r="R380" s="42" t="s">
        <v>325</v>
      </c>
      <c r="S380" s="29">
        <f>MIP[[#This Row],[PT-1]]+MIP[[#This Row],[PT-2]]*2+MIP[[#This Row],[PT-3]]*3+MIP[[#This Row],[PT &gt; 3 Pontos]]</f>
        <v>13</v>
      </c>
      <c r="T38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8.1250000000000044E-2</v>
      </c>
      <c r="U380" s="39">
        <f>IF(MIP[[#This Row],[P.S]]-MIP[[#This Row],[U.P]]&gt;=0,MIP[[#This Row],[P.S]]-MIP[[#This Row],[U.P]]+MIP[[#This Row],[S.B]]-MIP[[#This Row],[P.E]],1+MIP[[#This Row],[P.S]]-MIP[[#This Row],[U.P]]+MIP[[#This Row],[S.B]]-MIP[[#This Row],[P.E]])</f>
        <v>8.1250000000000044E-2</v>
      </c>
      <c r="V380" s="41">
        <f>MIP[[#This Row],[Eficiência]]</f>
        <v>0.97973072581781095</v>
      </c>
      <c r="W38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80" s="39">
        <f>IF(MIP[[#This Row],[P.S]]-MIP[[#This Row],[P.E]]&lt;0,1+MIP[[#This Row],[P.S]]-MIP[[#This Row],[P.E]]-1/24,MIP[[#This Row],[P.S]]-MIP[[#This Row],[P.E]]-1/24)</f>
        <v>0.37500000000000006</v>
      </c>
      <c r="Y380" s="39">
        <f>MIP[[#This Row],[PT-1]]*$S$3+MIP[[#This Row],[PT-2]]*$T$3+MIP[[#This Row],[PT-3]]*$U$3+MIP[[#This Row],[PT &gt; 3 Pontos]]*$V$3</f>
        <v>0.28779590070898198</v>
      </c>
      <c r="Z380" s="39">
        <f>MIP[[#This Row],[HH disponível]]-MIP[[#This Row],[HH AC TOT]]</f>
        <v>0.29375000000000001</v>
      </c>
      <c r="AA380" s="38">
        <f>MIP[[#This Row],[HH Produtivo
Total]]/MIP[[#This Row],[HH Trabalhado]]</f>
        <v>0.97973072581781095</v>
      </c>
      <c r="AB380" s="38">
        <f>MIP[[#This Row],[HH Produtivo
Total]]/MIP[[#This Row],[HH disponível]]</f>
        <v>0.76745573522395183</v>
      </c>
      <c r="AC380" s="38">
        <f>MIP[[#This Row],[HH Trabalhado]]/MIP[[#This Row],[HH disponível]]</f>
        <v>0.78333333333333321</v>
      </c>
      <c r="AD380" s="37" t="str">
        <f>LEFT(MIP[[#This Row],[Equipe]], SEARCH("/",MIP[[#This Row],[Equipe]],1)-1)</f>
        <v xml:space="preserve">ANDERSON </v>
      </c>
      <c r="AE380" s="37" t="str">
        <f>RIGHT(MIP[[#This Row],[Equipe]], LEN(MIP[[#This Row],[Equipe]])-SEARCH("/",MIP[[#This Row],[Equipe]],1))</f>
        <v xml:space="preserve"> GECIVALDO</v>
      </c>
      <c r="AF380" s="44">
        <f>COUNTIFS('[1]Tempo parado'!H:H,"&gt;="&amp;MIP[[#This Row],[S.B Sitrack]],'[1]Tempo parado'!I:I,"&lt;="&amp;MIP[[#This Row],[C.B Sitrack]],'[1]Tempo parado'!B:B,MIP[[#This Row],[Placa]])</f>
        <v>0</v>
      </c>
      <c r="AG380" s="36"/>
      <c r="AH380" s="35"/>
      <c r="AI380" s="34"/>
      <c r="AJ380" s="34"/>
      <c r="AK38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8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80" s="32">
        <f>SUMIFS('[1]Tempo parado'!J:J,'[1]Tempo parado'!H:H,"&gt;="&amp;MIP[[#This Row],[S.B Sitrack]],'[1]Tempo parado'!I:I,"&lt;="&amp;MIP[[#This Row],[C.B Sitrack]],'[1]Tempo parado'!B:B,MIP[[#This Row],[Placa]])</f>
        <v>0</v>
      </c>
      <c r="AN380" s="32" t="str">
        <f>IFERROR(MIP[[#This Row],[Tempo parado]]/(MIP[[#This Row],[C.B Sitrack]]-MIP[[#This Row],[S.B Sitrack]]),"")</f>
        <v/>
      </c>
      <c r="AO380" s="30"/>
      <c r="AP380" s="44">
        <f>IF(AND(MIP[Exc]=0,MIP[Previsto / Realizado]="Realizado"),MIP[Sem],0)</f>
        <v>33</v>
      </c>
      <c r="AQ380" s="29">
        <f>IF(AND(MIP[Exc]=0,MIP[Previsto / Realizado]="Realizado",ISBLANK(MIP[[#This Row],[S.B Sitrack]])=FALSE,ISBLANK(MIP[[#This Row],[C.B Sitrack]])=FALSE),MIP[Sem],0)</f>
        <v>0</v>
      </c>
    </row>
    <row r="381" spans="1:43" s="47" customFormat="1" x14ac:dyDescent="0.25">
      <c r="A381" s="11"/>
      <c r="B381" s="44">
        <f>WEEKNUM(MIP[[#This Row],[Data]])</f>
        <v>33</v>
      </c>
      <c r="C381" s="45">
        <v>42962</v>
      </c>
      <c r="D381" s="45"/>
      <c r="E381" s="35" t="s">
        <v>19</v>
      </c>
      <c r="F381" s="35" t="s">
        <v>5</v>
      </c>
      <c r="G381" s="35"/>
      <c r="H381" s="44">
        <v>2</v>
      </c>
      <c r="I381" s="44">
        <v>2</v>
      </c>
      <c r="J381" s="44">
        <v>1</v>
      </c>
      <c r="K381" s="44">
        <v>0</v>
      </c>
      <c r="L381" s="44">
        <v>0</v>
      </c>
      <c r="M381" s="43">
        <v>0.625</v>
      </c>
      <c r="N381" s="43">
        <v>0.64583333333333337</v>
      </c>
      <c r="O381" s="43">
        <f>1+18/24/60</f>
        <v>1.0125</v>
      </c>
      <c r="P381" s="43">
        <f>1+48/24/60</f>
        <v>1.0333333333333334</v>
      </c>
      <c r="Q381" s="39"/>
      <c r="R381" s="42"/>
      <c r="S381" s="29">
        <f>MIP[[#This Row],[PT-1]]+MIP[[#This Row],[PT-2]]*2+MIP[[#This Row],[PT-3]]*3+MIP[[#This Row],[PT &gt; 3 Pontos]]</f>
        <v>4</v>
      </c>
      <c r="T38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381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381" s="41">
        <f>MIP[[#This Row],[Eficiência]]</f>
        <v>0.28910914467979681</v>
      </c>
      <c r="W38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81" s="39">
        <f>IF(MIP[[#This Row],[P.S]]-MIP[[#This Row],[P.E]]&lt;0,1+MIP[[#This Row],[P.S]]-MIP[[#This Row],[P.E]]-1/24,MIP[[#This Row],[P.S]]-MIP[[#This Row],[P.E]]-1/24)</f>
        <v>0.36666666666666675</v>
      </c>
      <c r="Y381" s="39">
        <f>MIP[[#This Row],[PT-1]]*$S$3+MIP[[#This Row],[PT-2]]*$T$3+MIP[[#This Row],[PT-3]]*$U$3+MIP[[#This Row],[PT &gt; 3 Pontos]]*$V$3</f>
        <v>9.3960472020933938E-2</v>
      </c>
      <c r="Z381" s="39">
        <f>MIP[[#This Row],[HH disponível]]-MIP[[#This Row],[HH AC TOT]]</f>
        <v>0.3249999999999999</v>
      </c>
      <c r="AA381" s="38">
        <f>MIP[[#This Row],[HH Produtivo
Total]]/MIP[[#This Row],[HH Trabalhado]]</f>
        <v>0.28910914467979681</v>
      </c>
      <c r="AB381" s="38">
        <f>MIP[[#This Row],[HH Produtivo
Total]]/MIP[[#This Row],[HH disponível]]</f>
        <v>0.2562558327843652</v>
      </c>
      <c r="AC381" s="38">
        <f>MIP[[#This Row],[HH Trabalhado]]/MIP[[#This Row],[HH disponível]]</f>
        <v>0.88636363636363591</v>
      </c>
      <c r="AD381" s="37" t="str">
        <f>LEFT(MIP[[#This Row],[Equipe]], SEARCH("/",MIP[[#This Row],[Equipe]],1)-1)</f>
        <v xml:space="preserve">ADEMÁRIO </v>
      </c>
      <c r="AE381" s="37" t="str">
        <f>RIGHT(MIP[[#This Row],[Equipe]], LEN(MIP[[#This Row],[Equipe]])-SEARCH("/",MIP[[#This Row],[Equipe]],1))</f>
        <v xml:space="preserve"> RONALDO</v>
      </c>
      <c r="AF381" s="44">
        <f>COUNTIFS('[1]Tempo parado'!H:H,"&gt;="&amp;MIP[[#This Row],[S.B Sitrack]],'[1]Tempo parado'!I:I,"&lt;="&amp;MIP[[#This Row],[C.B Sitrack]],'[1]Tempo parado'!B:B,MIP[[#This Row],[Placa]])</f>
        <v>0</v>
      </c>
      <c r="AG381" s="36"/>
      <c r="AH381" s="35"/>
      <c r="AI381" s="34"/>
      <c r="AJ381" s="34"/>
      <c r="AK38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8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81" s="32">
        <f>SUMIFS('[1]Tempo parado'!J:J,'[1]Tempo parado'!H:H,"&gt;="&amp;MIP[[#This Row],[S.B Sitrack]],'[1]Tempo parado'!I:I,"&lt;="&amp;MIP[[#This Row],[C.B Sitrack]],'[1]Tempo parado'!B:B,MIP[[#This Row],[Placa]])</f>
        <v>0</v>
      </c>
      <c r="AN381" s="32" t="str">
        <f>IFERROR(MIP[[#This Row],[Tempo parado]]/(MIP[[#This Row],[C.B Sitrack]]-MIP[[#This Row],[S.B Sitrack]]),"")</f>
        <v/>
      </c>
      <c r="AO381" s="30"/>
      <c r="AP381" s="44">
        <f>IF(AND(MIP[Exc]=0,MIP[Previsto / Realizado]="Realizado"),MIP[Sem],0)</f>
        <v>0</v>
      </c>
      <c r="AQ381" s="29">
        <f>IF(AND(MIP[Exc]=0,MIP[Previsto / Realizado]="Realizado",ISBLANK(MIP[[#This Row],[S.B Sitrack]])=FALSE,ISBLANK(MIP[[#This Row],[C.B Sitrack]])=FALSE),MIP[Sem],0)</f>
        <v>0</v>
      </c>
    </row>
    <row r="382" spans="1:43" s="64" customFormat="1" x14ac:dyDescent="0.25">
      <c r="A382" s="11"/>
      <c r="B382" s="44">
        <f>WEEKNUM(MIP[[#This Row],[Data]])</f>
        <v>33</v>
      </c>
      <c r="C382" s="45">
        <v>42962</v>
      </c>
      <c r="D382" s="45"/>
      <c r="E382" s="35" t="s">
        <v>19</v>
      </c>
      <c r="F382" s="35" t="s">
        <v>2</v>
      </c>
      <c r="G382" s="35"/>
      <c r="H382" s="44">
        <v>2</v>
      </c>
      <c r="I382" s="44">
        <v>4</v>
      </c>
      <c r="J382" s="44">
        <v>1</v>
      </c>
      <c r="K382" s="44">
        <v>0</v>
      </c>
      <c r="L382" s="44">
        <v>0</v>
      </c>
      <c r="M382" s="43">
        <v>0.65277777777777779</v>
      </c>
      <c r="N382" s="43">
        <v>0.68611111111111101</v>
      </c>
      <c r="O382" s="43">
        <v>0.91666666666666663</v>
      </c>
      <c r="P382" s="43">
        <f>1+55/24/60</f>
        <v>1.0381944444444444</v>
      </c>
      <c r="Q382" s="39"/>
      <c r="R382" s="42" t="s">
        <v>324</v>
      </c>
      <c r="S382" s="29">
        <f>MIP[[#This Row],[PT-1]]+MIP[[#This Row],[PT-2]]*2+MIP[[#This Row],[PT-3]]*3+MIP[[#This Row],[PT &gt; 3 Pontos]]</f>
        <v>6</v>
      </c>
      <c r="T38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0.15486111111111101</v>
      </c>
      <c r="U382" s="39">
        <f>IF(MIP[[#This Row],[P.S]]-MIP[[#This Row],[U.P]]&gt;=0,MIP[[#This Row],[P.S]]-MIP[[#This Row],[U.P]]+MIP[[#This Row],[S.B]]-MIP[[#This Row],[P.E]],1+MIP[[#This Row],[P.S]]-MIP[[#This Row],[U.P]]+MIP[[#This Row],[S.B]]-MIP[[#This Row],[P.E]])</f>
        <v>0.15486111111111101</v>
      </c>
      <c r="V382" s="41">
        <f>MIP[[#This Row],[Eficiência]]</f>
        <v>0.76241741261722018</v>
      </c>
      <c r="W38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82" s="39">
        <f>IF(MIP[[#This Row],[P.S]]-MIP[[#This Row],[P.E]]&lt;0,1+MIP[[#This Row],[P.S]]-MIP[[#This Row],[P.E]]-1/24,MIP[[#This Row],[P.S]]-MIP[[#This Row],[P.E]]-1/24)</f>
        <v>0.34374999999999994</v>
      </c>
      <c r="Y382" s="39">
        <f>MIP[[#This Row],[PT-1]]*$S$3+MIP[[#This Row],[PT-2]]*$T$3+MIP[[#This Row],[PT-3]]*$U$3+MIP[[#This Row],[PT &gt; 3 Pontos]]*$V$3</f>
        <v>0.1440121779388083</v>
      </c>
      <c r="Z382" s="39">
        <f>MIP[[#This Row],[HH disponível]]-MIP[[#This Row],[HH AC TOT]]</f>
        <v>0.18888888888888894</v>
      </c>
      <c r="AA382" s="38">
        <f>MIP[[#This Row],[HH Produtivo
Total]]/MIP[[#This Row],[HH Trabalhado]]</f>
        <v>0.76241741261722018</v>
      </c>
      <c r="AB382" s="38">
        <f>MIP[[#This Row],[HH Produtivo
Total]]/MIP[[#This Row],[HH disponível]]</f>
        <v>0.41894451764016966</v>
      </c>
      <c r="AC382" s="38">
        <f>MIP[[#This Row],[HH Trabalhado]]/MIP[[#This Row],[HH disponível]]</f>
        <v>0.5494949494949497</v>
      </c>
      <c r="AD382" s="37" t="str">
        <f>LEFT(MIP[[#This Row],[Equipe]], SEARCH("/",MIP[[#This Row],[Equipe]],1)-1)</f>
        <v xml:space="preserve">ADEMÁRIO </v>
      </c>
      <c r="AE382" s="37" t="str">
        <f>RIGHT(MIP[[#This Row],[Equipe]], LEN(MIP[[#This Row],[Equipe]])-SEARCH("/",MIP[[#This Row],[Equipe]],1))</f>
        <v xml:space="preserve"> RONALDO</v>
      </c>
      <c r="AF382" s="44">
        <f>COUNTIFS('[1]Tempo parado'!H:H,"&gt;="&amp;MIP[[#This Row],[S.B Sitrack]],'[1]Tempo parado'!I:I,"&lt;="&amp;MIP[[#This Row],[C.B Sitrack]],'[1]Tempo parado'!B:B,MIP[[#This Row],[Placa]])</f>
        <v>0</v>
      </c>
      <c r="AG382" s="36"/>
      <c r="AH382" s="35"/>
      <c r="AI382" s="34"/>
      <c r="AJ382" s="34"/>
      <c r="AK38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8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82" s="32">
        <f>SUMIFS('[1]Tempo parado'!J:J,'[1]Tempo parado'!H:H,"&gt;="&amp;MIP[[#This Row],[S.B Sitrack]],'[1]Tempo parado'!I:I,"&lt;="&amp;MIP[[#This Row],[C.B Sitrack]],'[1]Tempo parado'!B:B,MIP[[#This Row],[Placa]])</f>
        <v>0</v>
      </c>
      <c r="AN382" s="32" t="str">
        <f>IFERROR(MIP[[#This Row],[Tempo parado]]/(MIP[[#This Row],[C.B Sitrack]]-MIP[[#This Row],[S.B Sitrack]]),"")</f>
        <v/>
      </c>
      <c r="AO382" s="30"/>
      <c r="AP382" s="44">
        <f>IF(AND(MIP[Exc]=0,MIP[Previsto / Realizado]="Realizado"),MIP[Sem],0)</f>
        <v>33</v>
      </c>
      <c r="AQ382" s="29">
        <f>IF(AND(MIP[Exc]=0,MIP[Previsto / Realizado]="Realizado",ISBLANK(MIP[[#This Row],[S.B Sitrack]])=FALSE,ISBLANK(MIP[[#This Row],[C.B Sitrack]])=FALSE),MIP[Sem],0)</f>
        <v>0</v>
      </c>
    </row>
    <row r="383" spans="1:43" s="47" customFormat="1" x14ac:dyDescent="0.25">
      <c r="A383" s="11"/>
      <c r="B383" s="44">
        <f>WEEKNUM(MIP[[#This Row],[Data]])</f>
        <v>33</v>
      </c>
      <c r="C383" s="45">
        <v>42963</v>
      </c>
      <c r="D383" s="45"/>
      <c r="E383" s="35" t="s">
        <v>3</v>
      </c>
      <c r="F383" s="35" t="s">
        <v>5</v>
      </c>
      <c r="G383" s="35"/>
      <c r="H383" s="44">
        <v>2</v>
      </c>
      <c r="I383" s="44">
        <v>1</v>
      </c>
      <c r="J383" s="44">
        <v>0</v>
      </c>
      <c r="K383" s="44">
        <v>0</v>
      </c>
      <c r="L383" s="44">
        <v>0</v>
      </c>
      <c r="M383" s="43">
        <v>0.625</v>
      </c>
      <c r="N383" s="43">
        <v>0.64583333333333337</v>
      </c>
      <c r="O383" s="43">
        <f>1+18/24/60</f>
        <v>1.0125</v>
      </c>
      <c r="P383" s="43">
        <f>1+48/24/60</f>
        <v>1.0333333333333334</v>
      </c>
      <c r="Q383" s="39"/>
      <c r="R383" s="42"/>
      <c r="S383" s="29">
        <f>MIP[[#This Row],[PT-1]]+MIP[[#This Row],[PT-2]]*2+MIP[[#This Row],[PT-3]]*3+MIP[[#This Row],[PT &gt; 3 Pontos]]</f>
        <v>1</v>
      </c>
      <c r="T38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383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383" s="41">
        <f>MIP[[#This Row],[Eficiência]]</f>
        <v>7.7002624489037497E-2</v>
      </c>
      <c r="W38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83" s="39">
        <f>IF(MIP[[#This Row],[P.S]]-MIP[[#This Row],[P.E]]&lt;0,1+MIP[[#This Row],[P.S]]-MIP[[#This Row],[P.E]]-1/24,MIP[[#This Row],[P.S]]-MIP[[#This Row],[P.E]]-1/24)</f>
        <v>0.36666666666666675</v>
      </c>
      <c r="Y383" s="39">
        <f>MIP[[#This Row],[PT-1]]*$S$3+MIP[[#This Row],[PT-2]]*$T$3+MIP[[#This Row],[PT-3]]*$U$3+MIP[[#This Row],[PT &gt; 3 Pontos]]*$V$3</f>
        <v>2.5025852958937181E-2</v>
      </c>
      <c r="Z383" s="39">
        <f>MIP[[#This Row],[HH disponível]]-MIP[[#This Row],[HH AC TOT]]</f>
        <v>0.3249999999999999</v>
      </c>
      <c r="AA383" s="38">
        <f>MIP[[#This Row],[HH Produtivo
Total]]/MIP[[#This Row],[HH Trabalhado]]</f>
        <v>7.7002624489037497E-2</v>
      </c>
      <c r="AB383" s="38">
        <f>MIP[[#This Row],[HH Produtivo
Total]]/MIP[[#This Row],[HH disponível]]</f>
        <v>6.8252326251646844E-2</v>
      </c>
      <c r="AC383" s="38">
        <f>MIP[[#This Row],[HH Trabalhado]]/MIP[[#This Row],[HH disponível]]</f>
        <v>0.88636363636363591</v>
      </c>
      <c r="AD383" s="37" t="str">
        <f>LEFT(MIP[[#This Row],[Equipe]], SEARCH("/",MIP[[#This Row],[Equipe]],1)-1)</f>
        <v xml:space="preserve">EDILTON </v>
      </c>
      <c r="AE383" s="37" t="str">
        <f>RIGHT(MIP[[#This Row],[Equipe]], LEN(MIP[[#This Row],[Equipe]])-SEARCH("/",MIP[[#This Row],[Equipe]],1))</f>
        <v xml:space="preserve"> GECIVALDO</v>
      </c>
      <c r="AF383" s="44">
        <f>COUNTIFS('[1]Tempo parado'!H:H,"&gt;="&amp;MIP[[#This Row],[S.B Sitrack]],'[1]Tempo parado'!I:I,"&lt;="&amp;MIP[[#This Row],[C.B Sitrack]],'[1]Tempo parado'!B:B,MIP[[#This Row],[Placa]])</f>
        <v>0</v>
      </c>
      <c r="AG383" s="36"/>
      <c r="AH383" s="35"/>
      <c r="AI383" s="34"/>
      <c r="AJ383" s="34"/>
      <c r="AK38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8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83" s="32">
        <f>SUMIFS('[1]Tempo parado'!J:J,'[1]Tempo parado'!H:H,"&gt;="&amp;MIP[[#This Row],[S.B Sitrack]],'[1]Tempo parado'!I:I,"&lt;="&amp;MIP[[#This Row],[C.B Sitrack]],'[1]Tempo parado'!B:B,MIP[[#This Row],[Placa]])</f>
        <v>0</v>
      </c>
      <c r="AN383" s="32" t="str">
        <f>IFERROR(MIP[[#This Row],[Tempo parado]]/(MIP[[#This Row],[C.B Sitrack]]-MIP[[#This Row],[S.B Sitrack]]),"")</f>
        <v/>
      </c>
      <c r="AO383" s="30"/>
      <c r="AP383" s="44">
        <f>IF(AND(MIP[Exc]=0,MIP[Previsto / Realizado]="Realizado"),MIP[Sem],0)</f>
        <v>0</v>
      </c>
      <c r="AQ383" s="29">
        <f>IF(AND(MIP[Exc]=0,MIP[Previsto / Realizado]="Realizado",ISBLANK(MIP[[#This Row],[S.B Sitrack]])=FALSE,ISBLANK(MIP[[#This Row],[C.B Sitrack]])=FALSE),MIP[Sem],0)</f>
        <v>0</v>
      </c>
    </row>
    <row r="384" spans="1:43" s="64" customFormat="1" x14ac:dyDescent="0.25">
      <c r="A384" s="11"/>
      <c r="B384" s="44">
        <f>WEEKNUM(MIP[[#This Row],[Data]])</f>
        <v>33</v>
      </c>
      <c r="C384" s="45">
        <v>42963</v>
      </c>
      <c r="D384" s="45"/>
      <c r="E384" s="35" t="s">
        <v>3</v>
      </c>
      <c r="F384" s="35" t="s">
        <v>2</v>
      </c>
      <c r="G384" s="35"/>
      <c r="H384" s="44">
        <v>2</v>
      </c>
      <c r="I384" s="44">
        <v>7</v>
      </c>
      <c r="J384" s="44">
        <v>1</v>
      </c>
      <c r="K384" s="44">
        <v>0</v>
      </c>
      <c r="L384" s="44">
        <v>6</v>
      </c>
      <c r="M384" s="43">
        <v>0.625</v>
      </c>
      <c r="N384" s="43">
        <v>0.66319444444444442</v>
      </c>
      <c r="O384" s="43">
        <v>0.94791666666666663</v>
      </c>
      <c r="P384" s="43">
        <f>1+52/24/60</f>
        <v>1.0361111111111112</v>
      </c>
      <c r="Q384" s="39"/>
      <c r="R384" s="42" t="s">
        <v>323</v>
      </c>
      <c r="S384" s="29">
        <f>MIP[[#This Row],[PT-1]]+MIP[[#This Row],[PT-2]]*2+MIP[[#This Row],[PT-3]]*3+MIP[[#This Row],[PT &gt; 3 Pontos]]</f>
        <v>15</v>
      </c>
      <c r="T38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0.12638888888888899</v>
      </c>
      <c r="U384" s="39">
        <f>IF(MIP[[#This Row],[P.S]]-MIP[[#This Row],[U.P]]&gt;=0,MIP[[#This Row],[P.S]]-MIP[[#This Row],[U.P]]+MIP[[#This Row],[S.B]]-MIP[[#This Row],[P.E]],1+MIP[[#This Row],[P.S]]-MIP[[#This Row],[U.P]]+MIP[[#This Row],[S.B]]-MIP[[#This Row],[P.E]])</f>
        <v>0.12638888888888899</v>
      </c>
      <c r="V384" s="41">
        <f>MIP[[#This Row],[Eficiência]]</f>
        <v>1.4012343857832987</v>
      </c>
      <c r="W38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84" s="39">
        <f>IF(MIP[[#This Row],[P.S]]-MIP[[#This Row],[P.E]]&lt;0,1+MIP[[#This Row],[P.S]]-MIP[[#This Row],[P.E]]-1/24,MIP[[#This Row],[P.S]]-MIP[[#This Row],[P.E]]-1/24)</f>
        <v>0.36944444444444452</v>
      </c>
      <c r="Y384" s="39">
        <f>MIP[[#This Row],[PT-1]]*$S$3+MIP[[#This Row],[PT-2]]*$T$3+MIP[[#This Row],[PT-3]]*$U$3+MIP[[#This Row],[PT &gt; 3 Pontos]]*$V$3</f>
        <v>0.3405778021001073</v>
      </c>
      <c r="Z384" s="39">
        <f>MIP[[#This Row],[HH disponível]]-MIP[[#This Row],[HH AC TOT]]</f>
        <v>0.24305555555555552</v>
      </c>
      <c r="AA384" s="38">
        <f>MIP[[#This Row],[HH Produtivo
Total]]/MIP[[#This Row],[HH Trabalhado]]</f>
        <v>1.4012343857832987</v>
      </c>
      <c r="AB384" s="38">
        <f>MIP[[#This Row],[HH Produtivo
Total]]/MIP[[#This Row],[HH disponível]]</f>
        <v>0.92186472748901205</v>
      </c>
      <c r="AC384" s="38">
        <f>MIP[[#This Row],[HH Trabalhado]]/MIP[[#This Row],[HH disponível]]</f>
        <v>0.65789473684210509</v>
      </c>
      <c r="AD384" s="37" t="str">
        <f>LEFT(MIP[[#This Row],[Equipe]], SEARCH("/",MIP[[#This Row],[Equipe]],1)-1)</f>
        <v xml:space="preserve">EDILTON </v>
      </c>
      <c r="AE384" s="37" t="str">
        <f>RIGHT(MIP[[#This Row],[Equipe]], LEN(MIP[[#This Row],[Equipe]])-SEARCH("/",MIP[[#This Row],[Equipe]],1))</f>
        <v xml:space="preserve"> GECIVALDO</v>
      </c>
      <c r="AF384" s="44">
        <f>COUNTIFS('[1]Tempo parado'!H:H,"&gt;="&amp;MIP[[#This Row],[S.B Sitrack]],'[1]Tempo parado'!I:I,"&lt;="&amp;MIP[[#This Row],[C.B Sitrack]],'[1]Tempo parado'!B:B,MIP[[#This Row],[Placa]])</f>
        <v>0</v>
      </c>
      <c r="AG384" s="36"/>
      <c r="AH384" s="35"/>
      <c r="AI384" s="34"/>
      <c r="AJ384" s="34"/>
      <c r="AK38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8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84" s="32">
        <f>SUMIFS('[1]Tempo parado'!J:J,'[1]Tempo parado'!H:H,"&gt;="&amp;MIP[[#This Row],[S.B Sitrack]],'[1]Tempo parado'!I:I,"&lt;="&amp;MIP[[#This Row],[C.B Sitrack]],'[1]Tempo parado'!B:B,MIP[[#This Row],[Placa]])</f>
        <v>0</v>
      </c>
      <c r="AN384" s="32" t="str">
        <f>IFERROR(MIP[[#This Row],[Tempo parado]]/(MIP[[#This Row],[C.B Sitrack]]-MIP[[#This Row],[S.B Sitrack]]),"")</f>
        <v/>
      </c>
      <c r="AO384" s="30"/>
      <c r="AP384" s="44">
        <f>IF(AND(MIP[Exc]=0,MIP[Previsto / Realizado]="Realizado"),MIP[Sem],0)</f>
        <v>33</v>
      </c>
      <c r="AQ384" s="29">
        <f>IF(AND(MIP[Exc]=0,MIP[Previsto / Realizado]="Realizado",ISBLANK(MIP[[#This Row],[S.B Sitrack]])=FALSE,ISBLANK(MIP[[#This Row],[C.B Sitrack]])=FALSE),MIP[Sem],0)</f>
        <v>0</v>
      </c>
    </row>
    <row r="385" spans="1:43" s="47" customFormat="1" x14ac:dyDescent="0.25">
      <c r="A385" s="11"/>
      <c r="B385" s="44">
        <f>WEEKNUM(MIP[[#This Row],[Data]])</f>
        <v>33</v>
      </c>
      <c r="C385" s="45">
        <v>42963</v>
      </c>
      <c r="D385" s="45"/>
      <c r="E385" s="35" t="s">
        <v>19</v>
      </c>
      <c r="F385" s="35" t="s">
        <v>5</v>
      </c>
      <c r="G385" s="35"/>
      <c r="H385" s="44">
        <v>2</v>
      </c>
      <c r="I385" s="44">
        <v>0</v>
      </c>
      <c r="J385" s="44">
        <v>0</v>
      </c>
      <c r="K385" s="44">
        <v>0</v>
      </c>
      <c r="L385" s="44">
        <v>0</v>
      </c>
      <c r="M385" s="43">
        <v>0.625</v>
      </c>
      <c r="N385" s="43">
        <v>0.64583333333333337</v>
      </c>
      <c r="O385" s="43">
        <f>1+18/24/60</f>
        <v>1.0125</v>
      </c>
      <c r="P385" s="43">
        <f>1+48/24/60</f>
        <v>1.0333333333333334</v>
      </c>
      <c r="Q385" s="39"/>
      <c r="R385" s="42" t="s">
        <v>322</v>
      </c>
      <c r="S385" s="29">
        <f>MIP[[#This Row],[PT-1]]+MIP[[#This Row],[PT-2]]*2+MIP[[#This Row],[PT-3]]*3+MIP[[#This Row],[PT &gt; 3 Pontos]]</f>
        <v>0</v>
      </c>
      <c r="T38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385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385" s="41">
        <f>MIP[[#This Row],[Eficiência]]</f>
        <v>0</v>
      </c>
      <c r="W38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85" s="39">
        <f>IF(MIP[[#This Row],[P.S]]-MIP[[#This Row],[P.E]]&lt;0,1+MIP[[#This Row],[P.S]]-MIP[[#This Row],[P.E]]-1/24,MIP[[#This Row],[P.S]]-MIP[[#This Row],[P.E]]-1/24)</f>
        <v>0.36666666666666675</v>
      </c>
      <c r="Y385" s="39">
        <f>MIP[[#This Row],[PT-1]]*$S$3+MIP[[#This Row],[PT-2]]*$T$3+MIP[[#This Row],[PT-3]]*$U$3+MIP[[#This Row],[PT &gt; 3 Pontos]]*$V$3</f>
        <v>0</v>
      </c>
      <c r="Z385" s="39">
        <f>MIP[[#This Row],[HH disponível]]-MIP[[#This Row],[HH AC TOT]]</f>
        <v>0.3249999999999999</v>
      </c>
      <c r="AA385" s="38">
        <f>MIP[[#This Row],[HH Produtivo
Total]]/MIP[[#This Row],[HH Trabalhado]]</f>
        <v>0</v>
      </c>
      <c r="AB385" s="38">
        <f>MIP[[#This Row],[HH Produtivo
Total]]/MIP[[#This Row],[HH disponível]]</f>
        <v>0</v>
      </c>
      <c r="AC385" s="38">
        <f>MIP[[#This Row],[HH Trabalhado]]/MIP[[#This Row],[HH disponível]]</f>
        <v>0.88636363636363591</v>
      </c>
      <c r="AD385" s="37" t="str">
        <f>LEFT(MIP[[#This Row],[Equipe]], SEARCH("/",MIP[[#This Row],[Equipe]],1)-1)</f>
        <v xml:space="preserve">ADEMÁRIO </v>
      </c>
      <c r="AE385" s="37" t="str">
        <f>RIGHT(MIP[[#This Row],[Equipe]], LEN(MIP[[#This Row],[Equipe]])-SEARCH("/",MIP[[#This Row],[Equipe]],1))</f>
        <v xml:space="preserve"> RONALDO</v>
      </c>
      <c r="AF385" s="44">
        <f>COUNTIFS('[1]Tempo parado'!H:H,"&gt;="&amp;MIP[[#This Row],[S.B Sitrack]],'[1]Tempo parado'!I:I,"&lt;="&amp;MIP[[#This Row],[C.B Sitrack]],'[1]Tempo parado'!B:B,MIP[[#This Row],[Placa]])</f>
        <v>0</v>
      </c>
      <c r="AG385" s="36"/>
      <c r="AH385" s="35"/>
      <c r="AI385" s="34"/>
      <c r="AJ385" s="34"/>
      <c r="AK38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8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85" s="32">
        <f>SUMIFS('[1]Tempo parado'!J:J,'[1]Tempo parado'!H:H,"&gt;="&amp;MIP[[#This Row],[S.B Sitrack]],'[1]Tempo parado'!I:I,"&lt;="&amp;MIP[[#This Row],[C.B Sitrack]],'[1]Tempo parado'!B:B,MIP[[#This Row],[Placa]])</f>
        <v>0</v>
      </c>
      <c r="AN385" s="32" t="str">
        <f>IFERROR(MIP[[#This Row],[Tempo parado]]/(MIP[[#This Row],[C.B Sitrack]]-MIP[[#This Row],[S.B Sitrack]]),"")</f>
        <v/>
      </c>
      <c r="AO385" s="30"/>
      <c r="AP385" s="44">
        <f>IF(AND(MIP[Exc]=0,MIP[Previsto / Realizado]="Realizado"),MIP[Sem],0)</f>
        <v>0</v>
      </c>
      <c r="AQ385" s="29">
        <f>IF(AND(MIP[Exc]=0,MIP[Previsto / Realizado]="Realizado",ISBLANK(MIP[[#This Row],[S.B Sitrack]])=FALSE,ISBLANK(MIP[[#This Row],[C.B Sitrack]])=FALSE),MIP[Sem],0)</f>
        <v>0</v>
      </c>
    </row>
    <row r="386" spans="1:43" s="64" customFormat="1" x14ac:dyDescent="0.25">
      <c r="A386" s="11"/>
      <c r="B386" s="44">
        <f>WEEKNUM(MIP[[#This Row],[Data]])</f>
        <v>33</v>
      </c>
      <c r="C386" s="45">
        <v>42963</v>
      </c>
      <c r="D386" s="45"/>
      <c r="E386" s="35" t="s">
        <v>19</v>
      </c>
      <c r="F386" s="35" t="s">
        <v>2</v>
      </c>
      <c r="G386" s="35"/>
      <c r="H386" s="44">
        <v>2</v>
      </c>
      <c r="I386" s="44">
        <v>0</v>
      </c>
      <c r="J386" s="44">
        <v>0</v>
      </c>
      <c r="K386" s="44">
        <v>0</v>
      </c>
      <c r="L386" s="44">
        <v>15</v>
      </c>
      <c r="M386" s="43">
        <v>0.63680555555555551</v>
      </c>
      <c r="N386" s="43">
        <v>0.67013888888888884</v>
      </c>
      <c r="O386" s="43">
        <f>1+22/24/60</f>
        <v>1.0152777777777777</v>
      </c>
      <c r="P386" s="43">
        <f>1+56/24/60</f>
        <v>1.038888888888889</v>
      </c>
      <c r="Q386" s="39"/>
      <c r="R386" s="42" t="s">
        <v>321</v>
      </c>
      <c r="S386" s="29">
        <f>MIP[[#This Row],[PT-1]]+MIP[[#This Row],[PT-2]]*2+MIP[[#This Row],[PT-3]]*3+MIP[[#This Row],[PT &gt; 3 Pontos]]</f>
        <v>15</v>
      </c>
      <c r="T38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5.6944444444444575E-2</v>
      </c>
      <c r="U386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5.6944444444444575E-2</v>
      </c>
      <c r="V386" s="41">
        <f>MIP[[#This Row],[Eficiência]]</f>
        <v>1.0008170137852515</v>
      </c>
      <c r="W38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86" s="39">
        <f>IF(MIP[[#This Row],[P.S]]-MIP[[#This Row],[P.E]]&lt;0,1+MIP[[#This Row],[P.S]]-MIP[[#This Row],[P.E]]-1/24,MIP[[#This Row],[P.S]]-MIP[[#This Row],[P.E]]-1/24)</f>
        <v>0.36041666666666677</v>
      </c>
      <c r="Y386" s="39">
        <f>MIP[[#This Row],[PT-1]]*$S$3+MIP[[#This Row],[PT-2]]*$T$3+MIP[[#This Row],[PT-3]]*$U$3+MIP[[#This Row],[PT &gt; 3 Pontos]]*$V$3</f>
        <v>0.30372016321121864</v>
      </c>
      <c r="Z386" s="39">
        <f>MIP[[#This Row],[HH disponível]]-MIP[[#This Row],[HH AC TOT]]</f>
        <v>0.3034722222222222</v>
      </c>
      <c r="AA386" s="38">
        <f>MIP[[#This Row],[HH Produtivo
Total]]/MIP[[#This Row],[HH Trabalhado]]</f>
        <v>1.0008170137852515</v>
      </c>
      <c r="AB386" s="38">
        <f>MIP[[#This Row],[HH Produtivo
Total]]/MIP[[#This Row],[HH disponível]]</f>
        <v>0.84269178232014397</v>
      </c>
      <c r="AC386" s="38">
        <f>MIP[[#This Row],[HH Trabalhado]]/MIP[[#This Row],[HH disponível]]</f>
        <v>0.84200385356454688</v>
      </c>
      <c r="AD386" s="37" t="str">
        <f>LEFT(MIP[[#This Row],[Equipe]], SEARCH("/",MIP[[#This Row],[Equipe]],1)-1)</f>
        <v xml:space="preserve">ADEMÁRIO </v>
      </c>
      <c r="AE386" s="37" t="str">
        <f>RIGHT(MIP[[#This Row],[Equipe]], LEN(MIP[[#This Row],[Equipe]])-SEARCH("/",MIP[[#This Row],[Equipe]],1))</f>
        <v xml:space="preserve"> RONALDO</v>
      </c>
      <c r="AF386" s="44">
        <f>COUNTIFS('[1]Tempo parado'!H:H,"&gt;="&amp;MIP[[#This Row],[S.B Sitrack]],'[1]Tempo parado'!I:I,"&lt;="&amp;MIP[[#This Row],[C.B Sitrack]],'[1]Tempo parado'!B:B,MIP[[#This Row],[Placa]])</f>
        <v>0</v>
      </c>
      <c r="AG386" s="36"/>
      <c r="AH386" s="35"/>
      <c r="AI386" s="34"/>
      <c r="AJ386" s="34"/>
      <c r="AK38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8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86" s="32">
        <f>SUMIFS('[1]Tempo parado'!J:J,'[1]Tempo parado'!H:H,"&gt;="&amp;MIP[[#This Row],[S.B Sitrack]],'[1]Tempo parado'!I:I,"&lt;="&amp;MIP[[#This Row],[C.B Sitrack]],'[1]Tempo parado'!B:B,MIP[[#This Row],[Placa]])</f>
        <v>0</v>
      </c>
      <c r="AN386" s="32" t="str">
        <f>IFERROR(MIP[[#This Row],[Tempo parado]]/(MIP[[#This Row],[C.B Sitrack]]-MIP[[#This Row],[S.B Sitrack]]),"")</f>
        <v/>
      </c>
      <c r="AO386" s="30"/>
      <c r="AP386" s="44">
        <f>IF(AND(MIP[Exc]=0,MIP[Previsto / Realizado]="Realizado"),MIP[Sem],0)</f>
        <v>33</v>
      </c>
      <c r="AQ386" s="29">
        <f>IF(AND(MIP[Exc]=0,MIP[Previsto / Realizado]="Realizado",ISBLANK(MIP[[#This Row],[S.B Sitrack]])=FALSE,ISBLANK(MIP[[#This Row],[C.B Sitrack]])=FALSE),MIP[Sem],0)</f>
        <v>0</v>
      </c>
    </row>
    <row r="387" spans="1:43" s="47" customFormat="1" x14ac:dyDescent="0.25">
      <c r="A387" s="11"/>
      <c r="B387" s="44">
        <f>WEEKNUM(MIP[[#This Row],[Data]])</f>
        <v>33</v>
      </c>
      <c r="C387" s="45">
        <v>42963</v>
      </c>
      <c r="D387" s="45"/>
      <c r="E387" s="35" t="s">
        <v>7</v>
      </c>
      <c r="F387" s="35" t="s">
        <v>5</v>
      </c>
      <c r="G387" s="35"/>
      <c r="H387" s="44">
        <v>2</v>
      </c>
      <c r="I387" s="44">
        <v>1</v>
      </c>
      <c r="J387" s="44">
        <v>1</v>
      </c>
      <c r="K387" s="44">
        <v>0</v>
      </c>
      <c r="L387" s="44">
        <v>0</v>
      </c>
      <c r="M387" s="43">
        <v>0.625</v>
      </c>
      <c r="N387" s="43">
        <v>0.64583333333333337</v>
      </c>
      <c r="O387" s="43">
        <f>1+18/24/60</f>
        <v>1.0125</v>
      </c>
      <c r="P387" s="43">
        <f>1+48/24/60</f>
        <v>1.0333333333333334</v>
      </c>
      <c r="Q387" s="39"/>
      <c r="R387" s="42"/>
      <c r="S387" s="29">
        <f>MIP[[#This Row],[PT-1]]+MIP[[#This Row],[PT-2]]*2+MIP[[#This Row],[PT-3]]*3+MIP[[#This Row],[PT &gt; 3 Pontos]]</f>
        <v>3</v>
      </c>
      <c r="T38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387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387" s="41">
        <f>MIP[[#This Row],[Eficiência]]</f>
        <v>0.21210652019075937</v>
      </c>
      <c r="W38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87" s="39">
        <f>IF(MIP[[#This Row],[P.S]]-MIP[[#This Row],[P.E]]&lt;0,1+MIP[[#This Row],[P.S]]-MIP[[#This Row],[P.E]]-1/24,MIP[[#This Row],[P.S]]-MIP[[#This Row],[P.E]]-1/24)</f>
        <v>0.36666666666666675</v>
      </c>
      <c r="Y387" s="39">
        <f>MIP[[#This Row],[PT-1]]*$S$3+MIP[[#This Row],[PT-2]]*$T$3+MIP[[#This Row],[PT-3]]*$U$3+MIP[[#This Row],[PT &gt; 3 Pontos]]*$V$3</f>
        <v>6.8934619061996771E-2</v>
      </c>
      <c r="Z387" s="39">
        <f>MIP[[#This Row],[HH disponível]]-MIP[[#This Row],[HH AC TOT]]</f>
        <v>0.3249999999999999</v>
      </c>
      <c r="AA387" s="38">
        <f>MIP[[#This Row],[HH Produtivo
Total]]/MIP[[#This Row],[HH Trabalhado]]</f>
        <v>0.21210652019075937</v>
      </c>
      <c r="AB387" s="38">
        <f>MIP[[#This Row],[HH Produtivo
Total]]/MIP[[#This Row],[HH disponível]]</f>
        <v>0.18800350653271841</v>
      </c>
      <c r="AC387" s="38">
        <f>MIP[[#This Row],[HH Trabalhado]]/MIP[[#This Row],[HH disponível]]</f>
        <v>0.88636363636363591</v>
      </c>
      <c r="AD387" s="37" t="str">
        <f>LEFT(MIP[[#This Row],[Equipe]], SEARCH("/",MIP[[#This Row],[Equipe]],1)-1)</f>
        <v xml:space="preserve">ANDERSON </v>
      </c>
      <c r="AE387" s="37" t="str">
        <f>RIGHT(MIP[[#This Row],[Equipe]], LEN(MIP[[#This Row],[Equipe]])-SEARCH("/",MIP[[#This Row],[Equipe]],1))</f>
        <v xml:space="preserve"> MARCO</v>
      </c>
      <c r="AF387" s="44">
        <f>COUNTIFS('[1]Tempo parado'!H:H,"&gt;="&amp;MIP[[#This Row],[S.B Sitrack]],'[1]Tempo parado'!I:I,"&lt;="&amp;MIP[[#This Row],[C.B Sitrack]],'[1]Tempo parado'!B:B,MIP[[#This Row],[Placa]])</f>
        <v>0</v>
      </c>
      <c r="AG387" s="36"/>
      <c r="AH387" s="35"/>
      <c r="AI387" s="34"/>
      <c r="AJ387" s="34"/>
      <c r="AK38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8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87" s="32">
        <f>SUMIFS('[1]Tempo parado'!J:J,'[1]Tempo parado'!H:H,"&gt;="&amp;MIP[[#This Row],[S.B Sitrack]],'[1]Tempo parado'!I:I,"&lt;="&amp;MIP[[#This Row],[C.B Sitrack]],'[1]Tempo parado'!B:B,MIP[[#This Row],[Placa]])</f>
        <v>0</v>
      </c>
      <c r="AN387" s="32" t="str">
        <f>IFERROR(MIP[[#This Row],[Tempo parado]]/(MIP[[#This Row],[C.B Sitrack]]-MIP[[#This Row],[S.B Sitrack]]),"")</f>
        <v/>
      </c>
      <c r="AO387" s="30"/>
      <c r="AP387" s="44">
        <f>IF(AND(MIP[Exc]=0,MIP[Previsto / Realizado]="Realizado"),MIP[Sem],0)</f>
        <v>0</v>
      </c>
      <c r="AQ387" s="29">
        <f>IF(AND(MIP[Exc]=0,MIP[Previsto / Realizado]="Realizado",ISBLANK(MIP[[#This Row],[S.B Sitrack]])=FALSE,ISBLANK(MIP[[#This Row],[C.B Sitrack]])=FALSE),MIP[Sem],0)</f>
        <v>0</v>
      </c>
    </row>
    <row r="388" spans="1:43" s="64" customFormat="1" x14ac:dyDescent="0.25">
      <c r="A388" s="11"/>
      <c r="B388" s="44">
        <f>WEEKNUM(MIP[[#This Row],[Data]])</f>
        <v>33</v>
      </c>
      <c r="C388" s="45">
        <v>42963</v>
      </c>
      <c r="D388" s="45"/>
      <c r="E388" s="35" t="s">
        <v>7</v>
      </c>
      <c r="F388" s="35" t="s">
        <v>2</v>
      </c>
      <c r="G388" s="35"/>
      <c r="H388" s="44">
        <v>2</v>
      </c>
      <c r="I388" s="44">
        <v>0</v>
      </c>
      <c r="J388" s="44">
        <v>0</v>
      </c>
      <c r="K388" s="44">
        <v>0</v>
      </c>
      <c r="L388" s="44">
        <v>3</v>
      </c>
      <c r="M388" s="43">
        <v>0.625</v>
      </c>
      <c r="N388" s="43">
        <v>0.66180555555555554</v>
      </c>
      <c r="O388" s="43">
        <v>0.98611111111111116</v>
      </c>
      <c r="P388" s="43">
        <f>1+49/24/60</f>
        <v>1.0340277777777778</v>
      </c>
      <c r="Q388" s="39">
        <v>0.14583333333333334</v>
      </c>
      <c r="R388" s="42"/>
      <c r="S388" s="29">
        <f>MIP[[#This Row],[PT-1]]+MIP[[#This Row],[PT-2]]*2+MIP[[#This Row],[PT-3]]*3+MIP[[#This Row],[PT &gt; 3 Pontos]]</f>
        <v>3</v>
      </c>
      <c r="T38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0.23055555555555549</v>
      </c>
      <c r="U388" s="39">
        <f>IF(MIP[[#This Row],[P.S]]-MIP[[#This Row],[U.P]]&gt;=0,MIP[[#This Row],[P.S]]-MIP[[#This Row],[U.P]]+MIP[[#This Row],[S.B]]-MIP[[#This Row],[P.E]],1+MIP[[#This Row],[P.S]]-MIP[[#This Row],[U.P]]+MIP[[#This Row],[S.B]]-MIP[[#This Row],[P.E]])</f>
        <v>8.4722222222222143E-2</v>
      </c>
      <c r="V388" s="41">
        <f>MIP[[#This Row],[Eficiência]]</f>
        <v>0.44401729444076621</v>
      </c>
      <c r="W38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88" s="39">
        <f>IF(MIP[[#This Row],[P.S]]-MIP[[#This Row],[P.E]]&lt;0,1+MIP[[#This Row],[P.S]]-MIP[[#This Row],[P.E]]-1/24,MIP[[#This Row],[P.S]]-MIP[[#This Row],[P.E]]-1/24)</f>
        <v>0.36736111111111108</v>
      </c>
      <c r="Y388" s="39">
        <f>MIP[[#This Row],[PT-1]]*$S$3+MIP[[#This Row],[PT-2]]*$T$3+MIP[[#This Row],[PT-3]]*$U$3+MIP[[#This Row],[PT &gt; 3 Pontos]]*$V$3</f>
        <v>6.0744032642243727E-2</v>
      </c>
      <c r="Z388" s="39">
        <f>MIP[[#This Row],[HH disponível]]-MIP[[#This Row],[HH AC TOT]]</f>
        <v>0.1368055555555556</v>
      </c>
      <c r="AA388" s="38">
        <f>MIP[[#This Row],[HH Produtivo
Total]]/MIP[[#This Row],[HH Trabalhado]]</f>
        <v>0.44401729444076621</v>
      </c>
      <c r="AB388" s="38">
        <f>MIP[[#This Row],[HH Produtivo
Total]]/MIP[[#This Row],[HH disponível]]</f>
        <v>0.16535237619060675</v>
      </c>
      <c r="AC388" s="38">
        <f>MIP[[#This Row],[HH Trabalhado]]/MIP[[#This Row],[HH disponível]]</f>
        <v>0.37240075614366741</v>
      </c>
      <c r="AD388" s="37" t="str">
        <f>LEFT(MIP[[#This Row],[Equipe]], SEARCH("/",MIP[[#This Row],[Equipe]],1)-1)</f>
        <v xml:space="preserve">ANDERSON </v>
      </c>
      <c r="AE388" s="37" t="str">
        <f>RIGHT(MIP[[#This Row],[Equipe]], LEN(MIP[[#This Row],[Equipe]])-SEARCH("/",MIP[[#This Row],[Equipe]],1))</f>
        <v xml:space="preserve"> MARCO</v>
      </c>
      <c r="AF388" s="44">
        <f>COUNTIFS('[1]Tempo parado'!H:H,"&gt;="&amp;MIP[[#This Row],[S.B Sitrack]],'[1]Tempo parado'!I:I,"&lt;="&amp;MIP[[#This Row],[C.B Sitrack]],'[1]Tempo parado'!B:B,MIP[[#This Row],[Placa]])</f>
        <v>0</v>
      </c>
      <c r="AG388" s="36"/>
      <c r="AH388" s="35"/>
      <c r="AI388" s="34"/>
      <c r="AJ388" s="34"/>
      <c r="AK38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8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88" s="32">
        <f>SUMIFS('[1]Tempo parado'!J:J,'[1]Tempo parado'!H:H,"&gt;="&amp;MIP[[#This Row],[S.B Sitrack]],'[1]Tempo parado'!I:I,"&lt;="&amp;MIP[[#This Row],[C.B Sitrack]],'[1]Tempo parado'!B:B,MIP[[#This Row],[Placa]])</f>
        <v>0</v>
      </c>
      <c r="AN388" s="32" t="str">
        <f>IFERROR(MIP[[#This Row],[Tempo parado]]/(MIP[[#This Row],[C.B Sitrack]]-MIP[[#This Row],[S.B Sitrack]]),"")</f>
        <v/>
      </c>
      <c r="AO388" s="30"/>
      <c r="AP388" s="44">
        <f>IF(AND(MIP[Exc]=0,MIP[Previsto / Realizado]="Realizado"),MIP[Sem],0)</f>
        <v>33</v>
      </c>
      <c r="AQ388" s="29">
        <f>IF(AND(MIP[Exc]=0,MIP[Previsto / Realizado]="Realizado",ISBLANK(MIP[[#This Row],[S.B Sitrack]])=FALSE,ISBLANK(MIP[[#This Row],[C.B Sitrack]])=FALSE),MIP[Sem],0)</f>
        <v>0</v>
      </c>
    </row>
    <row r="389" spans="1:43" s="47" customFormat="1" x14ac:dyDescent="0.25">
      <c r="A389" s="11"/>
      <c r="B389" s="44">
        <f>WEEKNUM(MIP[[#This Row],[Data]])</f>
        <v>33</v>
      </c>
      <c r="C389" s="45">
        <v>42964</v>
      </c>
      <c r="D389" s="45"/>
      <c r="E389" s="35" t="s">
        <v>10</v>
      </c>
      <c r="F389" s="35" t="s">
        <v>5</v>
      </c>
      <c r="G389" s="35"/>
      <c r="H389" s="44">
        <v>2</v>
      </c>
      <c r="I389" s="44">
        <v>2</v>
      </c>
      <c r="J389" s="44">
        <v>2</v>
      </c>
      <c r="K389" s="44">
        <v>0</v>
      </c>
      <c r="L389" s="44">
        <v>0</v>
      </c>
      <c r="M389" s="43">
        <v>0.25</v>
      </c>
      <c r="N389" s="43">
        <v>0.27083333333333331</v>
      </c>
      <c r="O389" s="43">
        <v>0.63750000000000007</v>
      </c>
      <c r="P389" s="43">
        <v>0.65833333333333333</v>
      </c>
      <c r="Q389" s="39"/>
      <c r="R389" s="42" t="s">
        <v>320</v>
      </c>
      <c r="S389" s="29">
        <f>MIP[[#This Row],[PT-1]]+MIP[[#This Row],[PT-2]]*2+MIP[[#This Row],[PT-3]]*3+MIP[[#This Row],[PT &gt; 3 Pontos]]</f>
        <v>6</v>
      </c>
      <c r="T38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389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389" s="41">
        <f>MIP[[#This Row],[Eficiência]]</f>
        <v>0.42421304038151852</v>
      </c>
      <c r="W38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89" s="39">
        <f>IF(MIP[[#This Row],[P.S]]-MIP[[#This Row],[P.E]]&lt;0,1+MIP[[#This Row],[P.S]]-MIP[[#This Row],[P.E]]-1/24,MIP[[#This Row],[P.S]]-MIP[[#This Row],[P.E]]-1/24)</f>
        <v>0.36666666666666664</v>
      </c>
      <c r="Y389" s="39">
        <f>MIP[[#This Row],[PT-1]]*$S$3+MIP[[#This Row],[PT-2]]*$T$3+MIP[[#This Row],[PT-3]]*$U$3+MIP[[#This Row],[PT &gt; 3 Pontos]]*$V$3</f>
        <v>0.13786923812399354</v>
      </c>
      <c r="Z389" s="39">
        <f>MIP[[#This Row],[HH disponível]]-MIP[[#This Row],[HH AC TOT]]</f>
        <v>0.32500000000000007</v>
      </c>
      <c r="AA389" s="38">
        <f>MIP[[#This Row],[HH Produtivo
Total]]/MIP[[#This Row],[HH Trabalhado]]</f>
        <v>0.42421304038151852</v>
      </c>
      <c r="AB389" s="38">
        <f>MIP[[#This Row],[HH Produtivo
Total]]/MIP[[#This Row],[HH disponível]]</f>
        <v>0.37600701306543693</v>
      </c>
      <c r="AC389" s="38">
        <f>MIP[[#This Row],[HH Trabalhado]]/MIP[[#This Row],[HH disponível]]</f>
        <v>0.88636363636363658</v>
      </c>
      <c r="AD389" s="37" t="str">
        <f>LEFT(MIP[[#This Row],[Equipe]], SEARCH("/",MIP[[#This Row],[Equipe]],1)-1)</f>
        <v xml:space="preserve">JOILSON </v>
      </c>
      <c r="AE389" s="37" t="str">
        <f>RIGHT(MIP[[#This Row],[Equipe]], LEN(MIP[[#This Row],[Equipe]])-SEARCH("/",MIP[[#This Row],[Equipe]],1))</f>
        <v xml:space="preserve"> VALDEI</v>
      </c>
      <c r="AF389" s="44">
        <f>COUNTIFS('[1]Tempo parado'!H:H,"&gt;="&amp;MIP[[#This Row],[S.B Sitrack]],'[1]Tempo parado'!I:I,"&lt;="&amp;MIP[[#This Row],[C.B Sitrack]],'[1]Tempo parado'!B:B,MIP[[#This Row],[Placa]])</f>
        <v>0</v>
      </c>
      <c r="AG389" s="36"/>
      <c r="AH389" s="35"/>
      <c r="AI389" s="34"/>
      <c r="AJ389" s="34"/>
      <c r="AK38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8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89" s="32">
        <f>SUMIFS('[1]Tempo parado'!J:J,'[1]Tempo parado'!H:H,"&gt;="&amp;MIP[[#This Row],[S.B Sitrack]],'[1]Tempo parado'!I:I,"&lt;="&amp;MIP[[#This Row],[C.B Sitrack]],'[1]Tempo parado'!B:B,MIP[[#This Row],[Placa]])</f>
        <v>0</v>
      </c>
      <c r="AN389" s="32" t="str">
        <f>IFERROR(MIP[[#This Row],[Tempo parado]]/(MIP[[#This Row],[C.B Sitrack]]-MIP[[#This Row],[S.B Sitrack]]),"")</f>
        <v/>
      </c>
      <c r="AO389" s="30"/>
      <c r="AP389" s="44">
        <f>IF(AND(MIP[Exc]=0,MIP[Previsto / Realizado]="Realizado"),MIP[Sem],0)</f>
        <v>0</v>
      </c>
      <c r="AQ389" s="29">
        <f>IF(AND(MIP[Exc]=0,MIP[Previsto / Realizado]="Realizado",ISBLANK(MIP[[#This Row],[S.B Sitrack]])=FALSE,ISBLANK(MIP[[#This Row],[C.B Sitrack]])=FALSE),MIP[Sem],0)</f>
        <v>0</v>
      </c>
    </row>
    <row r="390" spans="1:43" s="64" customFormat="1" x14ac:dyDescent="0.25">
      <c r="A390" s="11"/>
      <c r="B390" s="44">
        <f>WEEKNUM(MIP[[#This Row],[Data]])</f>
        <v>33</v>
      </c>
      <c r="C390" s="45">
        <v>42964</v>
      </c>
      <c r="D390" s="45"/>
      <c r="E390" s="35" t="s">
        <v>10</v>
      </c>
      <c r="F390" s="35" t="s">
        <v>2</v>
      </c>
      <c r="G390" s="35"/>
      <c r="H390" s="44">
        <v>2</v>
      </c>
      <c r="I390" s="44">
        <v>2</v>
      </c>
      <c r="J390" s="44">
        <v>1</v>
      </c>
      <c r="K390" s="44">
        <v>1</v>
      </c>
      <c r="L390" s="44">
        <v>9</v>
      </c>
      <c r="M390" s="43">
        <v>0.25138888888888888</v>
      </c>
      <c r="N390" s="43">
        <v>0.28472222222222221</v>
      </c>
      <c r="O390" s="43">
        <v>0.61319444444444449</v>
      </c>
      <c r="P390" s="43">
        <v>0.6645833333333333</v>
      </c>
      <c r="Q390" s="39"/>
      <c r="R390" s="42" t="s">
        <v>319</v>
      </c>
      <c r="S390" s="29">
        <f>MIP[[#This Row],[PT-1]]+MIP[[#This Row],[PT-2]]*2+MIP[[#This Row],[PT-3]]*3+MIP[[#This Row],[PT &gt; 3 Pontos]]</f>
        <v>16</v>
      </c>
      <c r="T39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8.4722222222222143E-2</v>
      </c>
      <c r="U390" s="39">
        <f>IF(MIP[[#This Row],[P.S]]-MIP[[#This Row],[U.P]]&gt;=0,MIP[[#This Row],[P.S]]-MIP[[#This Row],[U.P]]+MIP[[#This Row],[S.B]]-MIP[[#This Row],[P.E]],1+MIP[[#This Row],[P.S]]-MIP[[#This Row],[U.P]]+MIP[[#This Row],[S.B]]-MIP[[#This Row],[P.E]])</f>
        <v>8.4722222222222143E-2</v>
      </c>
      <c r="V390" s="41">
        <f>MIP[[#This Row],[Eficiência]]</f>
        <v>1.1819305540934135</v>
      </c>
      <c r="W39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90" s="39">
        <f>IF(MIP[[#This Row],[P.S]]-MIP[[#This Row],[P.E]]&lt;0,1+MIP[[#This Row],[P.S]]-MIP[[#This Row],[P.E]]-1/24,MIP[[#This Row],[P.S]]-MIP[[#This Row],[P.E]]-1/24)</f>
        <v>0.37152777777777773</v>
      </c>
      <c r="Y390" s="39">
        <f>MIP[[#This Row],[PT-1]]*$S$3+MIP[[#This Row],[PT-2]]*$T$3+MIP[[#This Row],[PT-3]]*$U$3+MIP[[#This Row],[PT &gt; 3 Pontos]]*$V$3</f>
        <v>0.3389842491948471</v>
      </c>
      <c r="Z390" s="39">
        <f>MIP[[#This Row],[HH disponível]]-MIP[[#This Row],[HH AC TOT]]</f>
        <v>0.28680555555555559</v>
      </c>
      <c r="AA390" s="38">
        <f>MIP[[#This Row],[HH Produtivo
Total]]/MIP[[#This Row],[HH Trabalhado]]</f>
        <v>1.1819305540934135</v>
      </c>
      <c r="AB390" s="38">
        <f>MIP[[#This Row],[HH Produtivo
Total]]/MIP[[#This Row],[HH disponível]]</f>
        <v>0.91240620344033618</v>
      </c>
      <c r="AC390" s="38">
        <f>MIP[[#This Row],[HH Trabalhado]]/MIP[[#This Row],[HH disponível]]</f>
        <v>0.77196261682243006</v>
      </c>
      <c r="AD390" s="37" t="str">
        <f>LEFT(MIP[[#This Row],[Equipe]], SEARCH("/",MIP[[#This Row],[Equipe]],1)-1)</f>
        <v xml:space="preserve">JOILSON </v>
      </c>
      <c r="AE390" s="37" t="str">
        <f>RIGHT(MIP[[#This Row],[Equipe]], LEN(MIP[[#This Row],[Equipe]])-SEARCH("/",MIP[[#This Row],[Equipe]],1))</f>
        <v xml:space="preserve"> VALDEI</v>
      </c>
      <c r="AF390" s="44">
        <f>COUNTIFS('[1]Tempo parado'!H:H,"&gt;="&amp;MIP[[#This Row],[S.B Sitrack]],'[1]Tempo parado'!I:I,"&lt;="&amp;MIP[[#This Row],[C.B Sitrack]],'[1]Tempo parado'!B:B,MIP[[#This Row],[Placa]])</f>
        <v>0</v>
      </c>
      <c r="AG390" s="36"/>
      <c r="AH390" s="35"/>
      <c r="AI390" s="34"/>
      <c r="AJ390" s="34"/>
      <c r="AK39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9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90" s="32">
        <f>SUMIFS('[1]Tempo parado'!J:J,'[1]Tempo parado'!H:H,"&gt;="&amp;MIP[[#This Row],[S.B Sitrack]],'[1]Tempo parado'!I:I,"&lt;="&amp;MIP[[#This Row],[C.B Sitrack]],'[1]Tempo parado'!B:B,MIP[[#This Row],[Placa]])</f>
        <v>0</v>
      </c>
      <c r="AN390" s="32" t="str">
        <f>IFERROR(MIP[[#This Row],[Tempo parado]]/(MIP[[#This Row],[C.B Sitrack]]-MIP[[#This Row],[S.B Sitrack]]),"")</f>
        <v/>
      </c>
      <c r="AO390" s="30"/>
      <c r="AP390" s="44">
        <f>IF(AND(MIP[Exc]=0,MIP[Previsto / Realizado]="Realizado"),MIP[Sem],0)</f>
        <v>33</v>
      </c>
      <c r="AQ390" s="29">
        <f>IF(AND(MIP[Exc]=0,MIP[Previsto / Realizado]="Realizado",ISBLANK(MIP[[#This Row],[S.B Sitrack]])=FALSE,ISBLANK(MIP[[#This Row],[C.B Sitrack]])=FALSE),MIP[Sem],0)</f>
        <v>0</v>
      </c>
    </row>
    <row r="391" spans="1:43" s="47" customFormat="1" x14ac:dyDescent="0.25">
      <c r="A391" s="11"/>
      <c r="B391" s="44">
        <f>WEEKNUM(MIP[[#This Row],[Data]])</f>
        <v>33</v>
      </c>
      <c r="C391" s="45">
        <v>42964</v>
      </c>
      <c r="D391" s="45"/>
      <c r="E391" s="35" t="s">
        <v>7</v>
      </c>
      <c r="F391" s="35" t="s">
        <v>5</v>
      </c>
      <c r="G391" s="35"/>
      <c r="H391" s="44">
        <v>2</v>
      </c>
      <c r="I391" s="44">
        <v>0</v>
      </c>
      <c r="J391" s="44">
        <v>0</v>
      </c>
      <c r="K391" s="44">
        <v>0</v>
      </c>
      <c r="L391" s="44">
        <v>0</v>
      </c>
      <c r="M391" s="43">
        <v>0.625</v>
      </c>
      <c r="N391" s="43">
        <v>0.64583333333333337</v>
      </c>
      <c r="O391" s="43">
        <f>1+18/24/60</f>
        <v>1.0125</v>
      </c>
      <c r="P391" s="43">
        <f>1+48/24/60</f>
        <v>1.0333333333333334</v>
      </c>
      <c r="Q391" s="39"/>
      <c r="R391" s="42" t="s">
        <v>318</v>
      </c>
      <c r="S391" s="29">
        <f>MIP[[#This Row],[PT-1]]+MIP[[#This Row],[PT-2]]*2+MIP[[#This Row],[PT-3]]*3+MIP[[#This Row],[PT &gt; 3 Pontos]]</f>
        <v>0</v>
      </c>
      <c r="T39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391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391" s="41">
        <f>MIP[[#This Row],[Eficiência]]</f>
        <v>0</v>
      </c>
      <c r="W39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91" s="39">
        <f>IF(MIP[[#This Row],[P.S]]-MIP[[#This Row],[P.E]]&lt;0,1+MIP[[#This Row],[P.S]]-MIP[[#This Row],[P.E]]-1/24,MIP[[#This Row],[P.S]]-MIP[[#This Row],[P.E]]-1/24)</f>
        <v>0.36666666666666675</v>
      </c>
      <c r="Y391" s="39">
        <f>MIP[[#This Row],[PT-1]]*$S$3+MIP[[#This Row],[PT-2]]*$T$3+MIP[[#This Row],[PT-3]]*$U$3+MIP[[#This Row],[PT &gt; 3 Pontos]]*$V$3</f>
        <v>0</v>
      </c>
      <c r="Z391" s="39">
        <f>MIP[[#This Row],[HH disponível]]-MIP[[#This Row],[HH AC TOT]]</f>
        <v>0.3249999999999999</v>
      </c>
      <c r="AA391" s="38">
        <f>MIP[[#This Row],[HH Produtivo
Total]]/MIP[[#This Row],[HH Trabalhado]]</f>
        <v>0</v>
      </c>
      <c r="AB391" s="38">
        <f>MIP[[#This Row],[HH Produtivo
Total]]/MIP[[#This Row],[HH disponível]]</f>
        <v>0</v>
      </c>
      <c r="AC391" s="38">
        <f>MIP[[#This Row],[HH Trabalhado]]/MIP[[#This Row],[HH disponível]]</f>
        <v>0.88636363636363591</v>
      </c>
      <c r="AD391" s="37" t="str">
        <f>LEFT(MIP[[#This Row],[Equipe]], SEARCH("/",MIP[[#This Row],[Equipe]],1)-1)</f>
        <v xml:space="preserve">ANDERSON </v>
      </c>
      <c r="AE391" s="37" t="str">
        <f>RIGHT(MIP[[#This Row],[Equipe]], LEN(MIP[[#This Row],[Equipe]])-SEARCH("/",MIP[[#This Row],[Equipe]],1))</f>
        <v xml:space="preserve"> MARCO</v>
      </c>
      <c r="AF391" s="44">
        <f>COUNTIFS('[1]Tempo parado'!H:H,"&gt;="&amp;MIP[[#This Row],[S.B Sitrack]],'[1]Tempo parado'!I:I,"&lt;="&amp;MIP[[#This Row],[C.B Sitrack]],'[1]Tempo parado'!B:B,MIP[[#This Row],[Placa]])</f>
        <v>0</v>
      </c>
      <c r="AG391" s="36"/>
      <c r="AH391" s="35"/>
      <c r="AI391" s="34"/>
      <c r="AJ391" s="34"/>
      <c r="AK39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9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91" s="32">
        <f>SUMIFS('[1]Tempo parado'!J:J,'[1]Tempo parado'!H:H,"&gt;="&amp;MIP[[#This Row],[S.B Sitrack]],'[1]Tempo parado'!I:I,"&lt;="&amp;MIP[[#This Row],[C.B Sitrack]],'[1]Tempo parado'!B:B,MIP[[#This Row],[Placa]])</f>
        <v>0</v>
      </c>
      <c r="AN391" s="32" t="str">
        <f>IFERROR(MIP[[#This Row],[Tempo parado]]/(MIP[[#This Row],[C.B Sitrack]]-MIP[[#This Row],[S.B Sitrack]]),"")</f>
        <v/>
      </c>
      <c r="AO391" s="30"/>
      <c r="AP391" s="44">
        <f>IF(AND(MIP[Exc]=0,MIP[Previsto / Realizado]="Realizado"),MIP[Sem],0)</f>
        <v>0</v>
      </c>
      <c r="AQ391" s="29">
        <f>IF(AND(MIP[Exc]=0,MIP[Previsto / Realizado]="Realizado",ISBLANK(MIP[[#This Row],[S.B Sitrack]])=FALSE,ISBLANK(MIP[[#This Row],[C.B Sitrack]])=FALSE),MIP[Sem],0)</f>
        <v>0</v>
      </c>
    </row>
    <row r="392" spans="1:43" s="64" customFormat="1" x14ac:dyDescent="0.25">
      <c r="A392" s="11"/>
      <c r="B392" s="44">
        <f>WEEKNUM(MIP[[#This Row],[Data]])</f>
        <v>33</v>
      </c>
      <c r="C392" s="45">
        <v>42964</v>
      </c>
      <c r="D392" s="45"/>
      <c r="E392" s="35" t="s">
        <v>7</v>
      </c>
      <c r="F392" s="35" t="s">
        <v>2</v>
      </c>
      <c r="G392" s="35"/>
      <c r="H392" s="44">
        <v>2</v>
      </c>
      <c r="I392" s="44">
        <v>0</v>
      </c>
      <c r="J392" s="44">
        <v>1</v>
      </c>
      <c r="K392" s="44">
        <v>0</v>
      </c>
      <c r="L392" s="44">
        <v>5</v>
      </c>
      <c r="M392" s="43">
        <v>0.63055555555555554</v>
      </c>
      <c r="N392" s="43">
        <v>0.67361111111111116</v>
      </c>
      <c r="O392" s="43">
        <f>1+24/24/60</f>
        <v>1.0166666666666666</v>
      </c>
      <c r="P392" s="43">
        <f>1+48/24/60</f>
        <v>1.0333333333333334</v>
      </c>
      <c r="Q392" s="39">
        <v>0.22777777777777777</v>
      </c>
      <c r="R392" s="42" t="s">
        <v>317</v>
      </c>
      <c r="S392" s="29">
        <f>MIP[[#This Row],[PT-1]]+MIP[[#This Row],[PT-2]]*2+MIP[[#This Row],[PT-3]]*3+MIP[[#This Row],[PT &gt; 3 Pontos]]</f>
        <v>7</v>
      </c>
      <c r="T39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0.2875000000000002</v>
      </c>
      <c r="U392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5.9722222222222454E-2</v>
      </c>
      <c r="V392" s="41">
        <f>MIP[[#This Row],[Eficiência]]</f>
        <v>1.971833033299915</v>
      </c>
      <c r="W39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92" s="39">
        <f>IF(MIP[[#This Row],[P.S]]-MIP[[#This Row],[P.E]]&lt;0,1+MIP[[#This Row],[P.S]]-MIP[[#This Row],[P.E]]-1/24,MIP[[#This Row],[P.S]]-MIP[[#This Row],[P.E]]-1/24)</f>
        <v>0.36111111111111122</v>
      </c>
      <c r="Y392" s="39">
        <f>MIP[[#This Row],[PT-1]]*$S$3+MIP[[#This Row],[PT-2]]*$T$3+MIP[[#This Row],[PT-3]]*$U$3+MIP[[#This Row],[PT &gt; 3 Pontos]]*$V$3</f>
        <v>0.14514882050679911</v>
      </c>
      <c r="Z392" s="39">
        <f>MIP[[#This Row],[HH disponível]]-MIP[[#This Row],[HH AC TOT]]</f>
        <v>7.3611111111111016E-2</v>
      </c>
      <c r="AA392" s="38">
        <f>MIP[[#This Row],[HH Produtivo
Total]]/MIP[[#This Row],[HH Trabalhado]]</f>
        <v>1.971833033299915</v>
      </c>
      <c r="AB392" s="38">
        <f>MIP[[#This Row],[HH Produtivo
Total]]/MIP[[#This Row],[HH disponível]]</f>
        <v>0.40195057986498206</v>
      </c>
      <c r="AC392" s="38">
        <f>MIP[[#This Row],[HH Trabalhado]]/MIP[[#This Row],[HH disponível]]</f>
        <v>0.20384615384615351</v>
      </c>
      <c r="AD392" s="37" t="str">
        <f>LEFT(MIP[[#This Row],[Equipe]], SEARCH("/",MIP[[#This Row],[Equipe]],1)-1)</f>
        <v xml:space="preserve">ANDERSON </v>
      </c>
      <c r="AE392" s="37" t="str">
        <f>RIGHT(MIP[[#This Row],[Equipe]], LEN(MIP[[#This Row],[Equipe]])-SEARCH("/",MIP[[#This Row],[Equipe]],1))</f>
        <v xml:space="preserve"> MARCO</v>
      </c>
      <c r="AF392" s="44">
        <f>COUNTIFS('[1]Tempo parado'!H:H,"&gt;="&amp;MIP[[#This Row],[S.B Sitrack]],'[1]Tempo parado'!I:I,"&lt;="&amp;MIP[[#This Row],[C.B Sitrack]],'[1]Tempo parado'!B:B,MIP[[#This Row],[Placa]])</f>
        <v>0</v>
      </c>
      <c r="AG392" s="36"/>
      <c r="AH392" s="35"/>
      <c r="AI392" s="34"/>
      <c r="AJ392" s="34"/>
      <c r="AK39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9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92" s="32">
        <f>SUMIFS('[1]Tempo parado'!J:J,'[1]Tempo parado'!H:H,"&gt;="&amp;MIP[[#This Row],[S.B Sitrack]],'[1]Tempo parado'!I:I,"&lt;="&amp;MIP[[#This Row],[C.B Sitrack]],'[1]Tempo parado'!B:B,MIP[[#This Row],[Placa]])</f>
        <v>0</v>
      </c>
      <c r="AN392" s="32" t="str">
        <f>IFERROR(MIP[[#This Row],[Tempo parado]]/(MIP[[#This Row],[C.B Sitrack]]-MIP[[#This Row],[S.B Sitrack]]),"")</f>
        <v/>
      </c>
      <c r="AO392" s="30"/>
      <c r="AP392" s="44">
        <f>IF(AND(MIP[Exc]=0,MIP[Previsto / Realizado]="Realizado"),MIP[Sem],0)</f>
        <v>33</v>
      </c>
      <c r="AQ392" s="29">
        <f>IF(AND(MIP[Exc]=0,MIP[Previsto / Realizado]="Realizado",ISBLANK(MIP[[#This Row],[S.B Sitrack]])=FALSE,ISBLANK(MIP[[#This Row],[C.B Sitrack]])=FALSE),MIP[Sem],0)</f>
        <v>0</v>
      </c>
    </row>
    <row r="393" spans="1:43" s="47" customFormat="1" x14ac:dyDescent="0.25">
      <c r="A393" s="11"/>
      <c r="B393" s="44">
        <f>WEEKNUM(MIP[[#This Row],[Data]])</f>
        <v>33</v>
      </c>
      <c r="C393" s="45">
        <v>42964</v>
      </c>
      <c r="D393" s="45"/>
      <c r="E393" s="35" t="s">
        <v>3</v>
      </c>
      <c r="F393" s="35" t="s">
        <v>5</v>
      </c>
      <c r="G393" s="35"/>
      <c r="H393" s="44">
        <v>2</v>
      </c>
      <c r="I393" s="44">
        <v>3</v>
      </c>
      <c r="J393" s="44">
        <v>1</v>
      </c>
      <c r="K393" s="44">
        <v>1</v>
      </c>
      <c r="L393" s="44">
        <v>0</v>
      </c>
      <c r="M393" s="43">
        <v>0.625</v>
      </c>
      <c r="N393" s="43">
        <v>0.64583333333333337</v>
      </c>
      <c r="O393" s="43">
        <f>1+18/24/60</f>
        <v>1.0125</v>
      </c>
      <c r="P393" s="43">
        <f>1+48/24/60</f>
        <v>1.0333333333333334</v>
      </c>
      <c r="Q393" s="39"/>
      <c r="R393" s="42" t="s">
        <v>316</v>
      </c>
      <c r="S393" s="29">
        <f>MIP[[#This Row],[PT-1]]+MIP[[#This Row],[PT-2]]*2+MIP[[#This Row],[PT-3]]*3+MIP[[#This Row],[PT &gt; 3 Pontos]]</f>
        <v>8</v>
      </c>
      <c r="T39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393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393" s="41">
        <f>MIP[[#This Row],[Eficiência]]</f>
        <v>0.55931693608324051</v>
      </c>
      <c r="W39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93" s="39">
        <f>IF(MIP[[#This Row],[P.S]]-MIP[[#This Row],[P.E]]&lt;0,1+MIP[[#This Row],[P.S]]-MIP[[#This Row],[P.E]]-1/24,MIP[[#This Row],[P.S]]-MIP[[#This Row],[P.E]]-1/24)</f>
        <v>0.36666666666666675</v>
      </c>
      <c r="Y393" s="39">
        <f>MIP[[#This Row],[PT-1]]*$S$3+MIP[[#This Row],[PT-2]]*$T$3+MIP[[#This Row],[PT-3]]*$U$3+MIP[[#This Row],[PT &gt; 3 Pontos]]*$V$3</f>
        <v>0.18177800422705312</v>
      </c>
      <c r="Z393" s="39">
        <f>MIP[[#This Row],[HH disponível]]-MIP[[#This Row],[HH AC TOT]]</f>
        <v>0.3249999999999999</v>
      </c>
      <c r="AA393" s="38">
        <f>MIP[[#This Row],[HH Produtivo
Total]]/MIP[[#This Row],[HH Trabalhado]]</f>
        <v>0.55931693608324051</v>
      </c>
      <c r="AB393" s="38">
        <f>MIP[[#This Row],[HH Produtivo
Total]]/MIP[[#This Row],[HH disponível]]</f>
        <v>0.49575819334650839</v>
      </c>
      <c r="AC393" s="38">
        <f>MIP[[#This Row],[HH Trabalhado]]/MIP[[#This Row],[HH disponível]]</f>
        <v>0.88636363636363591</v>
      </c>
      <c r="AD393" s="37" t="str">
        <f>LEFT(MIP[[#This Row],[Equipe]], SEARCH("/",MIP[[#This Row],[Equipe]],1)-1)</f>
        <v xml:space="preserve">EDILTON </v>
      </c>
      <c r="AE393" s="37" t="str">
        <f>RIGHT(MIP[[#This Row],[Equipe]], LEN(MIP[[#This Row],[Equipe]])-SEARCH("/",MIP[[#This Row],[Equipe]],1))</f>
        <v xml:space="preserve"> GECIVALDO</v>
      </c>
      <c r="AF393" s="44">
        <f>COUNTIFS('[1]Tempo parado'!H:H,"&gt;="&amp;MIP[[#This Row],[S.B Sitrack]],'[1]Tempo parado'!I:I,"&lt;="&amp;MIP[[#This Row],[C.B Sitrack]],'[1]Tempo parado'!B:B,MIP[[#This Row],[Placa]])</f>
        <v>0</v>
      </c>
      <c r="AG393" s="36"/>
      <c r="AH393" s="35"/>
      <c r="AI393" s="34"/>
      <c r="AJ393" s="34"/>
      <c r="AK39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9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93" s="32">
        <f>SUMIFS('[1]Tempo parado'!J:J,'[1]Tempo parado'!H:H,"&gt;="&amp;MIP[[#This Row],[S.B Sitrack]],'[1]Tempo parado'!I:I,"&lt;="&amp;MIP[[#This Row],[C.B Sitrack]],'[1]Tempo parado'!B:B,MIP[[#This Row],[Placa]])</f>
        <v>0</v>
      </c>
      <c r="AN393" s="32" t="str">
        <f>IFERROR(MIP[[#This Row],[Tempo parado]]/(MIP[[#This Row],[C.B Sitrack]]-MIP[[#This Row],[S.B Sitrack]]),"")</f>
        <v/>
      </c>
      <c r="AO393" s="30"/>
      <c r="AP393" s="44">
        <f>IF(AND(MIP[Exc]=0,MIP[Previsto / Realizado]="Realizado"),MIP[Sem],0)</f>
        <v>0</v>
      </c>
      <c r="AQ393" s="29">
        <f>IF(AND(MIP[Exc]=0,MIP[Previsto / Realizado]="Realizado",ISBLANK(MIP[[#This Row],[S.B Sitrack]])=FALSE,ISBLANK(MIP[[#This Row],[C.B Sitrack]])=FALSE),MIP[Sem],0)</f>
        <v>0</v>
      </c>
    </row>
    <row r="394" spans="1:43" s="64" customFormat="1" x14ac:dyDescent="0.25">
      <c r="A394" s="11"/>
      <c r="B394" s="44">
        <f>WEEKNUM(MIP[[#This Row],[Data]])</f>
        <v>33</v>
      </c>
      <c r="C394" s="45">
        <v>42964</v>
      </c>
      <c r="D394" s="45"/>
      <c r="E394" s="35" t="s">
        <v>3</v>
      </c>
      <c r="F394" s="35" t="s">
        <v>2</v>
      </c>
      <c r="G394" s="35"/>
      <c r="H394" s="44">
        <v>2</v>
      </c>
      <c r="I394" s="44">
        <v>3</v>
      </c>
      <c r="J394" s="44">
        <v>2</v>
      </c>
      <c r="K394" s="44">
        <v>1</v>
      </c>
      <c r="L394" s="44">
        <v>5</v>
      </c>
      <c r="M394" s="43">
        <v>0.62777777777777777</v>
      </c>
      <c r="N394" s="43">
        <v>0.6694444444444444</v>
      </c>
      <c r="O394" s="43">
        <v>0.9916666666666667</v>
      </c>
      <c r="P394" s="43">
        <f>1+63/24/60</f>
        <v>1.04375</v>
      </c>
      <c r="Q394" s="39"/>
      <c r="R394" s="42" t="s">
        <v>88</v>
      </c>
      <c r="S394" s="29">
        <f>MIP[[#This Row],[PT-1]]+MIP[[#This Row],[PT-2]]*2+MIP[[#This Row],[PT-3]]*3+MIP[[#This Row],[PT &gt; 3 Pontos]]</f>
        <v>15</v>
      </c>
      <c r="T39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9.3749999999999889E-2</v>
      </c>
      <c r="U394" s="39">
        <f>IF(MIP[[#This Row],[P.S]]-MIP[[#This Row],[U.P]]&gt;=0,MIP[[#This Row],[P.S]]-MIP[[#This Row],[U.P]]+MIP[[#This Row],[S.B]]-MIP[[#This Row],[P.E]],1+MIP[[#This Row],[P.S]]-MIP[[#This Row],[U.P]]+MIP[[#This Row],[S.B]]-MIP[[#This Row],[P.E]])</f>
        <v>9.3749999999999889E-2</v>
      </c>
      <c r="V394" s="41">
        <f>MIP[[#This Row],[Eficiência]]</f>
        <v>1.1652837317246216</v>
      </c>
      <c r="W39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94" s="39">
        <f>IF(MIP[[#This Row],[P.S]]-MIP[[#This Row],[P.E]]&lt;0,1+MIP[[#This Row],[P.S]]-MIP[[#This Row],[P.E]]-1/24,MIP[[#This Row],[P.S]]-MIP[[#This Row],[P.E]]-1/24)</f>
        <v>0.3743055555555555</v>
      </c>
      <c r="Y394" s="39">
        <f>MIP[[#This Row],[PT-1]]*$S$3+MIP[[#This Row],[PT-2]]*$T$3+MIP[[#This Row],[PT-3]]*$U$3+MIP[[#This Row],[PT &gt; 3 Pontos]]*$V$3</f>
        <v>0.32692682473385226</v>
      </c>
      <c r="Z394" s="39">
        <f>MIP[[#This Row],[HH disponível]]-MIP[[#This Row],[HH AC TOT]]</f>
        <v>0.28055555555555561</v>
      </c>
      <c r="AA394" s="38">
        <f>MIP[[#This Row],[HH Produtivo
Total]]/MIP[[#This Row],[HH Trabalhado]]</f>
        <v>1.1652837317246216</v>
      </c>
      <c r="AB394" s="38">
        <f>MIP[[#This Row],[HH Produtivo
Total]]/MIP[[#This Row],[HH disponível]]</f>
        <v>0.87342231468784293</v>
      </c>
      <c r="AC394" s="38">
        <f>MIP[[#This Row],[HH Trabalhado]]/MIP[[#This Row],[HH disponível]]</f>
        <v>0.74953617810760698</v>
      </c>
      <c r="AD394" s="37" t="str">
        <f>LEFT(MIP[[#This Row],[Equipe]], SEARCH("/",MIP[[#This Row],[Equipe]],1)-1)</f>
        <v xml:space="preserve">EDILTON </v>
      </c>
      <c r="AE394" s="37" t="str">
        <f>RIGHT(MIP[[#This Row],[Equipe]], LEN(MIP[[#This Row],[Equipe]])-SEARCH("/",MIP[[#This Row],[Equipe]],1))</f>
        <v xml:space="preserve"> GECIVALDO</v>
      </c>
      <c r="AF394" s="44">
        <f>COUNTIFS('[1]Tempo parado'!H:H,"&gt;="&amp;MIP[[#This Row],[S.B Sitrack]],'[1]Tempo parado'!I:I,"&lt;="&amp;MIP[[#This Row],[C.B Sitrack]],'[1]Tempo parado'!B:B,MIP[[#This Row],[Placa]])</f>
        <v>0</v>
      </c>
      <c r="AG394" s="36"/>
      <c r="AH394" s="35"/>
      <c r="AI394" s="34"/>
      <c r="AJ394" s="34"/>
      <c r="AK39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9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94" s="32">
        <f>SUMIFS('[1]Tempo parado'!J:J,'[1]Tempo parado'!H:H,"&gt;="&amp;MIP[[#This Row],[S.B Sitrack]],'[1]Tempo parado'!I:I,"&lt;="&amp;MIP[[#This Row],[C.B Sitrack]],'[1]Tempo parado'!B:B,MIP[[#This Row],[Placa]])</f>
        <v>0</v>
      </c>
      <c r="AN394" s="32" t="str">
        <f>IFERROR(MIP[[#This Row],[Tempo parado]]/(MIP[[#This Row],[C.B Sitrack]]-MIP[[#This Row],[S.B Sitrack]]),"")</f>
        <v/>
      </c>
      <c r="AO394" s="30"/>
      <c r="AP394" s="44">
        <f>IF(AND(MIP[Exc]=0,MIP[Previsto / Realizado]="Realizado"),MIP[Sem],0)</f>
        <v>33</v>
      </c>
      <c r="AQ394" s="29">
        <f>IF(AND(MIP[Exc]=0,MIP[Previsto / Realizado]="Realizado",ISBLANK(MIP[[#This Row],[S.B Sitrack]])=FALSE,ISBLANK(MIP[[#This Row],[C.B Sitrack]])=FALSE),MIP[Sem],0)</f>
        <v>0</v>
      </c>
    </row>
    <row r="395" spans="1:43" s="47" customFormat="1" x14ac:dyDescent="0.25">
      <c r="A395" s="11"/>
      <c r="B395" s="44">
        <f>WEEKNUM(MIP[[#This Row],[Data]])</f>
        <v>33</v>
      </c>
      <c r="C395" s="45">
        <v>42965</v>
      </c>
      <c r="D395" s="45"/>
      <c r="E395" s="35" t="s">
        <v>10</v>
      </c>
      <c r="F395" s="35" t="s">
        <v>5</v>
      </c>
      <c r="G395" s="35"/>
      <c r="H395" s="44">
        <v>2</v>
      </c>
      <c r="I395" s="44">
        <v>5</v>
      </c>
      <c r="J395" s="44">
        <v>2</v>
      </c>
      <c r="K395" s="44">
        <v>0</v>
      </c>
      <c r="L395" s="44">
        <v>0</v>
      </c>
      <c r="M395" s="43">
        <v>0.25</v>
      </c>
      <c r="N395" s="43">
        <v>0.27083333333333331</v>
      </c>
      <c r="O395" s="43">
        <v>0.63750000000000007</v>
      </c>
      <c r="P395" s="43">
        <v>0.65833333333333333</v>
      </c>
      <c r="Q395" s="39"/>
      <c r="R395" s="42"/>
      <c r="S395" s="29">
        <f>MIP[[#This Row],[PT-1]]+MIP[[#This Row],[PT-2]]*2+MIP[[#This Row],[PT-3]]*3+MIP[[#This Row],[PT &gt; 3 Pontos]]</f>
        <v>9</v>
      </c>
      <c r="T39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395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395" s="41">
        <f>MIP[[#This Row],[Eficiência]]</f>
        <v>0.65522091384863079</v>
      </c>
      <c r="W39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95" s="39">
        <f>IF(MIP[[#This Row],[P.S]]-MIP[[#This Row],[P.E]]&lt;0,1+MIP[[#This Row],[P.S]]-MIP[[#This Row],[P.E]]-1/24,MIP[[#This Row],[P.S]]-MIP[[#This Row],[P.E]]-1/24)</f>
        <v>0.36666666666666664</v>
      </c>
      <c r="Y395" s="39">
        <f>MIP[[#This Row],[PT-1]]*$S$3+MIP[[#This Row],[PT-2]]*$T$3+MIP[[#This Row],[PT-3]]*$U$3+MIP[[#This Row],[PT &gt; 3 Pontos]]*$V$3</f>
        <v>0.21294679700080504</v>
      </c>
      <c r="Z395" s="39">
        <f>MIP[[#This Row],[HH disponível]]-MIP[[#This Row],[HH AC TOT]]</f>
        <v>0.32500000000000007</v>
      </c>
      <c r="AA395" s="38">
        <f>MIP[[#This Row],[HH Produtivo
Total]]/MIP[[#This Row],[HH Trabalhado]]</f>
        <v>0.65522091384863079</v>
      </c>
      <c r="AB395" s="38">
        <f>MIP[[#This Row],[HH Produtivo
Total]]/MIP[[#This Row],[HH disponível]]</f>
        <v>0.58076399182037741</v>
      </c>
      <c r="AC395" s="38">
        <f>MIP[[#This Row],[HH Trabalhado]]/MIP[[#This Row],[HH disponível]]</f>
        <v>0.88636363636363658</v>
      </c>
      <c r="AD395" s="37" t="str">
        <f>LEFT(MIP[[#This Row],[Equipe]], SEARCH("/",MIP[[#This Row],[Equipe]],1)-1)</f>
        <v xml:space="preserve">JOILSON </v>
      </c>
      <c r="AE395" s="37" t="str">
        <f>RIGHT(MIP[[#This Row],[Equipe]], LEN(MIP[[#This Row],[Equipe]])-SEARCH("/",MIP[[#This Row],[Equipe]],1))</f>
        <v xml:space="preserve"> VALDEI</v>
      </c>
      <c r="AF395" s="44">
        <f>COUNTIFS('[1]Tempo parado'!H:H,"&gt;="&amp;MIP[[#This Row],[S.B Sitrack]],'[1]Tempo parado'!I:I,"&lt;="&amp;MIP[[#This Row],[C.B Sitrack]],'[1]Tempo parado'!B:B,MIP[[#This Row],[Placa]])</f>
        <v>0</v>
      </c>
      <c r="AG395" s="36"/>
      <c r="AH395" s="35"/>
      <c r="AI395" s="34"/>
      <c r="AJ395" s="34"/>
      <c r="AK39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9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95" s="32">
        <f>SUMIFS('[1]Tempo parado'!J:J,'[1]Tempo parado'!H:H,"&gt;="&amp;MIP[[#This Row],[S.B Sitrack]],'[1]Tempo parado'!I:I,"&lt;="&amp;MIP[[#This Row],[C.B Sitrack]],'[1]Tempo parado'!B:B,MIP[[#This Row],[Placa]])</f>
        <v>0</v>
      </c>
      <c r="AN395" s="32" t="str">
        <f>IFERROR(MIP[[#This Row],[Tempo parado]]/(MIP[[#This Row],[C.B Sitrack]]-MIP[[#This Row],[S.B Sitrack]]),"")</f>
        <v/>
      </c>
      <c r="AO395" s="30"/>
      <c r="AP395" s="44">
        <f>IF(AND(MIP[Exc]=0,MIP[Previsto / Realizado]="Realizado"),MIP[Sem],0)</f>
        <v>0</v>
      </c>
      <c r="AQ395" s="29">
        <f>IF(AND(MIP[Exc]=0,MIP[Previsto / Realizado]="Realizado",ISBLANK(MIP[[#This Row],[S.B Sitrack]])=FALSE,ISBLANK(MIP[[#This Row],[C.B Sitrack]])=FALSE),MIP[Sem],0)</f>
        <v>0</v>
      </c>
    </row>
    <row r="396" spans="1:43" s="64" customFormat="1" x14ac:dyDescent="0.25">
      <c r="A396" s="11"/>
      <c r="B396" s="44">
        <f>WEEKNUM(MIP[[#This Row],[Data]])</f>
        <v>33</v>
      </c>
      <c r="C396" s="45">
        <v>42965</v>
      </c>
      <c r="D396" s="45"/>
      <c r="E396" s="35" t="s">
        <v>10</v>
      </c>
      <c r="F396" s="35" t="s">
        <v>2</v>
      </c>
      <c r="G396" s="35"/>
      <c r="H396" s="44">
        <v>2</v>
      </c>
      <c r="I396" s="44">
        <v>5</v>
      </c>
      <c r="J396" s="44">
        <v>2</v>
      </c>
      <c r="K396" s="44">
        <v>0</v>
      </c>
      <c r="L396" s="44">
        <v>3</v>
      </c>
      <c r="M396" s="43">
        <v>0.25763888888888892</v>
      </c>
      <c r="N396" s="43">
        <v>0.29166666666666669</v>
      </c>
      <c r="O396" s="43">
        <v>0.63124999999999998</v>
      </c>
      <c r="P396" s="43">
        <v>0.66319444444444442</v>
      </c>
      <c r="Q396" s="39"/>
      <c r="R396" s="42" t="s">
        <v>315</v>
      </c>
      <c r="S396" s="29">
        <f>MIP[[#This Row],[PT-1]]+MIP[[#This Row],[PT-2]]*2+MIP[[#This Row],[PT-3]]*3+MIP[[#This Row],[PT &gt; 3 Pontos]]</f>
        <v>12</v>
      </c>
      <c r="T39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6.597222222222221E-2</v>
      </c>
      <c r="U396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6.597222222222221E-2</v>
      </c>
      <c r="V396" s="41">
        <f>MIP[[#This Row],[Eficiência]]</f>
        <v>0.91868250509554839</v>
      </c>
      <c r="W39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96" s="39">
        <f>IF(MIP[[#This Row],[P.S]]-MIP[[#This Row],[P.E]]&lt;0,1+MIP[[#This Row],[P.S]]-MIP[[#This Row],[P.E]]-1/24,MIP[[#This Row],[P.S]]-MIP[[#This Row],[P.E]]-1/24)</f>
        <v>0.36388888888888882</v>
      </c>
      <c r="Y396" s="39">
        <f>MIP[[#This Row],[PT-1]]*$S$3+MIP[[#This Row],[PT-2]]*$T$3+MIP[[#This Row],[PT-3]]*$U$3+MIP[[#This Row],[PT &gt; 3 Pontos]]*$V$3</f>
        <v>0.27369082964304875</v>
      </c>
      <c r="Z396" s="39">
        <f>MIP[[#This Row],[HH disponível]]-MIP[[#This Row],[HH AC TOT]]</f>
        <v>0.29791666666666661</v>
      </c>
      <c r="AA396" s="38">
        <f>MIP[[#This Row],[HH Produtivo
Total]]/MIP[[#This Row],[HH Trabalhado]]</f>
        <v>0.91868250509554839</v>
      </c>
      <c r="AB396" s="38">
        <f>MIP[[#This Row],[HH Produtivo
Total]]/MIP[[#This Row],[HH disponível]]</f>
        <v>0.75212747077479059</v>
      </c>
      <c r="AC396" s="38">
        <f>MIP[[#This Row],[HH Trabalhado]]/MIP[[#This Row],[HH disponível]]</f>
        <v>0.81870229007633588</v>
      </c>
      <c r="AD396" s="37" t="str">
        <f>LEFT(MIP[[#This Row],[Equipe]], SEARCH("/",MIP[[#This Row],[Equipe]],1)-1)</f>
        <v xml:space="preserve">JOILSON </v>
      </c>
      <c r="AE396" s="37" t="str">
        <f>RIGHT(MIP[[#This Row],[Equipe]], LEN(MIP[[#This Row],[Equipe]])-SEARCH("/",MIP[[#This Row],[Equipe]],1))</f>
        <v xml:space="preserve"> VALDEI</v>
      </c>
      <c r="AF396" s="44">
        <f>COUNTIFS('[1]Tempo parado'!H:H,"&gt;="&amp;MIP[[#This Row],[S.B Sitrack]],'[1]Tempo parado'!I:I,"&lt;="&amp;MIP[[#This Row],[C.B Sitrack]],'[1]Tempo parado'!B:B,MIP[[#This Row],[Placa]])</f>
        <v>0</v>
      </c>
      <c r="AG396" s="36"/>
      <c r="AH396" s="35"/>
      <c r="AI396" s="34"/>
      <c r="AJ396" s="34"/>
      <c r="AK39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9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96" s="32">
        <f>SUMIFS('[1]Tempo parado'!J:J,'[1]Tempo parado'!H:H,"&gt;="&amp;MIP[[#This Row],[S.B Sitrack]],'[1]Tempo parado'!I:I,"&lt;="&amp;MIP[[#This Row],[C.B Sitrack]],'[1]Tempo parado'!B:B,MIP[[#This Row],[Placa]])</f>
        <v>0</v>
      </c>
      <c r="AN396" s="32" t="str">
        <f>IFERROR(MIP[[#This Row],[Tempo parado]]/(MIP[[#This Row],[C.B Sitrack]]-MIP[[#This Row],[S.B Sitrack]]),"")</f>
        <v/>
      </c>
      <c r="AO396" s="30"/>
      <c r="AP396" s="44">
        <f>IF(AND(MIP[Exc]=0,MIP[Previsto / Realizado]="Realizado"),MIP[Sem],0)</f>
        <v>33</v>
      </c>
      <c r="AQ396" s="29">
        <f>IF(AND(MIP[Exc]=0,MIP[Previsto / Realizado]="Realizado",ISBLANK(MIP[[#This Row],[S.B Sitrack]])=FALSE,ISBLANK(MIP[[#This Row],[C.B Sitrack]])=FALSE),MIP[Sem],0)</f>
        <v>0</v>
      </c>
    </row>
    <row r="397" spans="1:43" x14ac:dyDescent="0.25">
      <c r="B397" s="44">
        <f>WEEKNUM(MIP[[#This Row],[Data]])</f>
        <v>33</v>
      </c>
      <c r="C397" s="45">
        <v>42965</v>
      </c>
      <c r="D397" s="45"/>
      <c r="E397" s="35" t="s">
        <v>19</v>
      </c>
      <c r="F397" s="35" t="s">
        <v>5</v>
      </c>
      <c r="G397" s="35"/>
      <c r="H397" s="44">
        <v>2</v>
      </c>
      <c r="I397" s="44">
        <v>2</v>
      </c>
      <c r="J397" s="44">
        <v>0</v>
      </c>
      <c r="K397" s="44">
        <v>0</v>
      </c>
      <c r="L397" s="44">
        <v>14</v>
      </c>
      <c r="M397" s="43">
        <v>0.625</v>
      </c>
      <c r="N397" s="43">
        <v>0.64583333333333337</v>
      </c>
      <c r="O397" s="43">
        <f>1+18/24/60</f>
        <v>1.0125</v>
      </c>
      <c r="P397" s="43">
        <f>1+48/24/60</f>
        <v>1.0333333333333334</v>
      </c>
      <c r="Q397" s="39"/>
      <c r="R397" s="42"/>
      <c r="S397" s="29">
        <f>MIP[[#This Row],[PT-1]]+MIP[[#This Row],[PT-2]]*2+MIP[[#This Row],[PT-3]]*3+MIP[[#This Row],[PT &gt; 3 Pontos]]</f>
        <v>16</v>
      </c>
      <c r="T39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397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397" s="41">
        <f>MIP[[#This Row],[Eficiência]]</f>
        <v>1.0262272561487544</v>
      </c>
      <c r="W39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97" s="39">
        <f>IF(MIP[[#This Row],[P.S]]-MIP[[#This Row],[P.E]]&lt;0,1+MIP[[#This Row],[P.S]]-MIP[[#This Row],[P.E]]-1/24,MIP[[#This Row],[P.S]]-MIP[[#This Row],[P.E]]-1/24)</f>
        <v>0.36666666666666675</v>
      </c>
      <c r="Y397" s="39">
        <f>MIP[[#This Row],[PT-1]]*$S$3+MIP[[#This Row],[PT-2]]*$T$3+MIP[[#This Row],[PT-3]]*$U$3+MIP[[#This Row],[PT &gt; 3 Pontos]]*$V$3</f>
        <v>0.33352385824834507</v>
      </c>
      <c r="Z397" s="39">
        <f>MIP[[#This Row],[HH disponível]]-MIP[[#This Row],[HH AC TOT]]</f>
        <v>0.3249999999999999</v>
      </c>
      <c r="AA397" s="38">
        <f>MIP[[#This Row],[HH Produtivo
Total]]/MIP[[#This Row],[HH Trabalhado]]</f>
        <v>1.0262272561487544</v>
      </c>
      <c r="AB397" s="38">
        <f>MIP[[#This Row],[HH Produtivo
Total]]/MIP[[#This Row],[HH disponível]]</f>
        <v>0.90961052249548635</v>
      </c>
      <c r="AC397" s="38">
        <f>MIP[[#This Row],[HH Trabalhado]]/MIP[[#This Row],[HH disponível]]</f>
        <v>0.88636363636363591</v>
      </c>
      <c r="AD397" s="37" t="str">
        <f>LEFT(MIP[[#This Row],[Equipe]], SEARCH("/",MIP[[#This Row],[Equipe]],1)-1)</f>
        <v xml:space="preserve">ADEMÁRIO </v>
      </c>
      <c r="AE397" s="37" t="str">
        <f>RIGHT(MIP[[#This Row],[Equipe]], LEN(MIP[[#This Row],[Equipe]])-SEARCH("/",MIP[[#This Row],[Equipe]],1))</f>
        <v xml:space="preserve"> RONALDO</v>
      </c>
      <c r="AF397" s="44">
        <f>COUNTIFS('[1]Tempo parado'!H:H,"&gt;="&amp;MIP[[#This Row],[S.B Sitrack]],'[1]Tempo parado'!I:I,"&lt;="&amp;MIP[[#This Row],[C.B Sitrack]],'[1]Tempo parado'!B:B,MIP[[#This Row],[Placa]])</f>
        <v>0</v>
      </c>
      <c r="AG397" s="36"/>
      <c r="AH397" s="35"/>
      <c r="AI397" s="34"/>
      <c r="AJ397" s="34"/>
      <c r="AK39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9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97" s="32">
        <f>SUMIFS('[1]Tempo parado'!J:J,'[1]Tempo parado'!H:H,"&gt;="&amp;MIP[[#This Row],[S.B Sitrack]],'[1]Tempo parado'!I:I,"&lt;="&amp;MIP[[#This Row],[C.B Sitrack]],'[1]Tempo parado'!B:B,MIP[[#This Row],[Placa]])</f>
        <v>0</v>
      </c>
      <c r="AN397" s="32" t="str">
        <f>IFERROR(MIP[[#This Row],[Tempo parado]]/(MIP[[#This Row],[C.B Sitrack]]-MIP[[#This Row],[S.B Sitrack]]),"")</f>
        <v/>
      </c>
      <c r="AO397" s="30"/>
      <c r="AP397" s="44">
        <f>IF(AND(MIP[Exc]=0,MIP[Previsto / Realizado]="Realizado"),MIP[Sem],0)</f>
        <v>0</v>
      </c>
      <c r="AQ397" s="29">
        <f>IF(AND(MIP[Exc]=0,MIP[Previsto / Realizado]="Realizado",ISBLANK(MIP[[#This Row],[S.B Sitrack]])=FALSE,ISBLANK(MIP[[#This Row],[C.B Sitrack]])=FALSE),MIP[Sem],0)</f>
        <v>0</v>
      </c>
    </row>
    <row r="398" spans="1:43" x14ac:dyDescent="0.25">
      <c r="B398" s="44">
        <f>WEEKNUM(MIP[[#This Row],[Data]])</f>
        <v>33</v>
      </c>
      <c r="C398" s="45">
        <v>42965</v>
      </c>
      <c r="D398" s="45"/>
      <c r="E398" s="35" t="s">
        <v>19</v>
      </c>
      <c r="F398" s="35" t="s">
        <v>2</v>
      </c>
      <c r="G398" s="35"/>
      <c r="H398" s="44">
        <v>2</v>
      </c>
      <c r="I398" s="44">
        <v>2</v>
      </c>
      <c r="J398" s="44">
        <v>0</v>
      </c>
      <c r="K398" s="44">
        <v>0</v>
      </c>
      <c r="L398" s="44">
        <v>14</v>
      </c>
      <c r="M398" s="43">
        <v>0.62777777777777777</v>
      </c>
      <c r="N398" s="43">
        <v>0.6645833333333333</v>
      </c>
      <c r="O398" s="43">
        <v>0.92499999999999993</v>
      </c>
      <c r="P398" s="43">
        <f>1+63/24/60</f>
        <v>1.04375</v>
      </c>
      <c r="Q398" s="39"/>
      <c r="R398" s="42"/>
      <c r="S398" s="29">
        <f>MIP[[#This Row],[PT-1]]+MIP[[#This Row],[PT-2]]*2+MIP[[#This Row],[PT-3]]*3+MIP[[#This Row],[PT &gt; 3 Pontos]]</f>
        <v>16</v>
      </c>
      <c r="T39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0.15555555555555556</v>
      </c>
      <c r="U398" s="39">
        <f>IF(MIP[[#This Row],[P.S]]-MIP[[#This Row],[U.P]]&gt;=0,MIP[[#This Row],[P.S]]-MIP[[#This Row],[U.P]]+MIP[[#This Row],[S.B]]-MIP[[#This Row],[P.E]],1+MIP[[#This Row],[P.S]]-MIP[[#This Row],[U.P]]+MIP[[#This Row],[S.B]]-MIP[[#This Row],[P.E]])</f>
        <v>0.15555555555555556</v>
      </c>
      <c r="V398" s="41">
        <f>MIP[[#This Row],[Eficiência]]</f>
        <v>1.5246804948495778</v>
      </c>
      <c r="W39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98" s="39">
        <f>IF(MIP[[#This Row],[P.S]]-MIP[[#This Row],[P.E]]&lt;0,1+MIP[[#This Row],[P.S]]-MIP[[#This Row],[P.E]]-1/24,MIP[[#This Row],[P.S]]-MIP[[#This Row],[P.E]]-1/24)</f>
        <v>0.3743055555555555</v>
      </c>
      <c r="Y398" s="39">
        <f>MIP[[#This Row],[PT-1]]*$S$3+MIP[[#This Row],[PT-2]]*$T$3+MIP[[#This Row],[PT-3]]*$U$3+MIP[[#This Row],[PT &gt; 3 Pontos]]*$V$3</f>
        <v>0.33352385824834507</v>
      </c>
      <c r="Z398" s="39">
        <f>MIP[[#This Row],[HH disponível]]-MIP[[#This Row],[HH AC TOT]]</f>
        <v>0.21874999999999994</v>
      </c>
      <c r="AA398" s="38">
        <f>MIP[[#This Row],[HH Produtivo
Total]]/MIP[[#This Row],[HH Trabalhado]]</f>
        <v>1.5246804948495778</v>
      </c>
      <c r="AB398" s="38">
        <f>MIP[[#This Row],[HH Produtivo
Total]]/MIP[[#This Row],[HH disponível]]</f>
        <v>0.89104704244455835</v>
      </c>
      <c r="AC398" s="38">
        <f>MIP[[#This Row],[HH Trabalhado]]/MIP[[#This Row],[HH disponível]]</f>
        <v>0.58441558441558439</v>
      </c>
      <c r="AD398" s="37" t="str">
        <f>LEFT(MIP[[#This Row],[Equipe]], SEARCH("/",MIP[[#This Row],[Equipe]],1)-1)</f>
        <v xml:space="preserve">ADEMÁRIO </v>
      </c>
      <c r="AE398" s="37" t="str">
        <f>RIGHT(MIP[[#This Row],[Equipe]], LEN(MIP[[#This Row],[Equipe]])-SEARCH("/",MIP[[#This Row],[Equipe]],1))</f>
        <v xml:space="preserve"> RONALDO</v>
      </c>
      <c r="AF398" s="44">
        <f>COUNTIFS('[1]Tempo parado'!H:H,"&gt;="&amp;MIP[[#This Row],[S.B Sitrack]],'[1]Tempo parado'!I:I,"&lt;="&amp;MIP[[#This Row],[C.B Sitrack]],'[1]Tempo parado'!B:B,MIP[[#This Row],[Placa]])</f>
        <v>0</v>
      </c>
      <c r="AG398" s="36"/>
      <c r="AH398" s="35"/>
      <c r="AI398" s="34"/>
      <c r="AJ398" s="34"/>
      <c r="AK39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9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98" s="32">
        <f>SUMIFS('[1]Tempo parado'!J:J,'[1]Tempo parado'!H:H,"&gt;="&amp;MIP[[#This Row],[S.B Sitrack]],'[1]Tempo parado'!I:I,"&lt;="&amp;MIP[[#This Row],[C.B Sitrack]],'[1]Tempo parado'!B:B,MIP[[#This Row],[Placa]])</f>
        <v>0</v>
      </c>
      <c r="AN398" s="32" t="str">
        <f>IFERROR(MIP[[#This Row],[Tempo parado]]/(MIP[[#This Row],[C.B Sitrack]]-MIP[[#This Row],[S.B Sitrack]]),"")</f>
        <v/>
      </c>
      <c r="AO398" s="30"/>
      <c r="AP398" s="44">
        <f>IF(AND(MIP[Exc]=0,MIP[Previsto / Realizado]="Realizado"),MIP[Sem],0)</f>
        <v>33</v>
      </c>
      <c r="AQ398" s="29">
        <f>IF(AND(MIP[Exc]=0,MIP[Previsto / Realizado]="Realizado",ISBLANK(MIP[[#This Row],[S.B Sitrack]])=FALSE,ISBLANK(MIP[[#This Row],[C.B Sitrack]])=FALSE),MIP[Sem],0)</f>
        <v>0</v>
      </c>
    </row>
    <row r="399" spans="1:43" x14ac:dyDescent="0.25">
      <c r="B399" s="44">
        <f>WEEKNUM(MIP[[#This Row],[Data]])</f>
        <v>33</v>
      </c>
      <c r="C399" s="45">
        <v>42965</v>
      </c>
      <c r="D399" s="45"/>
      <c r="E399" s="35" t="s">
        <v>7</v>
      </c>
      <c r="F399" s="35" t="s">
        <v>5</v>
      </c>
      <c r="G399" s="35"/>
      <c r="H399" s="44">
        <v>2</v>
      </c>
      <c r="I399" s="44">
        <v>3</v>
      </c>
      <c r="J399" s="44">
        <v>1</v>
      </c>
      <c r="K399" s="44">
        <v>0</v>
      </c>
      <c r="L399" s="44">
        <v>11</v>
      </c>
      <c r="M399" s="43">
        <v>0.625</v>
      </c>
      <c r="N399" s="43">
        <v>0.64583333333333337</v>
      </c>
      <c r="O399" s="43">
        <f>1+18/24/60</f>
        <v>1.0125</v>
      </c>
      <c r="P399" s="43">
        <f>1+48/24/60</f>
        <v>1.0333333333333334</v>
      </c>
      <c r="Q399" s="39"/>
      <c r="R399" s="42" t="s">
        <v>314</v>
      </c>
      <c r="S399" s="29">
        <f>MIP[[#This Row],[PT-1]]+MIP[[#This Row],[PT-2]]*2+MIP[[#This Row],[PT-3]]*3+MIP[[#This Row],[PT &gt; 3 Pontos]]</f>
        <v>16</v>
      </c>
      <c r="T39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399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399" s="41">
        <f>MIP[[#This Row],[Eficiência]]</f>
        <v>1.0514290605172254</v>
      </c>
      <c r="W39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399" s="39">
        <f>IF(MIP[[#This Row],[P.S]]-MIP[[#This Row],[P.E]]&lt;0,1+MIP[[#This Row],[P.S]]-MIP[[#This Row],[P.E]]-1/24,MIP[[#This Row],[P.S]]-MIP[[#This Row],[P.E]]-1/24)</f>
        <v>0.36666666666666675</v>
      </c>
      <c r="Y399" s="39">
        <f>MIP[[#This Row],[PT-1]]*$S$3+MIP[[#This Row],[PT-2]]*$T$3+MIP[[#This Row],[PT-3]]*$U$3+MIP[[#This Row],[PT &gt; 3 Pontos]]*$V$3</f>
        <v>0.34171444466809814</v>
      </c>
      <c r="Z399" s="39">
        <f>MIP[[#This Row],[HH disponível]]-MIP[[#This Row],[HH AC TOT]]</f>
        <v>0.3249999999999999</v>
      </c>
      <c r="AA399" s="38">
        <f>MIP[[#This Row],[HH Produtivo
Total]]/MIP[[#This Row],[HH Trabalhado]]</f>
        <v>1.0514290605172254</v>
      </c>
      <c r="AB399" s="38">
        <f>MIP[[#This Row],[HH Produtivo
Total]]/MIP[[#This Row],[HH disponível]]</f>
        <v>0.93194848545844922</v>
      </c>
      <c r="AC399" s="38">
        <f>MIP[[#This Row],[HH Trabalhado]]/MIP[[#This Row],[HH disponível]]</f>
        <v>0.88636363636363591</v>
      </c>
      <c r="AD399" s="37" t="str">
        <f>LEFT(MIP[[#This Row],[Equipe]], SEARCH("/",MIP[[#This Row],[Equipe]],1)-1)</f>
        <v xml:space="preserve">ANDERSON </v>
      </c>
      <c r="AE399" s="37" t="str">
        <f>RIGHT(MIP[[#This Row],[Equipe]], LEN(MIP[[#This Row],[Equipe]])-SEARCH("/",MIP[[#This Row],[Equipe]],1))</f>
        <v xml:space="preserve"> MARCO</v>
      </c>
      <c r="AF399" s="44">
        <f>COUNTIFS('[1]Tempo parado'!H:H,"&gt;="&amp;MIP[[#This Row],[S.B Sitrack]],'[1]Tempo parado'!I:I,"&lt;="&amp;MIP[[#This Row],[C.B Sitrack]],'[1]Tempo parado'!B:B,MIP[[#This Row],[Placa]])</f>
        <v>0</v>
      </c>
      <c r="AG399" s="36"/>
      <c r="AH399" s="35"/>
      <c r="AI399" s="34"/>
      <c r="AJ399" s="34"/>
      <c r="AK39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39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399" s="32">
        <f>SUMIFS('[1]Tempo parado'!J:J,'[1]Tempo parado'!H:H,"&gt;="&amp;MIP[[#This Row],[S.B Sitrack]],'[1]Tempo parado'!I:I,"&lt;="&amp;MIP[[#This Row],[C.B Sitrack]],'[1]Tempo parado'!B:B,MIP[[#This Row],[Placa]])</f>
        <v>0</v>
      </c>
      <c r="AN399" s="32" t="str">
        <f>IFERROR(MIP[[#This Row],[Tempo parado]]/(MIP[[#This Row],[C.B Sitrack]]-MIP[[#This Row],[S.B Sitrack]]),"")</f>
        <v/>
      </c>
      <c r="AO399" s="30"/>
      <c r="AP399" s="44">
        <f>IF(AND(MIP[Exc]=0,MIP[Previsto / Realizado]="Realizado"),MIP[Sem],0)</f>
        <v>0</v>
      </c>
      <c r="AQ399" s="29">
        <f>IF(AND(MIP[Exc]=0,MIP[Previsto / Realizado]="Realizado",ISBLANK(MIP[[#This Row],[S.B Sitrack]])=FALSE,ISBLANK(MIP[[#This Row],[C.B Sitrack]])=FALSE),MIP[Sem],0)</f>
        <v>0</v>
      </c>
    </row>
    <row r="400" spans="1:43" x14ac:dyDescent="0.25">
      <c r="B400" s="44">
        <f>WEEKNUM(MIP[[#This Row],[Data]])</f>
        <v>33</v>
      </c>
      <c r="C400" s="45">
        <v>42965</v>
      </c>
      <c r="D400" s="45"/>
      <c r="E400" s="35" t="s">
        <v>7</v>
      </c>
      <c r="F400" s="35" t="s">
        <v>2</v>
      </c>
      <c r="G400" s="35"/>
      <c r="H400" s="44">
        <v>2</v>
      </c>
      <c r="I400" s="44">
        <v>3</v>
      </c>
      <c r="J400" s="44">
        <v>1</v>
      </c>
      <c r="K400" s="44">
        <v>0</v>
      </c>
      <c r="L400" s="44">
        <v>7</v>
      </c>
      <c r="M400" s="43">
        <v>0.62222222222222223</v>
      </c>
      <c r="N400" s="43">
        <v>0.66319444444444442</v>
      </c>
      <c r="O400" s="43">
        <f>1+15/24/60</f>
        <v>1.0104166666666667</v>
      </c>
      <c r="P400" s="43">
        <f>1+48/24/60</f>
        <v>1.0333333333333334</v>
      </c>
      <c r="Q400" s="39"/>
      <c r="R400" s="42" t="s">
        <v>313</v>
      </c>
      <c r="S400" s="29">
        <f>MIP[[#This Row],[PT-1]]+MIP[[#This Row],[PT-2]]*2+MIP[[#This Row],[PT-3]]*3+MIP[[#This Row],[PT &gt; 3 Pontos]]</f>
        <v>12</v>
      </c>
      <c r="T40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6.3888888888888884E-2</v>
      </c>
      <c r="U400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6.3888888888888884E-2</v>
      </c>
      <c r="V400" s="41">
        <f>MIP[[#This Row],[Eficiência]]</f>
        <v>0.85327331283853003</v>
      </c>
      <c r="W40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00" s="39">
        <f>IF(MIP[[#This Row],[P.S]]-MIP[[#This Row],[P.E]]&lt;0,1+MIP[[#This Row],[P.S]]-MIP[[#This Row],[P.E]]-1/24,MIP[[#This Row],[P.S]]-MIP[[#This Row],[P.E]]-1/24)</f>
        <v>0.36944444444444452</v>
      </c>
      <c r="Y400" s="39">
        <f>MIP[[#This Row],[PT-1]]*$S$3+MIP[[#This Row],[PT-2]]*$T$3+MIP[[#This Row],[PT-3]]*$U$3+MIP[[#This Row],[PT &gt; 3 Pontos]]*$V$3</f>
        <v>0.26072240114510647</v>
      </c>
      <c r="Z400" s="39">
        <f>MIP[[#This Row],[HH disponível]]-MIP[[#This Row],[HH AC TOT]]</f>
        <v>0.30555555555555564</v>
      </c>
      <c r="AA400" s="38">
        <f>MIP[[#This Row],[HH Produtivo
Total]]/MIP[[#This Row],[HH Trabalhado]]</f>
        <v>0.85327331283853003</v>
      </c>
      <c r="AB400" s="38">
        <f>MIP[[#This Row],[HH Produtivo
Total]]/MIP[[#This Row],[HH disponível]]</f>
        <v>0.70571477001682936</v>
      </c>
      <c r="AC400" s="38">
        <f>MIP[[#This Row],[HH Trabalhado]]/MIP[[#This Row],[HH disponível]]</f>
        <v>0.8270676691729324</v>
      </c>
      <c r="AD400" s="37" t="str">
        <f>LEFT(MIP[[#This Row],[Equipe]], SEARCH("/",MIP[[#This Row],[Equipe]],1)-1)</f>
        <v xml:space="preserve">ANDERSON </v>
      </c>
      <c r="AE400" s="37" t="str">
        <f>RIGHT(MIP[[#This Row],[Equipe]], LEN(MIP[[#This Row],[Equipe]])-SEARCH("/",MIP[[#This Row],[Equipe]],1))</f>
        <v xml:space="preserve"> MARCO</v>
      </c>
      <c r="AF400" s="44">
        <f>COUNTIFS('[1]Tempo parado'!H:H,"&gt;="&amp;MIP[[#This Row],[S.B Sitrack]],'[1]Tempo parado'!I:I,"&lt;="&amp;MIP[[#This Row],[C.B Sitrack]],'[1]Tempo parado'!B:B,MIP[[#This Row],[Placa]])</f>
        <v>0</v>
      </c>
      <c r="AG400" s="36"/>
      <c r="AH400" s="35"/>
      <c r="AI400" s="34"/>
      <c r="AJ400" s="34"/>
      <c r="AK40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0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00" s="32">
        <f>SUMIFS('[1]Tempo parado'!J:J,'[1]Tempo parado'!H:H,"&gt;="&amp;MIP[[#This Row],[S.B Sitrack]],'[1]Tempo parado'!I:I,"&lt;="&amp;MIP[[#This Row],[C.B Sitrack]],'[1]Tempo parado'!B:B,MIP[[#This Row],[Placa]])</f>
        <v>0</v>
      </c>
      <c r="AN400" s="32" t="str">
        <f>IFERROR(MIP[[#This Row],[Tempo parado]]/(MIP[[#This Row],[C.B Sitrack]]-MIP[[#This Row],[S.B Sitrack]]),"")</f>
        <v/>
      </c>
      <c r="AO400" s="30"/>
      <c r="AP400" s="44">
        <f>IF(AND(MIP[Exc]=0,MIP[Previsto / Realizado]="Realizado"),MIP[Sem],0)</f>
        <v>33</v>
      </c>
      <c r="AQ400" s="29">
        <f>IF(AND(MIP[Exc]=0,MIP[Previsto / Realizado]="Realizado",ISBLANK(MIP[[#This Row],[S.B Sitrack]])=FALSE,ISBLANK(MIP[[#This Row],[C.B Sitrack]])=FALSE),MIP[Sem],0)</f>
        <v>0</v>
      </c>
    </row>
    <row r="401" spans="1:43" x14ac:dyDescent="0.25">
      <c r="B401" s="44">
        <f>WEEKNUM(MIP[[#This Row],[Data]])</f>
        <v>33</v>
      </c>
      <c r="C401" s="45">
        <v>42965</v>
      </c>
      <c r="D401" s="45"/>
      <c r="E401" s="35" t="s">
        <v>3</v>
      </c>
      <c r="F401" s="35" t="s">
        <v>5</v>
      </c>
      <c r="G401" s="35"/>
      <c r="H401" s="44">
        <v>2</v>
      </c>
      <c r="I401" s="44">
        <v>2</v>
      </c>
      <c r="J401" s="44">
        <v>0</v>
      </c>
      <c r="K401" s="44">
        <v>2</v>
      </c>
      <c r="L401" s="44">
        <v>8</v>
      </c>
      <c r="M401" s="43">
        <v>0.625</v>
      </c>
      <c r="N401" s="43">
        <v>0.64583333333333337</v>
      </c>
      <c r="O401" s="43">
        <f>1+18/24/60</f>
        <v>1.0125</v>
      </c>
      <c r="P401" s="43">
        <f>1+48/24/60</f>
        <v>1.0333333333333334</v>
      </c>
      <c r="Q401" s="39"/>
      <c r="R401" s="42" t="s">
        <v>312</v>
      </c>
      <c r="S401" s="29">
        <f>MIP[[#This Row],[PT-1]]+MIP[[#This Row],[PT-2]]*2+MIP[[#This Row],[PT-3]]*3+MIP[[#This Row],[PT &gt; 3 Pontos]]</f>
        <v>16</v>
      </c>
      <c r="T40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401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401" s="41">
        <f>MIP[[#This Row],[Eficiência]]</f>
        <v>1.0388281583329899</v>
      </c>
      <c r="W40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01" s="39">
        <f>IF(MIP[[#This Row],[P.S]]-MIP[[#This Row],[P.E]]&lt;0,1+MIP[[#This Row],[P.S]]-MIP[[#This Row],[P.E]]-1/24,MIP[[#This Row],[P.S]]-MIP[[#This Row],[P.E]]-1/24)</f>
        <v>0.36666666666666675</v>
      </c>
      <c r="Y401" s="39">
        <f>MIP[[#This Row],[PT-1]]*$S$3+MIP[[#This Row],[PT-2]]*$T$3+MIP[[#This Row],[PT-3]]*$U$3+MIP[[#This Row],[PT &gt; 3 Pontos]]*$V$3</f>
        <v>0.33761915145822163</v>
      </c>
      <c r="Z401" s="39">
        <f>MIP[[#This Row],[HH disponível]]-MIP[[#This Row],[HH AC TOT]]</f>
        <v>0.3249999999999999</v>
      </c>
      <c r="AA401" s="38">
        <f>MIP[[#This Row],[HH Produtivo
Total]]/MIP[[#This Row],[HH Trabalhado]]</f>
        <v>1.0388281583329899</v>
      </c>
      <c r="AB401" s="38">
        <f>MIP[[#This Row],[HH Produtivo
Total]]/MIP[[#This Row],[HH disponível]]</f>
        <v>0.92077950397696784</v>
      </c>
      <c r="AC401" s="38">
        <f>MIP[[#This Row],[HH Trabalhado]]/MIP[[#This Row],[HH disponível]]</f>
        <v>0.88636363636363591</v>
      </c>
      <c r="AD401" s="37" t="str">
        <f>LEFT(MIP[[#This Row],[Equipe]], SEARCH("/",MIP[[#This Row],[Equipe]],1)-1)</f>
        <v xml:space="preserve">EDILTON </v>
      </c>
      <c r="AE401" s="37" t="str">
        <f>RIGHT(MIP[[#This Row],[Equipe]], LEN(MIP[[#This Row],[Equipe]])-SEARCH("/",MIP[[#This Row],[Equipe]],1))</f>
        <v xml:space="preserve"> GECIVALDO</v>
      </c>
      <c r="AF401" s="44">
        <f>COUNTIFS('[1]Tempo parado'!H:H,"&gt;="&amp;MIP[[#This Row],[S.B Sitrack]],'[1]Tempo parado'!I:I,"&lt;="&amp;MIP[[#This Row],[C.B Sitrack]],'[1]Tempo parado'!B:B,MIP[[#This Row],[Placa]])</f>
        <v>0</v>
      </c>
      <c r="AG401" s="36"/>
      <c r="AH401" s="35"/>
      <c r="AI401" s="34"/>
      <c r="AJ401" s="34"/>
      <c r="AK40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0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01" s="32">
        <f>SUMIFS('[1]Tempo parado'!J:J,'[1]Tempo parado'!H:H,"&gt;="&amp;MIP[[#This Row],[S.B Sitrack]],'[1]Tempo parado'!I:I,"&lt;="&amp;MIP[[#This Row],[C.B Sitrack]],'[1]Tempo parado'!B:B,MIP[[#This Row],[Placa]])</f>
        <v>0</v>
      </c>
      <c r="AN401" s="32" t="str">
        <f>IFERROR(MIP[[#This Row],[Tempo parado]]/(MIP[[#This Row],[C.B Sitrack]]-MIP[[#This Row],[S.B Sitrack]]),"")</f>
        <v/>
      </c>
      <c r="AO401" s="30"/>
      <c r="AP401" s="44">
        <f>IF(AND(MIP[Exc]=0,MIP[Previsto / Realizado]="Realizado"),MIP[Sem],0)</f>
        <v>0</v>
      </c>
      <c r="AQ401" s="29">
        <f>IF(AND(MIP[Exc]=0,MIP[Previsto / Realizado]="Realizado",ISBLANK(MIP[[#This Row],[S.B Sitrack]])=FALSE,ISBLANK(MIP[[#This Row],[C.B Sitrack]])=FALSE),MIP[Sem],0)</f>
        <v>0</v>
      </c>
    </row>
    <row r="402" spans="1:43" x14ac:dyDescent="0.25">
      <c r="B402" s="44">
        <f>WEEKNUM(MIP[[#This Row],[Data]])</f>
        <v>33</v>
      </c>
      <c r="C402" s="45">
        <v>42965</v>
      </c>
      <c r="D402" s="45"/>
      <c r="E402" s="35" t="s">
        <v>3</v>
      </c>
      <c r="F402" s="35" t="s">
        <v>2</v>
      </c>
      <c r="G402" s="35"/>
      <c r="H402" s="44">
        <v>2</v>
      </c>
      <c r="I402" s="44">
        <v>2</v>
      </c>
      <c r="J402" s="44">
        <v>0</v>
      </c>
      <c r="K402" s="44">
        <v>1</v>
      </c>
      <c r="L402" s="44">
        <v>12</v>
      </c>
      <c r="M402" s="43">
        <v>0.6333333333333333</v>
      </c>
      <c r="N402" s="43">
        <v>0.65972222222222221</v>
      </c>
      <c r="O402" s="43">
        <v>0.97638888888888886</v>
      </c>
      <c r="P402" s="43">
        <f>1+53/24/60</f>
        <v>1.0368055555555555</v>
      </c>
      <c r="Q402" s="39"/>
      <c r="R402" s="42"/>
      <c r="S402" s="29">
        <f>MIP[[#This Row],[PT-1]]+MIP[[#This Row],[PT-2]]*2+MIP[[#This Row],[PT-3]]*3+MIP[[#This Row],[PT &gt; 3 Pontos]]</f>
        <v>17</v>
      </c>
      <c r="T40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8.680555555555558E-2</v>
      </c>
      <c r="U402" s="39">
        <f>IF(MIP[[#This Row],[P.S]]-MIP[[#This Row],[U.P]]&gt;=0,MIP[[#This Row],[P.S]]-MIP[[#This Row],[U.P]]+MIP[[#This Row],[S.B]]-MIP[[#This Row],[P.E]],1+MIP[[#This Row],[P.S]]-MIP[[#This Row],[U.P]]+MIP[[#This Row],[S.B]]-MIP[[#This Row],[P.E]])</f>
        <v>8.680555555555558E-2</v>
      </c>
      <c r="V402" s="41">
        <f>MIP[[#This Row],[Eficiência]]</f>
        <v>1.2938891481237502</v>
      </c>
      <c r="W40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02" s="39">
        <f>IF(MIP[[#This Row],[P.S]]-MIP[[#This Row],[P.E]]&lt;0,1+MIP[[#This Row],[P.S]]-MIP[[#This Row],[P.E]]-1/24,MIP[[#This Row],[P.S]]-MIP[[#This Row],[P.E]]-1/24)</f>
        <v>0.36180555555555555</v>
      </c>
      <c r="Y402" s="39">
        <f>MIP[[#This Row],[PT-1]]*$S$3+MIP[[#This Row],[PT-2]]*$T$3+MIP[[#This Row],[PT-3]]*$U$3+MIP[[#This Row],[PT &gt; 3 Pontos]]*$V$3</f>
        <v>0.35581951573403126</v>
      </c>
      <c r="Z402" s="39">
        <f>MIP[[#This Row],[HH disponível]]-MIP[[#This Row],[HH AC TOT]]</f>
        <v>0.27499999999999997</v>
      </c>
      <c r="AA402" s="38">
        <f>MIP[[#This Row],[HH Produtivo
Total]]/MIP[[#This Row],[HH Trabalhado]]</f>
        <v>1.2938891481237502</v>
      </c>
      <c r="AB402" s="38">
        <f>MIP[[#This Row],[HH Produtivo
Total]]/MIP[[#This Row],[HH disponível]]</f>
        <v>0.98345509147217858</v>
      </c>
      <c r="AC402" s="38">
        <f>MIP[[#This Row],[HH Trabalhado]]/MIP[[#This Row],[HH disponível]]</f>
        <v>0.7600767754318617</v>
      </c>
      <c r="AD402" s="37" t="str">
        <f>LEFT(MIP[[#This Row],[Equipe]], SEARCH("/",MIP[[#This Row],[Equipe]],1)-1)</f>
        <v xml:space="preserve">EDILTON </v>
      </c>
      <c r="AE402" s="37" t="str">
        <f>RIGHT(MIP[[#This Row],[Equipe]], LEN(MIP[[#This Row],[Equipe]])-SEARCH("/",MIP[[#This Row],[Equipe]],1))</f>
        <v xml:space="preserve"> GECIVALDO</v>
      </c>
      <c r="AF402" s="44">
        <f>COUNTIFS('[1]Tempo parado'!H:H,"&gt;="&amp;MIP[[#This Row],[S.B Sitrack]],'[1]Tempo parado'!I:I,"&lt;="&amp;MIP[[#This Row],[C.B Sitrack]],'[1]Tempo parado'!B:B,MIP[[#This Row],[Placa]])</f>
        <v>0</v>
      </c>
      <c r="AG402" s="36"/>
      <c r="AH402" s="35"/>
      <c r="AI402" s="34"/>
      <c r="AJ402" s="34"/>
      <c r="AK40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0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02" s="32">
        <f>SUMIFS('[1]Tempo parado'!J:J,'[1]Tempo parado'!H:H,"&gt;="&amp;MIP[[#This Row],[S.B Sitrack]],'[1]Tempo parado'!I:I,"&lt;="&amp;MIP[[#This Row],[C.B Sitrack]],'[1]Tempo parado'!B:B,MIP[[#This Row],[Placa]])</f>
        <v>0</v>
      </c>
      <c r="AN402" s="32" t="str">
        <f>IFERROR(MIP[[#This Row],[Tempo parado]]/(MIP[[#This Row],[C.B Sitrack]]-MIP[[#This Row],[S.B Sitrack]]),"")</f>
        <v/>
      </c>
      <c r="AO402" s="30"/>
      <c r="AP402" s="44">
        <f>IF(AND(MIP[Exc]=0,MIP[Previsto / Realizado]="Realizado"),MIP[Sem],0)</f>
        <v>33</v>
      </c>
      <c r="AQ402" s="29">
        <f>IF(AND(MIP[Exc]=0,MIP[Previsto / Realizado]="Realizado",ISBLANK(MIP[[#This Row],[S.B Sitrack]])=FALSE,ISBLANK(MIP[[#This Row],[C.B Sitrack]])=FALSE),MIP[Sem],0)</f>
        <v>0</v>
      </c>
    </row>
    <row r="403" spans="1:43" x14ac:dyDescent="0.25">
      <c r="B403" s="44">
        <f>WEEKNUM(MIP[[#This Row],[Data]])</f>
        <v>33</v>
      </c>
      <c r="C403" s="45">
        <v>42966</v>
      </c>
      <c r="D403" s="45"/>
      <c r="E403" s="35" t="s">
        <v>10</v>
      </c>
      <c r="F403" s="35" t="s">
        <v>5</v>
      </c>
      <c r="G403" s="35"/>
      <c r="H403" s="44">
        <v>2</v>
      </c>
      <c r="I403" s="44">
        <v>1</v>
      </c>
      <c r="J403" s="44">
        <v>0</v>
      </c>
      <c r="K403" s="44">
        <v>0</v>
      </c>
      <c r="L403" s="44">
        <v>0</v>
      </c>
      <c r="M403" s="43">
        <v>0.25</v>
      </c>
      <c r="N403" s="43">
        <v>0.27083333333333331</v>
      </c>
      <c r="O403" s="43">
        <v>0.63750000000000007</v>
      </c>
      <c r="P403" s="43">
        <v>0.65833333333333333</v>
      </c>
      <c r="Q403" s="39"/>
      <c r="R403" s="42" t="s">
        <v>311</v>
      </c>
      <c r="S403" s="29">
        <f>MIP[[#This Row],[PT-1]]+MIP[[#This Row],[PT-2]]*2+MIP[[#This Row],[PT-3]]*3+MIP[[#This Row],[PT &gt; 3 Pontos]]</f>
        <v>1</v>
      </c>
      <c r="T40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403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403" s="41">
        <f>MIP[[#This Row],[Eficiência]]</f>
        <v>7.7002624489037469E-2</v>
      </c>
      <c r="W40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03" s="39">
        <f>IF(MIP[[#This Row],[P.S]]-MIP[[#This Row],[P.E]]&lt;0,1+MIP[[#This Row],[P.S]]-MIP[[#This Row],[P.E]]-1/24,MIP[[#This Row],[P.S]]-MIP[[#This Row],[P.E]]-1/24)</f>
        <v>0.36666666666666664</v>
      </c>
      <c r="Y403" s="39">
        <f>MIP[[#This Row],[PT-1]]*$S$3+MIP[[#This Row],[PT-2]]*$T$3+MIP[[#This Row],[PT-3]]*$U$3+MIP[[#This Row],[PT &gt; 3 Pontos]]*$V$3</f>
        <v>2.5025852958937181E-2</v>
      </c>
      <c r="Z403" s="39">
        <f>MIP[[#This Row],[HH disponível]]-MIP[[#This Row],[HH AC TOT]]</f>
        <v>0.32500000000000007</v>
      </c>
      <c r="AA403" s="38">
        <f>MIP[[#This Row],[HH Produtivo
Total]]/MIP[[#This Row],[HH Trabalhado]]</f>
        <v>7.7002624489037469E-2</v>
      </c>
      <c r="AB403" s="38">
        <f>MIP[[#This Row],[HH Produtivo
Total]]/MIP[[#This Row],[HH disponível]]</f>
        <v>6.8252326251646858E-2</v>
      </c>
      <c r="AC403" s="38">
        <f>MIP[[#This Row],[HH Trabalhado]]/MIP[[#This Row],[HH disponível]]</f>
        <v>0.88636363636363658</v>
      </c>
      <c r="AD403" s="37" t="str">
        <f>LEFT(MIP[[#This Row],[Equipe]], SEARCH("/",MIP[[#This Row],[Equipe]],1)-1)</f>
        <v xml:space="preserve">JOILSON </v>
      </c>
      <c r="AE403" s="37" t="str">
        <f>RIGHT(MIP[[#This Row],[Equipe]], LEN(MIP[[#This Row],[Equipe]])-SEARCH("/",MIP[[#This Row],[Equipe]],1))</f>
        <v xml:space="preserve"> VALDEI</v>
      </c>
      <c r="AF403" s="44">
        <f>COUNTIFS('[1]Tempo parado'!H:H,"&gt;="&amp;MIP[[#This Row],[S.B Sitrack]],'[1]Tempo parado'!I:I,"&lt;="&amp;MIP[[#This Row],[C.B Sitrack]],'[1]Tempo parado'!B:B,MIP[[#This Row],[Placa]])</f>
        <v>0</v>
      </c>
      <c r="AG403" s="36"/>
      <c r="AH403" s="35"/>
      <c r="AI403" s="34"/>
      <c r="AJ403" s="34"/>
      <c r="AK40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0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03" s="32">
        <f>SUMIFS('[1]Tempo parado'!J:J,'[1]Tempo parado'!H:H,"&gt;="&amp;MIP[[#This Row],[S.B Sitrack]],'[1]Tempo parado'!I:I,"&lt;="&amp;MIP[[#This Row],[C.B Sitrack]],'[1]Tempo parado'!B:B,MIP[[#This Row],[Placa]])</f>
        <v>0</v>
      </c>
      <c r="AN403" s="32" t="str">
        <f>IFERROR(MIP[[#This Row],[Tempo parado]]/(MIP[[#This Row],[C.B Sitrack]]-MIP[[#This Row],[S.B Sitrack]]),"")</f>
        <v/>
      </c>
      <c r="AO403" s="30"/>
      <c r="AP403" s="44">
        <f>IF(AND(MIP[Exc]=0,MIP[Previsto / Realizado]="Realizado"),MIP[Sem],0)</f>
        <v>0</v>
      </c>
      <c r="AQ403" s="29">
        <f>IF(AND(MIP[Exc]=0,MIP[Previsto / Realizado]="Realizado",ISBLANK(MIP[[#This Row],[S.B Sitrack]])=FALSE,ISBLANK(MIP[[#This Row],[C.B Sitrack]])=FALSE),MIP[Sem],0)</f>
        <v>0</v>
      </c>
    </row>
    <row r="404" spans="1:43" x14ac:dyDescent="0.25">
      <c r="B404" s="44">
        <f>WEEKNUM(MIP[[#This Row],[Data]])</f>
        <v>33</v>
      </c>
      <c r="C404" s="45">
        <v>42966</v>
      </c>
      <c r="D404" s="45"/>
      <c r="E404" s="35" t="s">
        <v>10</v>
      </c>
      <c r="F404" s="35" t="s">
        <v>2</v>
      </c>
      <c r="G404" s="35"/>
      <c r="H404" s="44">
        <v>2</v>
      </c>
      <c r="I404" s="44">
        <v>3</v>
      </c>
      <c r="J404" s="44">
        <v>3</v>
      </c>
      <c r="K404" s="44">
        <v>1</v>
      </c>
      <c r="L404" s="44">
        <v>0</v>
      </c>
      <c r="M404" s="43">
        <v>0.25277777777777777</v>
      </c>
      <c r="N404" s="43">
        <v>0.27777777777777779</v>
      </c>
      <c r="O404" s="43">
        <v>0.57430555555555551</v>
      </c>
      <c r="P404" s="43">
        <v>0.65902777777777777</v>
      </c>
      <c r="Q404" s="39"/>
      <c r="R404" s="42" t="s">
        <v>310</v>
      </c>
      <c r="S404" s="29">
        <f>MIP[[#This Row],[PT-1]]+MIP[[#This Row],[PT-2]]*2+MIP[[#This Row],[PT-3]]*3+MIP[[#This Row],[PT &gt; 3 Pontos]]</f>
        <v>12</v>
      </c>
      <c r="T40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0.10972222222222228</v>
      </c>
      <c r="U404" s="39">
        <f>IF(MIP[[#This Row],[P.S]]-MIP[[#This Row],[U.P]]&gt;=0,MIP[[#This Row],[P.S]]-MIP[[#This Row],[U.P]]+MIP[[#This Row],[S.B]]-MIP[[#This Row],[P.E]],1+MIP[[#This Row],[P.S]]-MIP[[#This Row],[U.P]]+MIP[[#This Row],[S.B]]-MIP[[#This Row],[P.E]])</f>
        <v>0.10972222222222228</v>
      </c>
      <c r="V404" s="41">
        <f>MIP[[#This Row],[Eficiência]]</f>
        <v>1.0578135489475973</v>
      </c>
      <c r="W40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04" s="39">
        <f>IF(MIP[[#This Row],[P.S]]-MIP[[#This Row],[P.E]]&lt;0,1+MIP[[#This Row],[P.S]]-MIP[[#This Row],[P.E]]-1/24,MIP[[#This Row],[P.S]]-MIP[[#This Row],[P.E]]-1/24)</f>
        <v>0.36458333333333331</v>
      </c>
      <c r="Y404" s="39">
        <f>MIP[[#This Row],[PT-1]]*$S$3+MIP[[#This Row],[PT-2]]*$T$3+MIP[[#This Row],[PT-3]]*$U$3+MIP[[#This Row],[PT &gt; 3 Pontos]]*$V$3</f>
        <v>0.2695955364331723</v>
      </c>
      <c r="Z404" s="39">
        <f>MIP[[#This Row],[HH disponível]]-MIP[[#This Row],[HH AC TOT]]</f>
        <v>0.25486111111111104</v>
      </c>
      <c r="AA404" s="38">
        <f>MIP[[#This Row],[HH Produtivo
Total]]/MIP[[#This Row],[HH Trabalhado]]</f>
        <v>1.0578135489475973</v>
      </c>
      <c r="AB404" s="38">
        <f>MIP[[#This Row],[HH Produtivo
Total]]/MIP[[#This Row],[HH disponível]]</f>
        <v>0.73946204278812977</v>
      </c>
      <c r="AC404" s="38">
        <f>MIP[[#This Row],[HH Trabalhado]]/MIP[[#This Row],[HH disponível]]</f>
        <v>0.69904761904761892</v>
      </c>
      <c r="AD404" s="37" t="str">
        <f>LEFT(MIP[[#This Row],[Equipe]], SEARCH("/",MIP[[#This Row],[Equipe]],1)-1)</f>
        <v xml:space="preserve">JOILSON </v>
      </c>
      <c r="AE404" s="37" t="str">
        <f>RIGHT(MIP[[#This Row],[Equipe]], LEN(MIP[[#This Row],[Equipe]])-SEARCH("/",MIP[[#This Row],[Equipe]],1))</f>
        <v xml:space="preserve"> VALDEI</v>
      </c>
      <c r="AF404" s="44">
        <f>COUNTIFS('[1]Tempo parado'!H:H,"&gt;="&amp;MIP[[#This Row],[S.B Sitrack]],'[1]Tempo parado'!I:I,"&lt;="&amp;MIP[[#This Row],[C.B Sitrack]],'[1]Tempo parado'!B:B,MIP[[#This Row],[Placa]])</f>
        <v>0</v>
      </c>
      <c r="AG404" s="36"/>
      <c r="AH404" s="35"/>
      <c r="AI404" s="34"/>
      <c r="AJ404" s="34"/>
      <c r="AK40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0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04" s="32">
        <f>SUMIFS('[1]Tempo parado'!J:J,'[1]Tempo parado'!H:H,"&gt;="&amp;MIP[[#This Row],[S.B Sitrack]],'[1]Tempo parado'!I:I,"&lt;="&amp;MIP[[#This Row],[C.B Sitrack]],'[1]Tempo parado'!B:B,MIP[[#This Row],[Placa]])</f>
        <v>0</v>
      </c>
      <c r="AN404" s="32" t="str">
        <f>IFERROR(MIP[[#This Row],[Tempo parado]]/(MIP[[#This Row],[C.B Sitrack]]-MIP[[#This Row],[S.B Sitrack]]),"")</f>
        <v/>
      </c>
      <c r="AO404" s="30"/>
      <c r="AP404" s="44">
        <f>IF(AND(MIP[Exc]=0,MIP[Previsto / Realizado]="Realizado"),MIP[Sem],0)</f>
        <v>33</v>
      </c>
      <c r="AQ404" s="29">
        <f>IF(AND(MIP[Exc]=0,MIP[Previsto / Realizado]="Realizado",ISBLANK(MIP[[#This Row],[S.B Sitrack]])=FALSE,ISBLANK(MIP[[#This Row],[C.B Sitrack]])=FALSE),MIP[Sem],0)</f>
        <v>0</v>
      </c>
    </row>
    <row r="405" spans="1:43" s="47" customFormat="1" x14ac:dyDescent="0.25">
      <c r="A405" s="11"/>
      <c r="B405" s="44">
        <f>WEEKNUM(MIP[[#This Row],[Data]])</f>
        <v>33</v>
      </c>
      <c r="C405" s="45">
        <v>42966</v>
      </c>
      <c r="D405" s="45"/>
      <c r="E405" s="35" t="s">
        <v>19</v>
      </c>
      <c r="F405" s="35" t="s">
        <v>5</v>
      </c>
      <c r="G405" s="35"/>
      <c r="H405" s="44">
        <v>2</v>
      </c>
      <c r="I405" s="44">
        <v>0</v>
      </c>
      <c r="J405" s="44">
        <v>0</v>
      </c>
      <c r="K405" s="44">
        <v>0</v>
      </c>
      <c r="L405" s="44">
        <v>0</v>
      </c>
      <c r="M405" s="43">
        <v>0.625</v>
      </c>
      <c r="N405" s="43">
        <v>0.64583333333333337</v>
      </c>
      <c r="O405" s="43">
        <f>1+18/24/60</f>
        <v>1.0125</v>
      </c>
      <c r="P405" s="43">
        <f>1+48/24/60</f>
        <v>1.0333333333333334</v>
      </c>
      <c r="Q405" s="39"/>
      <c r="R405" s="42" t="s">
        <v>309</v>
      </c>
      <c r="S405" s="29">
        <f>MIP[[#This Row],[PT-1]]+MIP[[#This Row],[PT-2]]*2+MIP[[#This Row],[PT-3]]*3+MIP[[#This Row],[PT &gt; 3 Pontos]]</f>
        <v>0</v>
      </c>
      <c r="T40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405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405" s="41">
        <f>MIP[[#This Row],[Eficiência]]</f>
        <v>0</v>
      </c>
      <c r="W40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05" s="39">
        <f>IF(MIP[[#This Row],[P.S]]-MIP[[#This Row],[P.E]]&lt;0,1+MIP[[#This Row],[P.S]]-MIP[[#This Row],[P.E]]-1/24,MIP[[#This Row],[P.S]]-MIP[[#This Row],[P.E]]-1/24)</f>
        <v>0.36666666666666675</v>
      </c>
      <c r="Y405" s="39">
        <f>MIP[[#This Row],[PT-1]]*$S$3+MIP[[#This Row],[PT-2]]*$T$3+MIP[[#This Row],[PT-3]]*$U$3+MIP[[#This Row],[PT &gt; 3 Pontos]]*$V$3</f>
        <v>0</v>
      </c>
      <c r="Z405" s="39">
        <f>MIP[[#This Row],[HH disponível]]-MIP[[#This Row],[HH AC TOT]]</f>
        <v>0.3249999999999999</v>
      </c>
      <c r="AA405" s="38">
        <f>MIP[[#This Row],[HH Produtivo
Total]]/MIP[[#This Row],[HH Trabalhado]]</f>
        <v>0</v>
      </c>
      <c r="AB405" s="38">
        <f>MIP[[#This Row],[HH Produtivo
Total]]/MIP[[#This Row],[HH disponível]]</f>
        <v>0</v>
      </c>
      <c r="AC405" s="38">
        <f>MIP[[#This Row],[HH Trabalhado]]/MIP[[#This Row],[HH disponível]]</f>
        <v>0.88636363636363591</v>
      </c>
      <c r="AD405" s="37" t="str">
        <f>LEFT(MIP[[#This Row],[Equipe]], SEARCH("/",MIP[[#This Row],[Equipe]],1)-1)</f>
        <v xml:space="preserve">ADEMÁRIO </v>
      </c>
      <c r="AE405" s="37" t="str">
        <f>RIGHT(MIP[[#This Row],[Equipe]], LEN(MIP[[#This Row],[Equipe]])-SEARCH("/",MIP[[#This Row],[Equipe]],1))</f>
        <v xml:space="preserve"> RONALDO</v>
      </c>
      <c r="AF405" s="44">
        <f>COUNTIFS('[1]Tempo parado'!H:H,"&gt;="&amp;MIP[[#This Row],[S.B Sitrack]],'[1]Tempo parado'!I:I,"&lt;="&amp;MIP[[#This Row],[C.B Sitrack]],'[1]Tempo parado'!B:B,MIP[[#This Row],[Placa]])</f>
        <v>0</v>
      </c>
      <c r="AG405" s="36"/>
      <c r="AH405" s="35"/>
      <c r="AI405" s="34"/>
      <c r="AJ405" s="34"/>
      <c r="AK40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0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05" s="32">
        <f>SUMIFS('[1]Tempo parado'!J:J,'[1]Tempo parado'!H:H,"&gt;="&amp;MIP[[#This Row],[S.B Sitrack]],'[1]Tempo parado'!I:I,"&lt;="&amp;MIP[[#This Row],[C.B Sitrack]],'[1]Tempo parado'!B:B,MIP[[#This Row],[Placa]])</f>
        <v>0</v>
      </c>
      <c r="AN405" s="32" t="str">
        <f>IFERROR(MIP[[#This Row],[Tempo parado]]/(MIP[[#This Row],[C.B Sitrack]]-MIP[[#This Row],[S.B Sitrack]]),"")</f>
        <v/>
      </c>
      <c r="AO405" s="30"/>
      <c r="AP405" s="44">
        <f>IF(AND(MIP[Exc]=0,MIP[Previsto / Realizado]="Realizado"),MIP[Sem],0)</f>
        <v>0</v>
      </c>
      <c r="AQ405" s="29">
        <f>IF(AND(MIP[Exc]=0,MIP[Previsto / Realizado]="Realizado",ISBLANK(MIP[[#This Row],[S.B Sitrack]])=FALSE,ISBLANK(MIP[[#This Row],[C.B Sitrack]])=FALSE),MIP[Sem],0)</f>
        <v>0</v>
      </c>
    </row>
    <row r="406" spans="1:43" s="64" customFormat="1" x14ac:dyDescent="0.25">
      <c r="A406" s="11"/>
      <c r="B406" s="44">
        <f>WEEKNUM(MIP[[#This Row],[Data]])</f>
        <v>33</v>
      </c>
      <c r="C406" s="45">
        <v>42966</v>
      </c>
      <c r="D406" s="45"/>
      <c r="E406" s="35" t="s">
        <v>19</v>
      </c>
      <c r="F406" s="35" t="s">
        <v>2</v>
      </c>
      <c r="G406" s="35"/>
      <c r="H406" s="44">
        <v>2</v>
      </c>
      <c r="I406" s="44">
        <v>2</v>
      </c>
      <c r="J406" s="44">
        <v>0</v>
      </c>
      <c r="K406" s="44">
        <v>1</v>
      </c>
      <c r="L406" s="44">
        <v>0</v>
      </c>
      <c r="M406" s="43">
        <v>0.66180555555555554</v>
      </c>
      <c r="N406" s="43">
        <v>0.67361111111111116</v>
      </c>
      <c r="O406" s="43">
        <v>0.85416666666666663</v>
      </c>
      <c r="P406" s="43">
        <f>1+58/24/60</f>
        <v>1.0402777777777779</v>
      </c>
      <c r="Q406" s="39"/>
      <c r="R406" s="42" t="s">
        <v>308</v>
      </c>
      <c r="S406" s="29">
        <f>MIP[[#This Row],[PT-1]]+MIP[[#This Row],[PT-2]]*2+MIP[[#This Row],[PT-3]]*3+MIP[[#This Row],[PT &gt; 3 Pontos]]</f>
        <v>5</v>
      </c>
      <c r="T40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0.19791666666666685</v>
      </c>
      <c r="U406" s="39">
        <f>IF(MIP[[#This Row],[P.S]]-MIP[[#This Row],[U.P]]&gt;=0,MIP[[#This Row],[P.S]]-MIP[[#This Row],[U.P]]+MIP[[#This Row],[S.B]]-MIP[[#This Row],[P.E]],1+MIP[[#This Row],[P.S]]-MIP[[#This Row],[U.P]]+MIP[[#This Row],[S.B]]-MIP[[#This Row],[P.E]])</f>
        <v>0.19791666666666685</v>
      </c>
      <c r="V406" s="41">
        <f>MIP[[#This Row],[Eficiência]]</f>
        <v>0.81247237318840637</v>
      </c>
      <c r="W40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06" s="39">
        <f>IF(MIP[[#This Row],[P.S]]-MIP[[#This Row],[P.E]]&lt;0,1+MIP[[#This Row],[P.S]]-MIP[[#This Row],[P.E]]-1/24,MIP[[#This Row],[P.S]]-MIP[[#This Row],[P.E]]-1/24)</f>
        <v>0.33680555555555564</v>
      </c>
      <c r="Y406" s="39">
        <f>MIP[[#This Row],[PT-1]]*$S$3+MIP[[#This Row],[PT-2]]*$T$3+MIP[[#This Row],[PT-3]]*$U$3+MIP[[#This Row],[PT &gt; 3 Pontos]]*$V$3</f>
        <v>0.11284338516505635</v>
      </c>
      <c r="Z406" s="39">
        <f>MIP[[#This Row],[HH disponível]]-MIP[[#This Row],[HH AC TOT]]</f>
        <v>0.13888888888888878</v>
      </c>
      <c r="AA406" s="38">
        <f>MIP[[#This Row],[HH Produtivo
Total]]/MIP[[#This Row],[HH Trabalhado]]</f>
        <v>0.81247237318840637</v>
      </c>
      <c r="AB406" s="38">
        <f>MIP[[#This Row],[HH Produtivo
Total]]/MIP[[#This Row],[HH disponível]]</f>
        <v>0.33504015389212599</v>
      </c>
      <c r="AC406" s="38">
        <f>MIP[[#This Row],[HH Trabalhado]]/MIP[[#This Row],[HH disponível]]</f>
        <v>0.41237113402061815</v>
      </c>
      <c r="AD406" s="37" t="str">
        <f>LEFT(MIP[[#This Row],[Equipe]], SEARCH("/",MIP[[#This Row],[Equipe]],1)-1)</f>
        <v xml:space="preserve">ADEMÁRIO </v>
      </c>
      <c r="AE406" s="37" t="str">
        <f>RIGHT(MIP[[#This Row],[Equipe]], LEN(MIP[[#This Row],[Equipe]])-SEARCH("/",MIP[[#This Row],[Equipe]],1))</f>
        <v xml:space="preserve"> RONALDO</v>
      </c>
      <c r="AF406" s="44">
        <f>COUNTIFS('[1]Tempo parado'!H:H,"&gt;="&amp;MIP[[#This Row],[S.B Sitrack]],'[1]Tempo parado'!I:I,"&lt;="&amp;MIP[[#This Row],[C.B Sitrack]],'[1]Tempo parado'!B:B,MIP[[#This Row],[Placa]])</f>
        <v>0</v>
      </c>
      <c r="AG406" s="36"/>
      <c r="AH406" s="35"/>
      <c r="AI406" s="34"/>
      <c r="AJ406" s="34"/>
      <c r="AK40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0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06" s="32">
        <f>SUMIFS('[1]Tempo parado'!J:J,'[1]Tempo parado'!H:H,"&gt;="&amp;MIP[[#This Row],[S.B Sitrack]],'[1]Tempo parado'!I:I,"&lt;="&amp;MIP[[#This Row],[C.B Sitrack]],'[1]Tempo parado'!B:B,MIP[[#This Row],[Placa]])</f>
        <v>0</v>
      </c>
      <c r="AN406" s="32" t="str">
        <f>IFERROR(MIP[[#This Row],[Tempo parado]]/(MIP[[#This Row],[C.B Sitrack]]-MIP[[#This Row],[S.B Sitrack]]),"")</f>
        <v/>
      </c>
      <c r="AO406" s="30"/>
      <c r="AP406" s="44">
        <f>IF(AND(MIP[Exc]=0,MIP[Previsto / Realizado]="Realizado"),MIP[Sem],0)</f>
        <v>33</v>
      </c>
      <c r="AQ406" s="29">
        <f>IF(AND(MIP[Exc]=0,MIP[Previsto / Realizado]="Realizado",ISBLANK(MIP[[#This Row],[S.B Sitrack]])=FALSE,ISBLANK(MIP[[#This Row],[C.B Sitrack]])=FALSE),MIP[Sem],0)</f>
        <v>0</v>
      </c>
    </row>
    <row r="407" spans="1:43" s="47" customFormat="1" x14ac:dyDescent="0.25">
      <c r="A407" s="11"/>
      <c r="B407" s="44">
        <f>WEEKNUM(MIP[[#This Row],[Data]])</f>
        <v>34</v>
      </c>
      <c r="C407" s="45">
        <v>42967</v>
      </c>
      <c r="D407" s="45"/>
      <c r="E407" s="35" t="s">
        <v>19</v>
      </c>
      <c r="F407" s="35" t="s">
        <v>5</v>
      </c>
      <c r="G407" s="35"/>
      <c r="H407" s="44">
        <v>2</v>
      </c>
      <c r="I407" s="44">
        <v>0</v>
      </c>
      <c r="J407" s="44">
        <v>0</v>
      </c>
      <c r="K407" s="44">
        <v>0</v>
      </c>
      <c r="L407" s="44">
        <v>0</v>
      </c>
      <c r="M407" s="43">
        <v>0.625</v>
      </c>
      <c r="N407" s="43">
        <v>0.64583333333333337</v>
      </c>
      <c r="O407" s="43">
        <f>1+18/24/60</f>
        <v>1.0125</v>
      </c>
      <c r="P407" s="43">
        <f>1+48/24/60</f>
        <v>1.0333333333333334</v>
      </c>
      <c r="Q407" s="39"/>
      <c r="R407" s="42" t="s">
        <v>303</v>
      </c>
      <c r="S407" s="29">
        <f>MIP[[#This Row],[PT-1]]+MIP[[#This Row],[PT-2]]*2+MIP[[#This Row],[PT-3]]*3+MIP[[#This Row],[PT &gt; 3 Pontos]]</f>
        <v>0</v>
      </c>
      <c r="T40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407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407" s="41">
        <f>MIP[[#This Row],[Eficiência]]</f>
        <v>0</v>
      </c>
      <c r="W40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07" s="39">
        <f>IF(MIP[[#This Row],[P.S]]-MIP[[#This Row],[P.E]]&lt;0,1+MIP[[#This Row],[P.S]]-MIP[[#This Row],[P.E]]-1/24,MIP[[#This Row],[P.S]]-MIP[[#This Row],[P.E]]-1/24)</f>
        <v>0.36666666666666675</v>
      </c>
      <c r="Y407" s="39">
        <f>MIP[[#This Row],[PT-1]]*$S$3+MIP[[#This Row],[PT-2]]*$T$3+MIP[[#This Row],[PT-3]]*$U$3+MIP[[#This Row],[PT &gt; 3 Pontos]]*$V$3</f>
        <v>0</v>
      </c>
      <c r="Z407" s="39">
        <f>MIP[[#This Row],[HH disponível]]-MIP[[#This Row],[HH AC TOT]]</f>
        <v>0.3249999999999999</v>
      </c>
      <c r="AA407" s="38">
        <f>MIP[[#This Row],[HH Produtivo
Total]]/MIP[[#This Row],[HH Trabalhado]]</f>
        <v>0</v>
      </c>
      <c r="AB407" s="38">
        <f>MIP[[#This Row],[HH Produtivo
Total]]/MIP[[#This Row],[HH disponível]]</f>
        <v>0</v>
      </c>
      <c r="AC407" s="38">
        <f>MIP[[#This Row],[HH Trabalhado]]/MIP[[#This Row],[HH disponível]]</f>
        <v>0.88636363636363591</v>
      </c>
      <c r="AD407" s="37" t="str">
        <f>LEFT(MIP[[#This Row],[Equipe]], SEARCH("/",MIP[[#This Row],[Equipe]],1)-1)</f>
        <v xml:space="preserve">ADEMÁRIO </v>
      </c>
      <c r="AE407" s="37" t="str">
        <f>RIGHT(MIP[[#This Row],[Equipe]], LEN(MIP[[#This Row],[Equipe]])-SEARCH("/",MIP[[#This Row],[Equipe]],1))</f>
        <v xml:space="preserve"> RONALDO</v>
      </c>
      <c r="AF407" s="44">
        <f>COUNTIFS('[1]Tempo parado'!H:H,"&gt;="&amp;MIP[[#This Row],[S.B Sitrack]],'[1]Tempo parado'!I:I,"&lt;="&amp;MIP[[#This Row],[C.B Sitrack]],'[1]Tempo parado'!B:B,MIP[[#This Row],[Placa]])</f>
        <v>0</v>
      </c>
      <c r="AG407" s="36"/>
      <c r="AH407" s="35"/>
      <c r="AI407" s="34"/>
      <c r="AJ407" s="34"/>
      <c r="AK40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0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07" s="32">
        <f>SUMIFS('[1]Tempo parado'!J:J,'[1]Tempo parado'!H:H,"&gt;="&amp;MIP[[#This Row],[S.B Sitrack]],'[1]Tempo parado'!I:I,"&lt;="&amp;MIP[[#This Row],[C.B Sitrack]],'[1]Tempo parado'!B:B,MIP[[#This Row],[Placa]])</f>
        <v>0</v>
      </c>
      <c r="AN407" s="32" t="str">
        <f>IFERROR(MIP[[#This Row],[Tempo parado]]/(MIP[[#This Row],[C.B Sitrack]]-MIP[[#This Row],[S.B Sitrack]]),"")</f>
        <v/>
      </c>
      <c r="AO407" s="30"/>
      <c r="AP407" s="44">
        <f>IF(AND(MIP[Exc]=0,MIP[Previsto / Realizado]="Realizado"),MIP[Sem],0)</f>
        <v>0</v>
      </c>
      <c r="AQ407" s="29">
        <f>IF(AND(MIP[Exc]=0,MIP[Previsto / Realizado]="Realizado",ISBLANK(MIP[[#This Row],[S.B Sitrack]])=FALSE,ISBLANK(MIP[[#This Row],[C.B Sitrack]])=FALSE),MIP[Sem],0)</f>
        <v>0</v>
      </c>
    </row>
    <row r="408" spans="1:43" s="64" customFormat="1" x14ac:dyDescent="0.25">
      <c r="A408" s="11"/>
      <c r="B408" s="44">
        <f>WEEKNUM(MIP[[#This Row],[Data]])</f>
        <v>34</v>
      </c>
      <c r="C408" s="45">
        <v>42967</v>
      </c>
      <c r="D408" s="45"/>
      <c r="E408" s="35" t="s">
        <v>19</v>
      </c>
      <c r="F408" s="35" t="s">
        <v>2</v>
      </c>
      <c r="G408" s="35"/>
      <c r="H408" s="44">
        <v>2</v>
      </c>
      <c r="I408" s="44">
        <v>2</v>
      </c>
      <c r="J408" s="44">
        <v>0</v>
      </c>
      <c r="K408" s="44">
        <v>0</v>
      </c>
      <c r="L408" s="44">
        <v>0</v>
      </c>
      <c r="M408" s="43">
        <v>0.63888888888888895</v>
      </c>
      <c r="N408" s="43">
        <v>0.65625</v>
      </c>
      <c r="O408" s="43">
        <v>0.77083333333333337</v>
      </c>
      <c r="P408" s="43">
        <f>1+68/24/60</f>
        <v>1.0472222222222223</v>
      </c>
      <c r="Q408" s="39">
        <v>6.3194444444444442E-2</v>
      </c>
      <c r="R408" s="42" t="s">
        <v>307</v>
      </c>
      <c r="S408" s="29">
        <f>MIP[[#This Row],[PT-1]]+MIP[[#This Row],[PT-2]]*2+MIP[[#This Row],[PT-3]]*3+MIP[[#This Row],[PT &gt; 3 Pontos]]</f>
        <v>2</v>
      </c>
      <c r="T40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0.3569444444444444</v>
      </c>
      <c r="U408" s="39">
        <f>IF(MIP[[#This Row],[P.S]]-MIP[[#This Row],[U.P]]&gt;=0,MIP[[#This Row],[P.S]]-MIP[[#This Row],[U.P]]+MIP[[#This Row],[S.B]]-MIP[[#This Row],[P.E]],1+MIP[[#This Row],[P.S]]-MIP[[#This Row],[U.P]]+MIP[[#This Row],[S.B]]-MIP[[#This Row],[P.E]])</f>
        <v>0.29374999999999996</v>
      </c>
      <c r="V408" s="41">
        <f>MIP[[#This Row],[Eficiência]]</f>
        <v>5.1481754658384951</v>
      </c>
      <c r="W40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1</v>
      </c>
      <c r="X408" s="39">
        <f>IF(MIP[[#This Row],[P.S]]-MIP[[#This Row],[P.E]]&lt;0,1+MIP[[#This Row],[P.S]]-MIP[[#This Row],[P.E]]-1/24,MIP[[#This Row],[P.S]]-MIP[[#This Row],[P.E]]-1/24)</f>
        <v>0.36666666666666664</v>
      </c>
      <c r="Y408" s="39">
        <f>MIP[[#This Row],[PT-1]]*$S$3+MIP[[#This Row],[PT-2]]*$T$3+MIP[[#This Row],[PT-3]]*$U$3+MIP[[#This Row],[PT &gt; 3 Pontos]]*$V$3</f>
        <v>5.0051705917874362E-2</v>
      </c>
      <c r="Z408" s="39">
        <f>MIP[[#This Row],[HH disponível]]-MIP[[#This Row],[HH AC TOT]]</f>
        <v>9.7222222222222432E-3</v>
      </c>
      <c r="AA408" s="38">
        <f>MIP[[#This Row],[HH Produtivo
Total]]/MIP[[#This Row],[HH Trabalhado]]</f>
        <v>5.1481754658384951</v>
      </c>
      <c r="AB408" s="38">
        <f>MIP[[#This Row],[HH Produtivo
Total]]/MIP[[#This Row],[HH disponível]]</f>
        <v>0.13650465250329372</v>
      </c>
      <c r="AC408" s="38">
        <f>MIP[[#This Row],[HH Trabalhado]]/MIP[[#This Row],[HH disponível]]</f>
        <v>2.6515151515151575E-2</v>
      </c>
      <c r="AD408" s="37" t="str">
        <f>LEFT(MIP[[#This Row],[Equipe]], SEARCH("/",MIP[[#This Row],[Equipe]],1)-1)</f>
        <v xml:space="preserve">ADEMÁRIO </v>
      </c>
      <c r="AE408" s="37" t="str">
        <f>RIGHT(MIP[[#This Row],[Equipe]], LEN(MIP[[#This Row],[Equipe]])-SEARCH("/",MIP[[#This Row],[Equipe]],1))</f>
        <v xml:space="preserve"> RONALDO</v>
      </c>
      <c r="AF408" s="44">
        <f>COUNTIFS('[1]Tempo parado'!H:H,"&gt;="&amp;MIP[[#This Row],[S.B Sitrack]],'[1]Tempo parado'!I:I,"&lt;="&amp;MIP[[#This Row],[C.B Sitrack]],'[1]Tempo parado'!B:B,MIP[[#This Row],[Placa]])</f>
        <v>0</v>
      </c>
      <c r="AG408" s="36"/>
      <c r="AH408" s="35"/>
      <c r="AI408" s="34"/>
      <c r="AJ408" s="34"/>
      <c r="AK40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0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08" s="32">
        <f>SUMIFS('[1]Tempo parado'!J:J,'[1]Tempo parado'!H:H,"&gt;="&amp;MIP[[#This Row],[S.B Sitrack]],'[1]Tempo parado'!I:I,"&lt;="&amp;MIP[[#This Row],[C.B Sitrack]],'[1]Tempo parado'!B:B,MIP[[#This Row],[Placa]])</f>
        <v>0</v>
      </c>
      <c r="AN408" s="32" t="str">
        <f>IFERROR(MIP[[#This Row],[Tempo parado]]/(MIP[[#This Row],[C.B Sitrack]]-MIP[[#This Row],[S.B Sitrack]]),"")</f>
        <v/>
      </c>
      <c r="AO408" s="30"/>
      <c r="AP408" s="44">
        <f>IF(AND(MIP[Exc]=0,MIP[Previsto / Realizado]="Realizado"),MIP[Sem],0)</f>
        <v>0</v>
      </c>
      <c r="AQ408" s="29">
        <f>IF(AND(MIP[Exc]=0,MIP[Previsto / Realizado]="Realizado",ISBLANK(MIP[[#This Row],[S.B Sitrack]])=FALSE,ISBLANK(MIP[[#This Row],[C.B Sitrack]])=FALSE),MIP[Sem],0)</f>
        <v>0</v>
      </c>
    </row>
    <row r="409" spans="1:43" s="47" customFormat="1" x14ac:dyDescent="0.25">
      <c r="A409" s="11"/>
      <c r="B409" s="44">
        <f>WEEKNUM(MIP[[#This Row],[Data]])</f>
        <v>34</v>
      </c>
      <c r="C409" s="45">
        <v>42967</v>
      </c>
      <c r="D409" s="45"/>
      <c r="E409" s="35" t="s">
        <v>10</v>
      </c>
      <c r="F409" s="35" t="s">
        <v>5</v>
      </c>
      <c r="G409" s="35"/>
      <c r="H409" s="44">
        <v>2</v>
      </c>
      <c r="I409" s="44">
        <v>0</v>
      </c>
      <c r="J409" s="44">
        <v>0</v>
      </c>
      <c r="K409" s="44">
        <v>0</v>
      </c>
      <c r="L409" s="44">
        <v>0</v>
      </c>
      <c r="M409" s="43">
        <v>0.25</v>
      </c>
      <c r="N409" s="43">
        <v>0.27083333333333331</v>
      </c>
      <c r="O409" s="43">
        <v>0.63750000000000007</v>
      </c>
      <c r="P409" s="43">
        <v>0.65833333333333333</v>
      </c>
      <c r="Q409" s="39"/>
      <c r="R409" s="42" t="s">
        <v>303</v>
      </c>
      <c r="S409" s="29">
        <f>MIP[[#This Row],[PT-1]]+MIP[[#This Row],[PT-2]]*2+MIP[[#This Row],[PT-3]]*3+MIP[[#This Row],[PT &gt; 3 Pontos]]</f>
        <v>0</v>
      </c>
      <c r="T40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409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409" s="41">
        <f>MIP[[#This Row],[Eficiência]]</f>
        <v>0</v>
      </c>
      <c r="W40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09" s="39">
        <f>IF(MIP[[#This Row],[P.S]]-MIP[[#This Row],[P.E]]&lt;0,1+MIP[[#This Row],[P.S]]-MIP[[#This Row],[P.E]]-1/24,MIP[[#This Row],[P.S]]-MIP[[#This Row],[P.E]]-1/24)</f>
        <v>0.36666666666666664</v>
      </c>
      <c r="Y409" s="39">
        <f>MIP[[#This Row],[PT-1]]*$S$3+MIP[[#This Row],[PT-2]]*$T$3+MIP[[#This Row],[PT-3]]*$U$3+MIP[[#This Row],[PT &gt; 3 Pontos]]*$V$3</f>
        <v>0</v>
      </c>
      <c r="Z409" s="39">
        <f>MIP[[#This Row],[HH disponível]]-MIP[[#This Row],[HH AC TOT]]</f>
        <v>0.32500000000000007</v>
      </c>
      <c r="AA409" s="38">
        <f>MIP[[#This Row],[HH Produtivo
Total]]/MIP[[#This Row],[HH Trabalhado]]</f>
        <v>0</v>
      </c>
      <c r="AB409" s="38">
        <f>MIP[[#This Row],[HH Produtivo
Total]]/MIP[[#This Row],[HH disponível]]</f>
        <v>0</v>
      </c>
      <c r="AC409" s="38">
        <f>MIP[[#This Row],[HH Trabalhado]]/MIP[[#This Row],[HH disponível]]</f>
        <v>0.88636363636363658</v>
      </c>
      <c r="AD409" s="37" t="str">
        <f>LEFT(MIP[[#This Row],[Equipe]], SEARCH("/",MIP[[#This Row],[Equipe]],1)-1)</f>
        <v xml:space="preserve">JOILSON </v>
      </c>
      <c r="AE409" s="37" t="str">
        <f>RIGHT(MIP[[#This Row],[Equipe]], LEN(MIP[[#This Row],[Equipe]])-SEARCH("/",MIP[[#This Row],[Equipe]],1))</f>
        <v xml:space="preserve"> VALDEI</v>
      </c>
      <c r="AF409" s="44">
        <f>COUNTIFS('[1]Tempo parado'!H:H,"&gt;="&amp;MIP[[#This Row],[S.B Sitrack]],'[1]Tempo parado'!I:I,"&lt;="&amp;MIP[[#This Row],[C.B Sitrack]],'[1]Tempo parado'!B:B,MIP[[#This Row],[Placa]])</f>
        <v>0</v>
      </c>
      <c r="AG409" s="36"/>
      <c r="AH409" s="35"/>
      <c r="AI409" s="34"/>
      <c r="AJ409" s="34"/>
      <c r="AK40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0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09" s="32">
        <f>SUMIFS('[1]Tempo parado'!J:J,'[1]Tempo parado'!H:H,"&gt;="&amp;MIP[[#This Row],[S.B Sitrack]],'[1]Tempo parado'!I:I,"&lt;="&amp;MIP[[#This Row],[C.B Sitrack]],'[1]Tempo parado'!B:B,MIP[[#This Row],[Placa]])</f>
        <v>0</v>
      </c>
      <c r="AN409" s="32" t="str">
        <f>IFERROR(MIP[[#This Row],[Tempo parado]]/(MIP[[#This Row],[C.B Sitrack]]-MIP[[#This Row],[S.B Sitrack]]),"")</f>
        <v/>
      </c>
      <c r="AO409" s="30"/>
      <c r="AP409" s="44">
        <f>IF(AND(MIP[Exc]=0,MIP[Previsto / Realizado]="Realizado"),MIP[Sem],0)</f>
        <v>0</v>
      </c>
      <c r="AQ409" s="29">
        <f>IF(AND(MIP[Exc]=0,MIP[Previsto / Realizado]="Realizado",ISBLANK(MIP[[#This Row],[S.B Sitrack]])=FALSE,ISBLANK(MIP[[#This Row],[C.B Sitrack]])=FALSE),MIP[Sem],0)</f>
        <v>0</v>
      </c>
    </row>
    <row r="410" spans="1:43" s="64" customFormat="1" x14ac:dyDescent="0.25">
      <c r="A410" s="11"/>
      <c r="B410" s="44">
        <f>WEEKNUM(MIP[[#This Row],[Data]])</f>
        <v>34</v>
      </c>
      <c r="C410" s="45">
        <v>42967</v>
      </c>
      <c r="D410" s="45"/>
      <c r="E410" s="35" t="s">
        <v>10</v>
      </c>
      <c r="F410" s="35" t="s">
        <v>2</v>
      </c>
      <c r="G410" s="35"/>
      <c r="H410" s="44">
        <v>2</v>
      </c>
      <c r="I410" s="44">
        <v>3</v>
      </c>
      <c r="J410" s="44">
        <v>1</v>
      </c>
      <c r="K410" s="44">
        <v>2</v>
      </c>
      <c r="L410" s="44">
        <v>0</v>
      </c>
      <c r="M410" s="43">
        <v>0.25277777777777777</v>
      </c>
      <c r="N410" s="43">
        <v>0.27777777777777779</v>
      </c>
      <c r="O410" s="43">
        <v>0.4916666666666667</v>
      </c>
      <c r="P410" s="43">
        <v>0.65833333333333333</v>
      </c>
      <c r="Q410" s="39">
        <v>5.6944444444444443E-2</v>
      </c>
      <c r="R410" s="42" t="s">
        <v>306</v>
      </c>
      <c r="S410" s="29">
        <f>MIP[[#This Row],[PT-1]]+MIP[[#This Row],[PT-2]]*2+MIP[[#This Row],[PT-3]]*3+MIP[[#This Row],[PT &gt; 3 Pontos]]</f>
        <v>11</v>
      </c>
      <c r="T41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0.24861111111111109</v>
      </c>
      <c r="U410" s="39">
        <f>IF(MIP[[#This Row],[P.S]]-MIP[[#This Row],[U.P]]&gt;=0,MIP[[#This Row],[P.S]]-MIP[[#This Row],[U.P]]+MIP[[#This Row],[S.B]]-MIP[[#This Row],[P.E]],1+MIP[[#This Row],[P.S]]-MIP[[#This Row],[U.P]]+MIP[[#This Row],[S.B]]-MIP[[#This Row],[P.E]])</f>
        <v>0.19166666666666665</v>
      </c>
      <c r="V410" s="41">
        <f>MIP[[#This Row],[Eficiência]]</f>
        <v>2.1215683385716777</v>
      </c>
      <c r="W41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10" s="39">
        <f>IF(MIP[[#This Row],[P.S]]-MIP[[#This Row],[P.E]]&lt;0,1+MIP[[#This Row],[P.S]]-MIP[[#This Row],[P.E]]-1/24,MIP[[#This Row],[P.S]]-MIP[[#This Row],[P.E]]-1/24)</f>
        <v>0.36388888888888887</v>
      </c>
      <c r="Y410" s="39">
        <f>MIP[[#This Row],[PT-1]]*$S$3+MIP[[#This Row],[PT-2]]*$T$3+MIP[[#This Row],[PT-3]]*$U$3+MIP[[#This Row],[PT &gt; 3 Pontos]]*$V$3</f>
        <v>0.24456968347423511</v>
      </c>
      <c r="Z410" s="39">
        <f>MIP[[#This Row],[HH disponível]]-MIP[[#This Row],[HH AC TOT]]</f>
        <v>0.11527777777777778</v>
      </c>
      <c r="AA410" s="38">
        <f>MIP[[#This Row],[HH Produtivo
Total]]/MIP[[#This Row],[HH Trabalhado]]</f>
        <v>2.1215683385716777</v>
      </c>
      <c r="AB410" s="38">
        <f>MIP[[#This Row],[HH Produtivo
Total]]/MIP[[#This Row],[HH disponível]]</f>
        <v>0.67209989351698196</v>
      </c>
      <c r="AC410" s="38">
        <f>MIP[[#This Row],[HH Trabalhado]]/MIP[[#This Row],[HH disponível]]</f>
        <v>0.31679389312977102</v>
      </c>
      <c r="AD410" s="37" t="str">
        <f>LEFT(MIP[[#This Row],[Equipe]], SEARCH("/",MIP[[#This Row],[Equipe]],1)-1)</f>
        <v xml:space="preserve">JOILSON </v>
      </c>
      <c r="AE410" s="37" t="str">
        <f>RIGHT(MIP[[#This Row],[Equipe]], LEN(MIP[[#This Row],[Equipe]])-SEARCH("/",MIP[[#This Row],[Equipe]],1))</f>
        <v xml:space="preserve"> VALDEI</v>
      </c>
      <c r="AF410" s="44">
        <f>COUNTIFS('[1]Tempo parado'!H:H,"&gt;="&amp;MIP[[#This Row],[S.B Sitrack]],'[1]Tempo parado'!I:I,"&lt;="&amp;MIP[[#This Row],[C.B Sitrack]],'[1]Tempo parado'!B:B,MIP[[#This Row],[Placa]])</f>
        <v>0</v>
      </c>
      <c r="AG410" s="36"/>
      <c r="AH410" s="35"/>
      <c r="AI410" s="34"/>
      <c r="AJ410" s="34"/>
      <c r="AK41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1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10" s="32">
        <f>SUMIFS('[1]Tempo parado'!J:J,'[1]Tempo parado'!H:H,"&gt;="&amp;MIP[[#This Row],[S.B Sitrack]],'[1]Tempo parado'!I:I,"&lt;="&amp;MIP[[#This Row],[C.B Sitrack]],'[1]Tempo parado'!B:B,MIP[[#This Row],[Placa]])</f>
        <v>0</v>
      </c>
      <c r="AN410" s="32" t="str">
        <f>IFERROR(MIP[[#This Row],[Tempo parado]]/(MIP[[#This Row],[C.B Sitrack]]-MIP[[#This Row],[S.B Sitrack]]),"")</f>
        <v/>
      </c>
      <c r="AO410" s="30"/>
      <c r="AP410" s="44">
        <f>IF(AND(MIP[Exc]=0,MIP[Previsto / Realizado]="Realizado"),MIP[Sem],0)</f>
        <v>34</v>
      </c>
      <c r="AQ410" s="29">
        <f>IF(AND(MIP[Exc]=0,MIP[Previsto / Realizado]="Realizado",ISBLANK(MIP[[#This Row],[S.B Sitrack]])=FALSE,ISBLANK(MIP[[#This Row],[C.B Sitrack]])=FALSE),MIP[Sem],0)</f>
        <v>0</v>
      </c>
    </row>
    <row r="411" spans="1:43" s="47" customFormat="1" x14ac:dyDescent="0.25">
      <c r="A411" s="11"/>
      <c r="B411" s="44">
        <f>WEEKNUM(MIP[[#This Row],[Data]])</f>
        <v>34</v>
      </c>
      <c r="C411" s="45">
        <v>42968</v>
      </c>
      <c r="D411" s="45"/>
      <c r="E411" s="35" t="s">
        <v>19</v>
      </c>
      <c r="F411" s="35" t="s">
        <v>5</v>
      </c>
      <c r="G411" s="35"/>
      <c r="H411" s="44">
        <v>2</v>
      </c>
      <c r="I411" s="44">
        <v>0</v>
      </c>
      <c r="J411" s="44">
        <v>0</v>
      </c>
      <c r="K411" s="44">
        <v>0</v>
      </c>
      <c r="L411" s="44">
        <v>20</v>
      </c>
      <c r="M411" s="43">
        <v>0.625</v>
      </c>
      <c r="N411" s="43">
        <v>0.64583333333333337</v>
      </c>
      <c r="O411" s="43">
        <f>1+18/24/60</f>
        <v>1.0125</v>
      </c>
      <c r="P411" s="43">
        <f>1+48/24/60</f>
        <v>1.0333333333333334</v>
      </c>
      <c r="Q411" s="39"/>
      <c r="R411" s="42" t="s">
        <v>305</v>
      </c>
      <c r="S411" s="29">
        <f>MIP[[#This Row],[PT-1]]+MIP[[#This Row],[PT-2]]*2+MIP[[#This Row],[PT-3]]*3+MIP[[#This Row],[PT &gt; 3 Pontos]]</f>
        <v>20</v>
      </c>
      <c r="T41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411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411" s="41">
        <f>MIP[[#This Row],[Eficiência]]</f>
        <v>1.2460314388152562</v>
      </c>
      <c r="W41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11" s="39">
        <f>IF(MIP[[#This Row],[P.S]]-MIP[[#This Row],[P.E]]&lt;0,1+MIP[[#This Row],[P.S]]-MIP[[#This Row],[P.E]]-1/24,MIP[[#This Row],[P.S]]-MIP[[#This Row],[P.E]]-1/24)</f>
        <v>0.36666666666666675</v>
      </c>
      <c r="Y411" s="39">
        <f>MIP[[#This Row],[PT-1]]*$S$3+MIP[[#This Row],[PT-2]]*$T$3+MIP[[#This Row],[PT-3]]*$U$3+MIP[[#This Row],[PT &gt; 3 Pontos]]*$V$3</f>
        <v>0.40496021761495815</v>
      </c>
      <c r="Z411" s="39">
        <f>MIP[[#This Row],[HH disponível]]-MIP[[#This Row],[HH AC TOT]]</f>
        <v>0.3249999999999999</v>
      </c>
      <c r="AA411" s="38">
        <f>MIP[[#This Row],[HH Produtivo
Total]]/MIP[[#This Row],[HH Trabalhado]]</f>
        <v>1.2460314388152562</v>
      </c>
      <c r="AB411" s="38">
        <f>MIP[[#This Row],[HH Produtivo
Total]]/MIP[[#This Row],[HH disponível]]</f>
        <v>1.1044369571317039</v>
      </c>
      <c r="AC411" s="38">
        <f>MIP[[#This Row],[HH Trabalhado]]/MIP[[#This Row],[HH disponível]]</f>
        <v>0.88636363636363591</v>
      </c>
      <c r="AD411" s="37" t="str">
        <f>LEFT(MIP[[#This Row],[Equipe]], SEARCH("/",MIP[[#This Row],[Equipe]],1)-1)</f>
        <v xml:space="preserve">ADEMÁRIO </v>
      </c>
      <c r="AE411" s="37" t="str">
        <f>RIGHT(MIP[[#This Row],[Equipe]], LEN(MIP[[#This Row],[Equipe]])-SEARCH("/",MIP[[#This Row],[Equipe]],1))</f>
        <v xml:space="preserve"> RONALDO</v>
      </c>
      <c r="AF411" s="44">
        <f>COUNTIFS('[1]Tempo parado'!H:H,"&gt;="&amp;MIP[[#This Row],[S.B Sitrack]],'[1]Tempo parado'!I:I,"&lt;="&amp;MIP[[#This Row],[C.B Sitrack]],'[1]Tempo parado'!B:B,MIP[[#This Row],[Placa]])</f>
        <v>0</v>
      </c>
      <c r="AG411" s="36"/>
      <c r="AH411" s="35"/>
      <c r="AI411" s="34"/>
      <c r="AJ411" s="34"/>
      <c r="AK41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1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11" s="32">
        <f>SUMIFS('[1]Tempo parado'!J:J,'[1]Tempo parado'!H:H,"&gt;="&amp;MIP[[#This Row],[S.B Sitrack]],'[1]Tempo parado'!I:I,"&lt;="&amp;MIP[[#This Row],[C.B Sitrack]],'[1]Tempo parado'!B:B,MIP[[#This Row],[Placa]])</f>
        <v>0</v>
      </c>
      <c r="AN411" s="32" t="str">
        <f>IFERROR(MIP[[#This Row],[Tempo parado]]/(MIP[[#This Row],[C.B Sitrack]]-MIP[[#This Row],[S.B Sitrack]]),"")</f>
        <v/>
      </c>
      <c r="AO411" s="30"/>
      <c r="AP411" s="44">
        <f>IF(AND(MIP[Exc]=0,MIP[Previsto / Realizado]="Realizado"),MIP[Sem],0)</f>
        <v>0</v>
      </c>
      <c r="AQ411" s="29">
        <f>IF(AND(MIP[Exc]=0,MIP[Previsto / Realizado]="Realizado",ISBLANK(MIP[[#This Row],[S.B Sitrack]])=FALSE,ISBLANK(MIP[[#This Row],[C.B Sitrack]])=FALSE),MIP[Sem],0)</f>
        <v>0</v>
      </c>
    </row>
    <row r="412" spans="1:43" s="64" customFormat="1" x14ac:dyDescent="0.25">
      <c r="A412" s="11"/>
      <c r="B412" s="44">
        <f>WEEKNUM(MIP[[#This Row],[Data]])</f>
        <v>34</v>
      </c>
      <c r="C412" s="45">
        <v>42968</v>
      </c>
      <c r="D412" s="45"/>
      <c r="E412" s="35" t="s">
        <v>19</v>
      </c>
      <c r="F412" s="35" t="s">
        <v>2</v>
      </c>
      <c r="G412" s="35"/>
      <c r="H412" s="44">
        <v>2</v>
      </c>
      <c r="I412" s="44">
        <v>0</v>
      </c>
      <c r="J412" s="44">
        <v>0</v>
      </c>
      <c r="K412" s="44">
        <v>0</v>
      </c>
      <c r="L412" s="44">
        <v>9</v>
      </c>
      <c r="M412" s="43">
        <v>0.62638888888888888</v>
      </c>
      <c r="N412" s="43">
        <v>0.66666666666666663</v>
      </c>
      <c r="O412" s="43">
        <v>0.95833333333333337</v>
      </c>
      <c r="P412" s="43">
        <f>1+54/24/60</f>
        <v>1.0375000000000001</v>
      </c>
      <c r="Q412" s="39"/>
      <c r="R412" s="42" t="s">
        <v>304</v>
      </c>
      <c r="S412" s="29">
        <f>MIP[[#This Row],[PT-1]]+MIP[[#This Row],[PT-2]]*2+MIP[[#This Row],[PT-3]]*3+MIP[[#This Row],[PT &gt; 3 Pontos]]</f>
        <v>9</v>
      </c>
      <c r="T41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0.11944444444444446</v>
      </c>
      <c r="U412" s="39">
        <f>IF(MIP[[#This Row],[P.S]]-MIP[[#This Row],[U.P]]&gt;=0,MIP[[#This Row],[P.S]]-MIP[[#This Row],[U.P]]+MIP[[#This Row],[S.B]]-MIP[[#This Row],[P.E]],1+MIP[[#This Row],[P.S]]-MIP[[#This Row],[U.P]]+MIP[[#This Row],[S.B]]-MIP[[#This Row],[P.E]])</f>
        <v>0.11944444444444446</v>
      </c>
      <c r="V412" s="41">
        <f>MIP[[#This Row],[Eficiência]]</f>
        <v>0.72892839170692458</v>
      </c>
      <c r="W41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12" s="39">
        <f>IF(MIP[[#This Row],[P.S]]-MIP[[#This Row],[P.E]]&lt;0,1+MIP[[#This Row],[P.S]]-MIP[[#This Row],[P.E]]-1/24,MIP[[#This Row],[P.S]]-MIP[[#This Row],[P.E]]-1/24)</f>
        <v>0.36944444444444452</v>
      </c>
      <c r="Y412" s="39">
        <f>MIP[[#This Row],[PT-1]]*$S$3+MIP[[#This Row],[PT-2]]*$T$3+MIP[[#This Row],[PT-3]]*$U$3+MIP[[#This Row],[PT &gt; 3 Pontos]]*$V$3</f>
        <v>0.18223209792673117</v>
      </c>
      <c r="Z412" s="39">
        <f>MIP[[#This Row],[HH disponível]]-MIP[[#This Row],[HH AC TOT]]</f>
        <v>0.25000000000000006</v>
      </c>
      <c r="AA412" s="38">
        <f>MIP[[#This Row],[HH Produtivo
Total]]/MIP[[#This Row],[HH Trabalhado]]</f>
        <v>0.72892839170692458</v>
      </c>
      <c r="AB412" s="38">
        <f>MIP[[#This Row],[HH Produtivo
Total]]/MIP[[#This Row],[HH disponível]]</f>
        <v>0.49325981393701662</v>
      </c>
      <c r="AC412" s="38">
        <f>MIP[[#This Row],[HH Trabalhado]]/MIP[[#This Row],[HH disponível]]</f>
        <v>0.67669172932330823</v>
      </c>
      <c r="AD412" s="37" t="str">
        <f>LEFT(MIP[[#This Row],[Equipe]], SEARCH("/",MIP[[#This Row],[Equipe]],1)-1)</f>
        <v xml:space="preserve">ADEMÁRIO </v>
      </c>
      <c r="AE412" s="37" t="str">
        <f>RIGHT(MIP[[#This Row],[Equipe]], LEN(MIP[[#This Row],[Equipe]])-SEARCH("/",MIP[[#This Row],[Equipe]],1))</f>
        <v xml:space="preserve"> RONALDO</v>
      </c>
      <c r="AF412" s="44">
        <f>COUNTIFS('[1]Tempo parado'!H:H,"&gt;="&amp;MIP[[#This Row],[S.B Sitrack]],'[1]Tempo parado'!I:I,"&lt;="&amp;MIP[[#This Row],[C.B Sitrack]],'[1]Tempo parado'!B:B,MIP[[#This Row],[Placa]])</f>
        <v>0</v>
      </c>
      <c r="AG412" s="36"/>
      <c r="AH412" s="35"/>
      <c r="AI412" s="34"/>
      <c r="AJ412" s="34"/>
      <c r="AK41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1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12" s="32">
        <f>SUMIFS('[1]Tempo parado'!J:J,'[1]Tempo parado'!H:H,"&gt;="&amp;MIP[[#This Row],[S.B Sitrack]],'[1]Tempo parado'!I:I,"&lt;="&amp;MIP[[#This Row],[C.B Sitrack]],'[1]Tempo parado'!B:B,MIP[[#This Row],[Placa]])</f>
        <v>0</v>
      </c>
      <c r="AN412" s="32" t="str">
        <f>IFERROR(MIP[[#This Row],[Tempo parado]]/(MIP[[#This Row],[C.B Sitrack]]-MIP[[#This Row],[S.B Sitrack]]),"")</f>
        <v/>
      </c>
      <c r="AO412" s="30"/>
      <c r="AP412" s="44">
        <f>IF(AND(MIP[Exc]=0,MIP[Previsto / Realizado]="Realizado"),MIP[Sem],0)</f>
        <v>34</v>
      </c>
      <c r="AQ412" s="29">
        <f>IF(AND(MIP[Exc]=0,MIP[Previsto / Realizado]="Realizado",ISBLANK(MIP[[#This Row],[S.B Sitrack]])=FALSE,ISBLANK(MIP[[#This Row],[C.B Sitrack]])=FALSE),MIP[Sem],0)</f>
        <v>0</v>
      </c>
    </row>
    <row r="413" spans="1:43" s="47" customFormat="1" x14ac:dyDescent="0.25">
      <c r="A413" s="11"/>
      <c r="B413" s="44">
        <f>WEEKNUM(MIP[[#This Row],[Data]])</f>
        <v>34</v>
      </c>
      <c r="C413" s="45">
        <v>42968</v>
      </c>
      <c r="D413" s="45"/>
      <c r="E413" s="35" t="s">
        <v>7</v>
      </c>
      <c r="F413" s="35" t="s">
        <v>5</v>
      </c>
      <c r="G413" s="35"/>
      <c r="H413" s="44">
        <v>2</v>
      </c>
      <c r="I413" s="44">
        <v>4</v>
      </c>
      <c r="J413" s="44">
        <v>0</v>
      </c>
      <c r="K413" s="44">
        <v>0</v>
      </c>
      <c r="L413" s="44">
        <v>0</v>
      </c>
      <c r="M413" s="43">
        <v>0.625</v>
      </c>
      <c r="N413" s="43">
        <v>0.64583333333333337</v>
      </c>
      <c r="O413" s="43">
        <f>1+18/24/60</f>
        <v>1.0125</v>
      </c>
      <c r="P413" s="43">
        <f>1+48/24/60</f>
        <v>1.0333333333333334</v>
      </c>
      <c r="Q413" s="39"/>
      <c r="R413" s="42" t="s">
        <v>303</v>
      </c>
      <c r="S413" s="29">
        <f>MIP[[#This Row],[PT-1]]+MIP[[#This Row],[PT-2]]*2+MIP[[#This Row],[PT-3]]*3+MIP[[#This Row],[PT &gt; 3 Pontos]]</f>
        <v>4</v>
      </c>
      <c r="T41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413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413" s="41">
        <f>MIP[[#This Row],[Eficiência]]</f>
        <v>0.30801049795614999</v>
      </c>
      <c r="W41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13" s="39">
        <f>IF(MIP[[#This Row],[P.S]]-MIP[[#This Row],[P.E]]&lt;0,1+MIP[[#This Row],[P.S]]-MIP[[#This Row],[P.E]]-1/24,MIP[[#This Row],[P.S]]-MIP[[#This Row],[P.E]]-1/24)</f>
        <v>0.36666666666666675</v>
      </c>
      <c r="Y413" s="39">
        <f>MIP[[#This Row],[PT-1]]*$S$3+MIP[[#This Row],[PT-2]]*$T$3+MIP[[#This Row],[PT-3]]*$U$3+MIP[[#This Row],[PT &gt; 3 Pontos]]*$V$3</f>
        <v>0.10010341183574872</v>
      </c>
      <c r="Z413" s="39">
        <f>MIP[[#This Row],[HH disponível]]-MIP[[#This Row],[HH AC TOT]]</f>
        <v>0.3249999999999999</v>
      </c>
      <c r="AA413" s="38">
        <f>MIP[[#This Row],[HH Produtivo
Total]]/MIP[[#This Row],[HH Trabalhado]]</f>
        <v>0.30801049795614999</v>
      </c>
      <c r="AB413" s="38">
        <f>MIP[[#This Row],[HH Produtivo
Total]]/MIP[[#This Row],[HH disponível]]</f>
        <v>0.27300930500658738</v>
      </c>
      <c r="AC413" s="38">
        <f>MIP[[#This Row],[HH Trabalhado]]/MIP[[#This Row],[HH disponível]]</f>
        <v>0.88636363636363591</v>
      </c>
      <c r="AD413" s="37" t="str">
        <f>LEFT(MIP[[#This Row],[Equipe]], SEARCH("/",MIP[[#This Row],[Equipe]],1)-1)</f>
        <v xml:space="preserve">ANDERSON </v>
      </c>
      <c r="AE413" s="37" t="str">
        <f>RIGHT(MIP[[#This Row],[Equipe]], LEN(MIP[[#This Row],[Equipe]])-SEARCH("/",MIP[[#This Row],[Equipe]],1))</f>
        <v xml:space="preserve"> MARCO</v>
      </c>
      <c r="AF413" s="44">
        <f>COUNTIFS('[1]Tempo parado'!H:H,"&gt;="&amp;MIP[[#This Row],[S.B Sitrack]],'[1]Tempo parado'!I:I,"&lt;="&amp;MIP[[#This Row],[C.B Sitrack]],'[1]Tempo parado'!B:B,MIP[[#This Row],[Placa]])</f>
        <v>0</v>
      </c>
      <c r="AG413" s="36"/>
      <c r="AH413" s="35"/>
      <c r="AI413" s="34"/>
      <c r="AJ413" s="34"/>
      <c r="AK41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1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13" s="32">
        <f>SUMIFS('[1]Tempo parado'!J:J,'[1]Tempo parado'!H:H,"&gt;="&amp;MIP[[#This Row],[S.B Sitrack]],'[1]Tempo parado'!I:I,"&lt;="&amp;MIP[[#This Row],[C.B Sitrack]],'[1]Tempo parado'!B:B,MIP[[#This Row],[Placa]])</f>
        <v>0</v>
      </c>
      <c r="AN413" s="32" t="str">
        <f>IFERROR(MIP[[#This Row],[Tempo parado]]/(MIP[[#This Row],[C.B Sitrack]]-MIP[[#This Row],[S.B Sitrack]]),"")</f>
        <v/>
      </c>
      <c r="AO413" s="30"/>
      <c r="AP413" s="44">
        <f>IF(AND(MIP[Exc]=0,MIP[Previsto / Realizado]="Realizado"),MIP[Sem],0)</f>
        <v>0</v>
      </c>
      <c r="AQ413" s="29">
        <f>IF(AND(MIP[Exc]=0,MIP[Previsto / Realizado]="Realizado",ISBLANK(MIP[[#This Row],[S.B Sitrack]])=FALSE,ISBLANK(MIP[[#This Row],[C.B Sitrack]])=FALSE),MIP[Sem],0)</f>
        <v>0</v>
      </c>
    </row>
    <row r="414" spans="1:43" s="64" customFormat="1" x14ac:dyDescent="0.25">
      <c r="A414" s="11"/>
      <c r="B414" s="44">
        <f>WEEKNUM(MIP[[#This Row],[Data]])</f>
        <v>34</v>
      </c>
      <c r="C414" s="45">
        <v>42968</v>
      </c>
      <c r="D414" s="45"/>
      <c r="E414" s="35" t="s">
        <v>7</v>
      </c>
      <c r="F414" s="35" t="s">
        <v>2</v>
      </c>
      <c r="G414" s="35"/>
      <c r="H414" s="44">
        <v>2</v>
      </c>
      <c r="I414" s="44">
        <v>4</v>
      </c>
      <c r="J414" s="44">
        <v>3</v>
      </c>
      <c r="K414" s="44">
        <v>0</v>
      </c>
      <c r="L414" s="44">
        <v>0</v>
      </c>
      <c r="M414" s="43">
        <v>0.62847222222222221</v>
      </c>
      <c r="N414" s="43">
        <v>0.65763888888888888</v>
      </c>
      <c r="O414" s="43">
        <f>1+25/24/60</f>
        <v>1.0173611111111112</v>
      </c>
      <c r="P414" s="43">
        <f>1+48/24/60</f>
        <v>1.0333333333333334</v>
      </c>
      <c r="Q414" s="39">
        <v>6.6666666666666666E-2</v>
      </c>
      <c r="R414" s="42" t="s">
        <v>302</v>
      </c>
      <c r="S414" s="29">
        <f>MIP[[#This Row],[PT-1]]+MIP[[#This Row],[PT-2]]*2+MIP[[#This Row],[PT-3]]*3+MIP[[#This Row],[PT &gt; 3 Pontos]]</f>
        <v>10</v>
      </c>
      <c r="T41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0.11180555555555562</v>
      </c>
      <c r="U414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4.5138888888888951E-2</v>
      </c>
      <c r="V414" s="41">
        <f>MIP[[#This Row],[Eficiência]]</f>
        <v>0.92219553206821958</v>
      </c>
      <c r="W41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14" s="39">
        <f>IF(MIP[[#This Row],[P.S]]-MIP[[#This Row],[P.E]]&lt;0,1+MIP[[#This Row],[P.S]]-MIP[[#This Row],[P.E]]-1/24,MIP[[#This Row],[P.S]]-MIP[[#This Row],[P.E]]-1/24)</f>
        <v>0.36319444444444454</v>
      </c>
      <c r="Y414" s="39">
        <f>MIP[[#This Row],[PT-1]]*$S$3+MIP[[#This Row],[PT-2]]*$T$3+MIP[[#This Row],[PT-3]]*$U$3+MIP[[#This Row],[PT &gt; 3 Pontos]]*$V$3</f>
        <v>0.23182971014492748</v>
      </c>
      <c r="Z414" s="39">
        <f>MIP[[#This Row],[HH disponível]]-MIP[[#This Row],[HH AC TOT]]</f>
        <v>0.25138888888888894</v>
      </c>
      <c r="AA414" s="38">
        <f>MIP[[#This Row],[HH Produtivo
Total]]/MIP[[#This Row],[HH Trabalhado]]</f>
        <v>0.92219553206821958</v>
      </c>
      <c r="AB414" s="38">
        <f>MIP[[#This Row],[HH Produtivo
Total]]/MIP[[#This Row],[HH disponível]]</f>
        <v>0.63830742372599514</v>
      </c>
      <c r="AC414" s="38">
        <f>MIP[[#This Row],[HH Trabalhado]]/MIP[[#This Row],[HH disponível]]</f>
        <v>0.69216061185468447</v>
      </c>
      <c r="AD414" s="37" t="str">
        <f>LEFT(MIP[[#This Row],[Equipe]], SEARCH("/",MIP[[#This Row],[Equipe]],1)-1)</f>
        <v xml:space="preserve">ANDERSON </v>
      </c>
      <c r="AE414" s="37" t="str">
        <f>RIGHT(MIP[[#This Row],[Equipe]], LEN(MIP[[#This Row],[Equipe]])-SEARCH("/",MIP[[#This Row],[Equipe]],1))</f>
        <v xml:space="preserve"> MARCO</v>
      </c>
      <c r="AF414" s="44">
        <f>COUNTIFS('[1]Tempo parado'!H:H,"&gt;="&amp;MIP[[#This Row],[S.B Sitrack]],'[1]Tempo parado'!I:I,"&lt;="&amp;MIP[[#This Row],[C.B Sitrack]],'[1]Tempo parado'!B:B,MIP[[#This Row],[Placa]])</f>
        <v>0</v>
      </c>
      <c r="AG414" s="36"/>
      <c r="AH414" s="35"/>
      <c r="AI414" s="34"/>
      <c r="AJ414" s="34"/>
      <c r="AK41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1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14" s="32">
        <f>SUMIFS('[1]Tempo parado'!J:J,'[1]Tempo parado'!H:H,"&gt;="&amp;MIP[[#This Row],[S.B Sitrack]],'[1]Tempo parado'!I:I,"&lt;="&amp;MIP[[#This Row],[C.B Sitrack]],'[1]Tempo parado'!B:B,MIP[[#This Row],[Placa]])</f>
        <v>0</v>
      </c>
      <c r="AN414" s="32" t="str">
        <f>IFERROR(MIP[[#This Row],[Tempo parado]]/(MIP[[#This Row],[C.B Sitrack]]-MIP[[#This Row],[S.B Sitrack]]),"")</f>
        <v/>
      </c>
      <c r="AO414" s="30"/>
      <c r="AP414" s="44">
        <f>IF(AND(MIP[Exc]=0,MIP[Previsto / Realizado]="Realizado"),MIP[Sem],0)</f>
        <v>34</v>
      </c>
      <c r="AQ414" s="29">
        <f>IF(AND(MIP[Exc]=0,MIP[Previsto / Realizado]="Realizado",ISBLANK(MIP[[#This Row],[S.B Sitrack]])=FALSE,ISBLANK(MIP[[#This Row],[C.B Sitrack]])=FALSE),MIP[Sem],0)</f>
        <v>0</v>
      </c>
    </row>
    <row r="415" spans="1:43" s="47" customFormat="1" x14ac:dyDescent="0.25">
      <c r="A415" s="11"/>
      <c r="B415" s="44">
        <f>WEEKNUM(MIP[[#This Row],[Data]])</f>
        <v>34</v>
      </c>
      <c r="C415" s="45">
        <v>42968</v>
      </c>
      <c r="D415" s="45"/>
      <c r="E415" s="35" t="s">
        <v>3</v>
      </c>
      <c r="F415" s="35" t="s">
        <v>5</v>
      </c>
      <c r="G415" s="35"/>
      <c r="H415" s="44">
        <v>2</v>
      </c>
      <c r="I415" s="44">
        <v>2</v>
      </c>
      <c r="J415" s="44">
        <v>1</v>
      </c>
      <c r="K415" s="44">
        <v>0</v>
      </c>
      <c r="L415" s="44">
        <v>0</v>
      </c>
      <c r="M415" s="43">
        <v>0.625</v>
      </c>
      <c r="N415" s="43">
        <v>0.64583333333333337</v>
      </c>
      <c r="O415" s="43">
        <f>1+18/24/60</f>
        <v>1.0125</v>
      </c>
      <c r="P415" s="43">
        <f>1+48/24/60</f>
        <v>1.0333333333333334</v>
      </c>
      <c r="Q415" s="39"/>
      <c r="R415" s="42" t="s">
        <v>188</v>
      </c>
      <c r="S415" s="29">
        <f>MIP[[#This Row],[PT-1]]+MIP[[#This Row],[PT-2]]*2+MIP[[#This Row],[PT-3]]*3+MIP[[#This Row],[PT &gt; 3 Pontos]]</f>
        <v>4</v>
      </c>
      <c r="T41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415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415" s="41">
        <f>MIP[[#This Row],[Eficiência]]</f>
        <v>0.28910914467979681</v>
      </c>
      <c r="W41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15" s="39">
        <f>IF(MIP[[#This Row],[P.S]]-MIP[[#This Row],[P.E]]&lt;0,1+MIP[[#This Row],[P.S]]-MIP[[#This Row],[P.E]]-1/24,MIP[[#This Row],[P.S]]-MIP[[#This Row],[P.E]]-1/24)</f>
        <v>0.36666666666666675</v>
      </c>
      <c r="Y415" s="39">
        <f>MIP[[#This Row],[PT-1]]*$S$3+MIP[[#This Row],[PT-2]]*$T$3+MIP[[#This Row],[PT-3]]*$U$3+MIP[[#This Row],[PT &gt; 3 Pontos]]*$V$3</f>
        <v>9.3960472020933938E-2</v>
      </c>
      <c r="Z415" s="39">
        <f>MIP[[#This Row],[HH disponível]]-MIP[[#This Row],[HH AC TOT]]</f>
        <v>0.3249999999999999</v>
      </c>
      <c r="AA415" s="38">
        <f>MIP[[#This Row],[HH Produtivo
Total]]/MIP[[#This Row],[HH Trabalhado]]</f>
        <v>0.28910914467979681</v>
      </c>
      <c r="AB415" s="38">
        <f>MIP[[#This Row],[HH Produtivo
Total]]/MIP[[#This Row],[HH disponível]]</f>
        <v>0.2562558327843652</v>
      </c>
      <c r="AC415" s="38">
        <f>MIP[[#This Row],[HH Trabalhado]]/MIP[[#This Row],[HH disponível]]</f>
        <v>0.88636363636363591</v>
      </c>
      <c r="AD415" s="37" t="str">
        <f>LEFT(MIP[[#This Row],[Equipe]], SEARCH("/",MIP[[#This Row],[Equipe]],1)-1)</f>
        <v xml:space="preserve">EDILTON </v>
      </c>
      <c r="AE415" s="37" t="str">
        <f>RIGHT(MIP[[#This Row],[Equipe]], LEN(MIP[[#This Row],[Equipe]])-SEARCH("/",MIP[[#This Row],[Equipe]],1))</f>
        <v xml:space="preserve"> GECIVALDO</v>
      </c>
      <c r="AF415" s="44">
        <f>COUNTIFS('[1]Tempo parado'!H:H,"&gt;="&amp;MIP[[#This Row],[S.B Sitrack]],'[1]Tempo parado'!I:I,"&lt;="&amp;MIP[[#This Row],[C.B Sitrack]],'[1]Tempo parado'!B:B,MIP[[#This Row],[Placa]])</f>
        <v>0</v>
      </c>
      <c r="AG415" s="36"/>
      <c r="AH415" s="35"/>
      <c r="AI415" s="34"/>
      <c r="AJ415" s="34"/>
      <c r="AK41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1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15" s="32">
        <f>SUMIFS('[1]Tempo parado'!J:J,'[1]Tempo parado'!H:H,"&gt;="&amp;MIP[[#This Row],[S.B Sitrack]],'[1]Tempo parado'!I:I,"&lt;="&amp;MIP[[#This Row],[C.B Sitrack]],'[1]Tempo parado'!B:B,MIP[[#This Row],[Placa]])</f>
        <v>0</v>
      </c>
      <c r="AN415" s="32" t="str">
        <f>IFERROR(MIP[[#This Row],[Tempo parado]]/(MIP[[#This Row],[C.B Sitrack]]-MIP[[#This Row],[S.B Sitrack]]),"")</f>
        <v/>
      </c>
      <c r="AO415" s="30"/>
      <c r="AP415" s="44">
        <f>IF(AND(MIP[Exc]=0,MIP[Previsto / Realizado]="Realizado"),MIP[Sem],0)</f>
        <v>0</v>
      </c>
      <c r="AQ415" s="29">
        <f>IF(AND(MIP[Exc]=0,MIP[Previsto / Realizado]="Realizado",ISBLANK(MIP[[#This Row],[S.B Sitrack]])=FALSE,ISBLANK(MIP[[#This Row],[C.B Sitrack]])=FALSE),MIP[Sem],0)</f>
        <v>0</v>
      </c>
    </row>
    <row r="416" spans="1:43" s="64" customFormat="1" x14ac:dyDescent="0.25">
      <c r="A416" s="11"/>
      <c r="B416" s="44">
        <f>WEEKNUM(MIP[[#This Row],[Data]])</f>
        <v>34</v>
      </c>
      <c r="C416" s="45">
        <v>42968</v>
      </c>
      <c r="D416" s="45"/>
      <c r="E416" s="35" t="s">
        <v>3</v>
      </c>
      <c r="F416" s="35" t="s">
        <v>2</v>
      </c>
      <c r="G416" s="35"/>
      <c r="H416" s="44">
        <v>2</v>
      </c>
      <c r="I416" s="44">
        <v>7</v>
      </c>
      <c r="J416" s="44">
        <v>3</v>
      </c>
      <c r="K416" s="44">
        <v>0</v>
      </c>
      <c r="L416" s="44">
        <v>0</v>
      </c>
      <c r="M416" s="43">
        <v>0.62083333333333335</v>
      </c>
      <c r="N416" s="43">
        <v>0.65625</v>
      </c>
      <c r="O416" s="43">
        <v>0.9277777777777777</v>
      </c>
      <c r="P416" s="43">
        <f>1+51/24/60</f>
        <v>1.0354166666666667</v>
      </c>
      <c r="Q416" s="39"/>
      <c r="R416" s="42" t="s">
        <v>301</v>
      </c>
      <c r="S416" s="29">
        <f>MIP[[#This Row],[PT-1]]+MIP[[#This Row],[PT-2]]*2+MIP[[#This Row],[PT-3]]*3+MIP[[#This Row],[PT &gt; 3 Pontos]]</f>
        <v>13</v>
      </c>
      <c r="T41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0.1430555555555556</v>
      </c>
      <c r="U416" s="39">
        <f>IF(MIP[[#This Row],[P.S]]-MIP[[#This Row],[U.P]]&gt;=0,MIP[[#This Row],[P.S]]-MIP[[#This Row],[U.P]]+MIP[[#This Row],[S.B]]-MIP[[#This Row],[P.E]],1+MIP[[#This Row],[P.S]]-MIP[[#This Row],[U.P]]+MIP[[#This Row],[S.B]]-MIP[[#This Row],[P.E]])</f>
        <v>0.1430555555555556</v>
      </c>
      <c r="V416" s="41">
        <f>MIP[[#This Row],[Eficiência]]</f>
        <v>1.3351857020885329</v>
      </c>
      <c r="W41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16" s="39">
        <f>IF(MIP[[#This Row],[P.S]]-MIP[[#This Row],[P.E]]&lt;0,1+MIP[[#This Row],[P.S]]-MIP[[#This Row],[P.E]]-1/24,MIP[[#This Row],[P.S]]-MIP[[#This Row],[P.E]]-1/24)</f>
        <v>0.37291666666666662</v>
      </c>
      <c r="Y416" s="39">
        <f>MIP[[#This Row],[PT-1]]*$S$3+MIP[[#This Row],[PT-2]]*$T$3+MIP[[#This Row],[PT-3]]*$U$3+MIP[[#This Row],[PT &gt; 3 Pontos]]*$V$3</f>
        <v>0.30690726902173904</v>
      </c>
      <c r="Z416" s="39">
        <f>MIP[[#This Row],[HH disponível]]-MIP[[#This Row],[HH AC TOT]]</f>
        <v>0.22986111111111102</v>
      </c>
      <c r="AA416" s="38">
        <f>MIP[[#This Row],[HH Produtivo
Total]]/MIP[[#This Row],[HH Trabalhado]]</f>
        <v>1.3351857020885329</v>
      </c>
      <c r="AB416" s="38">
        <f>MIP[[#This Row],[HH Produtivo
Total]]/MIP[[#This Row],[HH disponível]]</f>
        <v>0.82299155938790369</v>
      </c>
      <c r="AC416" s="38">
        <f>MIP[[#This Row],[HH Trabalhado]]/MIP[[#This Row],[HH disponível]]</f>
        <v>0.61638733705772797</v>
      </c>
      <c r="AD416" s="37" t="str">
        <f>LEFT(MIP[[#This Row],[Equipe]], SEARCH("/",MIP[[#This Row],[Equipe]],1)-1)</f>
        <v xml:space="preserve">EDILTON </v>
      </c>
      <c r="AE416" s="37" t="str">
        <f>RIGHT(MIP[[#This Row],[Equipe]], LEN(MIP[[#This Row],[Equipe]])-SEARCH("/",MIP[[#This Row],[Equipe]],1))</f>
        <v xml:space="preserve"> GECIVALDO</v>
      </c>
      <c r="AF416" s="44">
        <f>COUNTIFS('[1]Tempo parado'!H:H,"&gt;="&amp;MIP[[#This Row],[S.B Sitrack]],'[1]Tempo parado'!I:I,"&lt;="&amp;MIP[[#This Row],[C.B Sitrack]],'[1]Tempo parado'!B:B,MIP[[#This Row],[Placa]])</f>
        <v>0</v>
      </c>
      <c r="AG416" s="36"/>
      <c r="AH416" s="35"/>
      <c r="AI416" s="34"/>
      <c r="AJ416" s="34"/>
      <c r="AK41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1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16" s="32">
        <f>SUMIFS('[1]Tempo parado'!J:J,'[1]Tempo parado'!H:H,"&gt;="&amp;MIP[[#This Row],[S.B Sitrack]],'[1]Tempo parado'!I:I,"&lt;="&amp;MIP[[#This Row],[C.B Sitrack]],'[1]Tempo parado'!B:B,MIP[[#This Row],[Placa]])</f>
        <v>0</v>
      </c>
      <c r="AN416" s="32" t="str">
        <f>IFERROR(MIP[[#This Row],[Tempo parado]]/(MIP[[#This Row],[C.B Sitrack]]-MIP[[#This Row],[S.B Sitrack]]),"")</f>
        <v/>
      </c>
      <c r="AO416" s="30"/>
      <c r="AP416" s="44">
        <f>IF(AND(MIP[Exc]=0,MIP[Previsto / Realizado]="Realizado"),MIP[Sem],0)</f>
        <v>34</v>
      </c>
      <c r="AQ416" s="29">
        <f>IF(AND(MIP[Exc]=0,MIP[Previsto / Realizado]="Realizado",ISBLANK(MIP[[#This Row],[S.B Sitrack]])=FALSE,ISBLANK(MIP[[#This Row],[C.B Sitrack]])=FALSE),MIP[Sem],0)</f>
        <v>0</v>
      </c>
    </row>
    <row r="417" spans="1:43" s="47" customFormat="1" x14ac:dyDescent="0.25">
      <c r="A417" s="11"/>
      <c r="B417" s="44">
        <f>WEEKNUM(MIP[[#This Row],[Data]])</f>
        <v>34</v>
      </c>
      <c r="C417" s="45">
        <v>42969</v>
      </c>
      <c r="D417" s="45"/>
      <c r="E417" s="35" t="s">
        <v>10</v>
      </c>
      <c r="F417" s="35" t="s">
        <v>5</v>
      </c>
      <c r="G417" s="35"/>
      <c r="H417" s="44">
        <v>2</v>
      </c>
      <c r="I417" s="44">
        <v>4</v>
      </c>
      <c r="J417" s="44">
        <v>0</v>
      </c>
      <c r="K417" s="44">
        <v>0</v>
      </c>
      <c r="L417" s="44">
        <v>0</v>
      </c>
      <c r="M417" s="43">
        <v>0.25</v>
      </c>
      <c r="N417" s="43">
        <v>0.27083333333333331</v>
      </c>
      <c r="O417" s="43">
        <v>0.63750000000000007</v>
      </c>
      <c r="P417" s="43">
        <v>0.65833333333333333</v>
      </c>
      <c r="Q417" s="39"/>
      <c r="R417" s="42" t="s">
        <v>300</v>
      </c>
      <c r="S417" s="29">
        <f>MIP[[#This Row],[PT-1]]+MIP[[#This Row],[PT-2]]*2+MIP[[#This Row],[PT-3]]*3+MIP[[#This Row],[PT &gt; 3 Pontos]]</f>
        <v>4</v>
      </c>
      <c r="T41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417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417" s="41">
        <f>MIP[[#This Row],[Eficiência]]</f>
        <v>0.30801049795614988</v>
      </c>
      <c r="W41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17" s="39">
        <f>IF(MIP[[#This Row],[P.S]]-MIP[[#This Row],[P.E]]&lt;0,1+MIP[[#This Row],[P.S]]-MIP[[#This Row],[P.E]]-1/24,MIP[[#This Row],[P.S]]-MIP[[#This Row],[P.E]]-1/24)</f>
        <v>0.36666666666666664</v>
      </c>
      <c r="Y417" s="39">
        <f>MIP[[#This Row],[PT-1]]*$S$3+MIP[[#This Row],[PT-2]]*$T$3+MIP[[#This Row],[PT-3]]*$U$3+MIP[[#This Row],[PT &gt; 3 Pontos]]*$V$3</f>
        <v>0.10010341183574872</v>
      </c>
      <c r="Z417" s="39">
        <f>MIP[[#This Row],[HH disponível]]-MIP[[#This Row],[HH AC TOT]]</f>
        <v>0.32500000000000007</v>
      </c>
      <c r="AA417" s="38">
        <f>MIP[[#This Row],[HH Produtivo
Total]]/MIP[[#This Row],[HH Trabalhado]]</f>
        <v>0.30801049795614988</v>
      </c>
      <c r="AB417" s="38">
        <f>MIP[[#This Row],[HH Produtivo
Total]]/MIP[[#This Row],[HH disponível]]</f>
        <v>0.27300930500658743</v>
      </c>
      <c r="AC417" s="38">
        <f>MIP[[#This Row],[HH Trabalhado]]/MIP[[#This Row],[HH disponível]]</f>
        <v>0.88636363636363658</v>
      </c>
      <c r="AD417" s="37" t="str">
        <f>LEFT(MIP[[#This Row],[Equipe]], SEARCH("/",MIP[[#This Row],[Equipe]],1)-1)</f>
        <v xml:space="preserve">JOILSON </v>
      </c>
      <c r="AE417" s="37" t="str">
        <f>RIGHT(MIP[[#This Row],[Equipe]], LEN(MIP[[#This Row],[Equipe]])-SEARCH("/",MIP[[#This Row],[Equipe]],1))</f>
        <v xml:space="preserve"> VALDEI</v>
      </c>
      <c r="AF417" s="44">
        <f>COUNTIFS('[1]Tempo parado'!H:H,"&gt;="&amp;MIP[[#This Row],[S.B Sitrack]],'[1]Tempo parado'!I:I,"&lt;="&amp;MIP[[#This Row],[C.B Sitrack]],'[1]Tempo parado'!B:B,MIP[[#This Row],[Placa]])</f>
        <v>0</v>
      </c>
      <c r="AG417" s="36"/>
      <c r="AH417" s="35"/>
      <c r="AI417" s="34"/>
      <c r="AJ417" s="34"/>
      <c r="AK41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1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17" s="32">
        <f>SUMIFS('[1]Tempo parado'!J:J,'[1]Tempo parado'!H:H,"&gt;="&amp;MIP[[#This Row],[S.B Sitrack]],'[1]Tempo parado'!I:I,"&lt;="&amp;MIP[[#This Row],[C.B Sitrack]],'[1]Tempo parado'!B:B,MIP[[#This Row],[Placa]])</f>
        <v>0</v>
      </c>
      <c r="AN417" s="32" t="str">
        <f>IFERROR(MIP[[#This Row],[Tempo parado]]/(MIP[[#This Row],[C.B Sitrack]]-MIP[[#This Row],[S.B Sitrack]]),"")</f>
        <v/>
      </c>
      <c r="AO417" s="30"/>
      <c r="AP417" s="44">
        <f>IF(AND(MIP[Exc]=0,MIP[Previsto / Realizado]="Realizado"),MIP[Sem],0)</f>
        <v>0</v>
      </c>
      <c r="AQ417" s="29">
        <f>IF(AND(MIP[Exc]=0,MIP[Previsto / Realizado]="Realizado",ISBLANK(MIP[[#This Row],[S.B Sitrack]])=FALSE,ISBLANK(MIP[[#This Row],[C.B Sitrack]])=FALSE),MIP[Sem],0)</f>
        <v>0</v>
      </c>
    </row>
    <row r="418" spans="1:43" s="64" customFormat="1" x14ac:dyDescent="0.25">
      <c r="A418" s="11"/>
      <c r="B418" s="44">
        <f>WEEKNUM(MIP[[#This Row],[Data]])</f>
        <v>34</v>
      </c>
      <c r="C418" s="45">
        <v>42969</v>
      </c>
      <c r="D418" s="45"/>
      <c r="E418" s="35" t="s">
        <v>10</v>
      </c>
      <c r="F418" s="35" t="s">
        <v>2</v>
      </c>
      <c r="G418" s="35"/>
      <c r="H418" s="44">
        <v>2</v>
      </c>
      <c r="I418" s="44">
        <v>5</v>
      </c>
      <c r="J418" s="44">
        <v>0</v>
      </c>
      <c r="K418" s="44">
        <v>0</v>
      </c>
      <c r="L418" s="44">
        <v>9</v>
      </c>
      <c r="M418" s="43">
        <v>0.25277777777777777</v>
      </c>
      <c r="N418" s="43">
        <v>0.28472222222222221</v>
      </c>
      <c r="O418" s="43">
        <v>0.60069444444444442</v>
      </c>
      <c r="P418" s="43">
        <v>0.66527777777777775</v>
      </c>
      <c r="Q418" s="39"/>
      <c r="R418" s="42" t="s">
        <v>191</v>
      </c>
      <c r="S418" s="29">
        <f>MIP[[#This Row],[PT-1]]+MIP[[#This Row],[PT-2]]*2+MIP[[#This Row],[PT-3]]*3+MIP[[#This Row],[PT &gt; 3 Pontos]]</f>
        <v>14</v>
      </c>
      <c r="T41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9.6527777777777768E-2</v>
      </c>
      <c r="U418" s="39">
        <f>IF(MIP[[#This Row],[P.S]]-MIP[[#This Row],[U.P]]&gt;=0,MIP[[#This Row],[P.S]]-MIP[[#This Row],[U.P]]+MIP[[#This Row],[S.B]]-MIP[[#This Row],[P.E]],1+MIP[[#This Row],[P.S]]-MIP[[#This Row],[U.P]]+MIP[[#This Row],[S.B]]-MIP[[#This Row],[P.E]])</f>
        <v>9.6527777777777768E-2</v>
      </c>
      <c r="V418" s="41">
        <f>MIP[[#This Row],[Eficiência]]</f>
        <v>1.1205072463768118</v>
      </c>
      <c r="W41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18" s="39">
        <f>IF(MIP[[#This Row],[P.S]]-MIP[[#This Row],[P.E]]&lt;0,1+MIP[[#This Row],[P.S]]-MIP[[#This Row],[P.E]]-1/24,MIP[[#This Row],[P.S]]-MIP[[#This Row],[P.E]]-1/24)</f>
        <v>0.37083333333333329</v>
      </c>
      <c r="Y418" s="39">
        <f>MIP[[#This Row],[PT-1]]*$S$3+MIP[[#This Row],[PT-2]]*$T$3+MIP[[#This Row],[PT-3]]*$U$3+MIP[[#This Row],[PT &gt; 3 Pontos]]*$V$3</f>
        <v>0.30736136272141706</v>
      </c>
      <c r="Z418" s="39">
        <f>MIP[[#This Row],[HH disponível]]-MIP[[#This Row],[HH AC TOT]]</f>
        <v>0.27430555555555552</v>
      </c>
      <c r="AA418" s="38">
        <f>MIP[[#This Row],[HH Produtivo
Total]]/MIP[[#This Row],[HH Trabalhado]]</f>
        <v>1.1205072463768118</v>
      </c>
      <c r="AB418" s="38">
        <f>MIP[[#This Row],[HH Produtivo
Total]]/MIP[[#This Row],[HH disponível]]</f>
        <v>0.82883962981056292</v>
      </c>
      <c r="AC418" s="38">
        <f>MIP[[#This Row],[HH Trabalhado]]/MIP[[#This Row],[HH disponível]]</f>
        <v>0.73970037453183524</v>
      </c>
      <c r="AD418" s="37" t="str">
        <f>LEFT(MIP[[#This Row],[Equipe]], SEARCH("/",MIP[[#This Row],[Equipe]],1)-1)</f>
        <v xml:space="preserve">JOILSON </v>
      </c>
      <c r="AE418" s="37" t="str">
        <f>RIGHT(MIP[[#This Row],[Equipe]], LEN(MIP[[#This Row],[Equipe]])-SEARCH("/",MIP[[#This Row],[Equipe]],1))</f>
        <v xml:space="preserve"> VALDEI</v>
      </c>
      <c r="AF418" s="44">
        <f>COUNTIFS('[1]Tempo parado'!H:H,"&gt;="&amp;MIP[[#This Row],[S.B Sitrack]],'[1]Tempo parado'!I:I,"&lt;="&amp;MIP[[#This Row],[C.B Sitrack]],'[1]Tempo parado'!B:B,MIP[[#This Row],[Placa]])</f>
        <v>0</v>
      </c>
      <c r="AG418" s="36"/>
      <c r="AH418" s="35"/>
      <c r="AI418" s="34"/>
      <c r="AJ418" s="34"/>
      <c r="AK41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1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18" s="32">
        <f>SUMIFS('[1]Tempo parado'!J:J,'[1]Tempo parado'!H:H,"&gt;="&amp;MIP[[#This Row],[S.B Sitrack]],'[1]Tempo parado'!I:I,"&lt;="&amp;MIP[[#This Row],[C.B Sitrack]],'[1]Tempo parado'!B:B,MIP[[#This Row],[Placa]])</f>
        <v>0</v>
      </c>
      <c r="AN418" s="32" t="str">
        <f>IFERROR(MIP[[#This Row],[Tempo parado]]/(MIP[[#This Row],[C.B Sitrack]]-MIP[[#This Row],[S.B Sitrack]]),"")</f>
        <v/>
      </c>
      <c r="AO418" s="30"/>
      <c r="AP418" s="44">
        <f>IF(AND(MIP[Exc]=0,MIP[Previsto / Realizado]="Realizado"),MIP[Sem],0)</f>
        <v>34</v>
      </c>
      <c r="AQ418" s="29">
        <f>IF(AND(MIP[Exc]=0,MIP[Previsto / Realizado]="Realizado",ISBLANK(MIP[[#This Row],[S.B Sitrack]])=FALSE,ISBLANK(MIP[[#This Row],[C.B Sitrack]])=FALSE),MIP[Sem],0)</f>
        <v>0</v>
      </c>
    </row>
    <row r="419" spans="1:43" s="47" customFormat="1" x14ac:dyDescent="0.25">
      <c r="A419" s="11"/>
      <c r="B419" s="44">
        <f>WEEKNUM(MIP[[#This Row],[Data]])</f>
        <v>34</v>
      </c>
      <c r="C419" s="45">
        <v>42969</v>
      </c>
      <c r="D419" s="45"/>
      <c r="E419" s="35" t="s">
        <v>7</v>
      </c>
      <c r="F419" s="35" t="s">
        <v>5</v>
      </c>
      <c r="G419" s="35"/>
      <c r="H419" s="44">
        <v>2</v>
      </c>
      <c r="I419" s="44">
        <v>2</v>
      </c>
      <c r="J419" s="44">
        <v>2</v>
      </c>
      <c r="K419" s="44">
        <v>1</v>
      </c>
      <c r="L419" s="44">
        <v>0</v>
      </c>
      <c r="M419" s="43">
        <v>0.625</v>
      </c>
      <c r="N419" s="43">
        <v>0.64583333333333337</v>
      </c>
      <c r="O419" s="43">
        <f>1+18/24/60</f>
        <v>1.0125</v>
      </c>
      <c r="P419" s="43">
        <f>1+48/24/60</f>
        <v>1.0333333333333334</v>
      </c>
      <c r="Q419" s="39"/>
      <c r="R419" s="42" t="s">
        <v>299</v>
      </c>
      <c r="S419" s="29">
        <f>MIP[[#This Row],[PT-1]]+MIP[[#This Row],[PT-2]]*2+MIP[[#This Row],[PT-3]]*3+MIP[[#This Row],[PT &gt; 3 Pontos]]</f>
        <v>9</v>
      </c>
      <c r="T41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419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419" s="41">
        <f>MIP[[#This Row],[Eficiência]]</f>
        <v>0.61741820729592489</v>
      </c>
      <c r="W41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19" s="39">
        <f>IF(MIP[[#This Row],[P.S]]-MIP[[#This Row],[P.E]]&lt;0,1+MIP[[#This Row],[P.S]]-MIP[[#This Row],[P.E]]-1/24,MIP[[#This Row],[P.S]]-MIP[[#This Row],[P.E]]-1/24)</f>
        <v>0.36666666666666675</v>
      </c>
      <c r="Y419" s="39">
        <f>MIP[[#This Row],[PT-1]]*$S$3+MIP[[#This Row],[PT-2]]*$T$3+MIP[[#This Row],[PT-3]]*$U$3+MIP[[#This Row],[PT &gt; 3 Pontos]]*$V$3</f>
        <v>0.20066091737117553</v>
      </c>
      <c r="Z419" s="39">
        <f>MIP[[#This Row],[HH disponível]]-MIP[[#This Row],[HH AC TOT]]</f>
        <v>0.3249999999999999</v>
      </c>
      <c r="AA419" s="38">
        <f>MIP[[#This Row],[HH Produtivo
Total]]/MIP[[#This Row],[HH Trabalhado]]</f>
        <v>0.61741820729592489</v>
      </c>
      <c r="AB419" s="38">
        <f>MIP[[#This Row],[HH Produtivo
Total]]/MIP[[#This Row],[HH disponível]]</f>
        <v>0.54725704737593317</v>
      </c>
      <c r="AC419" s="38">
        <f>MIP[[#This Row],[HH Trabalhado]]/MIP[[#This Row],[HH disponível]]</f>
        <v>0.88636363636363591</v>
      </c>
      <c r="AD419" s="37" t="str">
        <f>LEFT(MIP[[#This Row],[Equipe]], SEARCH("/",MIP[[#This Row],[Equipe]],1)-1)</f>
        <v xml:space="preserve">ANDERSON </v>
      </c>
      <c r="AE419" s="37" t="str">
        <f>RIGHT(MIP[[#This Row],[Equipe]], LEN(MIP[[#This Row],[Equipe]])-SEARCH("/",MIP[[#This Row],[Equipe]],1))</f>
        <v xml:space="preserve"> MARCO</v>
      </c>
      <c r="AF419" s="44">
        <f>COUNTIFS('[1]Tempo parado'!H:H,"&gt;="&amp;MIP[[#This Row],[S.B Sitrack]],'[1]Tempo parado'!I:I,"&lt;="&amp;MIP[[#This Row],[C.B Sitrack]],'[1]Tempo parado'!B:B,MIP[[#This Row],[Placa]])</f>
        <v>0</v>
      </c>
      <c r="AG419" s="36"/>
      <c r="AH419" s="35"/>
      <c r="AI419" s="34"/>
      <c r="AJ419" s="34"/>
      <c r="AK41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1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19" s="32">
        <f>SUMIFS('[1]Tempo parado'!J:J,'[1]Tempo parado'!H:H,"&gt;="&amp;MIP[[#This Row],[S.B Sitrack]],'[1]Tempo parado'!I:I,"&lt;="&amp;MIP[[#This Row],[C.B Sitrack]],'[1]Tempo parado'!B:B,MIP[[#This Row],[Placa]])</f>
        <v>0</v>
      </c>
      <c r="AN419" s="32" t="str">
        <f>IFERROR(MIP[[#This Row],[Tempo parado]]/(MIP[[#This Row],[C.B Sitrack]]-MIP[[#This Row],[S.B Sitrack]]),"")</f>
        <v/>
      </c>
      <c r="AO419" s="30"/>
      <c r="AP419" s="44">
        <f>IF(AND(MIP[Exc]=0,MIP[Previsto / Realizado]="Realizado"),MIP[Sem],0)</f>
        <v>0</v>
      </c>
      <c r="AQ419" s="29">
        <f>IF(AND(MIP[Exc]=0,MIP[Previsto / Realizado]="Realizado",ISBLANK(MIP[[#This Row],[S.B Sitrack]])=FALSE,ISBLANK(MIP[[#This Row],[C.B Sitrack]])=FALSE),MIP[Sem],0)</f>
        <v>0</v>
      </c>
    </row>
    <row r="420" spans="1:43" s="64" customFormat="1" x14ac:dyDescent="0.25">
      <c r="A420" s="11"/>
      <c r="B420" s="44">
        <f>WEEKNUM(MIP[[#This Row],[Data]])</f>
        <v>34</v>
      </c>
      <c r="C420" s="45">
        <v>42969</v>
      </c>
      <c r="D420" s="45"/>
      <c r="E420" s="35" t="s">
        <v>7</v>
      </c>
      <c r="F420" s="35" t="s">
        <v>2</v>
      </c>
      <c r="G420" s="35"/>
      <c r="H420" s="44">
        <v>2</v>
      </c>
      <c r="I420" s="44">
        <v>4</v>
      </c>
      <c r="J420" s="44">
        <v>1</v>
      </c>
      <c r="K420" s="44">
        <v>2</v>
      </c>
      <c r="L420" s="44">
        <v>0</v>
      </c>
      <c r="M420" s="43">
        <v>0.63263888888888886</v>
      </c>
      <c r="N420" s="43">
        <v>0.68055555555555547</v>
      </c>
      <c r="O420" s="43">
        <f>1+12/24/60</f>
        <v>1.0083333333333333</v>
      </c>
      <c r="P420" s="43">
        <f>1+48/24/60</f>
        <v>1.0333333333333334</v>
      </c>
      <c r="Q420" s="39">
        <v>8.3333333333333329E-2</v>
      </c>
      <c r="R420" s="42" t="s">
        <v>298</v>
      </c>
      <c r="S420" s="29">
        <f>MIP[[#This Row],[PT-1]]+MIP[[#This Row],[PT-2]]*2+MIP[[#This Row],[PT-3]]*3+MIP[[#This Row],[PT &gt; 3 Pontos]]</f>
        <v>12</v>
      </c>
      <c r="T42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0.15625000000000006</v>
      </c>
      <c r="U420" s="39">
        <f>IF(MIP[[#This Row],[P.S]]-MIP[[#This Row],[U.P]]&gt;=0,MIP[[#This Row],[P.S]]-MIP[[#This Row],[U.P]]+MIP[[#This Row],[S.B]]-MIP[[#This Row],[P.E]],1+MIP[[#This Row],[P.S]]-MIP[[#This Row],[U.P]]+MIP[[#This Row],[S.B]]-MIP[[#This Row],[P.E]])</f>
        <v>7.2916666666666741E-2</v>
      </c>
      <c r="V420" s="41">
        <f>MIP[[#This Row],[Eficiência]]</f>
        <v>1.3295122344649586</v>
      </c>
      <c r="W42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20" s="39">
        <f>IF(MIP[[#This Row],[P.S]]-MIP[[#This Row],[P.E]]&lt;0,1+MIP[[#This Row],[P.S]]-MIP[[#This Row],[P.E]]-1/24,MIP[[#This Row],[P.S]]-MIP[[#This Row],[P.E]]-1/24)</f>
        <v>0.35902777777777789</v>
      </c>
      <c r="Y420" s="39">
        <f>MIP[[#This Row],[PT-1]]*$S$3+MIP[[#This Row],[PT-2]]*$T$3+MIP[[#This Row],[PT-3]]*$U$3+MIP[[#This Row],[PT &gt; 3 Pontos]]*$V$3</f>
        <v>0.26959553643317224</v>
      </c>
      <c r="Z420" s="39">
        <f>MIP[[#This Row],[HH disponível]]-MIP[[#This Row],[HH AC TOT]]</f>
        <v>0.20277777777777783</v>
      </c>
      <c r="AA420" s="38">
        <f>MIP[[#This Row],[HH Produtivo
Total]]/MIP[[#This Row],[HH Trabalhado]]</f>
        <v>1.3295122344649586</v>
      </c>
      <c r="AB420" s="38">
        <f>MIP[[#This Row],[HH Produtivo
Total]]/MIP[[#This Row],[HH disponível]]</f>
        <v>0.75090439548117582</v>
      </c>
      <c r="AC420" s="38">
        <f>MIP[[#This Row],[HH Trabalhado]]/MIP[[#This Row],[HH disponível]]</f>
        <v>0.56479690522243708</v>
      </c>
      <c r="AD420" s="37" t="str">
        <f>LEFT(MIP[[#This Row],[Equipe]], SEARCH("/",MIP[[#This Row],[Equipe]],1)-1)</f>
        <v xml:space="preserve">ANDERSON </v>
      </c>
      <c r="AE420" s="37" t="str">
        <f>RIGHT(MIP[[#This Row],[Equipe]], LEN(MIP[[#This Row],[Equipe]])-SEARCH("/",MIP[[#This Row],[Equipe]],1))</f>
        <v xml:space="preserve"> MARCO</v>
      </c>
      <c r="AF420" s="44">
        <f>COUNTIFS('[1]Tempo parado'!H:H,"&gt;="&amp;MIP[[#This Row],[S.B Sitrack]],'[1]Tempo parado'!I:I,"&lt;="&amp;MIP[[#This Row],[C.B Sitrack]],'[1]Tempo parado'!B:B,MIP[[#This Row],[Placa]])</f>
        <v>0</v>
      </c>
      <c r="AG420" s="36"/>
      <c r="AH420" s="35"/>
      <c r="AI420" s="34"/>
      <c r="AJ420" s="34"/>
      <c r="AK42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2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20" s="32">
        <f>SUMIFS('[1]Tempo parado'!J:J,'[1]Tempo parado'!H:H,"&gt;="&amp;MIP[[#This Row],[S.B Sitrack]],'[1]Tempo parado'!I:I,"&lt;="&amp;MIP[[#This Row],[C.B Sitrack]],'[1]Tempo parado'!B:B,MIP[[#This Row],[Placa]])</f>
        <v>0</v>
      </c>
      <c r="AN420" s="32" t="str">
        <f>IFERROR(MIP[[#This Row],[Tempo parado]]/(MIP[[#This Row],[C.B Sitrack]]-MIP[[#This Row],[S.B Sitrack]]),"")</f>
        <v/>
      </c>
      <c r="AO420" s="30"/>
      <c r="AP420" s="44">
        <f>IF(AND(MIP[Exc]=0,MIP[Previsto / Realizado]="Realizado"),MIP[Sem],0)</f>
        <v>34</v>
      </c>
      <c r="AQ420" s="29">
        <f>IF(AND(MIP[Exc]=0,MIP[Previsto / Realizado]="Realizado",ISBLANK(MIP[[#This Row],[S.B Sitrack]])=FALSE,ISBLANK(MIP[[#This Row],[C.B Sitrack]])=FALSE),MIP[Sem],0)</f>
        <v>0</v>
      </c>
    </row>
    <row r="421" spans="1:43" s="47" customFormat="1" x14ac:dyDescent="0.25">
      <c r="A421" s="11"/>
      <c r="B421" s="44">
        <f>WEEKNUM(MIP[[#This Row],[Data]])</f>
        <v>34</v>
      </c>
      <c r="C421" s="45">
        <v>42970</v>
      </c>
      <c r="D421" s="45"/>
      <c r="E421" s="35" t="s">
        <v>10</v>
      </c>
      <c r="F421" s="35" t="s">
        <v>5</v>
      </c>
      <c r="G421" s="35"/>
      <c r="H421" s="44">
        <v>2</v>
      </c>
      <c r="I421" s="44">
        <v>7</v>
      </c>
      <c r="J421" s="44">
        <v>1</v>
      </c>
      <c r="K421" s="44">
        <v>1</v>
      </c>
      <c r="L421" s="44">
        <v>0</v>
      </c>
      <c r="M421" s="43">
        <v>0.25</v>
      </c>
      <c r="N421" s="43">
        <v>0.27083333333333331</v>
      </c>
      <c r="O421" s="43">
        <v>0.63750000000000007</v>
      </c>
      <c r="P421" s="43">
        <v>0.65833333333333333</v>
      </c>
      <c r="Q421" s="39"/>
      <c r="R421" s="42"/>
      <c r="S421" s="29">
        <f>MIP[[#This Row],[PT-1]]+MIP[[#This Row],[PT-2]]*2+MIP[[#This Row],[PT-3]]*3+MIP[[#This Row],[PT &gt; 3 Pontos]]</f>
        <v>12</v>
      </c>
      <c r="T42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421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421" s="41">
        <f>MIP[[#This Row],[Eficiência]]</f>
        <v>0.86732743403939005</v>
      </c>
      <c r="W42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21" s="39">
        <f>IF(MIP[[#This Row],[P.S]]-MIP[[#This Row],[P.E]]&lt;0,1+MIP[[#This Row],[P.S]]-MIP[[#This Row],[P.E]]-1/24,MIP[[#This Row],[P.S]]-MIP[[#This Row],[P.E]]-1/24)</f>
        <v>0.36666666666666664</v>
      </c>
      <c r="Y421" s="39">
        <f>MIP[[#This Row],[PT-1]]*$S$3+MIP[[#This Row],[PT-2]]*$T$3+MIP[[#This Row],[PT-3]]*$U$3+MIP[[#This Row],[PT &gt; 3 Pontos]]*$V$3</f>
        <v>0.28188141606280182</v>
      </c>
      <c r="Z421" s="39">
        <f>MIP[[#This Row],[HH disponível]]-MIP[[#This Row],[HH AC TOT]]</f>
        <v>0.32500000000000007</v>
      </c>
      <c r="AA421" s="38">
        <f>MIP[[#This Row],[HH Produtivo
Total]]/MIP[[#This Row],[HH Trabalhado]]</f>
        <v>0.86732743403939005</v>
      </c>
      <c r="AB421" s="38">
        <f>MIP[[#This Row],[HH Produtivo
Total]]/MIP[[#This Row],[HH disponível]]</f>
        <v>0.76876749835309588</v>
      </c>
      <c r="AC421" s="38">
        <f>MIP[[#This Row],[HH Trabalhado]]/MIP[[#This Row],[HH disponível]]</f>
        <v>0.88636363636363658</v>
      </c>
      <c r="AD421" s="37" t="str">
        <f>LEFT(MIP[[#This Row],[Equipe]], SEARCH("/",MIP[[#This Row],[Equipe]],1)-1)</f>
        <v xml:space="preserve">JOILSON </v>
      </c>
      <c r="AE421" s="37" t="str">
        <f>RIGHT(MIP[[#This Row],[Equipe]], LEN(MIP[[#This Row],[Equipe]])-SEARCH("/",MIP[[#This Row],[Equipe]],1))</f>
        <v xml:space="preserve"> VALDEI</v>
      </c>
      <c r="AF421" s="44">
        <f>COUNTIFS('[1]Tempo parado'!H:H,"&gt;="&amp;MIP[[#This Row],[S.B Sitrack]],'[1]Tempo parado'!I:I,"&lt;="&amp;MIP[[#This Row],[C.B Sitrack]],'[1]Tempo parado'!B:B,MIP[[#This Row],[Placa]])</f>
        <v>0</v>
      </c>
      <c r="AG421" s="36"/>
      <c r="AH421" s="35"/>
      <c r="AI421" s="34"/>
      <c r="AJ421" s="34"/>
      <c r="AK42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2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21" s="32">
        <f>SUMIFS('[1]Tempo parado'!J:J,'[1]Tempo parado'!H:H,"&gt;="&amp;MIP[[#This Row],[S.B Sitrack]],'[1]Tempo parado'!I:I,"&lt;="&amp;MIP[[#This Row],[C.B Sitrack]],'[1]Tempo parado'!B:B,MIP[[#This Row],[Placa]])</f>
        <v>0</v>
      </c>
      <c r="AN421" s="32" t="str">
        <f>IFERROR(MIP[[#This Row],[Tempo parado]]/(MIP[[#This Row],[C.B Sitrack]]-MIP[[#This Row],[S.B Sitrack]]),"")</f>
        <v/>
      </c>
      <c r="AO421" s="30"/>
      <c r="AP421" s="44">
        <f>IF(AND(MIP[Exc]=0,MIP[Previsto / Realizado]="Realizado"),MIP[Sem],0)</f>
        <v>0</v>
      </c>
      <c r="AQ421" s="29">
        <f>IF(AND(MIP[Exc]=0,MIP[Previsto / Realizado]="Realizado",ISBLANK(MIP[[#This Row],[S.B Sitrack]])=FALSE,ISBLANK(MIP[[#This Row],[C.B Sitrack]])=FALSE),MIP[Sem],0)</f>
        <v>0</v>
      </c>
    </row>
    <row r="422" spans="1:43" s="64" customFormat="1" x14ac:dyDescent="0.25">
      <c r="A422" s="11"/>
      <c r="B422" s="44">
        <f>WEEKNUM(MIP[[#This Row],[Data]])</f>
        <v>34</v>
      </c>
      <c r="C422" s="45">
        <v>42970</v>
      </c>
      <c r="D422" s="45"/>
      <c r="E422" s="35" t="s">
        <v>10</v>
      </c>
      <c r="F422" s="35" t="s">
        <v>2</v>
      </c>
      <c r="G422" s="35"/>
      <c r="H422" s="44">
        <v>2</v>
      </c>
      <c r="I422" s="44">
        <v>6</v>
      </c>
      <c r="J422" s="44">
        <v>0</v>
      </c>
      <c r="K422" s="44">
        <v>1</v>
      </c>
      <c r="L422" s="44">
        <v>0</v>
      </c>
      <c r="M422" s="43">
        <v>0.25</v>
      </c>
      <c r="N422" s="43">
        <v>0.29236111111111113</v>
      </c>
      <c r="O422" s="43">
        <v>0.61805555555555558</v>
      </c>
      <c r="P422" s="43">
        <v>0.65833333333333333</v>
      </c>
      <c r="Q422" s="39">
        <v>3.8194444444444441E-2</v>
      </c>
      <c r="R422" s="42" t="s">
        <v>297</v>
      </c>
      <c r="S422" s="29">
        <f>MIP[[#This Row],[PT-1]]+MIP[[#This Row],[PT-2]]*2+MIP[[#This Row],[PT-3]]*3+MIP[[#This Row],[PT &gt; 3 Pontos]]</f>
        <v>9</v>
      </c>
      <c r="T42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0.12083333333333332</v>
      </c>
      <c r="U422" s="39">
        <f>IF(MIP[[#This Row],[P.S]]-MIP[[#This Row],[U.P]]&gt;=0,MIP[[#This Row],[P.S]]-MIP[[#This Row],[U.P]]+MIP[[#This Row],[S.B]]-MIP[[#This Row],[P.E]],1+MIP[[#This Row],[P.S]]-MIP[[#This Row],[U.P]]+MIP[[#This Row],[S.B]]-MIP[[#This Row],[P.E]])</f>
        <v>8.2638888888888873E-2</v>
      </c>
      <c r="V422" s="41">
        <f>MIP[[#This Row],[Eficiência]]</f>
        <v>0.86622425898632571</v>
      </c>
      <c r="W42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22" s="39">
        <f>IF(MIP[[#This Row],[P.S]]-MIP[[#This Row],[P.E]]&lt;0,1+MIP[[#This Row],[P.S]]-MIP[[#This Row],[P.E]]-1/24,MIP[[#This Row],[P.S]]-MIP[[#This Row],[P.E]]-1/24)</f>
        <v>0.36666666666666664</v>
      </c>
      <c r="Y422" s="39">
        <f>MIP[[#This Row],[PT-1]]*$S$3+MIP[[#This Row],[PT-2]]*$T$3+MIP[[#This Row],[PT-3]]*$U$3+MIP[[#This Row],[PT &gt; 3 Pontos]]*$V$3</f>
        <v>0.21294679700080507</v>
      </c>
      <c r="Z422" s="39">
        <f>MIP[[#This Row],[HH disponível]]-MIP[[#This Row],[HH AC TOT]]</f>
        <v>0.24583333333333332</v>
      </c>
      <c r="AA422" s="38">
        <f>MIP[[#This Row],[HH Produtivo
Total]]/MIP[[#This Row],[HH Trabalhado]]</f>
        <v>0.86622425898632571</v>
      </c>
      <c r="AB422" s="38">
        <f>MIP[[#This Row],[HH Produtivo
Total]]/MIP[[#This Row],[HH disponível]]</f>
        <v>0.58076399182037752</v>
      </c>
      <c r="AC422" s="38">
        <f>MIP[[#This Row],[HH Trabalhado]]/MIP[[#This Row],[HH disponível]]</f>
        <v>0.67045454545454541</v>
      </c>
      <c r="AD422" s="37" t="str">
        <f>LEFT(MIP[[#This Row],[Equipe]], SEARCH("/",MIP[[#This Row],[Equipe]],1)-1)</f>
        <v xml:space="preserve">JOILSON </v>
      </c>
      <c r="AE422" s="37" t="str">
        <f>RIGHT(MIP[[#This Row],[Equipe]], LEN(MIP[[#This Row],[Equipe]])-SEARCH("/",MIP[[#This Row],[Equipe]],1))</f>
        <v xml:space="preserve"> VALDEI</v>
      </c>
      <c r="AF422" s="44">
        <f>COUNTIFS('[1]Tempo parado'!H:H,"&gt;="&amp;MIP[[#This Row],[S.B Sitrack]],'[1]Tempo parado'!I:I,"&lt;="&amp;MIP[[#This Row],[C.B Sitrack]],'[1]Tempo parado'!B:B,MIP[[#This Row],[Placa]])</f>
        <v>0</v>
      </c>
      <c r="AG422" s="36"/>
      <c r="AH422" s="35"/>
      <c r="AI422" s="34"/>
      <c r="AJ422" s="34"/>
      <c r="AK42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2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22" s="32">
        <f>SUMIFS('[1]Tempo parado'!J:J,'[1]Tempo parado'!H:H,"&gt;="&amp;MIP[[#This Row],[S.B Sitrack]],'[1]Tempo parado'!I:I,"&lt;="&amp;MIP[[#This Row],[C.B Sitrack]],'[1]Tempo parado'!B:B,MIP[[#This Row],[Placa]])</f>
        <v>0</v>
      </c>
      <c r="AN422" s="32" t="str">
        <f>IFERROR(MIP[[#This Row],[Tempo parado]]/(MIP[[#This Row],[C.B Sitrack]]-MIP[[#This Row],[S.B Sitrack]]),"")</f>
        <v/>
      </c>
      <c r="AO422" s="30"/>
      <c r="AP422" s="44">
        <f>IF(AND(MIP[Exc]=0,MIP[Previsto / Realizado]="Realizado"),MIP[Sem],0)</f>
        <v>34</v>
      </c>
      <c r="AQ422" s="29">
        <f>IF(AND(MIP[Exc]=0,MIP[Previsto / Realizado]="Realizado",ISBLANK(MIP[[#This Row],[S.B Sitrack]])=FALSE,ISBLANK(MIP[[#This Row],[C.B Sitrack]])=FALSE),MIP[Sem],0)</f>
        <v>0</v>
      </c>
    </row>
    <row r="423" spans="1:43" s="47" customFormat="1" x14ac:dyDescent="0.25">
      <c r="A423" s="11"/>
      <c r="B423" s="44">
        <f>WEEKNUM(MIP[[#This Row],[Data]])</f>
        <v>34</v>
      </c>
      <c r="C423" s="45">
        <v>42970</v>
      </c>
      <c r="D423" s="45"/>
      <c r="E423" s="35" t="s">
        <v>19</v>
      </c>
      <c r="F423" s="35" t="s">
        <v>5</v>
      </c>
      <c r="G423" s="35"/>
      <c r="H423" s="44">
        <v>2</v>
      </c>
      <c r="I423" s="44">
        <v>2</v>
      </c>
      <c r="J423" s="44">
        <v>0</v>
      </c>
      <c r="K423" s="44">
        <v>0</v>
      </c>
      <c r="L423" s="44">
        <v>4</v>
      </c>
      <c r="M423" s="43">
        <v>0.625</v>
      </c>
      <c r="N423" s="43">
        <v>0.64583333333333337</v>
      </c>
      <c r="O423" s="43">
        <f>1+18/24/60</f>
        <v>1.0125</v>
      </c>
      <c r="P423" s="43">
        <f>1+48/24/60</f>
        <v>1.0333333333333334</v>
      </c>
      <c r="Q423" s="39"/>
      <c r="R423" s="42" t="s">
        <v>296</v>
      </c>
      <c r="S423" s="29">
        <f>MIP[[#This Row],[PT-1]]+MIP[[#This Row],[PT-2]]*2+MIP[[#This Row],[PT-3]]*3+MIP[[#This Row],[PT &gt; 3 Pontos]]</f>
        <v>6</v>
      </c>
      <c r="T42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423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423" s="41">
        <f>MIP[[#This Row],[Eficiência]]</f>
        <v>0.40321153674112625</v>
      </c>
      <c r="W42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23" s="39">
        <f>IF(MIP[[#This Row],[P.S]]-MIP[[#This Row],[P.E]]&lt;0,1+MIP[[#This Row],[P.S]]-MIP[[#This Row],[P.E]]-1/24,MIP[[#This Row],[P.S]]-MIP[[#This Row],[P.E]]-1/24)</f>
        <v>0.36666666666666675</v>
      </c>
      <c r="Y423" s="39">
        <f>MIP[[#This Row],[PT-1]]*$S$3+MIP[[#This Row],[PT-2]]*$T$3+MIP[[#This Row],[PT-3]]*$U$3+MIP[[#This Row],[PT &gt; 3 Pontos]]*$V$3</f>
        <v>0.131043749440866</v>
      </c>
      <c r="Z423" s="39">
        <f>MIP[[#This Row],[HH disponível]]-MIP[[#This Row],[HH AC TOT]]</f>
        <v>0.3249999999999999</v>
      </c>
      <c r="AA423" s="38">
        <f>MIP[[#This Row],[HH Produtivo
Total]]/MIP[[#This Row],[HH Trabalhado]]</f>
        <v>0.40321153674112625</v>
      </c>
      <c r="AB423" s="38">
        <f>MIP[[#This Row],[HH Produtivo
Total]]/MIP[[#This Row],[HH disponível]]</f>
        <v>0.35739204392963447</v>
      </c>
      <c r="AC423" s="38">
        <f>MIP[[#This Row],[HH Trabalhado]]/MIP[[#This Row],[HH disponível]]</f>
        <v>0.88636363636363591</v>
      </c>
      <c r="AD423" s="37" t="str">
        <f>LEFT(MIP[[#This Row],[Equipe]], SEARCH("/",MIP[[#This Row],[Equipe]],1)-1)</f>
        <v xml:space="preserve">ADEMÁRIO </v>
      </c>
      <c r="AE423" s="37" t="str">
        <f>RIGHT(MIP[[#This Row],[Equipe]], LEN(MIP[[#This Row],[Equipe]])-SEARCH("/",MIP[[#This Row],[Equipe]],1))</f>
        <v xml:space="preserve"> RONALDO</v>
      </c>
      <c r="AF423" s="44">
        <f>COUNTIFS('[1]Tempo parado'!H:H,"&gt;="&amp;MIP[[#This Row],[S.B Sitrack]],'[1]Tempo parado'!I:I,"&lt;="&amp;MIP[[#This Row],[C.B Sitrack]],'[1]Tempo parado'!B:B,MIP[[#This Row],[Placa]])</f>
        <v>0</v>
      </c>
      <c r="AG423" s="36"/>
      <c r="AH423" s="35"/>
      <c r="AI423" s="34"/>
      <c r="AJ423" s="34"/>
      <c r="AK42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2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23" s="32">
        <f>SUMIFS('[1]Tempo parado'!J:J,'[1]Tempo parado'!H:H,"&gt;="&amp;MIP[[#This Row],[S.B Sitrack]],'[1]Tempo parado'!I:I,"&lt;="&amp;MIP[[#This Row],[C.B Sitrack]],'[1]Tempo parado'!B:B,MIP[[#This Row],[Placa]])</f>
        <v>0</v>
      </c>
      <c r="AN423" s="32" t="str">
        <f>IFERROR(MIP[[#This Row],[Tempo parado]]/(MIP[[#This Row],[C.B Sitrack]]-MIP[[#This Row],[S.B Sitrack]]),"")</f>
        <v/>
      </c>
      <c r="AO423" s="30"/>
      <c r="AP423" s="44">
        <f>IF(AND(MIP[Exc]=0,MIP[Previsto / Realizado]="Realizado"),MIP[Sem],0)</f>
        <v>0</v>
      </c>
      <c r="AQ423" s="29">
        <f>IF(AND(MIP[Exc]=0,MIP[Previsto / Realizado]="Realizado",ISBLANK(MIP[[#This Row],[S.B Sitrack]])=FALSE,ISBLANK(MIP[[#This Row],[C.B Sitrack]])=FALSE),MIP[Sem],0)</f>
        <v>0</v>
      </c>
    </row>
    <row r="424" spans="1:43" s="64" customFormat="1" x14ac:dyDescent="0.25">
      <c r="A424" s="11"/>
      <c r="B424" s="44">
        <f>WEEKNUM(MIP[[#This Row],[Data]])</f>
        <v>34</v>
      </c>
      <c r="C424" s="45">
        <v>42970</v>
      </c>
      <c r="D424" s="45"/>
      <c r="E424" s="35" t="s">
        <v>19</v>
      </c>
      <c r="F424" s="35" t="s">
        <v>2</v>
      </c>
      <c r="G424" s="35"/>
      <c r="H424" s="44">
        <v>2</v>
      </c>
      <c r="I424" s="44">
        <v>2</v>
      </c>
      <c r="J424" s="44">
        <v>0</v>
      </c>
      <c r="K424" s="44">
        <v>0</v>
      </c>
      <c r="L424" s="44">
        <v>4</v>
      </c>
      <c r="M424" s="43">
        <v>0.62013888888888891</v>
      </c>
      <c r="N424" s="43">
        <v>0.67152777777777783</v>
      </c>
      <c r="O424" s="43">
        <f>1+35/24/60</f>
        <v>1.0243055555555556</v>
      </c>
      <c r="P424" s="43">
        <f>1+60/24/60</f>
        <v>1.0416666666666667</v>
      </c>
      <c r="Q424" s="39">
        <v>0.22222222222222221</v>
      </c>
      <c r="R424" s="42" t="s">
        <v>295</v>
      </c>
      <c r="S424" s="29">
        <f>MIP[[#This Row],[PT-1]]+MIP[[#This Row],[PT-2]]*2+MIP[[#This Row],[PT-3]]*3+MIP[[#This Row],[PT &gt; 3 Pontos]]</f>
        <v>6</v>
      </c>
      <c r="T42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0.2909722222222223</v>
      </c>
      <c r="U424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6.8750000000000089E-2</v>
      </c>
      <c r="V424" s="41">
        <f>MIP[[#This Row],[Eficiência]]</f>
        <v>1.474242181209743</v>
      </c>
      <c r="W42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24" s="39">
        <f>IF(MIP[[#This Row],[P.S]]-MIP[[#This Row],[P.E]]&lt;0,1+MIP[[#This Row],[P.S]]-MIP[[#This Row],[P.E]]-1/24,MIP[[#This Row],[P.S]]-MIP[[#This Row],[P.E]]-1/24)</f>
        <v>0.37986111111111115</v>
      </c>
      <c r="Y424" s="39">
        <f>MIP[[#This Row],[PT-1]]*$S$3+MIP[[#This Row],[PT-2]]*$T$3+MIP[[#This Row],[PT-3]]*$U$3+MIP[[#This Row],[PT &gt; 3 Pontos]]*$V$3</f>
        <v>0.131043749440866</v>
      </c>
      <c r="Z424" s="39">
        <f>MIP[[#This Row],[HH disponível]]-MIP[[#This Row],[HH AC TOT]]</f>
        <v>8.8888888888888851E-2</v>
      </c>
      <c r="AA424" s="38">
        <f>MIP[[#This Row],[HH Produtivo
Total]]/MIP[[#This Row],[HH Trabalhado]]</f>
        <v>1.474242181209743</v>
      </c>
      <c r="AB424" s="38">
        <f>MIP[[#This Row],[HH Produtivo
Total]]/MIP[[#This Row],[HH disponível]]</f>
        <v>0.34497806068527792</v>
      </c>
      <c r="AC424" s="38">
        <f>MIP[[#This Row],[HH Trabalhado]]/MIP[[#This Row],[HH disponível]]</f>
        <v>0.23400365630712969</v>
      </c>
      <c r="AD424" s="37" t="str">
        <f>LEFT(MIP[[#This Row],[Equipe]], SEARCH("/",MIP[[#This Row],[Equipe]],1)-1)</f>
        <v xml:space="preserve">ADEMÁRIO </v>
      </c>
      <c r="AE424" s="37" t="str">
        <f>RIGHT(MIP[[#This Row],[Equipe]], LEN(MIP[[#This Row],[Equipe]])-SEARCH("/",MIP[[#This Row],[Equipe]],1))</f>
        <v xml:space="preserve"> RONALDO</v>
      </c>
      <c r="AF424" s="44">
        <f>COUNTIFS('[1]Tempo parado'!H:H,"&gt;="&amp;MIP[[#This Row],[S.B Sitrack]],'[1]Tempo parado'!I:I,"&lt;="&amp;MIP[[#This Row],[C.B Sitrack]],'[1]Tempo parado'!B:B,MIP[[#This Row],[Placa]])</f>
        <v>0</v>
      </c>
      <c r="AG424" s="36"/>
      <c r="AH424" s="35"/>
      <c r="AI424" s="34"/>
      <c r="AJ424" s="34"/>
      <c r="AK42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2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24" s="32">
        <f>SUMIFS('[1]Tempo parado'!J:J,'[1]Tempo parado'!H:H,"&gt;="&amp;MIP[[#This Row],[S.B Sitrack]],'[1]Tempo parado'!I:I,"&lt;="&amp;MIP[[#This Row],[C.B Sitrack]],'[1]Tempo parado'!B:B,MIP[[#This Row],[Placa]])</f>
        <v>0</v>
      </c>
      <c r="AN424" s="32" t="str">
        <f>IFERROR(MIP[[#This Row],[Tempo parado]]/(MIP[[#This Row],[C.B Sitrack]]-MIP[[#This Row],[S.B Sitrack]]),"")</f>
        <v/>
      </c>
      <c r="AO424" s="30"/>
      <c r="AP424" s="44">
        <f>IF(AND(MIP[Exc]=0,MIP[Previsto / Realizado]="Realizado"),MIP[Sem],0)</f>
        <v>34</v>
      </c>
      <c r="AQ424" s="29">
        <f>IF(AND(MIP[Exc]=0,MIP[Previsto / Realizado]="Realizado",ISBLANK(MIP[[#This Row],[S.B Sitrack]])=FALSE,ISBLANK(MIP[[#This Row],[C.B Sitrack]])=FALSE),MIP[Sem],0)</f>
        <v>0</v>
      </c>
    </row>
    <row r="425" spans="1:43" s="47" customFormat="1" x14ac:dyDescent="0.25">
      <c r="A425" s="11"/>
      <c r="B425" s="44">
        <f>WEEKNUM(MIP[[#This Row],[Data]])</f>
        <v>34</v>
      </c>
      <c r="C425" s="45">
        <v>42971</v>
      </c>
      <c r="D425" s="45"/>
      <c r="E425" s="35" t="s">
        <v>10</v>
      </c>
      <c r="F425" s="35" t="s">
        <v>5</v>
      </c>
      <c r="G425" s="35"/>
      <c r="H425" s="44">
        <v>2</v>
      </c>
      <c r="I425" s="44">
        <v>8</v>
      </c>
      <c r="J425" s="44">
        <v>2</v>
      </c>
      <c r="K425" s="44">
        <v>0</v>
      </c>
      <c r="L425" s="44">
        <v>0</v>
      </c>
      <c r="M425" s="43">
        <v>0.25</v>
      </c>
      <c r="N425" s="43">
        <v>0.27083333333333331</v>
      </c>
      <c r="O425" s="43">
        <v>0.63750000000000007</v>
      </c>
      <c r="P425" s="43">
        <v>0.65833333333333333</v>
      </c>
      <c r="Q425" s="39"/>
      <c r="R425" s="42"/>
      <c r="S425" s="29">
        <f>MIP[[#This Row],[PT-1]]+MIP[[#This Row],[PT-2]]*2+MIP[[#This Row],[PT-3]]*3+MIP[[#This Row],[PT &gt; 3 Pontos]]</f>
        <v>12</v>
      </c>
      <c r="T42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425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425" s="41">
        <f>MIP[[#This Row],[Eficiência]]</f>
        <v>0.88622878731574317</v>
      </c>
      <c r="W42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25" s="39">
        <f>IF(MIP[[#This Row],[P.S]]-MIP[[#This Row],[P.E]]&lt;0,1+MIP[[#This Row],[P.S]]-MIP[[#This Row],[P.E]]-1/24,MIP[[#This Row],[P.S]]-MIP[[#This Row],[P.E]]-1/24)</f>
        <v>0.36666666666666664</v>
      </c>
      <c r="Y425" s="39">
        <f>MIP[[#This Row],[PT-1]]*$S$3+MIP[[#This Row],[PT-2]]*$T$3+MIP[[#This Row],[PT-3]]*$U$3+MIP[[#This Row],[PT &gt; 3 Pontos]]*$V$3</f>
        <v>0.2880243558776166</v>
      </c>
      <c r="Z425" s="39">
        <f>MIP[[#This Row],[HH disponível]]-MIP[[#This Row],[HH AC TOT]]</f>
        <v>0.32500000000000007</v>
      </c>
      <c r="AA425" s="38">
        <f>MIP[[#This Row],[HH Produtivo
Total]]/MIP[[#This Row],[HH Trabalhado]]</f>
        <v>0.88622878731574317</v>
      </c>
      <c r="AB425" s="38">
        <f>MIP[[#This Row],[HH Produtivo
Total]]/MIP[[#This Row],[HH disponível]]</f>
        <v>0.785520970575318</v>
      </c>
      <c r="AC425" s="38">
        <f>MIP[[#This Row],[HH Trabalhado]]/MIP[[#This Row],[HH disponível]]</f>
        <v>0.88636363636363658</v>
      </c>
      <c r="AD425" s="37" t="str">
        <f>LEFT(MIP[[#This Row],[Equipe]], SEARCH("/",MIP[[#This Row],[Equipe]],1)-1)</f>
        <v xml:space="preserve">JOILSON </v>
      </c>
      <c r="AE425" s="37" t="str">
        <f>RIGHT(MIP[[#This Row],[Equipe]], LEN(MIP[[#This Row],[Equipe]])-SEARCH("/",MIP[[#This Row],[Equipe]],1))</f>
        <v xml:space="preserve"> VALDEI</v>
      </c>
      <c r="AF425" s="44">
        <f>COUNTIFS('[1]Tempo parado'!H:H,"&gt;="&amp;MIP[[#This Row],[S.B Sitrack]],'[1]Tempo parado'!I:I,"&lt;="&amp;MIP[[#This Row],[C.B Sitrack]],'[1]Tempo parado'!B:B,MIP[[#This Row],[Placa]])</f>
        <v>0</v>
      </c>
      <c r="AG425" s="36"/>
      <c r="AH425" s="35"/>
      <c r="AI425" s="34"/>
      <c r="AJ425" s="34"/>
      <c r="AK42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2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25" s="32">
        <f>SUMIFS('[1]Tempo parado'!J:J,'[1]Tempo parado'!H:H,"&gt;="&amp;MIP[[#This Row],[S.B Sitrack]],'[1]Tempo parado'!I:I,"&lt;="&amp;MIP[[#This Row],[C.B Sitrack]],'[1]Tempo parado'!B:B,MIP[[#This Row],[Placa]])</f>
        <v>0</v>
      </c>
      <c r="AN425" s="32" t="str">
        <f>IFERROR(MIP[[#This Row],[Tempo parado]]/(MIP[[#This Row],[C.B Sitrack]]-MIP[[#This Row],[S.B Sitrack]]),"")</f>
        <v/>
      </c>
      <c r="AO425" s="30"/>
      <c r="AP425" s="44">
        <f>IF(AND(MIP[Exc]=0,MIP[Previsto / Realizado]="Realizado"),MIP[Sem],0)</f>
        <v>0</v>
      </c>
      <c r="AQ425" s="29">
        <f>IF(AND(MIP[Exc]=0,MIP[Previsto / Realizado]="Realizado",ISBLANK(MIP[[#This Row],[S.B Sitrack]])=FALSE,ISBLANK(MIP[[#This Row],[C.B Sitrack]])=FALSE),MIP[Sem],0)</f>
        <v>0</v>
      </c>
    </row>
    <row r="426" spans="1:43" s="64" customFormat="1" x14ac:dyDescent="0.25">
      <c r="A426" s="11"/>
      <c r="B426" s="44">
        <f>WEEKNUM(MIP[[#This Row],[Data]])</f>
        <v>34</v>
      </c>
      <c r="C426" s="45">
        <v>42971</v>
      </c>
      <c r="D426" s="45"/>
      <c r="E426" s="35" t="s">
        <v>293</v>
      </c>
      <c r="F426" s="35" t="s">
        <v>2</v>
      </c>
      <c r="G426" s="35"/>
      <c r="H426" s="44">
        <v>2</v>
      </c>
      <c r="I426" s="44">
        <v>6</v>
      </c>
      <c r="J426" s="44">
        <v>1</v>
      </c>
      <c r="K426" s="44">
        <v>0</v>
      </c>
      <c r="L426" s="44">
        <v>0</v>
      </c>
      <c r="M426" s="43">
        <v>0.26111111111111113</v>
      </c>
      <c r="N426" s="43">
        <v>0.28680555555555554</v>
      </c>
      <c r="O426" s="43">
        <v>0.625</v>
      </c>
      <c r="P426" s="43">
        <v>0.65833333333333333</v>
      </c>
      <c r="Q426" s="39">
        <v>6.9444444444444434E-2</v>
      </c>
      <c r="R426" s="42" t="s">
        <v>294</v>
      </c>
      <c r="S426" s="29">
        <f>MIP[[#This Row],[PT-1]]+MIP[[#This Row],[PT-2]]*2+MIP[[#This Row],[PT-3]]*3+MIP[[#This Row],[PT &gt; 3 Pontos]]</f>
        <v>8</v>
      </c>
      <c r="T42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0.12847222222222215</v>
      </c>
      <c r="U426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5.9027777777777735E-2</v>
      </c>
      <c r="V426" s="41">
        <f>MIP[[#This Row],[Eficiência]]</f>
        <v>0.85459325001107955</v>
      </c>
      <c r="W42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26" s="39">
        <f>IF(MIP[[#This Row],[P.S]]-MIP[[#This Row],[P.E]]&lt;0,1+MIP[[#This Row],[P.S]]-MIP[[#This Row],[P.E]]-1/24,MIP[[#This Row],[P.S]]-MIP[[#This Row],[P.E]]-1/24)</f>
        <v>0.35555555555555551</v>
      </c>
      <c r="Y426" s="39">
        <f>MIP[[#This Row],[PT-1]]*$S$3+MIP[[#This Row],[PT-2]]*$T$3+MIP[[#This Row],[PT-3]]*$U$3+MIP[[#This Row],[PT &gt; 3 Pontos]]*$V$3</f>
        <v>0.19406388385668266</v>
      </c>
      <c r="Z426" s="39">
        <f>MIP[[#This Row],[HH disponível]]-MIP[[#This Row],[HH AC TOT]]</f>
        <v>0.22708333333333336</v>
      </c>
      <c r="AA426" s="38">
        <f>MIP[[#This Row],[HH Produtivo
Total]]/MIP[[#This Row],[HH Trabalhado]]</f>
        <v>0.85459325001107955</v>
      </c>
      <c r="AB426" s="38">
        <f>MIP[[#This Row],[HH Produtivo
Total]]/MIP[[#This Row],[HH disponível]]</f>
        <v>0.54580467334692007</v>
      </c>
      <c r="AC426" s="38">
        <f>MIP[[#This Row],[HH Trabalhado]]/MIP[[#This Row],[HH disponível]]</f>
        <v>0.63867187500000011</v>
      </c>
      <c r="AD426" s="37" t="str">
        <f>LEFT(MIP[[#This Row],[Equipe]], SEARCH("/",MIP[[#This Row],[Equipe]],1)-1)</f>
        <v xml:space="preserve">HERVAL </v>
      </c>
      <c r="AE426" s="37" t="str">
        <f>RIGHT(MIP[[#This Row],[Equipe]], LEN(MIP[[#This Row],[Equipe]])-SEARCH("/",MIP[[#This Row],[Equipe]],1))</f>
        <v xml:space="preserve"> JOILSON / VALDEI</v>
      </c>
      <c r="AF426" s="44">
        <f>COUNTIFS('[1]Tempo parado'!H:H,"&gt;="&amp;MIP[[#This Row],[S.B Sitrack]],'[1]Tempo parado'!I:I,"&lt;="&amp;MIP[[#This Row],[C.B Sitrack]],'[1]Tempo parado'!B:B,MIP[[#This Row],[Placa]])</f>
        <v>0</v>
      </c>
      <c r="AG426" s="36"/>
      <c r="AH426" s="35"/>
      <c r="AI426" s="34"/>
      <c r="AJ426" s="34"/>
      <c r="AK42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2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26" s="32">
        <f>SUMIFS('[1]Tempo parado'!J:J,'[1]Tempo parado'!H:H,"&gt;="&amp;MIP[[#This Row],[S.B Sitrack]],'[1]Tempo parado'!I:I,"&lt;="&amp;MIP[[#This Row],[C.B Sitrack]],'[1]Tempo parado'!B:B,MIP[[#This Row],[Placa]])</f>
        <v>0</v>
      </c>
      <c r="AN426" s="32" t="str">
        <f>IFERROR(MIP[[#This Row],[Tempo parado]]/(MIP[[#This Row],[C.B Sitrack]]-MIP[[#This Row],[S.B Sitrack]]),"")</f>
        <v/>
      </c>
      <c r="AO426" s="30"/>
      <c r="AP426" s="44">
        <f>IF(AND(MIP[Exc]=0,MIP[Previsto / Realizado]="Realizado"),MIP[Sem],0)</f>
        <v>34</v>
      </c>
      <c r="AQ426" s="29">
        <f>IF(AND(MIP[Exc]=0,MIP[Previsto / Realizado]="Realizado",ISBLANK(MIP[[#This Row],[S.B Sitrack]])=FALSE,ISBLANK(MIP[[#This Row],[C.B Sitrack]])=FALSE),MIP[Sem],0)</f>
        <v>0</v>
      </c>
    </row>
    <row r="427" spans="1:43" s="47" customFormat="1" x14ac:dyDescent="0.25">
      <c r="A427" s="11"/>
      <c r="B427" s="44">
        <f>WEEKNUM(MIP[[#This Row],[Data]])</f>
        <v>34</v>
      </c>
      <c r="C427" s="45">
        <v>42971</v>
      </c>
      <c r="D427" s="45"/>
      <c r="E427" s="35" t="s">
        <v>293</v>
      </c>
      <c r="F427" s="35" t="s">
        <v>5</v>
      </c>
      <c r="G427" s="35"/>
      <c r="H427" s="44">
        <v>2</v>
      </c>
      <c r="I427" s="29">
        <v>3</v>
      </c>
      <c r="J427" s="29">
        <v>1</v>
      </c>
      <c r="K427" s="29">
        <v>2</v>
      </c>
      <c r="L427" s="29">
        <v>0</v>
      </c>
      <c r="M427" s="43">
        <v>0.625</v>
      </c>
      <c r="N427" s="43">
        <v>0.64583333333333337</v>
      </c>
      <c r="O427" s="43">
        <f>1+18/24/60</f>
        <v>1.0125</v>
      </c>
      <c r="P427" s="43">
        <f>1+48/24/60</f>
        <v>1.0333333333333334</v>
      </c>
      <c r="Q427" s="39"/>
      <c r="R427" s="42"/>
      <c r="S427" s="29">
        <f>MIP[[#This Row],[PT-1]]+MIP[[#This Row],[PT-2]]*2+MIP[[#This Row],[PT-3]]*3+MIP[[#This Row],[PT &gt; 3 Pontos]]</f>
        <v>11</v>
      </c>
      <c r="T42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427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427" s="41">
        <f>MIP[[#This Row],[Eficiência]]</f>
        <v>0.75252210299764666</v>
      </c>
      <c r="W42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27" s="39">
        <f>IF(MIP[[#This Row],[P.S]]-MIP[[#This Row],[P.E]]&lt;0,1+MIP[[#This Row],[P.S]]-MIP[[#This Row],[P.E]]-1/24,MIP[[#This Row],[P.S]]-MIP[[#This Row],[P.E]]-1/24)</f>
        <v>0.36666666666666675</v>
      </c>
      <c r="Y427" s="39">
        <f>MIP[[#This Row],[PT-1]]*$S$3+MIP[[#This Row],[PT-2]]*$T$3+MIP[[#This Row],[PT-3]]*$U$3+MIP[[#This Row],[PT &gt; 3 Pontos]]*$V$3</f>
        <v>0.24456968347423511</v>
      </c>
      <c r="Z427" s="39">
        <f>MIP[[#This Row],[HH disponível]]-MIP[[#This Row],[HH AC TOT]]</f>
        <v>0.3249999999999999</v>
      </c>
      <c r="AA427" s="38">
        <f>MIP[[#This Row],[HH Produtivo
Total]]/MIP[[#This Row],[HH Trabalhado]]</f>
        <v>0.75252210299764666</v>
      </c>
      <c r="AB427" s="38">
        <f>MIP[[#This Row],[HH Produtivo
Total]]/MIP[[#This Row],[HH disponível]]</f>
        <v>0.66700822765700463</v>
      </c>
      <c r="AC427" s="38">
        <f>MIP[[#This Row],[HH Trabalhado]]/MIP[[#This Row],[HH disponível]]</f>
        <v>0.88636363636363591</v>
      </c>
      <c r="AD427" s="37" t="str">
        <f>LEFT(MIP[[#This Row],[Equipe]], SEARCH("/",MIP[[#This Row],[Equipe]],1)-1)</f>
        <v xml:space="preserve">HERVAL </v>
      </c>
      <c r="AE427" s="37" t="str">
        <f>RIGHT(MIP[[#This Row],[Equipe]], LEN(MIP[[#This Row],[Equipe]])-SEARCH("/",MIP[[#This Row],[Equipe]],1))</f>
        <v xml:space="preserve"> JOILSON / VALDEI</v>
      </c>
      <c r="AF427" s="44">
        <f>COUNTIFS('[1]Tempo parado'!H:H,"&gt;="&amp;MIP[[#This Row],[S.B Sitrack]],'[1]Tempo parado'!I:I,"&lt;="&amp;MIP[[#This Row],[C.B Sitrack]],'[1]Tempo parado'!B:B,MIP[[#This Row],[Placa]])</f>
        <v>0</v>
      </c>
      <c r="AG427" s="36"/>
      <c r="AH427" s="35"/>
      <c r="AI427" s="34"/>
      <c r="AJ427" s="34"/>
      <c r="AK42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2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27" s="32">
        <f>SUMIFS('[1]Tempo parado'!J:J,'[1]Tempo parado'!H:H,"&gt;="&amp;MIP[[#This Row],[S.B Sitrack]],'[1]Tempo parado'!I:I,"&lt;="&amp;MIP[[#This Row],[C.B Sitrack]],'[1]Tempo parado'!B:B,MIP[[#This Row],[Placa]])</f>
        <v>0</v>
      </c>
      <c r="AN427" s="32" t="str">
        <f>IFERROR(MIP[[#This Row],[Tempo parado]]/(MIP[[#This Row],[C.B Sitrack]]-MIP[[#This Row],[S.B Sitrack]]),"")</f>
        <v/>
      </c>
      <c r="AO427" s="30"/>
      <c r="AP427" s="44">
        <f>IF(AND(MIP[Exc]=0,MIP[Previsto / Realizado]="Realizado"),MIP[Sem],0)</f>
        <v>0</v>
      </c>
      <c r="AQ427" s="29">
        <f>IF(AND(MIP[Exc]=0,MIP[Previsto / Realizado]="Realizado",ISBLANK(MIP[[#This Row],[S.B Sitrack]])=FALSE,ISBLANK(MIP[[#This Row],[C.B Sitrack]])=FALSE),MIP[Sem],0)</f>
        <v>0</v>
      </c>
    </row>
    <row r="428" spans="1:43" s="64" customFormat="1" x14ac:dyDescent="0.25">
      <c r="A428" s="11"/>
      <c r="B428" s="44">
        <f>WEEKNUM(MIP[[#This Row],[Data]])</f>
        <v>34</v>
      </c>
      <c r="C428" s="45">
        <v>42971</v>
      </c>
      <c r="D428" s="45"/>
      <c r="E428" s="35" t="s">
        <v>19</v>
      </c>
      <c r="F428" s="35" t="s">
        <v>2</v>
      </c>
      <c r="G428" s="35"/>
      <c r="H428" s="44">
        <v>2</v>
      </c>
      <c r="I428" s="29">
        <v>3</v>
      </c>
      <c r="J428" s="29">
        <v>1</v>
      </c>
      <c r="K428" s="29">
        <v>2</v>
      </c>
      <c r="L428" s="29">
        <v>0</v>
      </c>
      <c r="M428" s="43">
        <v>0.63750000000000007</v>
      </c>
      <c r="N428" s="43">
        <v>0.67361111111111116</v>
      </c>
      <c r="O428" s="43">
        <v>0.99861111111111101</v>
      </c>
      <c r="P428" s="43">
        <f>1+64/24/60</f>
        <v>1.0444444444444445</v>
      </c>
      <c r="Q428" s="39"/>
      <c r="R428" s="42" t="s">
        <v>292</v>
      </c>
      <c r="S428" s="29">
        <f>MIP[[#This Row],[PT-1]]+MIP[[#This Row],[PT-2]]*2+MIP[[#This Row],[PT-3]]*3+MIP[[#This Row],[PT &gt; 3 Pontos]]</f>
        <v>11</v>
      </c>
      <c r="T42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8.1944444444444597E-2</v>
      </c>
      <c r="U428" s="39">
        <f>IF(MIP[[#This Row],[P.S]]-MIP[[#This Row],[U.P]]&gt;=0,MIP[[#This Row],[P.S]]-MIP[[#This Row],[U.P]]+MIP[[#This Row],[S.B]]-MIP[[#This Row],[P.E]],1+MIP[[#This Row],[P.S]]-MIP[[#This Row],[U.P]]+MIP[[#This Row],[S.B]]-MIP[[#This Row],[P.E]])</f>
        <v>8.1944444444444597E-2</v>
      </c>
      <c r="V428" s="41">
        <f>MIP[[#This Row],[Eficiência]]</f>
        <v>0.86318711814435978</v>
      </c>
      <c r="W42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28" s="39">
        <f>IF(MIP[[#This Row],[P.S]]-MIP[[#This Row],[P.E]]&lt;0,1+MIP[[#This Row],[P.S]]-MIP[[#This Row],[P.E]]-1/24,MIP[[#This Row],[P.S]]-MIP[[#This Row],[P.E]]-1/24)</f>
        <v>0.36527777777777776</v>
      </c>
      <c r="Y428" s="39">
        <f>MIP[[#This Row],[PT-1]]*$S$3+MIP[[#This Row],[PT-2]]*$T$3+MIP[[#This Row],[PT-3]]*$U$3+MIP[[#This Row],[PT &gt; 3 Pontos]]*$V$3</f>
        <v>0.24456968347423511</v>
      </c>
      <c r="Z428" s="39">
        <f>MIP[[#This Row],[HH disponível]]-MIP[[#This Row],[HH AC TOT]]</f>
        <v>0.28333333333333316</v>
      </c>
      <c r="AA428" s="38">
        <f>MIP[[#This Row],[HH Produtivo
Total]]/MIP[[#This Row],[HH Trabalhado]]</f>
        <v>0.86318711814435978</v>
      </c>
      <c r="AB428" s="38">
        <f>MIP[[#This Row],[HH Produtivo
Total]]/MIP[[#This Row],[HH disponível]]</f>
        <v>0.66954438061387567</v>
      </c>
      <c r="AC428" s="38">
        <f>MIP[[#This Row],[HH Trabalhado]]/MIP[[#This Row],[HH disponível]]</f>
        <v>0.77566539923954325</v>
      </c>
      <c r="AD428" s="37" t="str">
        <f>LEFT(MIP[[#This Row],[Equipe]], SEARCH("/",MIP[[#This Row],[Equipe]],1)-1)</f>
        <v xml:space="preserve">ADEMÁRIO </v>
      </c>
      <c r="AE428" s="37" t="str">
        <f>RIGHT(MIP[[#This Row],[Equipe]], LEN(MIP[[#This Row],[Equipe]])-SEARCH("/",MIP[[#This Row],[Equipe]],1))</f>
        <v xml:space="preserve"> RONALDO</v>
      </c>
      <c r="AF428" s="44">
        <f>COUNTIFS('[1]Tempo parado'!H:H,"&gt;="&amp;MIP[[#This Row],[S.B Sitrack]],'[1]Tempo parado'!I:I,"&lt;="&amp;MIP[[#This Row],[C.B Sitrack]],'[1]Tempo parado'!B:B,MIP[[#This Row],[Placa]])</f>
        <v>0</v>
      </c>
      <c r="AG428" s="36"/>
      <c r="AH428" s="35"/>
      <c r="AI428" s="34"/>
      <c r="AJ428" s="34"/>
      <c r="AK42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2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28" s="32">
        <f>SUMIFS('[1]Tempo parado'!J:J,'[1]Tempo parado'!H:H,"&gt;="&amp;MIP[[#This Row],[S.B Sitrack]],'[1]Tempo parado'!I:I,"&lt;="&amp;MIP[[#This Row],[C.B Sitrack]],'[1]Tempo parado'!B:B,MIP[[#This Row],[Placa]])</f>
        <v>0</v>
      </c>
      <c r="AN428" s="32" t="str">
        <f>IFERROR(MIP[[#This Row],[Tempo parado]]/(MIP[[#This Row],[C.B Sitrack]]-MIP[[#This Row],[S.B Sitrack]]),"")</f>
        <v/>
      </c>
      <c r="AO428" s="30"/>
      <c r="AP428" s="44">
        <f>IF(AND(MIP[Exc]=0,MIP[Previsto / Realizado]="Realizado"),MIP[Sem],0)</f>
        <v>34</v>
      </c>
      <c r="AQ428" s="29">
        <f>IF(AND(MIP[Exc]=0,MIP[Previsto / Realizado]="Realizado",ISBLANK(MIP[[#This Row],[S.B Sitrack]])=FALSE,ISBLANK(MIP[[#This Row],[C.B Sitrack]])=FALSE),MIP[Sem],0)</f>
        <v>0</v>
      </c>
    </row>
    <row r="429" spans="1:43" s="47" customFormat="1" x14ac:dyDescent="0.25">
      <c r="A429" s="11"/>
      <c r="B429" s="44">
        <f>WEEKNUM(MIP[[#This Row],[Data]])</f>
        <v>34</v>
      </c>
      <c r="C429" s="45">
        <v>42971</v>
      </c>
      <c r="D429" s="45"/>
      <c r="E429" s="35" t="s">
        <v>7</v>
      </c>
      <c r="F429" s="35" t="s">
        <v>5</v>
      </c>
      <c r="G429" s="35"/>
      <c r="H429" s="44">
        <v>2</v>
      </c>
      <c r="I429" s="29">
        <v>2</v>
      </c>
      <c r="J429" s="29">
        <v>1</v>
      </c>
      <c r="K429" s="29">
        <v>0</v>
      </c>
      <c r="L429" s="29">
        <v>0</v>
      </c>
      <c r="M429" s="43">
        <v>0.625</v>
      </c>
      <c r="N429" s="43">
        <v>0.64583333333333337</v>
      </c>
      <c r="O429" s="43">
        <f>1+18/24/60</f>
        <v>1.0125</v>
      </c>
      <c r="P429" s="43">
        <f>1+48/24/60</f>
        <v>1.0333333333333334</v>
      </c>
      <c r="Q429" s="39"/>
      <c r="R429" s="42" t="s">
        <v>291</v>
      </c>
      <c r="S429" s="29">
        <f>MIP[[#This Row],[PT-1]]+MIP[[#This Row],[PT-2]]*2+MIP[[#This Row],[PT-3]]*3+MIP[[#This Row],[PT &gt; 3 Pontos]]</f>
        <v>4</v>
      </c>
      <c r="T42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429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429" s="41">
        <f>MIP[[#This Row],[Eficiência]]</f>
        <v>0.28910914467979681</v>
      </c>
      <c r="W42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29" s="39">
        <f>IF(MIP[[#This Row],[P.S]]-MIP[[#This Row],[P.E]]&lt;0,1+MIP[[#This Row],[P.S]]-MIP[[#This Row],[P.E]]-1/24,MIP[[#This Row],[P.S]]-MIP[[#This Row],[P.E]]-1/24)</f>
        <v>0.36666666666666675</v>
      </c>
      <c r="Y429" s="39">
        <f>MIP[[#This Row],[PT-1]]*$S$3+MIP[[#This Row],[PT-2]]*$T$3+MIP[[#This Row],[PT-3]]*$U$3+MIP[[#This Row],[PT &gt; 3 Pontos]]*$V$3</f>
        <v>9.3960472020933938E-2</v>
      </c>
      <c r="Z429" s="39">
        <f>MIP[[#This Row],[HH disponível]]-MIP[[#This Row],[HH AC TOT]]</f>
        <v>0.3249999999999999</v>
      </c>
      <c r="AA429" s="38">
        <f>MIP[[#This Row],[HH Produtivo
Total]]/MIP[[#This Row],[HH Trabalhado]]</f>
        <v>0.28910914467979681</v>
      </c>
      <c r="AB429" s="38">
        <f>MIP[[#This Row],[HH Produtivo
Total]]/MIP[[#This Row],[HH disponível]]</f>
        <v>0.2562558327843652</v>
      </c>
      <c r="AC429" s="38">
        <f>MIP[[#This Row],[HH Trabalhado]]/MIP[[#This Row],[HH disponível]]</f>
        <v>0.88636363636363591</v>
      </c>
      <c r="AD429" s="37" t="str">
        <f>LEFT(MIP[[#This Row],[Equipe]], SEARCH("/",MIP[[#This Row],[Equipe]],1)-1)</f>
        <v xml:space="preserve">ANDERSON </v>
      </c>
      <c r="AE429" s="37" t="str">
        <f>RIGHT(MIP[[#This Row],[Equipe]], LEN(MIP[[#This Row],[Equipe]])-SEARCH("/",MIP[[#This Row],[Equipe]],1))</f>
        <v xml:space="preserve"> MARCO</v>
      </c>
      <c r="AF429" s="44">
        <f>COUNTIFS('[1]Tempo parado'!H:H,"&gt;="&amp;MIP[[#This Row],[S.B Sitrack]],'[1]Tempo parado'!I:I,"&lt;="&amp;MIP[[#This Row],[C.B Sitrack]],'[1]Tempo parado'!B:B,MIP[[#This Row],[Placa]])</f>
        <v>0</v>
      </c>
      <c r="AG429" s="36"/>
      <c r="AH429" s="35"/>
      <c r="AI429" s="34"/>
      <c r="AJ429" s="34"/>
      <c r="AK42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2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29" s="32">
        <f>SUMIFS('[1]Tempo parado'!J:J,'[1]Tempo parado'!H:H,"&gt;="&amp;MIP[[#This Row],[S.B Sitrack]],'[1]Tempo parado'!I:I,"&lt;="&amp;MIP[[#This Row],[C.B Sitrack]],'[1]Tempo parado'!B:B,MIP[[#This Row],[Placa]])</f>
        <v>0</v>
      </c>
      <c r="AN429" s="32" t="str">
        <f>IFERROR(MIP[[#This Row],[Tempo parado]]/(MIP[[#This Row],[C.B Sitrack]]-MIP[[#This Row],[S.B Sitrack]]),"")</f>
        <v/>
      </c>
      <c r="AO429" s="30"/>
      <c r="AP429" s="44">
        <f>IF(AND(MIP[Exc]=0,MIP[Previsto / Realizado]="Realizado"),MIP[Sem],0)</f>
        <v>0</v>
      </c>
      <c r="AQ429" s="29">
        <f>IF(AND(MIP[Exc]=0,MIP[Previsto / Realizado]="Realizado",ISBLANK(MIP[[#This Row],[S.B Sitrack]])=FALSE,ISBLANK(MIP[[#This Row],[C.B Sitrack]])=FALSE),MIP[Sem],0)</f>
        <v>0</v>
      </c>
    </row>
    <row r="430" spans="1:43" s="64" customFormat="1" x14ac:dyDescent="0.25">
      <c r="A430" s="11"/>
      <c r="B430" s="44">
        <f>WEEKNUM(MIP[[#This Row],[Data]])</f>
        <v>34</v>
      </c>
      <c r="C430" s="45">
        <v>42971</v>
      </c>
      <c r="D430" s="45"/>
      <c r="E430" s="35" t="s">
        <v>7</v>
      </c>
      <c r="F430" s="35" t="s">
        <v>2</v>
      </c>
      <c r="G430" s="35"/>
      <c r="H430" s="44">
        <v>2</v>
      </c>
      <c r="I430" s="29">
        <v>10</v>
      </c>
      <c r="J430" s="29">
        <v>1</v>
      </c>
      <c r="K430" s="29">
        <v>0</v>
      </c>
      <c r="L430" s="29">
        <v>0</v>
      </c>
      <c r="M430" s="43">
        <v>0.62638888888888888</v>
      </c>
      <c r="N430" s="43">
        <v>0.66666666666666663</v>
      </c>
      <c r="O430" s="43">
        <f>1+5/24/60</f>
        <v>1.0034722222222223</v>
      </c>
      <c r="P430" s="43">
        <f>1+48/24/60</f>
        <v>1.0333333333333334</v>
      </c>
      <c r="Q430" s="39">
        <v>4.027777777777778E-2</v>
      </c>
      <c r="R430" s="42" t="s">
        <v>290</v>
      </c>
      <c r="S430" s="29">
        <f>MIP[[#This Row],[PT-1]]+MIP[[#This Row],[PT-2]]*2+MIP[[#This Row],[PT-3]]*3+MIP[[#This Row],[PT &gt; 3 Pontos]]</f>
        <v>12</v>
      </c>
      <c r="T43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0.11041666666666664</v>
      </c>
      <c r="U430" s="39">
        <f>IF(MIP[[#This Row],[P.S]]-MIP[[#This Row],[U.P]]&gt;=0,MIP[[#This Row],[P.S]]-MIP[[#This Row],[U.P]]+MIP[[#This Row],[S.B]]-MIP[[#This Row],[P.E]],1+MIP[[#This Row],[P.S]]-MIP[[#This Row],[U.P]]+MIP[[#This Row],[S.B]]-MIP[[#This Row],[P.E]])</f>
        <v>7.0138888888888862E-2</v>
      </c>
      <c r="V430" s="41">
        <f>MIP[[#This Row],[Eficiência]]</f>
        <v>1.1542259013544987</v>
      </c>
      <c r="W43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30" s="39">
        <f>IF(MIP[[#This Row],[P.S]]-MIP[[#This Row],[P.E]]&lt;0,1+MIP[[#This Row],[P.S]]-MIP[[#This Row],[P.E]]-1/24,MIP[[#This Row],[P.S]]-MIP[[#This Row],[P.E]]-1/24)</f>
        <v>0.36527777777777787</v>
      </c>
      <c r="Y430" s="39">
        <f>MIP[[#This Row],[PT-1]]*$S$3+MIP[[#This Row],[PT-2]]*$T$3+MIP[[#This Row],[PT-3]]*$U$3+MIP[[#This Row],[PT &gt; 3 Pontos]]*$V$3</f>
        <v>0.29416729569243139</v>
      </c>
      <c r="Z430" s="39">
        <f>MIP[[#This Row],[HH disponível]]-MIP[[#This Row],[HH AC TOT]]</f>
        <v>0.2548611111111112</v>
      </c>
      <c r="AA430" s="38">
        <f>MIP[[#This Row],[HH Produtivo
Total]]/MIP[[#This Row],[HH Trabalhado]]</f>
        <v>1.1542259013544987</v>
      </c>
      <c r="AB430" s="38">
        <f>MIP[[#This Row],[HH Produtivo
Total]]/MIP[[#This Row],[HH disponível]]</f>
        <v>0.80532491596407052</v>
      </c>
      <c r="AC430" s="38">
        <f>MIP[[#This Row],[HH Trabalhado]]/MIP[[#This Row],[HH disponível]]</f>
        <v>0.69771863117870736</v>
      </c>
      <c r="AD430" s="37" t="str">
        <f>LEFT(MIP[[#This Row],[Equipe]], SEARCH("/",MIP[[#This Row],[Equipe]],1)-1)</f>
        <v xml:space="preserve">ANDERSON </v>
      </c>
      <c r="AE430" s="37" t="str">
        <f>RIGHT(MIP[[#This Row],[Equipe]], LEN(MIP[[#This Row],[Equipe]])-SEARCH("/",MIP[[#This Row],[Equipe]],1))</f>
        <v xml:space="preserve"> MARCO</v>
      </c>
      <c r="AF430" s="44">
        <f>COUNTIFS('[1]Tempo parado'!H:H,"&gt;="&amp;MIP[[#This Row],[S.B Sitrack]],'[1]Tempo parado'!I:I,"&lt;="&amp;MIP[[#This Row],[C.B Sitrack]],'[1]Tempo parado'!B:B,MIP[[#This Row],[Placa]])</f>
        <v>0</v>
      </c>
      <c r="AG430" s="36"/>
      <c r="AH430" s="35"/>
      <c r="AI430" s="34"/>
      <c r="AJ430" s="34"/>
      <c r="AK43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3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30" s="32">
        <f>SUMIFS('[1]Tempo parado'!J:J,'[1]Tempo parado'!H:H,"&gt;="&amp;MIP[[#This Row],[S.B Sitrack]],'[1]Tempo parado'!I:I,"&lt;="&amp;MIP[[#This Row],[C.B Sitrack]],'[1]Tempo parado'!B:B,MIP[[#This Row],[Placa]])</f>
        <v>0</v>
      </c>
      <c r="AN430" s="32" t="str">
        <f>IFERROR(MIP[[#This Row],[Tempo parado]]/(MIP[[#This Row],[C.B Sitrack]]-MIP[[#This Row],[S.B Sitrack]]),"")</f>
        <v/>
      </c>
      <c r="AO430" s="30"/>
      <c r="AP430" s="44">
        <f>IF(AND(MIP[Exc]=0,MIP[Previsto / Realizado]="Realizado"),MIP[Sem],0)</f>
        <v>34</v>
      </c>
      <c r="AQ430" s="29">
        <f>IF(AND(MIP[Exc]=0,MIP[Previsto / Realizado]="Realizado",ISBLANK(MIP[[#This Row],[S.B Sitrack]])=FALSE,ISBLANK(MIP[[#This Row],[C.B Sitrack]])=FALSE),MIP[Sem],0)</f>
        <v>0</v>
      </c>
    </row>
    <row r="431" spans="1:43" s="47" customFormat="1" x14ac:dyDescent="0.25">
      <c r="A431" s="11"/>
      <c r="B431" s="44">
        <f>WEEKNUM(MIP[[#This Row],[Data]])</f>
        <v>34</v>
      </c>
      <c r="C431" s="45">
        <v>42972</v>
      </c>
      <c r="D431" s="45"/>
      <c r="E431" s="35" t="s">
        <v>10</v>
      </c>
      <c r="F431" s="35" t="s">
        <v>5</v>
      </c>
      <c r="G431" s="35"/>
      <c r="H431" s="44">
        <v>2</v>
      </c>
      <c r="I431" s="44">
        <v>7</v>
      </c>
      <c r="J431" s="44">
        <v>2</v>
      </c>
      <c r="K431" s="44">
        <v>0</v>
      </c>
      <c r="L431" s="44">
        <v>0</v>
      </c>
      <c r="M431" s="43">
        <v>0.25</v>
      </c>
      <c r="N431" s="43">
        <v>0.27083333333333331</v>
      </c>
      <c r="O431" s="43">
        <v>0.63750000000000007</v>
      </c>
      <c r="P431" s="43">
        <v>0.65833333333333333</v>
      </c>
      <c r="Q431" s="39"/>
      <c r="R431" s="42" t="s">
        <v>289</v>
      </c>
      <c r="S431" s="29">
        <f>MIP[[#This Row],[PT-1]]+MIP[[#This Row],[PT-2]]*2+MIP[[#This Row],[PT-3]]*3+MIP[[#This Row],[PT &gt; 3 Pontos]]</f>
        <v>11</v>
      </c>
      <c r="T43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431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431" s="41">
        <f>MIP[[#This Row],[Eficiência]]</f>
        <v>0.80922616282670579</v>
      </c>
      <c r="W43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31" s="39">
        <f>IF(MIP[[#This Row],[P.S]]-MIP[[#This Row],[P.E]]&lt;0,1+MIP[[#This Row],[P.S]]-MIP[[#This Row],[P.E]]-1/24,MIP[[#This Row],[P.S]]-MIP[[#This Row],[P.E]]-1/24)</f>
        <v>0.36666666666666664</v>
      </c>
      <c r="Y431" s="39">
        <f>MIP[[#This Row],[PT-1]]*$S$3+MIP[[#This Row],[PT-2]]*$T$3+MIP[[#This Row],[PT-3]]*$U$3+MIP[[#This Row],[PT &gt; 3 Pontos]]*$V$3</f>
        <v>0.26299850291867943</v>
      </c>
      <c r="Z431" s="39">
        <f>MIP[[#This Row],[HH disponível]]-MIP[[#This Row],[HH AC TOT]]</f>
        <v>0.32500000000000007</v>
      </c>
      <c r="AA431" s="38">
        <f>MIP[[#This Row],[HH Produtivo
Total]]/MIP[[#This Row],[HH Trabalhado]]</f>
        <v>0.80922616282670579</v>
      </c>
      <c r="AB431" s="38">
        <f>MIP[[#This Row],[HH Produtivo
Total]]/MIP[[#This Row],[HH disponível]]</f>
        <v>0.71726864432367121</v>
      </c>
      <c r="AC431" s="38">
        <f>MIP[[#This Row],[HH Trabalhado]]/MIP[[#This Row],[HH disponível]]</f>
        <v>0.88636363636363658</v>
      </c>
      <c r="AD431" s="37" t="str">
        <f>LEFT(MIP[[#This Row],[Equipe]], SEARCH("/",MIP[[#This Row],[Equipe]],1)-1)</f>
        <v xml:space="preserve">JOILSON </v>
      </c>
      <c r="AE431" s="37" t="str">
        <f>RIGHT(MIP[[#This Row],[Equipe]], LEN(MIP[[#This Row],[Equipe]])-SEARCH("/",MIP[[#This Row],[Equipe]],1))</f>
        <v xml:space="preserve"> VALDEI</v>
      </c>
      <c r="AF431" s="44">
        <f>COUNTIFS('[1]Tempo parado'!H:H,"&gt;="&amp;MIP[[#This Row],[S.B Sitrack]],'[1]Tempo parado'!I:I,"&lt;="&amp;MIP[[#This Row],[C.B Sitrack]],'[1]Tempo parado'!B:B,MIP[[#This Row],[Placa]])</f>
        <v>0</v>
      </c>
      <c r="AG431" s="36"/>
      <c r="AH431" s="35"/>
      <c r="AI431" s="34"/>
      <c r="AJ431" s="34"/>
      <c r="AK43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3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31" s="32">
        <f>SUMIFS('[1]Tempo parado'!J:J,'[1]Tempo parado'!H:H,"&gt;="&amp;MIP[[#This Row],[S.B Sitrack]],'[1]Tempo parado'!I:I,"&lt;="&amp;MIP[[#This Row],[C.B Sitrack]],'[1]Tempo parado'!B:B,MIP[[#This Row],[Placa]])</f>
        <v>0</v>
      </c>
      <c r="AN431" s="32" t="str">
        <f>IFERROR(MIP[[#This Row],[Tempo parado]]/(MIP[[#This Row],[C.B Sitrack]]-MIP[[#This Row],[S.B Sitrack]]),"")</f>
        <v/>
      </c>
      <c r="AO431" s="30"/>
      <c r="AP431" s="44">
        <f>IF(AND(MIP[Exc]=0,MIP[Previsto / Realizado]="Realizado"),MIP[Sem],0)</f>
        <v>0</v>
      </c>
      <c r="AQ431" s="29">
        <f>IF(AND(MIP[Exc]=0,MIP[Previsto / Realizado]="Realizado",ISBLANK(MIP[[#This Row],[S.B Sitrack]])=FALSE,ISBLANK(MIP[[#This Row],[C.B Sitrack]])=FALSE),MIP[Sem],0)</f>
        <v>0</v>
      </c>
    </row>
    <row r="432" spans="1:43" s="64" customFormat="1" x14ac:dyDescent="0.25">
      <c r="A432" s="11"/>
      <c r="B432" s="44">
        <f>WEEKNUM(MIP[[#This Row],[Data]])</f>
        <v>34</v>
      </c>
      <c r="C432" s="45">
        <v>42972</v>
      </c>
      <c r="D432" s="45"/>
      <c r="E432" s="35" t="s">
        <v>10</v>
      </c>
      <c r="F432" s="35" t="s">
        <v>2</v>
      </c>
      <c r="G432" s="35"/>
      <c r="H432" s="44">
        <v>2</v>
      </c>
      <c r="I432" s="44">
        <v>8</v>
      </c>
      <c r="J432" s="44">
        <v>0</v>
      </c>
      <c r="K432" s="44">
        <v>0</v>
      </c>
      <c r="L432" s="44">
        <v>0</v>
      </c>
      <c r="M432" s="43">
        <v>0.24722222222222223</v>
      </c>
      <c r="N432" s="43">
        <v>0.27777777777777779</v>
      </c>
      <c r="O432" s="43">
        <v>0.60069444444444442</v>
      </c>
      <c r="P432" s="43">
        <v>0.66111111111111109</v>
      </c>
      <c r="Q432" s="39"/>
      <c r="R432" s="42" t="s">
        <v>288</v>
      </c>
      <c r="S432" s="29">
        <f>MIP[[#This Row],[PT-1]]+MIP[[#This Row],[PT-2]]*2+MIP[[#This Row],[PT-3]]*3+MIP[[#This Row],[PT &gt; 3 Pontos]]</f>
        <v>8</v>
      </c>
      <c r="T43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9.0972222222222232E-2</v>
      </c>
      <c r="U432" s="39">
        <f>IF(MIP[[#This Row],[P.S]]-MIP[[#This Row],[U.P]]&gt;=0,MIP[[#This Row],[P.S]]-MIP[[#This Row],[U.P]]+MIP[[#This Row],[S.B]]-MIP[[#This Row],[P.E]],1+MIP[[#This Row],[P.S]]-MIP[[#This Row],[U.P]]+MIP[[#This Row],[S.B]]-MIP[[#This Row],[P.E]])</f>
        <v>9.0972222222222232E-2</v>
      </c>
      <c r="V432" s="41">
        <f>MIP[[#This Row],[Eficiência]]</f>
        <v>0.71184648416532437</v>
      </c>
      <c r="W43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32" s="39">
        <f>IF(MIP[[#This Row],[P.S]]-MIP[[#This Row],[P.E]]&lt;0,1+MIP[[#This Row],[P.S]]-MIP[[#This Row],[P.E]]-1/24,MIP[[#This Row],[P.S]]-MIP[[#This Row],[P.E]]-1/24)</f>
        <v>0.37222222222222218</v>
      </c>
      <c r="Y432" s="39">
        <f>MIP[[#This Row],[PT-1]]*$S$3+MIP[[#This Row],[PT-2]]*$T$3+MIP[[#This Row],[PT-3]]*$U$3+MIP[[#This Row],[PT &gt; 3 Pontos]]*$V$3</f>
        <v>0.20020682367149745</v>
      </c>
      <c r="Z432" s="39">
        <f>MIP[[#This Row],[HH disponível]]-MIP[[#This Row],[HH AC TOT]]</f>
        <v>0.28124999999999994</v>
      </c>
      <c r="AA432" s="38">
        <f>MIP[[#This Row],[HH Produtivo
Total]]/MIP[[#This Row],[HH Trabalhado]]</f>
        <v>0.71184648416532437</v>
      </c>
      <c r="AB432" s="38">
        <f>MIP[[#This Row],[HH Produtivo
Total]]/MIP[[#This Row],[HH disponível]]</f>
        <v>0.53786907852044097</v>
      </c>
      <c r="AC432" s="38">
        <f>MIP[[#This Row],[HH Trabalhado]]/MIP[[#This Row],[HH disponível]]</f>
        <v>0.75559701492537312</v>
      </c>
      <c r="AD432" s="37" t="str">
        <f>LEFT(MIP[[#This Row],[Equipe]], SEARCH("/",MIP[[#This Row],[Equipe]],1)-1)</f>
        <v xml:space="preserve">JOILSON </v>
      </c>
      <c r="AE432" s="37" t="str">
        <f>RIGHT(MIP[[#This Row],[Equipe]], LEN(MIP[[#This Row],[Equipe]])-SEARCH("/",MIP[[#This Row],[Equipe]],1))</f>
        <v xml:space="preserve"> VALDEI</v>
      </c>
      <c r="AF432" s="44">
        <f>COUNTIFS('[1]Tempo parado'!H:H,"&gt;="&amp;MIP[[#This Row],[S.B Sitrack]],'[1]Tempo parado'!I:I,"&lt;="&amp;MIP[[#This Row],[C.B Sitrack]],'[1]Tempo parado'!B:B,MIP[[#This Row],[Placa]])</f>
        <v>0</v>
      </c>
      <c r="AG432" s="36"/>
      <c r="AH432" s="35"/>
      <c r="AI432" s="34"/>
      <c r="AJ432" s="34"/>
      <c r="AK43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3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32" s="32">
        <f>SUMIFS('[1]Tempo parado'!J:J,'[1]Tempo parado'!H:H,"&gt;="&amp;MIP[[#This Row],[S.B Sitrack]],'[1]Tempo parado'!I:I,"&lt;="&amp;MIP[[#This Row],[C.B Sitrack]],'[1]Tempo parado'!B:B,MIP[[#This Row],[Placa]])</f>
        <v>0</v>
      </c>
      <c r="AN432" s="32" t="str">
        <f>IFERROR(MIP[[#This Row],[Tempo parado]]/(MIP[[#This Row],[C.B Sitrack]]-MIP[[#This Row],[S.B Sitrack]]),"")</f>
        <v/>
      </c>
      <c r="AO432" s="30"/>
      <c r="AP432" s="44">
        <f>IF(AND(MIP[Exc]=0,MIP[Previsto / Realizado]="Realizado"),MIP[Sem],0)</f>
        <v>34</v>
      </c>
      <c r="AQ432" s="29">
        <f>IF(AND(MIP[Exc]=0,MIP[Previsto / Realizado]="Realizado",ISBLANK(MIP[[#This Row],[S.B Sitrack]])=FALSE,ISBLANK(MIP[[#This Row],[C.B Sitrack]])=FALSE),MIP[Sem],0)</f>
        <v>0</v>
      </c>
    </row>
    <row r="433" spans="1:43" s="47" customFormat="1" x14ac:dyDescent="0.25">
      <c r="A433" s="11"/>
      <c r="B433" s="44">
        <f>WEEKNUM(MIP[[#This Row],[Data]])</f>
        <v>34</v>
      </c>
      <c r="C433" s="45">
        <v>42972</v>
      </c>
      <c r="D433" s="45"/>
      <c r="E433" s="35" t="s">
        <v>3</v>
      </c>
      <c r="F433" s="35" t="s">
        <v>5</v>
      </c>
      <c r="G433" s="35"/>
      <c r="H433" s="44">
        <v>2</v>
      </c>
      <c r="I433" s="44">
        <v>8</v>
      </c>
      <c r="J433" s="44">
        <v>1</v>
      </c>
      <c r="K433" s="44">
        <v>0</v>
      </c>
      <c r="L433" s="44">
        <v>0</v>
      </c>
      <c r="M433" s="43">
        <v>0.625</v>
      </c>
      <c r="N433" s="43">
        <v>0.64583333333333337</v>
      </c>
      <c r="O433" s="43">
        <f>1+18/24/60</f>
        <v>1.0125</v>
      </c>
      <c r="P433" s="43">
        <f>1+48/24/60</f>
        <v>1.0333333333333334</v>
      </c>
      <c r="Q433" s="39"/>
      <c r="R433" s="42" t="s">
        <v>287</v>
      </c>
      <c r="S433" s="29">
        <f>MIP[[#This Row],[PT-1]]+MIP[[#This Row],[PT-2]]*2+MIP[[#This Row],[PT-3]]*3+MIP[[#This Row],[PT &gt; 3 Pontos]]</f>
        <v>10</v>
      </c>
      <c r="T43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433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433" s="41">
        <f>MIP[[#This Row],[Eficiência]]</f>
        <v>0.75112489161402185</v>
      </c>
      <c r="W43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33" s="39">
        <f>IF(MIP[[#This Row],[P.S]]-MIP[[#This Row],[P.E]]&lt;0,1+MIP[[#This Row],[P.S]]-MIP[[#This Row],[P.E]]-1/24,MIP[[#This Row],[P.S]]-MIP[[#This Row],[P.E]]-1/24)</f>
        <v>0.36666666666666675</v>
      </c>
      <c r="Y433" s="39">
        <f>MIP[[#This Row],[PT-1]]*$S$3+MIP[[#This Row],[PT-2]]*$T$3+MIP[[#This Row],[PT-3]]*$U$3+MIP[[#This Row],[PT &gt; 3 Pontos]]*$V$3</f>
        <v>0.24411558977455702</v>
      </c>
      <c r="Z433" s="39">
        <f>MIP[[#This Row],[HH disponível]]-MIP[[#This Row],[HH AC TOT]]</f>
        <v>0.3249999999999999</v>
      </c>
      <c r="AA433" s="38">
        <f>MIP[[#This Row],[HH Produtivo
Total]]/MIP[[#This Row],[HH Trabalhado]]</f>
        <v>0.75112489161402185</v>
      </c>
      <c r="AB433" s="38">
        <f>MIP[[#This Row],[HH Produtivo
Total]]/MIP[[#This Row],[HH disponível]]</f>
        <v>0.66576979029424632</v>
      </c>
      <c r="AC433" s="38">
        <f>MIP[[#This Row],[HH Trabalhado]]/MIP[[#This Row],[HH disponível]]</f>
        <v>0.88636363636363591</v>
      </c>
      <c r="AD433" s="37" t="str">
        <f>LEFT(MIP[[#This Row],[Equipe]], SEARCH("/",MIP[[#This Row],[Equipe]],1)-1)</f>
        <v xml:space="preserve">EDILTON </v>
      </c>
      <c r="AE433" s="37" t="str">
        <f>RIGHT(MIP[[#This Row],[Equipe]], LEN(MIP[[#This Row],[Equipe]])-SEARCH("/",MIP[[#This Row],[Equipe]],1))</f>
        <v xml:space="preserve"> GECIVALDO</v>
      </c>
      <c r="AF433" s="44">
        <f>COUNTIFS('[1]Tempo parado'!H:H,"&gt;="&amp;MIP[[#This Row],[S.B Sitrack]],'[1]Tempo parado'!I:I,"&lt;="&amp;MIP[[#This Row],[C.B Sitrack]],'[1]Tempo parado'!B:B,MIP[[#This Row],[Placa]])</f>
        <v>0</v>
      </c>
      <c r="AG433" s="36"/>
      <c r="AH433" s="35"/>
      <c r="AI433" s="34"/>
      <c r="AJ433" s="34"/>
      <c r="AK43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3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33" s="32">
        <f>SUMIFS('[1]Tempo parado'!J:J,'[1]Tempo parado'!H:H,"&gt;="&amp;MIP[[#This Row],[S.B Sitrack]],'[1]Tempo parado'!I:I,"&lt;="&amp;MIP[[#This Row],[C.B Sitrack]],'[1]Tempo parado'!B:B,MIP[[#This Row],[Placa]])</f>
        <v>0</v>
      </c>
      <c r="AN433" s="32" t="str">
        <f>IFERROR(MIP[[#This Row],[Tempo parado]]/(MIP[[#This Row],[C.B Sitrack]]-MIP[[#This Row],[S.B Sitrack]]),"")</f>
        <v/>
      </c>
      <c r="AO433" s="30"/>
      <c r="AP433" s="44">
        <f>IF(AND(MIP[Exc]=0,MIP[Previsto / Realizado]="Realizado"),MIP[Sem],0)</f>
        <v>0</v>
      </c>
      <c r="AQ433" s="29">
        <f>IF(AND(MIP[Exc]=0,MIP[Previsto / Realizado]="Realizado",ISBLANK(MIP[[#This Row],[S.B Sitrack]])=FALSE,ISBLANK(MIP[[#This Row],[C.B Sitrack]])=FALSE),MIP[Sem],0)</f>
        <v>0</v>
      </c>
    </row>
    <row r="434" spans="1:43" s="64" customFormat="1" x14ac:dyDescent="0.25">
      <c r="A434" s="11"/>
      <c r="B434" s="44">
        <f>WEEKNUM(MIP[[#This Row],[Data]])</f>
        <v>34</v>
      </c>
      <c r="C434" s="45">
        <v>42972</v>
      </c>
      <c r="D434" s="45"/>
      <c r="E434" s="35" t="s">
        <v>3</v>
      </c>
      <c r="F434" s="35" t="s">
        <v>2</v>
      </c>
      <c r="G434" s="35"/>
      <c r="H434" s="44">
        <v>2</v>
      </c>
      <c r="I434" s="44">
        <v>8</v>
      </c>
      <c r="J434" s="44">
        <v>1</v>
      </c>
      <c r="K434" s="44">
        <v>0</v>
      </c>
      <c r="L434" s="44">
        <v>0</v>
      </c>
      <c r="M434" s="43">
        <v>0.61736111111111114</v>
      </c>
      <c r="N434" s="43">
        <v>0.67499999999999993</v>
      </c>
      <c r="O434" s="43">
        <v>0.92361111111111116</v>
      </c>
      <c r="P434" s="43">
        <f>1+48/24/60</f>
        <v>1.0333333333333334</v>
      </c>
      <c r="Q434" s="39"/>
      <c r="R434" s="42" t="s">
        <v>286</v>
      </c>
      <c r="S434" s="29">
        <f>MIP[[#This Row],[PT-1]]+MIP[[#This Row],[PT-2]]*2+MIP[[#This Row],[PT-3]]*3+MIP[[#This Row],[PT &gt; 3 Pontos]]</f>
        <v>10</v>
      </c>
      <c r="T43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0.16736111111111107</v>
      </c>
      <c r="U434" s="39">
        <f>IF(MIP[[#This Row],[P.S]]-MIP[[#This Row],[U.P]]&gt;=0,MIP[[#This Row],[P.S]]-MIP[[#This Row],[U.P]]+MIP[[#This Row],[S.B]]-MIP[[#This Row],[P.E]],1+MIP[[#This Row],[P.S]]-MIP[[#This Row],[U.P]]+MIP[[#This Row],[S.B]]-MIP[[#This Row],[P.E]])</f>
        <v>0.16736111111111107</v>
      </c>
      <c r="V434" s="41">
        <f>MIP[[#This Row],[Eficiência]]</f>
        <v>1.1796189572998723</v>
      </c>
      <c r="W43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34" s="39">
        <f>IF(MIP[[#This Row],[P.S]]-MIP[[#This Row],[P.E]]&lt;0,1+MIP[[#This Row],[P.S]]-MIP[[#This Row],[P.E]]-1/24,MIP[[#This Row],[P.S]]-MIP[[#This Row],[P.E]]-1/24)</f>
        <v>0.37430555555555561</v>
      </c>
      <c r="Y434" s="39">
        <f>MIP[[#This Row],[PT-1]]*$S$3+MIP[[#This Row],[PT-2]]*$T$3+MIP[[#This Row],[PT-3]]*$U$3+MIP[[#This Row],[PT &gt; 3 Pontos]]*$V$3</f>
        <v>0.24411558977455702</v>
      </c>
      <c r="Z434" s="39">
        <f>MIP[[#This Row],[HH disponível]]-MIP[[#This Row],[HH AC TOT]]</f>
        <v>0.20694444444444454</v>
      </c>
      <c r="AA434" s="38">
        <f>MIP[[#This Row],[HH Produtivo
Total]]/MIP[[#This Row],[HH Trabalhado]]</f>
        <v>1.1796189572998723</v>
      </c>
      <c r="AB434" s="38">
        <f>MIP[[#This Row],[HH Produtivo
Total]]/MIP[[#This Row],[HH disponível]]</f>
        <v>0.65218265171681278</v>
      </c>
      <c r="AC434" s="38">
        <f>MIP[[#This Row],[HH Trabalhado]]/MIP[[#This Row],[HH disponível]]</f>
        <v>0.55287569573283879</v>
      </c>
      <c r="AD434" s="37" t="str">
        <f>LEFT(MIP[[#This Row],[Equipe]], SEARCH("/",MIP[[#This Row],[Equipe]],1)-1)</f>
        <v xml:space="preserve">EDILTON </v>
      </c>
      <c r="AE434" s="37" t="str">
        <f>RIGHT(MIP[[#This Row],[Equipe]], LEN(MIP[[#This Row],[Equipe]])-SEARCH("/",MIP[[#This Row],[Equipe]],1))</f>
        <v xml:space="preserve"> GECIVALDO</v>
      </c>
      <c r="AF434" s="44">
        <f>COUNTIFS('[1]Tempo parado'!H:H,"&gt;="&amp;MIP[[#This Row],[S.B Sitrack]],'[1]Tempo parado'!I:I,"&lt;="&amp;MIP[[#This Row],[C.B Sitrack]],'[1]Tempo parado'!B:B,MIP[[#This Row],[Placa]])</f>
        <v>0</v>
      </c>
      <c r="AG434" s="36"/>
      <c r="AH434" s="35"/>
      <c r="AI434" s="34"/>
      <c r="AJ434" s="34"/>
      <c r="AK43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3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34" s="32">
        <f>SUMIFS('[1]Tempo parado'!J:J,'[1]Tempo parado'!H:H,"&gt;="&amp;MIP[[#This Row],[S.B Sitrack]],'[1]Tempo parado'!I:I,"&lt;="&amp;MIP[[#This Row],[C.B Sitrack]],'[1]Tempo parado'!B:B,MIP[[#This Row],[Placa]])</f>
        <v>0</v>
      </c>
      <c r="AN434" s="32" t="str">
        <f>IFERROR(MIP[[#This Row],[Tempo parado]]/(MIP[[#This Row],[C.B Sitrack]]-MIP[[#This Row],[S.B Sitrack]]),"")</f>
        <v/>
      </c>
      <c r="AO434" s="30"/>
      <c r="AP434" s="44">
        <f>IF(AND(MIP[Exc]=0,MIP[Previsto / Realizado]="Realizado"),MIP[Sem],0)</f>
        <v>34</v>
      </c>
      <c r="AQ434" s="29">
        <f>IF(AND(MIP[Exc]=0,MIP[Previsto / Realizado]="Realizado",ISBLANK(MIP[[#This Row],[S.B Sitrack]])=FALSE,ISBLANK(MIP[[#This Row],[C.B Sitrack]])=FALSE),MIP[Sem],0)</f>
        <v>0</v>
      </c>
    </row>
    <row r="435" spans="1:43" s="47" customFormat="1" x14ac:dyDescent="0.25">
      <c r="A435" s="11"/>
      <c r="B435" s="44">
        <f>WEEKNUM(MIP[[#This Row],[Data]])</f>
        <v>34</v>
      </c>
      <c r="C435" s="45">
        <v>42972</v>
      </c>
      <c r="D435" s="45"/>
      <c r="E435" s="35" t="s">
        <v>7</v>
      </c>
      <c r="F435" s="35" t="s">
        <v>5</v>
      </c>
      <c r="G435" s="35"/>
      <c r="H435" s="44">
        <v>2</v>
      </c>
      <c r="I435" s="44">
        <v>0</v>
      </c>
      <c r="J435" s="44">
        <v>0</v>
      </c>
      <c r="K435" s="44">
        <v>0</v>
      </c>
      <c r="L435" s="44">
        <v>0</v>
      </c>
      <c r="M435" s="43">
        <v>0.625</v>
      </c>
      <c r="N435" s="43">
        <v>0.64583333333333337</v>
      </c>
      <c r="O435" s="43">
        <f>1+18/24/60</f>
        <v>1.0125</v>
      </c>
      <c r="P435" s="43">
        <f>1+48/24/60</f>
        <v>1.0333333333333334</v>
      </c>
      <c r="Q435" s="39"/>
      <c r="R435" s="42" t="s">
        <v>285</v>
      </c>
      <c r="S435" s="29">
        <f>MIP[[#This Row],[PT-1]]+MIP[[#This Row],[PT-2]]*2+MIP[[#This Row],[PT-3]]*3+MIP[[#This Row],[PT &gt; 3 Pontos]]</f>
        <v>0</v>
      </c>
      <c r="T43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435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435" s="41">
        <f>MIP[[#This Row],[Eficiência]]</f>
        <v>0</v>
      </c>
      <c r="W43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35" s="39">
        <f>IF(MIP[[#This Row],[P.S]]-MIP[[#This Row],[P.E]]&lt;0,1+MIP[[#This Row],[P.S]]-MIP[[#This Row],[P.E]]-1/24,MIP[[#This Row],[P.S]]-MIP[[#This Row],[P.E]]-1/24)</f>
        <v>0.36666666666666675</v>
      </c>
      <c r="Y435" s="39">
        <f>MIP[[#This Row],[PT-1]]*$S$3+MIP[[#This Row],[PT-2]]*$T$3+MIP[[#This Row],[PT-3]]*$U$3+MIP[[#This Row],[PT &gt; 3 Pontos]]*$V$3</f>
        <v>0</v>
      </c>
      <c r="Z435" s="39">
        <f>MIP[[#This Row],[HH disponível]]-MIP[[#This Row],[HH AC TOT]]</f>
        <v>0.3249999999999999</v>
      </c>
      <c r="AA435" s="38">
        <f>MIP[[#This Row],[HH Produtivo
Total]]/MIP[[#This Row],[HH Trabalhado]]</f>
        <v>0</v>
      </c>
      <c r="AB435" s="38">
        <f>MIP[[#This Row],[HH Produtivo
Total]]/MIP[[#This Row],[HH disponível]]</f>
        <v>0</v>
      </c>
      <c r="AC435" s="38">
        <f>MIP[[#This Row],[HH Trabalhado]]/MIP[[#This Row],[HH disponível]]</f>
        <v>0.88636363636363591</v>
      </c>
      <c r="AD435" s="37" t="str">
        <f>LEFT(MIP[[#This Row],[Equipe]], SEARCH("/",MIP[[#This Row],[Equipe]],1)-1)</f>
        <v xml:space="preserve">ANDERSON </v>
      </c>
      <c r="AE435" s="37" t="str">
        <f>RIGHT(MIP[[#This Row],[Equipe]], LEN(MIP[[#This Row],[Equipe]])-SEARCH("/",MIP[[#This Row],[Equipe]],1))</f>
        <v xml:space="preserve"> MARCO</v>
      </c>
      <c r="AF435" s="44">
        <f>COUNTIFS('[1]Tempo parado'!H:H,"&gt;="&amp;MIP[[#This Row],[S.B Sitrack]],'[1]Tempo parado'!I:I,"&lt;="&amp;MIP[[#This Row],[C.B Sitrack]],'[1]Tempo parado'!B:B,MIP[[#This Row],[Placa]])</f>
        <v>0</v>
      </c>
      <c r="AG435" s="36"/>
      <c r="AH435" s="35"/>
      <c r="AI435" s="34"/>
      <c r="AJ435" s="34"/>
      <c r="AK43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3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35" s="32">
        <f>SUMIFS('[1]Tempo parado'!J:J,'[1]Tempo parado'!H:H,"&gt;="&amp;MIP[[#This Row],[S.B Sitrack]],'[1]Tempo parado'!I:I,"&lt;="&amp;MIP[[#This Row],[C.B Sitrack]],'[1]Tempo parado'!B:B,MIP[[#This Row],[Placa]])</f>
        <v>0</v>
      </c>
      <c r="AN435" s="32" t="str">
        <f>IFERROR(MIP[[#This Row],[Tempo parado]]/(MIP[[#This Row],[C.B Sitrack]]-MIP[[#This Row],[S.B Sitrack]]),"")</f>
        <v/>
      </c>
      <c r="AO435" s="30"/>
      <c r="AP435" s="44">
        <f>IF(AND(MIP[Exc]=0,MIP[Previsto / Realizado]="Realizado"),MIP[Sem],0)</f>
        <v>0</v>
      </c>
      <c r="AQ435" s="29">
        <f>IF(AND(MIP[Exc]=0,MIP[Previsto / Realizado]="Realizado",ISBLANK(MIP[[#This Row],[S.B Sitrack]])=FALSE,ISBLANK(MIP[[#This Row],[C.B Sitrack]])=FALSE),MIP[Sem],0)</f>
        <v>0</v>
      </c>
    </row>
    <row r="436" spans="1:43" s="64" customFormat="1" x14ac:dyDescent="0.25">
      <c r="A436" s="11"/>
      <c r="B436" s="44">
        <f>WEEKNUM(MIP[[#This Row],[Data]])</f>
        <v>34</v>
      </c>
      <c r="C436" s="45">
        <v>42972</v>
      </c>
      <c r="D436" s="45"/>
      <c r="E436" s="35" t="s">
        <v>7</v>
      </c>
      <c r="F436" s="35" t="s">
        <v>2</v>
      </c>
      <c r="G436" s="35"/>
      <c r="H436" s="44">
        <v>2</v>
      </c>
      <c r="I436" s="44">
        <v>4</v>
      </c>
      <c r="J436" s="44">
        <v>0</v>
      </c>
      <c r="K436" s="44">
        <v>0</v>
      </c>
      <c r="L436" s="44">
        <v>0</v>
      </c>
      <c r="M436" s="43">
        <v>0.62847222222222221</v>
      </c>
      <c r="N436" s="43">
        <v>0.68611111111111101</v>
      </c>
      <c r="O436" s="43">
        <f>1+15/24/60</f>
        <v>1.0104166666666667</v>
      </c>
      <c r="P436" s="43">
        <f>1+48/24/60</f>
        <v>1.0333333333333334</v>
      </c>
      <c r="Q436" s="39"/>
      <c r="R436" s="42" t="s">
        <v>284</v>
      </c>
      <c r="S436" s="29">
        <f>MIP[[#This Row],[PT-1]]+MIP[[#This Row],[PT-2]]*2+MIP[[#This Row],[PT-3]]*3+MIP[[#This Row],[PT &gt; 3 Pontos]]</f>
        <v>4</v>
      </c>
      <c r="T43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8.0555555555555491E-2</v>
      </c>
      <c r="U436" s="39">
        <f>IF(MIP[[#This Row],[P.S]]-MIP[[#This Row],[U.P]]&gt;=0,MIP[[#This Row],[P.S]]-MIP[[#This Row],[U.P]]+MIP[[#This Row],[S.B]]-MIP[[#This Row],[P.E]],1+MIP[[#This Row],[P.S]]-MIP[[#This Row],[U.P]]+MIP[[#This Row],[S.B]]-MIP[[#This Row],[P.E]])</f>
        <v>8.0555555555555491E-2</v>
      </c>
      <c r="V436" s="41">
        <f>MIP[[#This Row],[Eficiência]]</f>
        <v>0.35417423352205918</v>
      </c>
      <c r="W43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36" s="39">
        <f>IF(MIP[[#This Row],[P.S]]-MIP[[#This Row],[P.E]]&lt;0,1+MIP[[#This Row],[P.S]]-MIP[[#This Row],[P.E]]-1/24,MIP[[#This Row],[P.S]]-MIP[[#This Row],[P.E]]-1/24)</f>
        <v>0.36319444444444454</v>
      </c>
      <c r="Y436" s="39">
        <f>MIP[[#This Row],[PT-1]]*$S$3+MIP[[#This Row],[PT-2]]*$T$3+MIP[[#This Row],[PT-3]]*$U$3+MIP[[#This Row],[PT &gt; 3 Pontos]]*$V$3</f>
        <v>0.10010341183574872</v>
      </c>
      <c r="Z436" s="39">
        <f>MIP[[#This Row],[HH disponível]]-MIP[[#This Row],[HH AC TOT]]</f>
        <v>0.28263888888888905</v>
      </c>
      <c r="AA436" s="38">
        <f>MIP[[#This Row],[HH Produtivo
Total]]/MIP[[#This Row],[HH Trabalhado]]</f>
        <v>0.35417423352205918</v>
      </c>
      <c r="AB436" s="38">
        <f>MIP[[#This Row],[HH Produtivo
Total]]/MIP[[#This Row],[HH disponível]]</f>
        <v>0.27561933660320864</v>
      </c>
      <c r="AC436" s="38">
        <f>MIP[[#This Row],[HH Trabalhado]]/MIP[[#This Row],[HH disponível]]</f>
        <v>0.77820267686424494</v>
      </c>
      <c r="AD436" s="37" t="str">
        <f>LEFT(MIP[[#This Row],[Equipe]], SEARCH("/",MIP[[#This Row],[Equipe]],1)-1)</f>
        <v xml:space="preserve">ANDERSON </v>
      </c>
      <c r="AE436" s="37" t="str">
        <f>RIGHT(MIP[[#This Row],[Equipe]], LEN(MIP[[#This Row],[Equipe]])-SEARCH("/",MIP[[#This Row],[Equipe]],1))</f>
        <v xml:space="preserve"> MARCO</v>
      </c>
      <c r="AF436" s="44">
        <f>COUNTIFS('[1]Tempo parado'!H:H,"&gt;="&amp;MIP[[#This Row],[S.B Sitrack]],'[1]Tempo parado'!I:I,"&lt;="&amp;MIP[[#This Row],[C.B Sitrack]],'[1]Tempo parado'!B:B,MIP[[#This Row],[Placa]])</f>
        <v>0</v>
      </c>
      <c r="AG436" s="36"/>
      <c r="AH436" s="35"/>
      <c r="AI436" s="34"/>
      <c r="AJ436" s="34"/>
      <c r="AK43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3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36" s="32">
        <f>SUMIFS('[1]Tempo parado'!J:J,'[1]Tempo parado'!H:H,"&gt;="&amp;MIP[[#This Row],[S.B Sitrack]],'[1]Tempo parado'!I:I,"&lt;="&amp;MIP[[#This Row],[C.B Sitrack]],'[1]Tempo parado'!B:B,MIP[[#This Row],[Placa]])</f>
        <v>0</v>
      </c>
      <c r="AN436" s="32" t="str">
        <f>IFERROR(MIP[[#This Row],[Tempo parado]]/(MIP[[#This Row],[C.B Sitrack]]-MIP[[#This Row],[S.B Sitrack]]),"")</f>
        <v/>
      </c>
      <c r="AO436" s="30"/>
      <c r="AP436" s="44">
        <f>IF(AND(MIP[Exc]=0,MIP[Previsto / Realizado]="Realizado"),MIP[Sem],0)</f>
        <v>34</v>
      </c>
      <c r="AQ436" s="29">
        <f>IF(AND(MIP[Exc]=0,MIP[Previsto / Realizado]="Realizado",ISBLANK(MIP[[#This Row],[S.B Sitrack]])=FALSE,ISBLANK(MIP[[#This Row],[C.B Sitrack]])=FALSE),MIP[Sem],0)</f>
        <v>0</v>
      </c>
    </row>
    <row r="437" spans="1:43" s="47" customFormat="1" x14ac:dyDescent="0.25">
      <c r="A437" s="11"/>
      <c r="B437" s="44">
        <f>WEEKNUM(MIP[[#This Row],[Data]])</f>
        <v>34</v>
      </c>
      <c r="C437" s="45">
        <v>42972</v>
      </c>
      <c r="D437" s="45"/>
      <c r="E437" s="35" t="s">
        <v>19</v>
      </c>
      <c r="F437" s="35" t="s">
        <v>5</v>
      </c>
      <c r="G437" s="35"/>
      <c r="H437" s="44">
        <v>2</v>
      </c>
      <c r="I437" s="44">
        <v>0</v>
      </c>
      <c r="J437" s="44">
        <v>0</v>
      </c>
      <c r="K437" s="44">
        <v>0</v>
      </c>
      <c r="L437" s="44">
        <v>0</v>
      </c>
      <c r="M437" s="43">
        <v>0.625</v>
      </c>
      <c r="N437" s="43">
        <v>0.64583333333333337</v>
      </c>
      <c r="O437" s="43">
        <f>1+18/24/60</f>
        <v>1.0125</v>
      </c>
      <c r="P437" s="43">
        <f>1+48/24/60</f>
        <v>1.0333333333333334</v>
      </c>
      <c r="Q437" s="39"/>
      <c r="R437" s="42" t="s">
        <v>283</v>
      </c>
      <c r="S437" s="29">
        <f>MIP[[#This Row],[PT-1]]+MIP[[#This Row],[PT-2]]*2+MIP[[#This Row],[PT-3]]*3+MIP[[#This Row],[PT &gt; 3 Pontos]]</f>
        <v>0</v>
      </c>
      <c r="T43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437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437" s="41">
        <f>MIP[[#This Row],[Eficiência]]</f>
        <v>0</v>
      </c>
      <c r="W43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37" s="39">
        <f>IF(MIP[[#This Row],[P.S]]-MIP[[#This Row],[P.E]]&lt;0,1+MIP[[#This Row],[P.S]]-MIP[[#This Row],[P.E]]-1/24,MIP[[#This Row],[P.S]]-MIP[[#This Row],[P.E]]-1/24)</f>
        <v>0.36666666666666675</v>
      </c>
      <c r="Y437" s="39">
        <f>MIP[[#This Row],[PT-1]]*$S$3+MIP[[#This Row],[PT-2]]*$T$3+MIP[[#This Row],[PT-3]]*$U$3+MIP[[#This Row],[PT &gt; 3 Pontos]]*$V$3</f>
        <v>0</v>
      </c>
      <c r="Z437" s="39">
        <f>MIP[[#This Row],[HH disponível]]-MIP[[#This Row],[HH AC TOT]]</f>
        <v>0.3249999999999999</v>
      </c>
      <c r="AA437" s="38">
        <f>MIP[[#This Row],[HH Produtivo
Total]]/MIP[[#This Row],[HH Trabalhado]]</f>
        <v>0</v>
      </c>
      <c r="AB437" s="38">
        <f>MIP[[#This Row],[HH Produtivo
Total]]/MIP[[#This Row],[HH disponível]]</f>
        <v>0</v>
      </c>
      <c r="AC437" s="38">
        <f>MIP[[#This Row],[HH Trabalhado]]/MIP[[#This Row],[HH disponível]]</f>
        <v>0.88636363636363591</v>
      </c>
      <c r="AD437" s="37" t="str">
        <f>LEFT(MIP[[#This Row],[Equipe]], SEARCH("/",MIP[[#This Row],[Equipe]],1)-1)</f>
        <v xml:space="preserve">ADEMÁRIO </v>
      </c>
      <c r="AE437" s="37" t="str">
        <f>RIGHT(MIP[[#This Row],[Equipe]], LEN(MIP[[#This Row],[Equipe]])-SEARCH("/",MIP[[#This Row],[Equipe]],1))</f>
        <v xml:space="preserve"> RONALDO</v>
      </c>
      <c r="AF437" s="44">
        <f>COUNTIFS('[1]Tempo parado'!H:H,"&gt;="&amp;MIP[[#This Row],[S.B Sitrack]],'[1]Tempo parado'!I:I,"&lt;="&amp;MIP[[#This Row],[C.B Sitrack]],'[1]Tempo parado'!B:B,MIP[[#This Row],[Placa]])</f>
        <v>0</v>
      </c>
      <c r="AG437" s="36"/>
      <c r="AH437" s="35"/>
      <c r="AI437" s="34"/>
      <c r="AJ437" s="34"/>
      <c r="AK43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3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37" s="32">
        <f>SUMIFS('[1]Tempo parado'!J:J,'[1]Tempo parado'!H:H,"&gt;="&amp;MIP[[#This Row],[S.B Sitrack]],'[1]Tempo parado'!I:I,"&lt;="&amp;MIP[[#This Row],[C.B Sitrack]],'[1]Tempo parado'!B:B,MIP[[#This Row],[Placa]])</f>
        <v>0</v>
      </c>
      <c r="AN437" s="32" t="str">
        <f>IFERROR(MIP[[#This Row],[Tempo parado]]/(MIP[[#This Row],[C.B Sitrack]]-MIP[[#This Row],[S.B Sitrack]]),"")</f>
        <v/>
      </c>
      <c r="AO437" s="30"/>
      <c r="AP437" s="44">
        <f>IF(AND(MIP[Exc]=0,MIP[Previsto / Realizado]="Realizado"),MIP[Sem],0)</f>
        <v>0</v>
      </c>
      <c r="AQ437" s="29">
        <f>IF(AND(MIP[Exc]=0,MIP[Previsto / Realizado]="Realizado",ISBLANK(MIP[[#This Row],[S.B Sitrack]])=FALSE,ISBLANK(MIP[[#This Row],[C.B Sitrack]])=FALSE),MIP[Sem],0)</f>
        <v>0</v>
      </c>
    </row>
    <row r="438" spans="1:43" s="64" customFormat="1" x14ac:dyDescent="0.25">
      <c r="A438" s="11"/>
      <c r="B438" s="44">
        <f>WEEKNUM(MIP[[#This Row],[Data]])</f>
        <v>34</v>
      </c>
      <c r="C438" s="45">
        <v>42972</v>
      </c>
      <c r="D438" s="45"/>
      <c r="E438" s="35" t="s">
        <v>19</v>
      </c>
      <c r="F438" s="35" t="s">
        <v>2</v>
      </c>
      <c r="G438" s="35"/>
      <c r="H438" s="44">
        <v>2</v>
      </c>
      <c r="I438" s="44">
        <v>2</v>
      </c>
      <c r="J438" s="44">
        <v>0</v>
      </c>
      <c r="K438" s="44">
        <v>0</v>
      </c>
      <c r="L438" s="44">
        <v>0</v>
      </c>
      <c r="M438" s="43">
        <v>0.64722222222222225</v>
      </c>
      <c r="N438" s="43">
        <v>0.69930555555555562</v>
      </c>
      <c r="O438" s="43">
        <f>1+29/24/60</f>
        <v>1.0201388888888889</v>
      </c>
      <c r="P438" s="43">
        <f>1+53/24/60</f>
        <v>1.0368055555555555</v>
      </c>
      <c r="Q438" s="39"/>
      <c r="R438" s="42" t="s">
        <v>282</v>
      </c>
      <c r="S438" s="29">
        <f>MIP[[#This Row],[PT-1]]+MIP[[#This Row],[PT-2]]*2+MIP[[#This Row],[PT-3]]*3+MIP[[#This Row],[PT &gt; 3 Pontos]]</f>
        <v>2</v>
      </c>
      <c r="T43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6.8749999999999978E-2</v>
      </c>
      <c r="U438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6.8749999999999978E-2</v>
      </c>
      <c r="V438" s="41">
        <f>MIP[[#This Row],[Eficiência]]</f>
        <v>0.17928969284014701</v>
      </c>
      <c r="W43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38" s="39">
        <f>IF(MIP[[#This Row],[P.S]]-MIP[[#This Row],[P.E]]&lt;0,1+MIP[[#This Row],[P.S]]-MIP[[#This Row],[P.E]]-1/24,MIP[[#This Row],[P.S]]-MIP[[#This Row],[P.E]]-1/24)</f>
        <v>0.3479166666666666</v>
      </c>
      <c r="Y438" s="39">
        <f>MIP[[#This Row],[PT-1]]*$S$3+MIP[[#This Row],[PT-2]]*$T$3+MIP[[#This Row],[PT-3]]*$U$3+MIP[[#This Row],[PT &gt; 3 Pontos]]*$V$3</f>
        <v>5.0051705917874362E-2</v>
      </c>
      <c r="Z438" s="39">
        <f>MIP[[#This Row],[HH disponível]]-MIP[[#This Row],[HH AC TOT]]</f>
        <v>0.27916666666666662</v>
      </c>
      <c r="AA438" s="38">
        <f>MIP[[#This Row],[HH Produtivo
Total]]/MIP[[#This Row],[HH Trabalhado]]</f>
        <v>0.17928969284014701</v>
      </c>
      <c r="AB438" s="38">
        <f>MIP[[#This Row],[HH Produtivo
Total]]/MIP[[#This Row],[HH disponível]]</f>
        <v>0.14386119066215389</v>
      </c>
      <c r="AC438" s="38">
        <f>MIP[[#This Row],[HH Trabalhado]]/MIP[[#This Row],[HH disponível]]</f>
        <v>0.80239520958083832</v>
      </c>
      <c r="AD438" s="37" t="str">
        <f>LEFT(MIP[[#This Row],[Equipe]], SEARCH("/",MIP[[#This Row],[Equipe]],1)-1)</f>
        <v xml:space="preserve">ADEMÁRIO </v>
      </c>
      <c r="AE438" s="37" t="str">
        <f>RIGHT(MIP[[#This Row],[Equipe]], LEN(MIP[[#This Row],[Equipe]])-SEARCH("/",MIP[[#This Row],[Equipe]],1))</f>
        <v xml:space="preserve"> RONALDO</v>
      </c>
      <c r="AF438" s="44">
        <f>COUNTIFS('[1]Tempo parado'!H:H,"&gt;="&amp;MIP[[#This Row],[S.B Sitrack]],'[1]Tempo parado'!I:I,"&lt;="&amp;MIP[[#This Row],[C.B Sitrack]],'[1]Tempo parado'!B:B,MIP[[#This Row],[Placa]])</f>
        <v>0</v>
      </c>
      <c r="AG438" s="36"/>
      <c r="AH438" s="35"/>
      <c r="AI438" s="34"/>
      <c r="AJ438" s="34"/>
      <c r="AK43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3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38" s="32">
        <f>SUMIFS('[1]Tempo parado'!J:J,'[1]Tempo parado'!H:H,"&gt;="&amp;MIP[[#This Row],[S.B Sitrack]],'[1]Tempo parado'!I:I,"&lt;="&amp;MIP[[#This Row],[C.B Sitrack]],'[1]Tempo parado'!B:B,MIP[[#This Row],[Placa]])</f>
        <v>0</v>
      </c>
      <c r="AN438" s="32" t="str">
        <f>IFERROR(MIP[[#This Row],[Tempo parado]]/(MIP[[#This Row],[C.B Sitrack]]-MIP[[#This Row],[S.B Sitrack]]),"")</f>
        <v/>
      </c>
      <c r="AO438" s="30"/>
      <c r="AP438" s="44">
        <f>IF(AND(MIP[Exc]=0,MIP[Previsto / Realizado]="Realizado"),MIP[Sem],0)</f>
        <v>34</v>
      </c>
      <c r="AQ438" s="29">
        <f>IF(AND(MIP[Exc]=0,MIP[Previsto / Realizado]="Realizado",ISBLANK(MIP[[#This Row],[S.B Sitrack]])=FALSE,ISBLANK(MIP[[#This Row],[C.B Sitrack]])=FALSE),MIP[Sem],0)</f>
        <v>0</v>
      </c>
    </row>
    <row r="439" spans="1:43" s="47" customFormat="1" x14ac:dyDescent="0.25">
      <c r="A439" s="11"/>
      <c r="B439" s="44">
        <f>WEEKNUM(MIP[[#This Row],[Data]])</f>
        <v>34</v>
      </c>
      <c r="C439" s="45">
        <v>42973</v>
      </c>
      <c r="D439" s="45"/>
      <c r="E439" s="35" t="s">
        <v>3</v>
      </c>
      <c r="F439" s="35" t="s">
        <v>5</v>
      </c>
      <c r="G439" s="35"/>
      <c r="H439" s="44">
        <v>2</v>
      </c>
      <c r="I439" s="44">
        <v>5</v>
      </c>
      <c r="J439" s="44">
        <v>0</v>
      </c>
      <c r="K439" s="44">
        <v>0</v>
      </c>
      <c r="L439" s="44">
        <v>0</v>
      </c>
      <c r="M439" s="43">
        <v>0.625</v>
      </c>
      <c r="N439" s="43">
        <v>0.64583333333333337</v>
      </c>
      <c r="O439" s="43">
        <f>1+18/24/60</f>
        <v>1.0125</v>
      </c>
      <c r="P439" s="43">
        <f>1+48/24/60</f>
        <v>1.0333333333333334</v>
      </c>
      <c r="Q439" s="39"/>
      <c r="R439" s="42" t="s">
        <v>281</v>
      </c>
      <c r="S439" s="29">
        <f>MIP[[#This Row],[PT-1]]+MIP[[#This Row],[PT-2]]*2+MIP[[#This Row],[PT-3]]*3+MIP[[#This Row],[PT &gt; 3 Pontos]]</f>
        <v>5</v>
      </c>
      <c r="T43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439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439" s="41">
        <f>MIP[[#This Row],[Eficiência]]</f>
        <v>0.38501312244518748</v>
      </c>
      <c r="W43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39" s="39">
        <f>IF(MIP[[#This Row],[P.S]]-MIP[[#This Row],[P.E]]&lt;0,1+MIP[[#This Row],[P.S]]-MIP[[#This Row],[P.E]]-1/24,MIP[[#This Row],[P.S]]-MIP[[#This Row],[P.E]]-1/24)</f>
        <v>0.36666666666666675</v>
      </c>
      <c r="Y439" s="39">
        <f>MIP[[#This Row],[PT-1]]*$S$3+MIP[[#This Row],[PT-2]]*$T$3+MIP[[#This Row],[PT-3]]*$U$3+MIP[[#This Row],[PT &gt; 3 Pontos]]*$V$3</f>
        <v>0.12512926479468589</v>
      </c>
      <c r="Z439" s="39">
        <f>MIP[[#This Row],[HH disponível]]-MIP[[#This Row],[HH AC TOT]]</f>
        <v>0.3249999999999999</v>
      </c>
      <c r="AA439" s="38">
        <f>MIP[[#This Row],[HH Produtivo
Total]]/MIP[[#This Row],[HH Trabalhado]]</f>
        <v>0.38501312244518748</v>
      </c>
      <c r="AB439" s="38">
        <f>MIP[[#This Row],[HH Produtivo
Total]]/MIP[[#This Row],[HH disponível]]</f>
        <v>0.34126163125823417</v>
      </c>
      <c r="AC439" s="38">
        <f>MIP[[#This Row],[HH Trabalhado]]/MIP[[#This Row],[HH disponível]]</f>
        <v>0.88636363636363591</v>
      </c>
      <c r="AD439" s="37" t="str">
        <f>LEFT(MIP[[#This Row],[Equipe]], SEARCH("/",MIP[[#This Row],[Equipe]],1)-1)</f>
        <v xml:space="preserve">EDILTON </v>
      </c>
      <c r="AE439" s="37" t="str">
        <f>RIGHT(MIP[[#This Row],[Equipe]], LEN(MIP[[#This Row],[Equipe]])-SEARCH("/",MIP[[#This Row],[Equipe]],1))</f>
        <v xml:space="preserve"> GECIVALDO</v>
      </c>
      <c r="AF439" s="44">
        <f>COUNTIFS('[1]Tempo parado'!H:H,"&gt;="&amp;MIP[[#This Row],[S.B Sitrack]],'[1]Tempo parado'!I:I,"&lt;="&amp;MIP[[#This Row],[C.B Sitrack]],'[1]Tempo parado'!B:B,MIP[[#This Row],[Placa]])</f>
        <v>0</v>
      </c>
      <c r="AG439" s="36"/>
      <c r="AH439" s="35"/>
      <c r="AI439" s="34"/>
      <c r="AJ439" s="34"/>
      <c r="AK43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3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39" s="32">
        <f>SUMIFS('[1]Tempo parado'!J:J,'[1]Tempo parado'!H:H,"&gt;="&amp;MIP[[#This Row],[S.B Sitrack]],'[1]Tempo parado'!I:I,"&lt;="&amp;MIP[[#This Row],[C.B Sitrack]],'[1]Tempo parado'!B:B,MIP[[#This Row],[Placa]])</f>
        <v>0</v>
      </c>
      <c r="AN439" s="32" t="str">
        <f>IFERROR(MIP[[#This Row],[Tempo parado]]/(MIP[[#This Row],[C.B Sitrack]]-MIP[[#This Row],[S.B Sitrack]]),"")</f>
        <v/>
      </c>
      <c r="AO439" s="30"/>
      <c r="AP439" s="44">
        <f>IF(AND(MIP[Exc]=0,MIP[Previsto / Realizado]="Realizado"),MIP[Sem],0)</f>
        <v>0</v>
      </c>
      <c r="AQ439" s="29">
        <f>IF(AND(MIP[Exc]=0,MIP[Previsto / Realizado]="Realizado",ISBLANK(MIP[[#This Row],[S.B Sitrack]])=FALSE,ISBLANK(MIP[[#This Row],[C.B Sitrack]])=FALSE),MIP[Sem],0)</f>
        <v>0</v>
      </c>
    </row>
    <row r="440" spans="1:43" s="64" customFormat="1" x14ac:dyDescent="0.25">
      <c r="A440" s="11"/>
      <c r="B440" s="44">
        <f>WEEKNUM(MIP[[#This Row],[Data]])</f>
        <v>34</v>
      </c>
      <c r="C440" s="45">
        <v>42973</v>
      </c>
      <c r="D440" s="45"/>
      <c r="E440" s="35" t="s">
        <v>3</v>
      </c>
      <c r="F440" s="35" t="s">
        <v>2</v>
      </c>
      <c r="G440" s="35"/>
      <c r="H440" s="44">
        <v>2</v>
      </c>
      <c r="I440" s="44">
        <v>7</v>
      </c>
      <c r="J440" s="44">
        <v>0</v>
      </c>
      <c r="K440" s="44">
        <v>0</v>
      </c>
      <c r="L440" s="44">
        <v>0</v>
      </c>
      <c r="M440" s="43">
        <v>0.62430555555555556</v>
      </c>
      <c r="N440" s="43">
        <v>0.63680555555555551</v>
      </c>
      <c r="O440" s="43">
        <f>1+28/24/60</f>
        <v>1.0194444444444444</v>
      </c>
      <c r="P440" s="43">
        <f>1+53/24/60</f>
        <v>1.0368055555555555</v>
      </c>
      <c r="Q440" s="39">
        <v>4.3750000000000004E-2</v>
      </c>
      <c r="R440" s="42" t="s">
        <v>280</v>
      </c>
      <c r="S440" s="29">
        <f>MIP[[#This Row],[PT-1]]+MIP[[#This Row],[PT-2]]*2+MIP[[#This Row],[PT-3]]*3+MIP[[#This Row],[PT &gt; 3 Pontos]]</f>
        <v>7</v>
      </c>
      <c r="T44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7.3611111111111127E-2</v>
      </c>
      <c r="U440" s="39">
        <f>IF(MIP[[#This Row],[P.S]]-MIP[[#This Row],[U.P]]&gt;=0,MIP[[#This Row],[P.S]]-MIP[[#This Row],[U.P]]+MIP[[#This Row],[S.B]]-MIP[[#This Row],[P.E]],1+MIP[[#This Row],[P.S]]-MIP[[#This Row],[U.P]]+MIP[[#This Row],[S.B]]-MIP[[#This Row],[P.E]])</f>
        <v>2.9861111111111116E-2</v>
      </c>
      <c r="V440" s="41">
        <f>MIP[[#This Row],[Eficiência]]</f>
        <v>0.5893939201544085</v>
      </c>
      <c r="W44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40" s="39">
        <f>IF(MIP[[#This Row],[P.S]]-MIP[[#This Row],[P.E]]&lt;0,1+MIP[[#This Row],[P.S]]-MIP[[#This Row],[P.E]]-1/24,MIP[[#This Row],[P.S]]-MIP[[#This Row],[P.E]]-1/24)</f>
        <v>0.37083333333333329</v>
      </c>
      <c r="Y440" s="39">
        <f>MIP[[#This Row],[PT-1]]*$S$3+MIP[[#This Row],[PT-2]]*$T$3+MIP[[#This Row],[PT-3]]*$U$3+MIP[[#This Row],[PT &gt; 3 Pontos]]*$V$3</f>
        <v>0.17518097071256028</v>
      </c>
      <c r="Z440" s="39">
        <f>MIP[[#This Row],[HH disponível]]-MIP[[#This Row],[HH AC TOT]]</f>
        <v>0.29722222222222217</v>
      </c>
      <c r="AA440" s="38">
        <f>MIP[[#This Row],[HH Produtivo
Total]]/MIP[[#This Row],[HH Trabalhado]]</f>
        <v>0.5893939201544085</v>
      </c>
      <c r="AB440" s="38">
        <f>MIP[[#This Row],[HH Produtivo
Total]]/MIP[[#This Row],[HH disponível]]</f>
        <v>0.4723981232698255</v>
      </c>
      <c r="AC440" s="38">
        <f>MIP[[#This Row],[HH Trabalhado]]/MIP[[#This Row],[HH disponível]]</f>
        <v>0.80149812734082393</v>
      </c>
      <c r="AD440" s="37" t="str">
        <f>LEFT(MIP[[#This Row],[Equipe]], SEARCH("/",MIP[[#This Row],[Equipe]],1)-1)</f>
        <v xml:space="preserve">EDILTON </v>
      </c>
      <c r="AE440" s="37" t="str">
        <f>RIGHT(MIP[[#This Row],[Equipe]], LEN(MIP[[#This Row],[Equipe]])-SEARCH("/",MIP[[#This Row],[Equipe]],1))</f>
        <v xml:space="preserve"> GECIVALDO</v>
      </c>
      <c r="AF440" s="44">
        <f>COUNTIFS('[1]Tempo parado'!H:H,"&gt;="&amp;MIP[[#This Row],[S.B Sitrack]],'[1]Tempo parado'!I:I,"&lt;="&amp;MIP[[#This Row],[C.B Sitrack]],'[1]Tempo parado'!B:B,MIP[[#This Row],[Placa]])</f>
        <v>0</v>
      </c>
      <c r="AG440" s="36"/>
      <c r="AH440" s="35"/>
      <c r="AI440" s="34"/>
      <c r="AJ440" s="34"/>
      <c r="AK44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4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40" s="32">
        <f>SUMIFS('[1]Tempo parado'!J:J,'[1]Tempo parado'!H:H,"&gt;="&amp;MIP[[#This Row],[S.B Sitrack]],'[1]Tempo parado'!I:I,"&lt;="&amp;MIP[[#This Row],[C.B Sitrack]],'[1]Tempo parado'!B:B,MIP[[#This Row],[Placa]])</f>
        <v>0</v>
      </c>
      <c r="AN440" s="32" t="str">
        <f>IFERROR(MIP[[#This Row],[Tempo parado]]/(MIP[[#This Row],[C.B Sitrack]]-MIP[[#This Row],[S.B Sitrack]]),"")</f>
        <v/>
      </c>
      <c r="AO440" s="30"/>
      <c r="AP440" s="44">
        <f>IF(AND(MIP[Exc]=0,MIP[Previsto / Realizado]="Realizado"),MIP[Sem],0)</f>
        <v>34</v>
      </c>
      <c r="AQ440" s="29">
        <f>IF(AND(MIP[Exc]=0,MIP[Previsto / Realizado]="Realizado",ISBLANK(MIP[[#This Row],[S.B Sitrack]])=FALSE,ISBLANK(MIP[[#This Row],[C.B Sitrack]])=FALSE),MIP[Sem],0)</f>
        <v>0</v>
      </c>
    </row>
    <row r="441" spans="1:43" s="47" customFormat="1" x14ac:dyDescent="0.25">
      <c r="A441" s="11"/>
      <c r="B441" s="44">
        <f>WEEKNUM(MIP[[#This Row],[Data]])</f>
        <v>34</v>
      </c>
      <c r="C441" s="45">
        <v>42973</v>
      </c>
      <c r="D441" s="45"/>
      <c r="E441" s="35" t="s">
        <v>7</v>
      </c>
      <c r="F441" s="35" t="s">
        <v>5</v>
      </c>
      <c r="G441" s="35"/>
      <c r="H441" s="44">
        <v>2</v>
      </c>
      <c r="I441" s="44">
        <v>0</v>
      </c>
      <c r="J441" s="44">
        <v>0</v>
      </c>
      <c r="K441" s="44">
        <v>0</v>
      </c>
      <c r="L441" s="44">
        <v>0</v>
      </c>
      <c r="M441" s="43">
        <v>0.625</v>
      </c>
      <c r="N441" s="43">
        <v>0.64583333333333337</v>
      </c>
      <c r="O441" s="43">
        <f>1+18/24/60</f>
        <v>1.0125</v>
      </c>
      <c r="P441" s="43">
        <f>1+48/24/60</f>
        <v>1.0333333333333334</v>
      </c>
      <c r="Q441" s="39"/>
      <c r="R441" s="42" t="s">
        <v>279</v>
      </c>
      <c r="S441" s="29">
        <f>MIP[[#This Row],[PT-1]]+MIP[[#This Row],[PT-2]]*2+MIP[[#This Row],[PT-3]]*3+MIP[[#This Row],[PT &gt; 3 Pontos]]</f>
        <v>0</v>
      </c>
      <c r="T44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441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441" s="41">
        <f>MIP[[#This Row],[Eficiência]]</f>
        <v>0</v>
      </c>
      <c r="W44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41" s="39">
        <f>IF(MIP[[#This Row],[P.S]]-MIP[[#This Row],[P.E]]&lt;0,1+MIP[[#This Row],[P.S]]-MIP[[#This Row],[P.E]]-1/24,MIP[[#This Row],[P.S]]-MIP[[#This Row],[P.E]]-1/24)</f>
        <v>0.36666666666666675</v>
      </c>
      <c r="Y441" s="39">
        <f>MIP[[#This Row],[PT-1]]*$S$3+MIP[[#This Row],[PT-2]]*$T$3+MIP[[#This Row],[PT-3]]*$U$3+MIP[[#This Row],[PT &gt; 3 Pontos]]*$V$3</f>
        <v>0</v>
      </c>
      <c r="Z441" s="39">
        <f>MIP[[#This Row],[HH disponível]]-MIP[[#This Row],[HH AC TOT]]</f>
        <v>0.3249999999999999</v>
      </c>
      <c r="AA441" s="38">
        <f>MIP[[#This Row],[HH Produtivo
Total]]/MIP[[#This Row],[HH Trabalhado]]</f>
        <v>0</v>
      </c>
      <c r="AB441" s="38">
        <f>MIP[[#This Row],[HH Produtivo
Total]]/MIP[[#This Row],[HH disponível]]</f>
        <v>0</v>
      </c>
      <c r="AC441" s="38">
        <f>MIP[[#This Row],[HH Trabalhado]]/MIP[[#This Row],[HH disponível]]</f>
        <v>0.88636363636363591</v>
      </c>
      <c r="AD441" s="37" t="str">
        <f>LEFT(MIP[[#This Row],[Equipe]], SEARCH("/",MIP[[#This Row],[Equipe]],1)-1)</f>
        <v xml:space="preserve">ANDERSON </v>
      </c>
      <c r="AE441" s="37" t="str">
        <f>RIGHT(MIP[[#This Row],[Equipe]], LEN(MIP[[#This Row],[Equipe]])-SEARCH("/",MIP[[#This Row],[Equipe]],1))</f>
        <v xml:space="preserve"> MARCO</v>
      </c>
      <c r="AF441" s="44">
        <f>COUNTIFS('[1]Tempo parado'!H:H,"&gt;="&amp;MIP[[#This Row],[S.B Sitrack]],'[1]Tempo parado'!I:I,"&lt;="&amp;MIP[[#This Row],[C.B Sitrack]],'[1]Tempo parado'!B:B,MIP[[#This Row],[Placa]])</f>
        <v>0</v>
      </c>
      <c r="AG441" s="36"/>
      <c r="AH441" s="35"/>
      <c r="AI441" s="34"/>
      <c r="AJ441" s="34"/>
      <c r="AK44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4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41" s="32">
        <f>SUMIFS('[1]Tempo parado'!J:J,'[1]Tempo parado'!H:H,"&gt;="&amp;MIP[[#This Row],[S.B Sitrack]],'[1]Tempo parado'!I:I,"&lt;="&amp;MIP[[#This Row],[C.B Sitrack]],'[1]Tempo parado'!B:B,MIP[[#This Row],[Placa]])</f>
        <v>0</v>
      </c>
      <c r="AN441" s="32" t="str">
        <f>IFERROR(MIP[[#This Row],[Tempo parado]]/(MIP[[#This Row],[C.B Sitrack]]-MIP[[#This Row],[S.B Sitrack]]),"")</f>
        <v/>
      </c>
      <c r="AO441" s="30"/>
      <c r="AP441" s="44">
        <f>IF(AND(MIP[Exc]=0,MIP[Previsto / Realizado]="Realizado"),MIP[Sem],0)</f>
        <v>0</v>
      </c>
      <c r="AQ441" s="29">
        <f>IF(AND(MIP[Exc]=0,MIP[Previsto / Realizado]="Realizado",ISBLANK(MIP[[#This Row],[S.B Sitrack]])=FALSE,ISBLANK(MIP[[#This Row],[C.B Sitrack]])=FALSE),MIP[Sem],0)</f>
        <v>0</v>
      </c>
    </row>
    <row r="442" spans="1:43" s="64" customFormat="1" x14ac:dyDescent="0.25">
      <c r="A442" s="11"/>
      <c r="B442" s="44">
        <f>WEEKNUM(MIP[[#This Row],[Data]])</f>
        <v>34</v>
      </c>
      <c r="C442" s="45">
        <v>42973</v>
      </c>
      <c r="D442" s="45"/>
      <c r="E442" s="35" t="s">
        <v>7</v>
      </c>
      <c r="F442" s="35" t="s">
        <v>2</v>
      </c>
      <c r="G442" s="35"/>
      <c r="H442" s="44">
        <v>2</v>
      </c>
      <c r="I442" s="44">
        <v>4</v>
      </c>
      <c r="J442" s="44">
        <v>0</v>
      </c>
      <c r="K442" s="44">
        <v>0</v>
      </c>
      <c r="L442" s="44">
        <v>0</v>
      </c>
      <c r="M442" s="43">
        <v>0.64930555555555558</v>
      </c>
      <c r="N442" s="43">
        <v>0.69444444444444453</v>
      </c>
      <c r="O442" s="43">
        <f>1+135/24/60</f>
        <v>1.09375</v>
      </c>
      <c r="P442" s="43">
        <f>1+148/24/60</f>
        <v>1.1027777777777779</v>
      </c>
      <c r="Q442" s="39">
        <v>0.19513888888888889</v>
      </c>
      <c r="R442" s="42" t="s">
        <v>278</v>
      </c>
      <c r="S442" s="29">
        <f>MIP[[#This Row],[PT-1]]+MIP[[#This Row],[PT-2]]*2+MIP[[#This Row],[PT-3]]*3+MIP[[#This Row],[PT &gt; 3 Pontos]]</f>
        <v>4</v>
      </c>
      <c r="T44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0.2493055555555557</v>
      </c>
      <c r="U442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5.4166666666666807E-2</v>
      </c>
      <c r="V442" s="41">
        <f>MIP[[#This Row],[Eficiência]]</f>
        <v>0.6160209959123002</v>
      </c>
      <c r="W44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42" s="39">
        <f>IF(MIP[[#This Row],[P.S]]-MIP[[#This Row],[P.E]]&lt;0,1+MIP[[#This Row],[P.S]]-MIP[[#This Row],[P.E]]-1/24,MIP[[#This Row],[P.S]]-MIP[[#This Row],[P.E]]-1/24)</f>
        <v>0.41180555555555559</v>
      </c>
      <c r="Y442" s="39">
        <f>MIP[[#This Row],[PT-1]]*$S$3+MIP[[#This Row],[PT-2]]*$T$3+MIP[[#This Row],[PT-3]]*$U$3+MIP[[#This Row],[PT &gt; 3 Pontos]]*$V$3</f>
        <v>0.10010341183574872</v>
      </c>
      <c r="Z442" s="39">
        <f>MIP[[#This Row],[HH disponível]]-MIP[[#This Row],[HH AC TOT]]</f>
        <v>0.16249999999999989</v>
      </c>
      <c r="AA442" s="38">
        <f>MIP[[#This Row],[HH Produtivo
Total]]/MIP[[#This Row],[HH Trabalhado]]</f>
        <v>0.6160209959123002</v>
      </c>
      <c r="AB442" s="38">
        <f>MIP[[#This Row],[HH Produtivo
Total]]/MIP[[#This Row],[HH disponível]]</f>
        <v>0.24308417039372368</v>
      </c>
      <c r="AC442" s="38">
        <f>MIP[[#This Row],[HH Trabalhado]]/MIP[[#This Row],[HH disponível]]</f>
        <v>0.39460370994940946</v>
      </c>
      <c r="AD442" s="37" t="str">
        <f>LEFT(MIP[[#This Row],[Equipe]], SEARCH("/",MIP[[#This Row],[Equipe]],1)-1)</f>
        <v xml:space="preserve">ANDERSON </v>
      </c>
      <c r="AE442" s="37" t="str">
        <f>RIGHT(MIP[[#This Row],[Equipe]], LEN(MIP[[#This Row],[Equipe]])-SEARCH("/",MIP[[#This Row],[Equipe]],1))</f>
        <v xml:space="preserve"> MARCO</v>
      </c>
      <c r="AF442" s="44">
        <f>COUNTIFS('[1]Tempo parado'!H:H,"&gt;="&amp;MIP[[#This Row],[S.B Sitrack]],'[1]Tempo parado'!I:I,"&lt;="&amp;MIP[[#This Row],[C.B Sitrack]],'[1]Tempo parado'!B:B,MIP[[#This Row],[Placa]])</f>
        <v>0</v>
      </c>
      <c r="AG442" s="36"/>
      <c r="AH442" s="35"/>
      <c r="AI442" s="34"/>
      <c r="AJ442" s="34"/>
      <c r="AK44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4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42" s="32">
        <f>SUMIFS('[1]Tempo parado'!J:J,'[1]Tempo parado'!H:H,"&gt;="&amp;MIP[[#This Row],[S.B Sitrack]],'[1]Tempo parado'!I:I,"&lt;="&amp;MIP[[#This Row],[C.B Sitrack]],'[1]Tempo parado'!B:B,MIP[[#This Row],[Placa]])</f>
        <v>0</v>
      </c>
      <c r="AN442" s="32" t="str">
        <f>IFERROR(MIP[[#This Row],[Tempo parado]]/(MIP[[#This Row],[C.B Sitrack]]-MIP[[#This Row],[S.B Sitrack]]),"")</f>
        <v/>
      </c>
      <c r="AO442" s="30"/>
      <c r="AP442" s="44">
        <f>IF(AND(MIP[Exc]=0,MIP[Previsto / Realizado]="Realizado"),MIP[Sem],0)</f>
        <v>34</v>
      </c>
      <c r="AQ442" s="29">
        <f>IF(AND(MIP[Exc]=0,MIP[Previsto / Realizado]="Realizado",ISBLANK(MIP[[#This Row],[S.B Sitrack]])=FALSE,ISBLANK(MIP[[#This Row],[C.B Sitrack]])=FALSE),MIP[Sem],0)</f>
        <v>0</v>
      </c>
    </row>
    <row r="443" spans="1:43" s="47" customFormat="1" x14ac:dyDescent="0.25">
      <c r="A443" s="11"/>
      <c r="B443" s="44">
        <f>WEEKNUM(MIP[[#This Row],[Data]])</f>
        <v>35</v>
      </c>
      <c r="C443" s="45">
        <v>42974</v>
      </c>
      <c r="D443" s="45"/>
      <c r="E443" s="35" t="s">
        <v>7</v>
      </c>
      <c r="F443" s="35" t="s">
        <v>5</v>
      </c>
      <c r="G443" s="35"/>
      <c r="H443" s="44">
        <v>2</v>
      </c>
      <c r="I443" s="44">
        <v>0</v>
      </c>
      <c r="J443" s="44">
        <v>0</v>
      </c>
      <c r="K443" s="44">
        <v>0</v>
      </c>
      <c r="L443" s="44">
        <v>0</v>
      </c>
      <c r="M443" s="43">
        <v>0.625</v>
      </c>
      <c r="N443" s="43">
        <v>0.64583333333333337</v>
      </c>
      <c r="O443" s="43">
        <f>1+18/24/60</f>
        <v>1.0125</v>
      </c>
      <c r="P443" s="43">
        <f>1+48/24/60</f>
        <v>1.0333333333333334</v>
      </c>
      <c r="Q443" s="39"/>
      <c r="R443" s="42" t="s">
        <v>188</v>
      </c>
      <c r="S443" s="29">
        <f>MIP[[#This Row],[PT-1]]+MIP[[#This Row],[PT-2]]*2+MIP[[#This Row],[PT-3]]*3+MIP[[#This Row],[PT &gt; 3 Pontos]]</f>
        <v>0</v>
      </c>
      <c r="T44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443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443" s="41">
        <f>MIP[[#This Row],[Eficiência]]</f>
        <v>0</v>
      </c>
      <c r="W44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43" s="39">
        <f>IF(MIP[[#This Row],[P.S]]-MIP[[#This Row],[P.E]]&lt;0,1+MIP[[#This Row],[P.S]]-MIP[[#This Row],[P.E]]-1/24,MIP[[#This Row],[P.S]]-MIP[[#This Row],[P.E]]-1/24)</f>
        <v>0.36666666666666675</v>
      </c>
      <c r="Y443" s="39">
        <f>MIP[[#This Row],[PT-1]]*$S$3+MIP[[#This Row],[PT-2]]*$T$3+MIP[[#This Row],[PT-3]]*$U$3+MIP[[#This Row],[PT &gt; 3 Pontos]]*$V$3</f>
        <v>0</v>
      </c>
      <c r="Z443" s="39">
        <f>MIP[[#This Row],[HH disponível]]-MIP[[#This Row],[HH AC TOT]]</f>
        <v>0.3249999999999999</v>
      </c>
      <c r="AA443" s="38">
        <f>MIP[[#This Row],[HH Produtivo
Total]]/MIP[[#This Row],[HH Trabalhado]]</f>
        <v>0</v>
      </c>
      <c r="AB443" s="38">
        <f>MIP[[#This Row],[HH Produtivo
Total]]/MIP[[#This Row],[HH disponível]]</f>
        <v>0</v>
      </c>
      <c r="AC443" s="38">
        <f>MIP[[#This Row],[HH Trabalhado]]/MIP[[#This Row],[HH disponível]]</f>
        <v>0.88636363636363591</v>
      </c>
      <c r="AD443" s="37" t="str">
        <f>LEFT(MIP[[#This Row],[Equipe]], SEARCH("/",MIP[[#This Row],[Equipe]],1)-1)</f>
        <v xml:space="preserve">ANDERSON </v>
      </c>
      <c r="AE443" s="37" t="str">
        <f>RIGHT(MIP[[#This Row],[Equipe]], LEN(MIP[[#This Row],[Equipe]])-SEARCH("/",MIP[[#This Row],[Equipe]],1))</f>
        <v xml:space="preserve"> MARCO</v>
      </c>
      <c r="AF443" s="44">
        <f>COUNTIFS('[1]Tempo parado'!H:H,"&gt;="&amp;MIP[[#This Row],[S.B Sitrack]],'[1]Tempo parado'!I:I,"&lt;="&amp;MIP[[#This Row],[C.B Sitrack]],'[1]Tempo parado'!B:B,MIP[[#This Row],[Placa]])</f>
        <v>0</v>
      </c>
      <c r="AG443" s="36"/>
      <c r="AH443" s="35"/>
      <c r="AI443" s="34"/>
      <c r="AJ443" s="34"/>
      <c r="AK44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4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43" s="32">
        <f>SUMIFS('[1]Tempo parado'!J:J,'[1]Tempo parado'!H:H,"&gt;="&amp;MIP[[#This Row],[S.B Sitrack]],'[1]Tempo parado'!I:I,"&lt;="&amp;MIP[[#This Row],[C.B Sitrack]],'[1]Tempo parado'!B:B,MIP[[#This Row],[Placa]])</f>
        <v>0</v>
      </c>
      <c r="AN443" s="32" t="str">
        <f>IFERROR(MIP[[#This Row],[Tempo parado]]/(MIP[[#This Row],[C.B Sitrack]]-MIP[[#This Row],[S.B Sitrack]]),"")</f>
        <v/>
      </c>
      <c r="AO443" s="30"/>
      <c r="AP443" s="44">
        <f>IF(AND(MIP[Exc]=0,MIP[Previsto / Realizado]="Realizado"),MIP[Sem],0)</f>
        <v>0</v>
      </c>
      <c r="AQ443" s="29">
        <f>IF(AND(MIP[Exc]=0,MIP[Previsto / Realizado]="Realizado",ISBLANK(MIP[[#This Row],[S.B Sitrack]])=FALSE,ISBLANK(MIP[[#This Row],[C.B Sitrack]])=FALSE),MIP[Sem],0)</f>
        <v>0</v>
      </c>
    </row>
    <row r="444" spans="1:43" s="64" customFormat="1" x14ac:dyDescent="0.25">
      <c r="A444" s="11"/>
      <c r="B444" s="44">
        <f>WEEKNUM(MIP[[#This Row],[Data]])</f>
        <v>35</v>
      </c>
      <c r="C444" s="45">
        <v>42974</v>
      </c>
      <c r="D444" s="45"/>
      <c r="E444" s="35" t="s">
        <v>7</v>
      </c>
      <c r="F444" s="35" t="s">
        <v>2</v>
      </c>
      <c r="G444" s="35"/>
      <c r="H444" s="44">
        <v>2</v>
      </c>
      <c r="I444" s="44">
        <v>10</v>
      </c>
      <c r="J444" s="44">
        <v>2</v>
      </c>
      <c r="K444" s="44">
        <v>0</v>
      </c>
      <c r="L444" s="44">
        <v>0</v>
      </c>
      <c r="M444" s="43">
        <v>0.65138888888888891</v>
      </c>
      <c r="N444" s="43">
        <v>0.65277777777777779</v>
      </c>
      <c r="O444" s="43">
        <f>1+15/24/60</f>
        <v>1.0104166666666667</v>
      </c>
      <c r="P444" s="43">
        <f>1+48/24/60</f>
        <v>1.0333333333333334</v>
      </c>
      <c r="Q444" s="39"/>
      <c r="R444" s="42" t="s">
        <v>92</v>
      </c>
      <c r="S444" s="29">
        <f>MIP[[#This Row],[PT-1]]+MIP[[#This Row],[PT-2]]*2+MIP[[#This Row],[PT-3]]*3+MIP[[#This Row],[PT &gt; 3 Pontos]]</f>
        <v>14</v>
      </c>
      <c r="T44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2.430555555555558E-2</v>
      </c>
      <c r="U444" s="39">
        <f>IF(MIP[[#This Row],[P.S]]-MIP[[#This Row],[U.P]]&gt;=0,MIP[[#This Row],[P.S]]-MIP[[#This Row],[U.P]]+MIP[[#This Row],[S.B]]-MIP[[#This Row],[P.E]],1+MIP[[#This Row],[P.S]]-MIP[[#This Row],[U.P]]+MIP[[#This Row],[S.B]]-MIP[[#This Row],[P.E]])</f>
        <v>2.430555555555558E-2</v>
      </c>
      <c r="V444" s="41">
        <f>MIP[[#This Row],[Eficiência]]</f>
        <v>1.0699550087593557</v>
      </c>
      <c r="W44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44" s="39">
        <f>IF(MIP[[#This Row],[P.S]]-MIP[[#This Row],[P.E]]&lt;0,1+MIP[[#This Row],[P.S]]-MIP[[#This Row],[P.E]]-1/24,MIP[[#This Row],[P.S]]-MIP[[#This Row],[P.E]]-1/24)</f>
        <v>0.34027777777777785</v>
      </c>
      <c r="Y444" s="39">
        <f>MIP[[#This Row],[PT-1]]*$S$3+MIP[[#This Row],[PT-2]]*$T$3+MIP[[#This Row],[PT-3]]*$U$3+MIP[[#This Row],[PT &gt; 3 Pontos]]*$V$3</f>
        <v>0.33807606179549093</v>
      </c>
      <c r="Z444" s="39">
        <f>MIP[[#This Row],[HH disponível]]-MIP[[#This Row],[HH AC TOT]]</f>
        <v>0.31597222222222227</v>
      </c>
      <c r="AA444" s="38">
        <f>MIP[[#This Row],[HH Produtivo
Total]]/MIP[[#This Row],[HH Trabalhado]]</f>
        <v>1.0699550087593557</v>
      </c>
      <c r="AB444" s="38">
        <f>MIP[[#This Row],[HH Produtivo
Total]]/MIP[[#This Row],[HH disponível]]</f>
        <v>0.99352965099083035</v>
      </c>
      <c r="AC444" s="38">
        <f>MIP[[#This Row],[HH Trabalhado]]/MIP[[#This Row],[HH disponível]]</f>
        <v>0.92857142857142849</v>
      </c>
      <c r="AD444" s="37" t="str">
        <f>LEFT(MIP[[#This Row],[Equipe]], SEARCH("/",MIP[[#This Row],[Equipe]],1)-1)</f>
        <v xml:space="preserve">ANDERSON </v>
      </c>
      <c r="AE444" s="37" t="str">
        <f>RIGHT(MIP[[#This Row],[Equipe]], LEN(MIP[[#This Row],[Equipe]])-SEARCH("/",MIP[[#This Row],[Equipe]],1))</f>
        <v xml:space="preserve"> MARCO</v>
      </c>
      <c r="AF444" s="44">
        <f>COUNTIFS('[1]Tempo parado'!H:H,"&gt;="&amp;MIP[[#This Row],[S.B Sitrack]],'[1]Tempo parado'!I:I,"&lt;="&amp;MIP[[#This Row],[C.B Sitrack]],'[1]Tempo parado'!B:B,MIP[[#This Row],[Placa]])</f>
        <v>0</v>
      </c>
      <c r="AG444" s="36"/>
      <c r="AH444" s="35"/>
      <c r="AI444" s="34"/>
      <c r="AJ444" s="34"/>
      <c r="AK44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4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44" s="32">
        <f>SUMIFS('[1]Tempo parado'!J:J,'[1]Tempo parado'!H:H,"&gt;="&amp;MIP[[#This Row],[S.B Sitrack]],'[1]Tempo parado'!I:I,"&lt;="&amp;MIP[[#This Row],[C.B Sitrack]],'[1]Tempo parado'!B:B,MIP[[#This Row],[Placa]])</f>
        <v>0</v>
      </c>
      <c r="AN444" s="32" t="str">
        <f>IFERROR(MIP[[#This Row],[Tempo parado]]/(MIP[[#This Row],[C.B Sitrack]]-MIP[[#This Row],[S.B Sitrack]]),"")</f>
        <v/>
      </c>
      <c r="AO444" s="30"/>
      <c r="AP444" s="44">
        <f>IF(AND(MIP[Exc]=0,MIP[Previsto / Realizado]="Realizado"),MIP[Sem],0)</f>
        <v>35</v>
      </c>
      <c r="AQ444" s="29">
        <f>IF(AND(MIP[Exc]=0,MIP[Previsto / Realizado]="Realizado",ISBLANK(MIP[[#This Row],[S.B Sitrack]])=FALSE,ISBLANK(MIP[[#This Row],[C.B Sitrack]])=FALSE),MIP[Sem],0)</f>
        <v>0</v>
      </c>
    </row>
    <row r="445" spans="1:43" s="47" customFormat="1" x14ac:dyDescent="0.25">
      <c r="A445" s="11"/>
      <c r="B445" s="44">
        <f>WEEKNUM(MIP[[#This Row],[Data]])</f>
        <v>35</v>
      </c>
      <c r="C445" s="45">
        <v>42974</v>
      </c>
      <c r="D445" s="45"/>
      <c r="E445" s="35" t="s">
        <v>3</v>
      </c>
      <c r="F445" s="35" t="s">
        <v>5</v>
      </c>
      <c r="G445" s="35"/>
      <c r="H445" s="44">
        <v>2</v>
      </c>
      <c r="I445" s="44">
        <v>0</v>
      </c>
      <c r="J445" s="44">
        <v>0</v>
      </c>
      <c r="K445" s="44">
        <v>0</v>
      </c>
      <c r="L445" s="44">
        <v>0</v>
      </c>
      <c r="M445" s="43">
        <v>0.625</v>
      </c>
      <c r="N445" s="43">
        <v>0.64583333333333337</v>
      </c>
      <c r="O445" s="43">
        <f>1+18/24/60</f>
        <v>1.0125</v>
      </c>
      <c r="P445" s="43">
        <f>1+48/24/60</f>
        <v>1.0333333333333334</v>
      </c>
      <c r="Q445" s="39"/>
      <c r="R445" s="42" t="s">
        <v>188</v>
      </c>
      <c r="S445" s="29">
        <f>MIP[[#This Row],[PT-1]]+MIP[[#This Row],[PT-2]]*2+MIP[[#This Row],[PT-3]]*3+MIP[[#This Row],[PT &gt; 3 Pontos]]</f>
        <v>0</v>
      </c>
      <c r="T44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445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445" s="41">
        <f>MIP[[#This Row],[Eficiência]]</f>
        <v>0</v>
      </c>
      <c r="W44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45" s="39">
        <f>IF(MIP[[#This Row],[P.S]]-MIP[[#This Row],[P.E]]&lt;0,1+MIP[[#This Row],[P.S]]-MIP[[#This Row],[P.E]]-1/24,MIP[[#This Row],[P.S]]-MIP[[#This Row],[P.E]]-1/24)</f>
        <v>0.36666666666666675</v>
      </c>
      <c r="Y445" s="39">
        <f>MIP[[#This Row],[PT-1]]*$S$3+MIP[[#This Row],[PT-2]]*$T$3+MIP[[#This Row],[PT-3]]*$U$3+MIP[[#This Row],[PT &gt; 3 Pontos]]*$V$3</f>
        <v>0</v>
      </c>
      <c r="Z445" s="39">
        <f>MIP[[#This Row],[HH disponível]]-MIP[[#This Row],[HH AC TOT]]</f>
        <v>0.3249999999999999</v>
      </c>
      <c r="AA445" s="38">
        <f>MIP[[#This Row],[HH Produtivo
Total]]/MIP[[#This Row],[HH Trabalhado]]</f>
        <v>0</v>
      </c>
      <c r="AB445" s="38">
        <f>MIP[[#This Row],[HH Produtivo
Total]]/MIP[[#This Row],[HH disponível]]</f>
        <v>0</v>
      </c>
      <c r="AC445" s="38">
        <f>MIP[[#This Row],[HH Trabalhado]]/MIP[[#This Row],[HH disponível]]</f>
        <v>0.88636363636363591</v>
      </c>
      <c r="AD445" s="37" t="str">
        <f>LEFT(MIP[[#This Row],[Equipe]], SEARCH("/",MIP[[#This Row],[Equipe]],1)-1)</f>
        <v xml:space="preserve">EDILTON </v>
      </c>
      <c r="AE445" s="37" t="str">
        <f>RIGHT(MIP[[#This Row],[Equipe]], LEN(MIP[[#This Row],[Equipe]])-SEARCH("/",MIP[[#This Row],[Equipe]],1))</f>
        <v xml:space="preserve"> GECIVALDO</v>
      </c>
      <c r="AF445" s="44">
        <f>COUNTIFS('[1]Tempo parado'!H:H,"&gt;="&amp;MIP[[#This Row],[S.B Sitrack]],'[1]Tempo parado'!I:I,"&lt;="&amp;MIP[[#This Row],[C.B Sitrack]],'[1]Tempo parado'!B:B,MIP[[#This Row],[Placa]])</f>
        <v>0</v>
      </c>
      <c r="AG445" s="36"/>
      <c r="AH445" s="35"/>
      <c r="AI445" s="34"/>
      <c r="AJ445" s="34"/>
      <c r="AK44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4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45" s="32">
        <f>SUMIFS('[1]Tempo parado'!J:J,'[1]Tempo parado'!H:H,"&gt;="&amp;MIP[[#This Row],[S.B Sitrack]],'[1]Tempo parado'!I:I,"&lt;="&amp;MIP[[#This Row],[C.B Sitrack]],'[1]Tempo parado'!B:B,MIP[[#This Row],[Placa]])</f>
        <v>0</v>
      </c>
      <c r="AN445" s="32" t="str">
        <f>IFERROR(MIP[[#This Row],[Tempo parado]]/(MIP[[#This Row],[C.B Sitrack]]-MIP[[#This Row],[S.B Sitrack]]),"")</f>
        <v/>
      </c>
      <c r="AO445" s="30"/>
      <c r="AP445" s="44">
        <f>IF(AND(MIP[Exc]=0,MIP[Previsto / Realizado]="Realizado"),MIP[Sem],0)</f>
        <v>0</v>
      </c>
      <c r="AQ445" s="29">
        <f>IF(AND(MIP[Exc]=0,MIP[Previsto / Realizado]="Realizado",ISBLANK(MIP[[#This Row],[S.B Sitrack]])=FALSE,ISBLANK(MIP[[#This Row],[C.B Sitrack]])=FALSE),MIP[Sem],0)</f>
        <v>0</v>
      </c>
    </row>
    <row r="446" spans="1:43" s="64" customFormat="1" x14ac:dyDescent="0.25">
      <c r="A446" s="11"/>
      <c r="B446" s="44">
        <f>WEEKNUM(MIP[[#This Row],[Data]])</f>
        <v>35</v>
      </c>
      <c r="C446" s="45">
        <v>42974</v>
      </c>
      <c r="D446" s="45"/>
      <c r="E446" s="35" t="s">
        <v>3</v>
      </c>
      <c r="F446" s="35" t="s">
        <v>2</v>
      </c>
      <c r="G446" s="35"/>
      <c r="H446" s="44">
        <v>2</v>
      </c>
      <c r="I446" s="44">
        <v>8</v>
      </c>
      <c r="J446" s="44">
        <v>3</v>
      </c>
      <c r="K446" s="44">
        <v>0</v>
      </c>
      <c r="L446" s="44">
        <v>0</v>
      </c>
      <c r="M446" s="43">
        <v>0.62708333333333333</v>
      </c>
      <c r="N446" s="43">
        <v>0.65277777777777779</v>
      </c>
      <c r="O446" s="43">
        <v>0.9770833333333333</v>
      </c>
      <c r="P446" s="43">
        <f>1+48/24/60</f>
        <v>1.0333333333333334</v>
      </c>
      <c r="Q446" s="39"/>
      <c r="R446" s="42" t="s">
        <v>92</v>
      </c>
      <c r="S446" s="29">
        <f>MIP[[#This Row],[PT-1]]+MIP[[#This Row],[PT-2]]*2+MIP[[#This Row],[PT-3]]*3+MIP[[#This Row],[PT &gt; 3 Pontos]]</f>
        <v>14</v>
      </c>
      <c r="T44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8.1944444444444597E-2</v>
      </c>
      <c r="U446" s="39">
        <f>IF(MIP[[#This Row],[P.S]]-MIP[[#This Row],[U.P]]&gt;=0,MIP[[#This Row],[P.S]]-MIP[[#This Row],[U.P]]+MIP[[#This Row],[S.B]]-MIP[[#This Row],[P.E]],1+MIP[[#This Row],[P.S]]-MIP[[#This Row],[U.P]]+MIP[[#This Row],[S.B]]-MIP[[#This Row],[P.E]])</f>
        <v>8.1944444444444597E-2</v>
      </c>
      <c r="V446" s="41">
        <f>MIP[[#This Row],[Eficiência]]</f>
        <v>1.1744071146245056</v>
      </c>
      <c r="W44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46" s="39">
        <f>IF(MIP[[#This Row],[P.S]]-MIP[[#This Row],[P.E]]&lt;0,1+MIP[[#This Row],[P.S]]-MIP[[#This Row],[P.E]]-1/24,MIP[[#This Row],[P.S]]-MIP[[#This Row],[P.E]]-1/24)</f>
        <v>0.36458333333333343</v>
      </c>
      <c r="Y446" s="39">
        <f>MIP[[#This Row],[PT-1]]*$S$3+MIP[[#This Row],[PT-2]]*$T$3+MIP[[#This Row],[PT-3]]*$U$3+MIP[[#This Row],[PT &gt; 3 Pontos]]*$V$3</f>
        <v>0.3319331219806762</v>
      </c>
      <c r="Z446" s="39">
        <f>MIP[[#This Row],[HH disponível]]-MIP[[#This Row],[HH AC TOT]]</f>
        <v>0.28263888888888883</v>
      </c>
      <c r="AA446" s="38">
        <f>MIP[[#This Row],[HH Produtivo
Total]]/MIP[[#This Row],[HH Trabalhado]]</f>
        <v>1.1744071146245056</v>
      </c>
      <c r="AB446" s="38">
        <f>MIP[[#This Row],[HH Produtivo
Total]]/MIP[[#This Row],[HH disponível]]</f>
        <v>0.91044513457556875</v>
      </c>
      <c r="AC446" s="38">
        <f>MIP[[#This Row],[HH Trabalhado]]/MIP[[#This Row],[HH disponível]]</f>
        <v>0.77523809523809484</v>
      </c>
      <c r="AD446" s="37" t="str">
        <f>LEFT(MIP[[#This Row],[Equipe]], SEARCH("/",MIP[[#This Row],[Equipe]],1)-1)</f>
        <v xml:space="preserve">EDILTON </v>
      </c>
      <c r="AE446" s="37" t="str">
        <f>RIGHT(MIP[[#This Row],[Equipe]], LEN(MIP[[#This Row],[Equipe]])-SEARCH("/",MIP[[#This Row],[Equipe]],1))</f>
        <v xml:space="preserve"> GECIVALDO</v>
      </c>
      <c r="AF446" s="44">
        <f>COUNTIFS('[1]Tempo parado'!H:H,"&gt;="&amp;MIP[[#This Row],[S.B Sitrack]],'[1]Tempo parado'!I:I,"&lt;="&amp;MIP[[#This Row],[C.B Sitrack]],'[1]Tempo parado'!B:B,MIP[[#This Row],[Placa]])</f>
        <v>0</v>
      </c>
      <c r="AG446" s="36"/>
      <c r="AH446" s="35"/>
      <c r="AI446" s="34"/>
      <c r="AJ446" s="34"/>
      <c r="AK44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4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46" s="32">
        <f>SUMIFS('[1]Tempo parado'!J:J,'[1]Tempo parado'!H:H,"&gt;="&amp;MIP[[#This Row],[S.B Sitrack]],'[1]Tempo parado'!I:I,"&lt;="&amp;MIP[[#This Row],[C.B Sitrack]],'[1]Tempo parado'!B:B,MIP[[#This Row],[Placa]])</f>
        <v>0</v>
      </c>
      <c r="AN446" s="32" t="str">
        <f>IFERROR(MIP[[#This Row],[Tempo parado]]/(MIP[[#This Row],[C.B Sitrack]]-MIP[[#This Row],[S.B Sitrack]]),"")</f>
        <v/>
      </c>
      <c r="AO446" s="30"/>
      <c r="AP446" s="44">
        <f>IF(AND(MIP[Exc]=0,MIP[Previsto / Realizado]="Realizado"),MIP[Sem],0)</f>
        <v>35</v>
      </c>
      <c r="AQ446" s="29">
        <f>IF(AND(MIP[Exc]=0,MIP[Previsto / Realizado]="Realizado",ISBLANK(MIP[[#This Row],[S.B Sitrack]])=FALSE,ISBLANK(MIP[[#This Row],[C.B Sitrack]])=FALSE),MIP[Sem],0)</f>
        <v>0</v>
      </c>
    </row>
    <row r="447" spans="1:43" s="47" customFormat="1" x14ac:dyDescent="0.25">
      <c r="A447" s="11"/>
      <c r="B447" s="44">
        <f>WEEKNUM(MIP[[#This Row],[Data]])</f>
        <v>35</v>
      </c>
      <c r="C447" s="45">
        <v>42975</v>
      </c>
      <c r="D447" s="45"/>
      <c r="E447" s="35" t="s">
        <v>19</v>
      </c>
      <c r="F447" s="35" t="s">
        <v>5</v>
      </c>
      <c r="G447" s="35"/>
      <c r="H447" s="44">
        <v>2</v>
      </c>
      <c r="I447" s="44">
        <v>5</v>
      </c>
      <c r="J447" s="44">
        <v>1</v>
      </c>
      <c r="K447" s="44">
        <v>0</v>
      </c>
      <c r="L447" s="44">
        <v>5</v>
      </c>
      <c r="M447" s="43">
        <v>0.625</v>
      </c>
      <c r="N447" s="43">
        <v>0.64583333333333337</v>
      </c>
      <c r="O447" s="43">
        <f>1+18/24/60</f>
        <v>1.0125</v>
      </c>
      <c r="P447" s="43">
        <f>1+48/24/60</f>
        <v>1.0333333333333334</v>
      </c>
      <c r="Q447" s="39"/>
      <c r="R447" s="42" t="s">
        <v>277</v>
      </c>
      <c r="S447" s="29">
        <f>MIP[[#This Row],[PT-1]]+MIP[[#This Row],[PT-2]]*2+MIP[[#This Row],[PT-3]]*3+MIP[[#This Row],[PT &gt; 3 Pontos]]</f>
        <v>12</v>
      </c>
      <c r="T44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447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447" s="41">
        <f>MIP[[#This Row],[Eficiência]]</f>
        <v>0.83162487785072337</v>
      </c>
      <c r="W44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47" s="39">
        <f>IF(MIP[[#This Row],[P.S]]-MIP[[#This Row],[P.E]]&lt;0,1+MIP[[#This Row],[P.S]]-MIP[[#This Row],[P.E]]-1/24,MIP[[#This Row],[P.S]]-MIP[[#This Row],[P.E]]-1/24)</f>
        <v>0.36666666666666675</v>
      </c>
      <c r="Y447" s="39">
        <f>MIP[[#This Row],[PT-1]]*$S$3+MIP[[#This Row],[PT-2]]*$T$3+MIP[[#This Row],[PT-3]]*$U$3+MIP[[#This Row],[PT &gt; 3 Pontos]]*$V$3</f>
        <v>0.270278085301485</v>
      </c>
      <c r="Z447" s="39">
        <f>MIP[[#This Row],[HH disponível]]-MIP[[#This Row],[HH AC TOT]]</f>
        <v>0.3249999999999999</v>
      </c>
      <c r="AA447" s="38">
        <f>MIP[[#This Row],[HH Produtivo
Total]]/MIP[[#This Row],[HH Trabalhado]]</f>
        <v>0.83162487785072337</v>
      </c>
      <c r="AB447" s="38">
        <f>MIP[[#This Row],[HH Produtivo
Total]]/MIP[[#This Row],[HH disponível]]</f>
        <v>0.7371220508222317</v>
      </c>
      <c r="AC447" s="38">
        <f>MIP[[#This Row],[HH Trabalhado]]/MIP[[#This Row],[HH disponível]]</f>
        <v>0.88636363636363591</v>
      </c>
      <c r="AD447" s="37" t="str">
        <f>LEFT(MIP[[#This Row],[Equipe]], SEARCH("/",MIP[[#This Row],[Equipe]],1)-1)</f>
        <v xml:space="preserve">ADEMÁRIO </v>
      </c>
      <c r="AE447" s="37" t="str">
        <f>RIGHT(MIP[[#This Row],[Equipe]], LEN(MIP[[#This Row],[Equipe]])-SEARCH("/",MIP[[#This Row],[Equipe]],1))</f>
        <v xml:space="preserve"> RONALDO</v>
      </c>
      <c r="AF447" s="44">
        <f>COUNTIFS('[1]Tempo parado'!H:H,"&gt;="&amp;MIP[[#This Row],[S.B Sitrack]],'[1]Tempo parado'!I:I,"&lt;="&amp;MIP[[#This Row],[C.B Sitrack]],'[1]Tempo parado'!B:B,MIP[[#This Row],[Placa]])</f>
        <v>0</v>
      </c>
      <c r="AG447" s="36"/>
      <c r="AH447" s="35"/>
      <c r="AI447" s="34"/>
      <c r="AJ447" s="34"/>
      <c r="AK44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4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47" s="32">
        <f>SUMIFS('[1]Tempo parado'!J:J,'[1]Tempo parado'!H:H,"&gt;="&amp;MIP[[#This Row],[S.B Sitrack]],'[1]Tempo parado'!I:I,"&lt;="&amp;MIP[[#This Row],[C.B Sitrack]],'[1]Tempo parado'!B:B,MIP[[#This Row],[Placa]])</f>
        <v>0</v>
      </c>
      <c r="AN447" s="32" t="str">
        <f>IFERROR(MIP[[#This Row],[Tempo parado]]/(MIP[[#This Row],[C.B Sitrack]]-MIP[[#This Row],[S.B Sitrack]]),"")</f>
        <v/>
      </c>
      <c r="AO447" s="30"/>
      <c r="AP447" s="44">
        <f>IF(AND(MIP[Exc]=0,MIP[Previsto / Realizado]="Realizado"),MIP[Sem],0)</f>
        <v>0</v>
      </c>
      <c r="AQ447" s="29">
        <f>IF(AND(MIP[Exc]=0,MIP[Previsto / Realizado]="Realizado",ISBLANK(MIP[[#This Row],[S.B Sitrack]])=FALSE,ISBLANK(MIP[[#This Row],[C.B Sitrack]])=FALSE),MIP[Sem],0)</f>
        <v>0</v>
      </c>
    </row>
    <row r="448" spans="1:43" s="64" customFormat="1" x14ac:dyDescent="0.25">
      <c r="A448" s="11"/>
      <c r="B448" s="44">
        <f>WEEKNUM(MIP[[#This Row],[Data]])</f>
        <v>35</v>
      </c>
      <c r="C448" s="45">
        <v>42975</v>
      </c>
      <c r="D448" s="45"/>
      <c r="E448" s="35" t="s">
        <v>19</v>
      </c>
      <c r="F448" s="35" t="s">
        <v>2</v>
      </c>
      <c r="G448" s="35"/>
      <c r="H448" s="44">
        <v>2</v>
      </c>
      <c r="I448" s="44">
        <v>2</v>
      </c>
      <c r="J448" s="44">
        <v>1</v>
      </c>
      <c r="K448" s="44">
        <v>0</v>
      </c>
      <c r="L448" s="44">
        <v>5</v>
      </c>
      <c r="M448" s="43">
        <v>0.62638888888888888</v>
      </c>
      <c r="N448" s="43">
        <v>0.68055555555555547</v>
      </c>
      <c r="O448" s="43">
        <v>0.99305555555555547</v>
      </c>
      <c r="P448" s="43">
        <f>1+66/24/60</f>
        <v>1.0458333333333334</v>
      </c>
      <c r="Q448" s="39"/>
      <c r="R448" s="42" t="s">
        <v>276</v>
      </c>
      <c r="S448" s="29">
        <f>MIP[[#This Row],[PT-1]]+MIP[[#This Row],[PT-2]]*2+MIP[[#This Row],[PT-3]]*3+MIP[[#This Row],[PT &gt; 3 Pontos]]</f>
        <v>9</v>
      </c>
      <c r="T44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0.10694444444444451</v>
      </c>
      <c r="U448" s="39">
        <f>IF(MIP[[#This Row],[P.S]]-MIP[[#This Row],[U.P]]&gt;=0,MIP[[#This Row],[P.S]]-MIP[[#This Row],[U.P]]+MIP[[#This Row],[S.B]]-MIP[[#This Row],[P.E]],1+MIP[[#This Row],[P.S]]-MIP[[#This Row],[U.P]]+MIP[[#This Row],[S.B]]-MIP[[#This Row],[P.E]])</f>
        <v>0.10694444444444451</v>
      </c>
      <c r="V448" s="41">
        <f>MIP[[#This Row],[Eficiência]]</f>
        <v>0.72074040526033289</v>
      </c>
      <c r="W44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48" s="39">
        <f>IF(MIP[[#This Row],[P.S]]-MIP[[#This Row],[P.E]]&lt;0,1+MIP[[#This Row],[P.S]]-MIP[[#This Row],[P.E]]-1/24,MIP[[#This Row],[P.S]]-MIP[[#This Row],[P.E]]-1/24)</f>
        <v>0.37777777777777782</v>
      </c>
      <c r="Y448" s="39">
        <f>MIP[[#This Row],[PT-1]]*$S$3+MIP[[#This Row],[PT-2]]*$T$3+MIP[[#This Row],[PT-3]]*$U$3+MIP[[#This Row],[PT &gt; 3 Pontos]]*$V$3</f>
        <v>0.19520052642467348</v>
      </c>
      <c r="Z448" s="39">
        <f>MIP[[#This Row],[HH disponível]]-MIP[[#This Row],[HH AC TOT]]</f>
        <v>0.27083333333333331</v>
      </c>
      <c r="AA448" s="38">
        <f>MIP[[#This Row],[HH Produtivo
Total]]/MIP[[#This Row],[HH Trabalhado]]</f>
        <v>0.72074040526033289</v>
      </c>
      <c r="AB448" s="38">
        <f>MIP[[#This Row],[HH Produtivo
Total]]/MIP[[#This Row],[HH disponível]]</f>
        <v>0.51670727583001796</v>
      </c>
      <c r="AC448" s="38">
        <f>MIP[[#This Row],[HH Trabalhado]]/MIP[[#This Row],[HH disponível]]</f>
        <v>0.71691176470588225</v>
      </c>
      <c r="AD448" s="37" t="str">
        <f>LEFT(MIP[[#This Row],[Equipe]], SEARCH("/",MIP[[#This Row],[Equipe]],1)-1)</f>
        <v xml:space="preserve">ADEMÁRIO </v>
      </c>
      <c r="AE448" s="37" t="str">
        <f>RIGHT(MIP[[#This Row],[Equipe]], LEN(MIP[[#This Row],[Equipe]])-SEARCH("/",MIP[[#This Row],[Equipe]],1))</f>
        <v xml:space="preserve"> RONALDO</v>
      </c>
      <c r="AF448" s="44">
        <f>COUNTIFS('[1]Tempo parado'!H:H,"&gt;="&amp;MIP[[#This Row],[S.B Sitrack]],'[1]Tempo parado'!I:I,"&lt;="&amp;MIP[[#This Row],[C.B Sitrack]],'[1]Tempo parado'!B:B,MIP[[#This Row],[Placa]])</f>
        <v>0</v>
      </c>
      <c r="AG448" s="36"/>
      <c r="AH448" s="35"/>
      <c r="AI448" s="34"/>
      <c r="AJ448" s="34"/>
      <c r="AK44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4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48" s="32">
        <f>SUMIFS('[1]Tempo parado'!J:J,'[1]Tempo parado'!H:H,"&gt;="&amp;MIP[[#This Row],[S.B Sitrack]],'[1]Tempo parado'!I:I,"&lt;="&amp;MIP[[#This Row],[C.B Sitrack]],'[1]Tempo parado'!B:B,MIP[[#This Row],[Placa]])</f>
        <v>0</v>
      </c>
      <c r="AN448" s="32" t="str">
        <f>IFERROR(MIP[[#This Row],[Tempo parado]]/(MIP[[#This Row],[C.B Sitrack]]-MIP[[#This Row],[S.B Sitrack]]),"")</f>
        <v/>
      </c>
      <c r="AO448" s="30"/>
      <c r="AP448" s="44">
        <f>IF(AND(MIP[Exc]=0,MIP[Previsto / Realizado]="Realizado"),MIP[Sem],0)</f>
        <v>35</v>
      </c>
      <c r="AQ448" s="29">
        <f>IF(AND(MIP[Exc]=0,MIP[Previsto / Realizado]="Realizado",ISBLANK(MIP[[#This Row],[S.B Sitrack]])=FALSE,ISBLANK(MIP[[#This Row],[C.B Sitrack]])=FALSE),MIP[Sem],0)</f>
        <v>0</v>
      </c>
    </row>
    <row r="449" spans="1:43" s="47" customFormat="1" x14ac:dyDescent="0.25">
      <c r="A449" s="11"/>
      <c r="B449" s="44">
        <f>WEEKNUM(MIP[[#This Row],[Data]])</f>
        <v>35</v>
      </c>
      <c r="C449" s="45">
        <v>42975</v>
      </c>
      <c r="D449" s="45"/>
      <c r="E449" s="35" t="s">
        <v>7</v>
      </c>
      <c r="F449" s="35" t="s">
        <v>5</v>
      </c>
      <c r="G449" s="35"/>
      <c r="H449" s="44">
        <v>2</v>
      </c>
      <c r="I449" s="44">
        <v>9</v>
      </c>
      <c r="J449" s="44">
        <v>0</v>
      </c>
      <c r="K449" s="44">
        <v>0</v>
      </c>
      <c r="L449" s="44">
        <v>5</v>
      </c>
      <c r="M449" s="43">
        <v>0.625</v>
      </c>
      <c r="N449" s="43">
        <v>0.64583333333333337</v>
      </c>
      <c r="O449" s="43">
        <f>1+18/24/60</f>
        <v>1.0125</v>
      </c>
      <c r="P449" s="43">
        <f>1+48/24/60</f>
        <v>1.0333333333333334</v>
      </c>
      <c r="Q449" s="39"/>
      <c r="R449" s="42"/>
      <c r="S449" s="29">
        <f>MIP[[#This Row],[PT-1]]+MIP[[#This Row],[PT-2]]*2+MIP[[#This Row],[PT-3]]*3+MIP[[#This Row],[PT &gt; 3 Pontos]]</f>
        <v>14</v>
      </c>
      <c r="T44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449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449" s="41">
        <f>MIP[[#This Row],[Eficiência]]</f>
        <v>1.0045314801051517</v>
      </c>
      <c r="W44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49" s="39">
        <f>IF(MIP[[#This Row],[P.S]]-MIP[[#This Row],[P.E]]&lt;0,1+MIP[[#This Row],[P.S]]-MIP[[#This Row],[P.E]]-1/24,MIP[[#This Row],[P.S]]-MIP[[#This Row],[P.E]]-1/24)</f>
        <v>0.36666666666666675</v>
      </c>
      <c r="Y449" s="39">
        <f>MIP[[#This Row],[PT-1]]*$S$3+MIP[[#This Row],[PT-2]]*$T$3+MIP[[#This Row],[PT-3]]*$U$3+MIP[[#This Row],[PT &gt; 3 Pontos]]*$V$3</f>
        <v>0.32647273103417418</v>
      </c>
      <c r="Z449" s="39">
        <f>MIP[[#This Row],[HH disponível]]-MIP[[#This Row],[HH AC TOT]]</f>
        <v>0.3249999999999999</v>
      </c>
      <c r="AA449" s="38">
        <f>MIP[[#This Row],[HH Produtivo
Total]]/MIP[[#This Row],[HH Trabalhado]]</f>
        <v>1.0045314801051517</v>
      </c>
      <c r="AB449" s="38">
        <f>MIP[[#This Row],[HH Produtivo
Total]]/MIP[[#This Row],[HH disponível]]</f>
        <v>0.89038017554774751</v>
      </c>
      <c r="AC449" s="38">
        <f>MIP[[#This Row],[HH Trabalhado]]/MIP[[#This Row],[HH disponível]]</f>
        <v>0.88636363636363591</v>
      </c>
      <c r="AD449" s="37" t="str">
        <f>LEFT(MIP[[#This Row],[Equipe]], SEARCH("/",MIP[[#This Row],[Equipe]],1)-1)</f>
        <v xml:space="preserve">ANDERSON </v>
      </c>
      <c r="AE449" s="37" t="str">
        <f>RIGHT(MIP[[#This Row],[Equipe]], LEN(MIP[[#This Row],[Equipe]])-SEARCH("/",MIP[[#This Row],[Equipe]],1))</f>
        <v xml:space="preserve"> MARCO</v>
      </c>
      <c r="AF449" s="44">
        <f>COUNTIFS('[1]Tempo parado'!H:H,"&gt;="&amp;MIP[[#This Row],[S.B Sitrack]],'[1]Tempo parado'!I:I,"&lt;="&amp;MIP[[#This Row],[C.B Sitrack]],'[1]Tempo parado'!B:B,MIP[[#This Row],[Placa]])</f>
        <v>0</v>
      </c>
      <c r="AG449" s="36"/>
      <c r="AH449" s="35"/>
      <c r="AI449" s="34"/>
      <c r="AJ449" s="34"/>
      <c r="AK44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4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49" s="32">
        <f>SUMIFS('[1]Tempo parado'!J:J,'[1]Tempo parado'!H:H,"&gt;="&amp;MIP[[#This Row],[S.B Sitrack]],'[1]Tempo parado'!I:I,"&lt;="&amp;MIP[[#This Row],[C.B Sitrack]],'[1]Tempo parado'!B:B,MIP[[#This Row],[Placa]])</f>
        <v>0</v>
      </c>
      <c r="AN449" s="32" t="str">
        <f>IFERROR(MIP[[#This Row],[Tempo parado]]/(MIP[[#This Row],[C.B Sitrack]]-MIP[[#This Row],[S.B Sitrack]]),"")</f>
        <v/>
      </c>
      <c r="AO449" s="30"/>
      <c r="AP449" s="44">
        <f>IF(AND(MIP[Exc]=0,MIP[Previsto / Realizado]="Realizado"),MIP[Sem],0)</f>
        <v>0</v>
      </c>
      <c r="AQ449" s="29">
        <f>IF(AND(MIP[Exc]=0,MIP[Previsto / Realizado]="Realizado",ISBLANK(MIP[[#This Row],[S.B Sitrack]])=FALSE,ISBLANK(MIP[[#This Row],[C.B Sitrack]])=FALSE),MIP[Sem],0)</f>
        <v>0</v>
      </c>
    </row>
    <row r="450" spans="1:43" s="64" customFormat="1" x14ac:dyDescent="0.25">
      <c r="A450" s="11"/>
      <c r="B450" s="44">
        <f>WEEKNUM(MIP[[#This Row],[Data]])</f>
        <v>35</v>
      </c>
      <c r="C450" s="45">
        <v>42975</v>
      </c>
      <c r="D450" s="45"/>
      <c r="E450" s="35" t="s">
        <v>7</v>
      </c>
      <c r="F450" s="35" t="s">
        <v>2</v>
      </c>
      <c r="G450" s="35"/>
      <c r="H450" s="44">
        <v>2</v>
      </c>
      <c r="I450" s="44">
        <v>8</v>
      </c>
      <c r="J450" s="44">
        <v>2</v>
      </c>
      <c r="K450" s="44">
        <v>0</v>
      </c>
      <c r="L450" s="44">
        <v>0</v>
      </c>
      <c r="M450" s="43">
        <v>0.62986111111111109</v>
      </c>
      <c r="N450" s="43">
        <v>0.65972222222222221</v>
      </c>
      <c r="O450" s="43">
        <f>1+20/24/60</f>
        <v>1.0138888888888888</v>
      </c>
      <c r="P450" s="43">
        <f>1+48/24/60</f>
        <v>1.0333333333333334</v>
      </c>
      <c r="Q450" s="39"/>
      <c r="R450" s="42" t="s">
        <v>32</v>
      </c>
      <c r="S450" s="29">
        <f>MIP[[#This Row],[PT-1]]+MIP[[#This Row],[PT-2]]*2+MIP[[#This Row],[PT-3]]*3+MIP[[#This Row],[PT &gt; 3 Pontos]]</f>
        <v>12</v>
      </c>
      <c r="T45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4.9305555555555713E-2</v>
      </c>
      <c r="U450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4.9305555555555713E-2</v>
      </c>
      <c r="V450" s="41">
        <f>MIP[[#This Row],[Eficiência]]</f>
        <v>0.92167793880837323</v>
      </c>
      <c r="W45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50" s="39">
        <f>IF(MIP[[#This Row],[P.S]]-MIP[[#This Row],[P.E]]&lt;0,1+MIP[[#This Row],[P.S]]-MIP[[#This Row],[P.E]]-1/24,MIP[[#This Row],[P.S]]-MIP[[#This Row],[P.E]]-1/24)</f>
        <v>0.36180555555555566</v>
      </c>
      <c r="Y450" s="39">
        <f>MIP[[#This Row],[PT-1]]*$S$3+MIP[[#This Row],[PT-2]]*$T$3+MIP[[#This Row],[PT-3]]*$U$3+MIP[[#This Row],[PT &gt; 3 Pontos]]*$V$3</f>
        <v>0.2880243558776166</v>
      </c>
      <c r="Z450" s="39">
        <f>MIP[[#This Row],[HH disponível]]-MIP[[#This Row],[HH AC TOT]]</f>
        <v>0.31249999999999994</v>
      </c>
      <c r="AA450" s="38">
        <f>MIP[[#This Row],[HH Produtivo
Total]]/MIP[[#This Row],[HH Trabalhado]]</f>
        <v>0.92167793880837323</v>
      </c>
      <c r="AB450" s="38">
        <f>MIP[[#This Row],[HH Produtivo
Total]]/MIP[[#This Row],[HH disponível]]</f>
        <v>0.79607499513199187</v>
      </c>
      <c r="AC450" s="38">
        <f>MIP[[#This Row],[HH Trabalhado]]/MIP[[#This Row],[HH disponível]]</f>
        <v>0.86372360844529705</v>
      </c>
      <c r="AD450" s="37" t="str">
        <f>LEFT(MIP[[#This Row],[Equipe]], SEARCH("/",MIP[[#This Row],[Equipe]],1)-1)</f>
        <v xml:space="preserve">ANDERSON </v>
      </c>
      <c r="AE450" s="37" t="str">
        <f>RIGHT(MIP[[#This Row],[Equipe]], LEN(MIP[[#This Row],[Equipe]])-SEARCH("/",MIP[[#This Row],[Equipe]],1))</f>
        <v xml:space="preserve"> MARCO</v>
      </c>
      <c r="AF450" s="44">
        <f>COUNTIFS('[1]Tempo parado'!H:H,"&gt;="&amp;MIP[[#This Row],[S.B Sitrack]],'[1]Tempo parado'!I:I,"&lt;="&amp;MIP[[#This Row],[C.B Sitrack]],'[1]Tempo parado'!B:B,MIP[[#This Row],[Placa]])</f>
        <v>0</v>
      </c>
      <c r="AG450" s="36"/>
      <c r="AH450" s="35"/>
      <c r="AI450" s="34"/>
      <c r="AJ450" s="34"/>
      <c r="AK45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5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50" s="32">
        <f>SUMIFS('[1]Tempo parado'!J:J,'[1]Tempo parado'!H:H,"&gt;="&amp;MIP[[#This Row],[S.B Sitrack]],'[1]Tempo parado'!I:I,"&lt;="&amp;MIP[[#This Row],[C.B Sitrack]],'[1]Tempo parado'!B:B,MIP[[#This Row],[Placa]])</f>
        <v>0</v>
      </c>
      <c r="AN450" s="32" t="str">
        <f>IFERROR(MIP[[#This Row],[Tempo parado]]/(MIP[[#This Row],[C.B Sitrack]]-MIP[[#This Row],[S.B Sitrack]]),"")</f>
        <v/>
      </c>
      <c r="AO450" s="30"/>
      <c r="AP450" s="44">
        <f>IF(AND(MIP[Exc]=0,MIP[Previsto / Realizado]="Realizado"),MIP[Sem],0)</f>
        <v>35</v>
      </c>
      <c r="AQ450" s="29">
        <f>IF(AND(MIP[Exc]=0,MIP[Previsto / Realizado]="Realizado",ISBLANK(MIP[[#This Row],[S.B Sitrack]])=FALSE,ISBLANK(MIP[[#This Row],[C.B Sitrack]])=FALSE),MIP[Sem],0)</f>
        <v>0</v>
      </c>
    </row>
    <row r="451" spans="1:43" s="47" customFormat="1" x14ac:dyDescent="0.25">
      <c r="A451" s="11"/>
      <c r="B451" s="44">
        <f>WEEKNUM(MIP[[#This Row],[Data]])</f>
        <v>35</v>
      </c>
      <c r="C451" s="45">
        <v>42976</v>
      </c>
      <c r="D451" s="45"/>
      <c r="E451" s="35" t="s">
        <v>10</v>
      </c>
      <c r="F451" s="35" t="s">
        <v>5</v>
      </c>
      <c r="G451" s="35"/>
      <c r="H451" s="44">
        <v>2</v>
      </c>
      <c r="I451" s="44">
        <v>6</v>
      </c>
      <c r="J451" s="44">
        <v>0</v>
      </c>
      <c r="K451" s="44">
        <v>0</v>
      </c>
      <c r="L451" s="44">
        <v>0</v>
      </c>
      <c r="M451" s="43">
        <v>0.25</v>
      </c>
      <c r="N451" s="43">
        <v>0.27083333333333331</v>
      </c>
      <c r="O451" s="43">
        <v>0.63750000000000007</v>
      </c>
      <c r="P451" s="43">
        <v>0.65833333333333333</v>
      </c>
      <c r="Q451" s="39"/>
      <c r="R451" s="42" t="s">
        <v>275</v>
      </c>
      <c r="S451" s="29">
        <f>MIP[[#This Row],[PT-1]]+MIP[[#This Row],[PT-2]]*2+MIP[[#This Row],[PT-3]]*3+MIP[[#This Row],[PT &gt; 3 Pontos]]</f>
        <v>6</v>
      </c>
      <c r="T45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451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451" s="41">
        <f>MIP[[#This Row],[Eficiência]]</f>
        <v>0.46201574693422476</v>
      </c>
      <c r="W45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51" s="39">
        <f>IF(MIP[[#This Row],[P.S]]-MIP[[#This Row],[P.E]]&lt;0,1+MIP[[#This Row],[P.S]]-MIP[[#This Row],[P.E]]-1/24,MIP[[#This Row],[P.S]]-MIP[[#This Row],[P.E]]-1/24)</f>
        <v>0.36666666666666664</v>
      </c>
      <c r="Y451" s="39">
        <f>MIP[[#This Row],[PT-1]]*$S$3+MIP[[#This Row],[PT-2]]*$T$3+MIP[[#This Row],[PT-3]]*$U$3+MIP[[#This Row],[PT &gt; 3 Pontos]]*$V$3</f>
        <v>0.15015511775362309</v>
      </c>
      <c r="Z451" s="39">
        <f>MIP[[#This Row],[HH disponível]]-MIP[[#This Row],[HH AC TOT]]</f>
        <v>0.32500000000000007</v>
      </c>
      <c r="AA451" s="38">
        <f>MIP[[#This Row],[HH Produtivo
Total]]/MIP[[#This Row],[HH Trabalhado]]</f>
        <v>0.46201574693422476</v>
      </c>
      <c r="AB451" s="38">
        <f>MIP[[#This Row],[HH Produtivo
Total]]/MIP[[#This Row],[HH disponível]]</f>
        <v>0.40951395750988118</v>
      </c>
      <c r="AC451" s="38">
        <f>MIP[[#This Row],[HH Trabalhado]]/MIP[[#This Row],[HH disponível]]</f>
        <v>0.88636363636363658</v>
      </c>
      <c r="AD451" s="37" t="str">
        <f>LEFT(MIP[[#This Row],[Equipe]], SEARCH("/",MIP[[#This Row],[Equipe]],1)-1)</f>
        <v xml:space="preserve">JOILSON </v>
      </c>
      <c r="AE451" s="37" t="str">
        <f>RIGHT(MIP[[#This Row],[Equipe]], LEN(MIP[[#This Row],[Equipe]])-SEARCH("/",MIP[[#This Row],[Equipe]],1))</f>
        <v xml:space="preserve"> VALDEI</v>
      </c>
      <c r="AF451" s="44">
        <f>COUNTIFS('[1]Tempo parado'!H:H,"&gt;="&amp;MIP[[#This Row],[S.B Sitrack]],'[1]Tempo parado'!I:I,"&lt;="&amp;MIP[[#This Row],[C.B Sitrack]],'[1]Tempo parado'!B:B,MIP[[#This Row],[Placa]])</f>
        <v>0</v>
      </c>
      <c r="AG451" s="36"/>
      <c r="AH451" s="35"/>
      <c r="AI451" s="34"/>
      <c r="AJ451" s="34"/>
      <c r="AK45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5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51" s="32">
        <f>SUMIFS('[1]Tempo parado'!J:J,'[1]Tempo parado'!H:H,"&gt;="&amp;MIP[[#This Row],[S.B Sitrack]],'[1]Tempo parado'!I:I,"&lt;="&amp;MIP[[#This Row],[C.B Sitrack]],'[1]Tempo parado'!B:B,MIP[[#This Row],[Placa]])</f>
        <v>0</v>
      </c>
      <c r="AN451" s="32" t="str">
        <f>IFERROR(MIP[[#This Row],[Tempo parado]]/(MIP[[#This Row],[C.B Sitrack]]-MIP[[#This Row],[S.B Sitrack]]),"")</f>
        <v/>
      </c>
      <c r="AO451" s="30"/>
      <c r="AP451" s="44">
        <f>IF(AND(MIP[Exc]=0,MIP[Previsto / Realizado]="Realizado"),MIP[Sem],0)</f>
        <v>0</v>
      </c>
      <c r="AQ451" s="29">
        <f>IF(AND(MIP[Exc]=0,MIP[Previsto / Realizado]="Realizado",ISBLANK(MIP[[#This Row],[S.B Sitrack]])=FALSE,ISBLANK(MIP[[#This Row],[C.B Sitrack]])=FALSE),MIP[Sem],0)</f>
        <v>0</v>
      </c>
    </row>
    <row r="452" spans="1:43" s="64" customFormat="1" x14ac:dyDescent="0.25">
      <c r="A452" s="11"/>
      <c r="B452" s="44">
        <f>WEEKNUM(MIP[[#This Row],[Data]])</f>
        <v>35</v>
      </c>
      <c r="C452" s="45">
        <v>42976</v>
      </c>
      <c r="D452" s="45"/>
      <c r="E452" s="35" t="s">
        <v>10</v>
      </c>
      <c r="F452" s="35" t="s">
        <v>2</v>
      </c>
      <c r="G452" s="35"/>
      <c r="H452" s="44">
        <v>2</v>
      </c>
      <c r="I452" s="44">
        <v>9</v>
      </c>
      <c r="J452" s="44">
        <v>0</v>
      </c>
      <c r="K452" s="44">
        <v>0</v>
      </c>
      <c r="L452" s="44">
        <v>0</v>
      </c>
      <c r="M452" s="43">
        <v>0.24722222222222223</v>
      </c>
      <c r="N452" s="43">
        <v>0.27847222222222223</v>
      </c>
      <c r="O452" s="43">
        <v>0.62986111111111109</v>
      </c>
      <c r="P452" s="43">
        <v>0.66388888888888886</v>
      </c>
      <c r="Q452" s="39">
        <v>4.1666666666666664E-2</v>
      </c>
      <c r="R452" s="42" t="s">
        <v>274</v>
      </c>
      <c r="S452" s="29">
        <f>MIP[[#This Row],[PT-1]]+MIP[[#This Row],[PT-2]]*2+MIP[[#This Row],[PT-3]]*3+MIP[[#This Row],[PT &gt; 3 Pontos]]</f>
        <v>9</v>
      </c>
      <c r="T45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0.10694444444444443</v>
      </c>
      <c r="U452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6.5277777777777768E-2</v>
      </c>
      <c r="V452" s="41">
        <f>MIP[[#This Row],[Eficiência]]</f>
        <v>0.84024625478711379</v>
      </c>
      <c r="W45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52" s="39">
        <f>IF(MIP[[#This Row],[P.S]]-MIP[[#This Row],[P.E]]&lt;0,1+MIP[[#This Row],[P.S]]-MIP[[#This Row],[P.E]]-1/24,MIP[[#This Row],[P.S]]-MIP[[#This Row],[P.E]]-1/24)</f>
        <v>0.37499999999999994</v>
      </c>
      <c r="Y452" s="39">
        <f>MIP[[#This Row],[PT-1]]*$S$3+MIP[[#This Row],[PT-2]]*$T$3+MIP[[#This Row],[PT-3]]*$U$3+MIP[[#This Row],[PT &gt; 3 Pontos]]*$V$3</f>
        <v>0.22523267663043461</v>
      </c>
      <c r="Z452" s="39">
        <f>MIP[[#This Row],[HH disponível]]-MIP[[#This Row],[HH AC TOT]]</f>
        <v>0.26805555555555549</v>
      </c>
      <c r="AA452" s="38">
        <f>MIP[[#This Row],[HH Produtivo
Total]]/MIP[[#This Row],[HH Trabalhado]]</f>
        <v>0.84024625478711379</v>
      </c>
      <c r="AB452" s="38">
        <f>MIP[[#This Row],[HH Produtivo
Total]]/MIP[[#This Row],[HH disponível]]</f>
        <v>0.60062047101449234</v>
      </c>
      <c r="AC452" s="38">
        <f>MIP[[#This Row],[HH Trabalhado]]/MIP[[#This Row],[HH disponível]]</f>
        <v>0.71481481481481479</v>
      </c>
      <c r="AD452" s="37" t="str">
        <f>LEFT(MIP[[#This Row],[Equipe]], SEARCH("/",MIP[[#This Row],[Equipe]],1)-1)</f>
        <v xml:space="preserve">JOILSON </v>
      </c>
      <c r="AE452" s="37" t="str">
        <f>RIGHT(MIP[[#This Row],[Equipe]], LEN(MIP[[#This Row],[Equipe]])-SEARCH("/",MIP[[#This Row],[Equipe]],1))</f>
        <v xml:space="preserve"> VALDEI</v>
      </c>
      <c r="AF452" s="44">
        <f>COUNTIFS('[1]Tempo parado'!H:H,"&gt;="&amp;MIP[[#This Row],[S.B Sitrack]],'[1]Tempo parado'!I:I,"&lt;="&amp;MIP[[#This Row],[C.B Sitrack]],'[1]Tempo parado'!B:B,MIP[[#This Row],[Placa]])</f>
        <v>0</v>
      </c>
      <c r="AG452" s="36"/>
      <c r="AH452" s="35"/>
      <c r="AI452" s="34"/>
      <c r="AJ452" s="34"/>
      <c r="AK45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5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52" s="32">
        <f>SUMIFS('[1]Tempo parado'!J:J,'[1]Tempo parado'!H:H,"&gt;="&amp;MIP[[#This Row],[S.B Sitrack]],'[1]Tempo parado'!I:I,"&lt;="&amp;MIP[[#This Row],[C.B Sitrack]],'[1]Tempo parado'!B:B,MIP[[#This Row],[Placa]])</f>
        <v>0</v>
      </c>
      <c r="AN452" s="32" t="str">
        <f>IFERROR(MIP[[#This Row],[Tempo parado]]/(MIP[[#This Row],[C.B Sitrack]]-MIP[[#This Row],[S.B Sitrack]]),"")</f>
        <v/>
      </c>
      <c r="AO452" s="30"/>
      <c r="AP452" s="44">
        <f>IF(AND(MIP[Exc]=0,MIP[Previsto / Realizado]="Realizado"),MIP[Sem],0)</f>
        <v>35</v>
      </c>
      <c r="AQ452" s="29">
        <f>IF(AND(MIP[Exc]=0,MIP[Previsto / Realizado]="Realizado",ISBLANK(MIP[[#This Row],[S.B Sitrack]])=FALSE,ISBLANK(MIP[[#This Row],[C.B Sitrack]])=FALSE),MIP[Sem],0)</f>
        <v>0</v>
      </c>
    </row>
    <row r="453" spans="1:43" s="47" customFormat="1" x14ac:dyDescent="0.25">
      <c r="A453" s="11"/>
      <c r="B453" s="44">
        <f>WEEKNUM(MIP[[#This Row],[Data]])</f>
        <v>35</v>
      </c>
      <c r="C453" s="45">
        <v>42976</v>
      </c>
      <c r="D453" s="45"/>
      <c r="E453" s="35" t="s">
        <v>3</v>
      </c>
      <c r="F453" s="35" t="s">
        <v>5</v>
      </c>
      <c r="G453" s="35"/>
      <c r="H453" s="44">
        <v>2</v>
      </c>
      <c r="I453" s="44">
        <v>3</v>
      </c>
      <c r="J453" s="44">
        <v>2</v>
      </c>
      <c r="K453" s="44">
        <v>0</v>
      </c>
      <c r="L453" s="44">
        <v>8</v>
      </c>
      <c r="M453" s="43">
        <v>0.625</v>
      </c>
      <c r="N453" s="43">
        <v>0.64583333333333337</v>
      </c>
      <c r="O453" s="43">
        <f>1+18/24/60</f>
        <v>1.0125</v>
      </c>
      <c r="P453" s="43">
        <f>1+48/24/60</f>
        <v>1.0333333333333334</v>
      </c>
      <c r="Q453" s="39"/>
      <c r="R453" s="42"/>
      <c r="S453" s="29">
        <f>MIP[[#This Row],[PT-1]]+MIP[[#This Row],[PT-2]]*2+MIP[[#This Row],[PT-3]]*3+MIP[[#This Row],[PT &gt; 3 Pontos]]</f>
        <v>15</v>
      </c>
      <c r="T45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453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453" s="41">
        <f>MIP[[#This Row],[Eficiência]]</f>
        <v>0.99962824039665876</v>
      </c>
      <c r="W45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53" s="39">
        <f>IF(MIP[[#This Row],[P.S]]-MIP[[#This Row],[P.E]]&lt;0,1+MIP[[#This Row],[P.S]]-MIP[[#This Row],[P.E]]-1/24,MIP[[#This Row],[P.S]]-MIP[[#This Row],[P.E]]-1/24)</f>
        <v>0.36666666666666675</v>
      </c>
      <c r="Y453" s="39">
        <f>MIP[[#This Row],[PT-1]]*$S$3+MIP[[#This Row],[PT-2]]*$T$3+MIP[[#This Row],[PT-3]]*$U$3+MIP[[#This Row],[PT &gt; 3 Pontos]]*$V$3</f>
        <v>0.32487917812891398</v>
      </c>
      <c r="Z453" s="39">
        <f>MIP[[#This Row],[HH disponível]]-MIP[[#This Row],[HH AC TOT]]</f>
        <v>0.3249999999999999</v>
      </c>
      <c r="AA453" s="38">
        <f>MIP[[#This Row],[HH Produtivo
Total]]/MIP[[#This Row],[HH Trabalhado]]</f>
        <v>0.99962824039665876</v>
      </c>
      <c r="AB453" s="38">
        <f>MIP[[#This Row],[HH Produtivo
Total]]/MIP[[#This Row],[HH disponível]]</f>
        <v>0.88603412216976518</v>
      </c>
      <c r="AC453" s="38">
        <f>MIP[[#This Row],[HH Trabalhado]]/MIP[[#This Row],[HH disponível]]</f>
        <v>0.88636363636363591</v>
      </c>
      <c r="AD453" s="37" t="str">
        <f>LEFT(MIP[[#This Row],[Equipe]], SEARCH("/",MIP[[#This Row],[Equipe]],1)-1)</f>
        <v xml:space="preserve">EDILTON </v>
      </c>
      <c r="AE453" s="37" t="str">
        <f>RIGHT(MIP[[#This Row],[Equipe]], LEN(MIP[[#This Row],[Equipe]])-SEARCH("/",MIP[[#This Row],[Equipe]],1))</f>
        <v xml:space="preserve"> GECIVALDO</v>
      </c>
      <c r="AF453" s="44">
        <f>COUNTIFS('[1]Tempo parado'!H:H,"&gt;="&amp;MIP[[#This Row],[S.B Sitrack]],'[1]Tempo parado'!I:I,"&lt;="&amp;MIP[[#This Row],[C.B Sitrack]],'[1]Tempo parado'!B:B,MIP[[#This Row],[Placa]])</f>
        <v>0</v>
      </c>
      <c r="AG453" s="36"/>
      <c r="AH453" s="35"/>
      <c r="AI453" s="34"/>
      <c r="AJ453" s="34"/>
      <c r="AK45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5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53" s="32">
        <f>SUMIFS('[1]Tempo parado'!J:J,'[1]Tempo parado'!H:H,"&gt;="&amp;MIP[[#This Row],[S.B Sitrack]],'[1]Tempo parado'!I:I,"&lt;="&amp;MIP[[#This Row],[C.B Sitrack]],'[1]Tempo parado'!B:B,MIP[[#This Row],[Placa]])</f>
        <v>0</v>
      </c>
      <c r="AN453" s="32" t="str">
        <f>IFERROR(MIP[[#This Row],[Tempo parado]]/(MIP[[#This Row],[C.B Sitrack]]-MIP[[#This Row],[S.B Sitrack]]),"")</f>
        <v/>
      </c>
      <c r="AO453" s="30"/>
      <c r="AP453" s="44">
        <f>IF(AND(MIP[Exc]=0,MIP[Previsto / Realizado]="Realizado"),MIP[Sem],0)</f>
        <v>0</v>
      </c>
      <c r="AQ453" s="29">
        <f>IF(AND(MIP[Exc]=0,MIP[Previsto / Realizado]="Realizado",ISBLANK(MIP[[#This Row],[S.B Sitrack]])=FALSE,ISBLANK(MIP[[#This Row],[C.B Sitrack]])=FALSE),MIP[Sem],0)</f>
        <v>0</v>
      </c>
    </row>
    <row r="454" spans="1:43" s="64" customFormat="1" x14ac:dyDescent="0.25">
      <c r="A454" s="11"/>
      <c r="B454" s="44">
        <f>WEEKNUM(MIP[[#This Row],[Data]])</f>
        <v>35</v>
      </c>
      <c r="C454" s="45">
        <v>42976</v>
      </c>
      <c r="D454" s="45"/>
      <c r="E454" s="35" t="s">
        <v>3</v>
      </c>
      <c r="F454" s="35" t="s">
        <v>2</v>
      </c>
      <c r="G454" s="35"/>
      <c r="H454" s="44">
        <v>2</v>
      </c>
      <c r="I454" s="44">
        <v>2</v>
      </c>
      <c r="J454" s="44">
        <v>2</v>
      </c>
      <c r="K454" s="44">
        <v>0</v>
      </c>
      <c r="L454" s="44">
        <v>8</v>
      </c>
      <c r="M454" s="43">
        <v>0.62152777777777779</v>
      </c>
      <c r="N454" s="43">
        <v>0.66666666666666663</v>
      </c>
      <c r="O454" s="43">
        <v>0.87847222222222221</v>
      </c>
      <c r="P454" s="43">
        <f>1+51/24/60</f>
        <v>1.0354166666666667</v>
      </c>
      <c r="Q454" s="39"/>
      <c r="R454" s="42" t="s">
        <v>273</v>
      </c>
      <c r="S454" s="29">
        <f>MIP[[#This Row],[PT-1]]+MIP[[#This Row],[PT-2]]*2+MIP[[#This Row],[PT-3]]*3+MIP[[#This Row],[PT &gt; 3 Pontos]]</f>
        <v>14</v>
      </c>
      <c r="T45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0.20208333333333328</v>
      </c>
      <c r="U454" s="39">
        <f>IF(MIP[[#This Row],[P.S]]-MIP[[#This Row],[U.P]]&gt;=0,MIP[[#This Row],[P.S]]-MIP[[#This Row],[U.P]]+MIP[[#This Row],[S.B]]-MIP[[#This Row],[P.E]],1+MIP[[#This Row],[P.S]]-MIP[[#This Row],[U.P]]+MIP[[#This Row],[S.B]]-MIP[[#This Row],[P.E]])</f>
        <v>0.20208333333333328</v>
      </c>
      <c r="V454" s="41">
        <f>MIP[[#This Row],[Eficiência]]</f>
        <v>1.7624032173255779</v>
      </c>
      <c r="W45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54" s="39">
        <f>IF(MIP[[#This Row],[P.S]]-MIP[[#This Row],[P.E]]&lt;0,1+MIP[[#This Row],[P.S]]-MIP[[#This Row],[P.E]]-1/24,MIP[[#This Row],[P.S]]-MIP[[#This Row],[P.E]]-1/24)</f>
        <v>0.37222222222222218</v>
      </c>
      <c r="Y454" s="39">
        <f>MIP[[#This Row],[PT-1]]*$S$3+MIP[[#This Row],[PT-2]]*$T$3+MIP[[#This Row],[PT-3]]*$U$3+MIP[[#This Row],[PT &gt; 3 Pontos]]*$V$3</f>
        <v>0.29985332516997681</v>
      </c>
      <c r="Z454" s="39">
        <f>MIP[[#This Row],[HH disponível]]-MIP[[#This Row],[HH AC TOT]]</f>
        <v>0.1701388888888889</v>
      </c>
      <c r="AA454" s="38">
        <f>MIP[[#This Row],[HH Produtivo
Total]]/MIP[[#This Row],[HH Trabalhado]]</f>
        <v>1.7624032173255779</v>
      </c>
      <c r="AB454" s="38">
        <f>MIP[[#This Row],[HH Produtivo
Total]]/MIP[[#This Row],[HH disponível]]</f>
        <v>0.80557609747157966</v>
      </c>
      <c r="AC454" s="38">
        <f>MIP[[#This Row],[HH Trabalhado]]/MIP[[#This Row],[HH disponível]]</f>
        <v>0.45708955223880604</v>
      </c>
      <c r="AD454" s="37" t="str">
        <f>LEFT(MIP[[#This Row],[Equipe]], SEARCH("/",MIP[[#This Row],[Equipe]],1)-1)</f>
        <v xml:space="preserve">EDILTON </v>
      </c>
      <c r="AE454" s="37" t="str">
        <f>RIGHT(MIP[[#This Row],[Equipe]], LEN(MIP[[#This Row],[Equipe]])-SEARCH("/",MIP[[#This Row],[Equipe]],1))</f>
        <v xml:space="preserve"> GECIVALDO</v>
      </c>
      <c r="AF454" s="44">
        <f>COUNTIFS('[1]Tempo parado'!H:H,"&gt;="&amp;MIP[[#This Row],[S.B Sitrack]],'[1]Tempo parado'!I:I,"&lt;="&amp;MIP[[#This Row],[C.B Sitrack]],'[1]Tempo parado'!B:B,MIP[[#This Row],[Placa]])</f>
        <v>0</v>
      </c>
      <c r="AG454" s="36"/>
      <c r="AH454" s="35"/>
      <c r="AI454" s="34"/>
      <c r="AJ454" s="34"/>
      <c r="AK45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5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54" s="32">
        <f>SUMIFS('[1]Tempo parado'!J:J,'[1]Tempo parado'!H:H,"&gt;="&amp;MIP[[#This Row],[S.B Sitrack]],'[1]Tempo parado'!I:I,"&lt;="&amp;MIP[[#This Row],[C.B Sitrack]],'[1]Tempo parado'!B:B,MIP[[#This Row],[Placa]])</f>
        <v>0</v>
      </c>
      <c r="AN454" s="32" t="str">
        <f>IFERROR(MIP[[#This Row],[Tempo parado]]/(MIP[[#This Row],[C.B Sitrack]]-MIP[[#This Row],[S.B Sitrack]]),"")</f>
        <v/>
      </c>
      <c r="AO454" s="30"/>
      <c r="AP454" s="44">
        <f>IF(AND(MIP[Exc]=0,MIP[Previsto / Realizado]="Realizado"),MIP[Sem],0)</f>
        <v>35</v>
      </c>
      <c r="AQ454" s="29">
        <f>IF(AND(MIP[Exc]=0,MIP[Previsto / Realizado]="Realizado",ISBLANK(MIP[[#This Row],[S.B Sitrack]])=FALSE,ISBLANK(MIP[[#This Row],[C.B Sitrack]])=FALSE),MIP[Sem],0)</f>
        <v>0</v>
      </c>
    </row>
    <row r="455" spans="1:43" s="47" customFormat="1" x14ac:dyDescent="0.25">
      <c r="A455" s="11"/>
      <c r="B455" s="44">
        <f>WEEKNUM(MIP[[#This Row],[Data]])</f>
        <v>35</v>
      </c>
      <c r="C455" s="45">
        <v>42976</v>
      </c>
      <c r="D455" s="45"/>
      <c r="E455" s="35" t="s">
        <v>19</v>
      </c>
      <c r="F455" s="35" t="s">
        <v>5</v>
      </c>
      <c r="G455" s="35"/>
      <c r="H455" s="44">
        <v>2</v>
      </c>
      <c r="I455" s="44">
        <v>0</v>
      </c>
      <c r="J455" s="44">
        <v>0</v>
      </c>
      <c r="K455" s="44">
        <v>0</v>
      </c>
      <c r="L455" s="44">
        <v>0</v>
      </c>
      <c r="M455" s="43">
        <v>0.625</v>
      </c>
      <c r="N455" s="43">
        <v>0.64583333333333337</v>
      </c>
      <c r="O455" s="43">
        <f>1+18/24/60</f>
        <v>1.0125</v>
      </c>
      <c r="P455" s="43">
        <f>1+48/24/60</f>
        <v>1.0333333333333334</v>
      </c>
      <c r="Q455" s="39"/>
      <c r="R455" s="42" t="s">
        <v>272</v>
      </c>
      <c r="S455" s="29">
        <f>MIP[[#This Row],[PT-1]]+MIP[[#This Row],[PT-2]]*2+MIP[[#This Row],[PT-3]]*3+MIP[[#This Row],[PT &gt; 3 Pontos]]</f>
        <v>0</v>
      </c>
      <c r="T45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455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455" s="41">
        <f>MIP[[#This Row],[Eficiência]]</f>
        <v>0</v>
      </c>
      <c r="W45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55" s="39">
        <f>IF(MIP[[#This Row],[P.S]]-MIP[[#This Row],[P.E]]&lt;0,1+MIP[[#This Row],[P.S]]-MIP[[#This Row],[P.E]]-1/24,MIP[[#This Row],[P.S]]-MIP[[#This Row],[P.E]]-1/24)</f>
        <v>0.36666666666666675</v>
      </c>
      <c r="Y455" s="39">
        <f>MIP[[#This Row],[PT-1]]*$S$3+MIP[[#This Row],[PT-2]]*$T$3+MIP[[#This Row],[PT-3]]*$U$3+MIP[[#This Row],[PT &gt; 3 Pontos]]*$V$3</f>
        <v>0</v>
      </c>
      <c r="Z455" s="39">
        <f>MIP[[#This Row],[HH disponível]]-MIP[[#This Row],[HH AC TOT]]</f>
        <v>0.3249999999999999</v>
      </c>
      <c r="AA455" s="38">
        <f>MIP[[#This Row],[HH Produtivo
Total]]/MIP[[#This Row],[HH Trabalhado]]</f>
        <v>0</v>
      </c>
      <c r="AB455" s="38">
        <f>MIP[[#This Row],[HH Produtivo
Total]]/MIP[[#This Row],[HH disponível]]</f>
        <v>0</v>
      </c>
      <c r="AC455" s="38">
        <f>MIP[[#This Row],[HH Trabalhado]]/MIP[[#This Row],[HH disponível]]</f>
        <v>0.88636363636363591</v>
      </c>
      <c r="AD455" s="37" t="str">
        <f>LEFT(MIP[[#This Row],[Equipe]], SEARCH("/",MIP[[#This Row],[Equipe]],1)-1)</f>
        <v xml:space="preserve">ADEMÁRIO </v>
      </c>
      <c r="AE455" s="37" t="str">
        <f>RIGHT(MIP[[#This Row],[Equipe]], LEN(MIP[[#This Row],[Equipe]])-SEARCH("/",MIP[[#This Row],[Equipe]],1))</f>
        <v xml:space="preserve"> RONALDO</v>
      </c>
      <c r="AF455" s="44">
        <f>COUNTIFS('[1]Tempo parado'!H:H,"&gt;="&amp;MIP[[#This Row],[S.B Sitrack]],'[1]Tempo parado'!I:I,"&lt;="&amp;MIP[[#This Row],[C.B Sitrack]],'[1]Tempo parado'!B:B,MIP[[#This Row],[Placa]])</f>
        <v>0</v>
      </c>
      <c r="AG455" s="36"/>
      <c r="AH455" s="35"/>
      <c r="AI455" s="34"/>
      <c r="AJ455" s="34"/>
      <c r="AK45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5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55" s="32">
        <f>SUMIFS('[1]Tempo parado'!J:J,'[1]Tempo parado'!H:H,"&gt;="&amp;MIP[[#This Row],[S.B Sitrack]],'[1]Tempo parado'!I:I,"&lt;="&amp;MIP[[#This Row],[C.B Sitrack]],'[1]Tempo parado'!B:B,MIP[[#This Row],[Placa]])</f>
        <v>0</v>
      </c>
      <c r="AN455" s="32" t="str">
        <f>IFERROR(MIP[[#This Row],[Tempo parado]]/(MIP[[#This Row],[C.B Sitrack]]-MIP[[#This Row],[S.B Sitrack]]),"")</f>
        <v/>
      </c>
      <c r="AO455" s="30"/>
      <c r="AP455" s="44">
        <f>IF(AND(MIP[Exc]=0,MIP[Previsto / Realizado]="Realizado"),MIP[Sem],0)</f>
        <v>0</v>
      </c>
      <c r="AQ455" s="29">
        <f>IF(AND(MIP[Exc]=0,MIP[Previsto / Realizado]="Realizado",ISBLANK(MIP[[#This Row],[S.B Sitrack]])=FALSE,ISBLANK(MIP[[#This Row],[C.B Sitrack]])=FALSE),MIP[Sem],0)</f>
        <v>0</v>
      </c>
    </row>
    <row r="456" spans="1:43" s="64" customFormat="1" x14ac:dyDescent="0.25">
      <c r="A456" s="11"/>
      <c r="B456" s="44">
        <f>WEEKNUM(MIP[[#This Row],[Data]])</f>
        <v>35</v>
      </c>
      <c r="C456" s="45">
        <v>42976</v>
      </c>
      <c r="D456" s="45"/>
      <c r="E456" s="35" t="s">
        <v>19</v>
      </c>
      <c r="F456" s="35" t="s">
        <v>2</v>
      </c>
      <c r="G456" s="35"/>
      <c r="H456" s="44">
        <v>2</v>
      </c>
      <c r="I456" s="44">
        <v>0</v>
      </c>
      <c r="J456" s="44">
        <v>0</v>
      </c>
      <c r="K456" s="44">
        <v>0</v>
      </c>
      <c r="L456" s="44">
        <v>0</v>
      </c>
      <c r="M456" s="43">
        <v>0.64722222222222225</v>
      </c>
      <c r="N456" s="43">
        <v>0.67083333333333339</v>
      </c>
      <c r="O456" s="43">
        <v>0.98611111111111116</v>
      </c>
      <c r="P456" s="43">
        <f>1+54/24/60</f>
        <v>1.0375000000000001</v>
      </c>
      <c r="Q456" s="39"/>
      <c r="R456" s="42" t="s">
        <v>271</v>
      </c>
      <c r="S456" s="29">
        <f>MIP[[#This Row],[PT-1]]+MIP[[#This Row],[PT-2]]*2+MIP[[#This Row],[PT-3]]*3+MIP[[#This Row],[PT &gt; 3 Pontos]]</f>
        <v>0</v>
      </c>
      <c r="T45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7.5000000000000067E-2</v>
      </c>
      <c r="U456" s="39">
        <f>IF(MIP[[#This Row],[P.S]]-MIP[[#This Row],[U.P]]&gt;=0,MIP[[#This Row],[P.S]]-MIP[[#This Row],[U.P]]+MIP[[#This Row],[S.B]]-MIP[[#This Row],[P.E]],1+MIP[[#This Row],[P.S]]-MIP[[#This Row],[U.P]]+MIP[[#This Row],[S.B]]-MIP[[#This Row],[P.E]])</f>
        <v>7.5000000000000067E-2</v>
      </c>
      <c r="V456" s="41">
        <f>MIP[[#This Row],[Eficiência]]</f>
        <v>0</v>
      </c>
      <c r="W45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56" s="39">
        <f>IF(MIP[[#This Row],[P.S]]-MIP[[#This Row],[P.E]]&lt;0,1+MIP[[#This Row],[P.S]]-MIP[[#This Row],[P.E]]-1/24,MIP[[#This Row],[P.S]]-MIP[[#This Row],[P.E]]-1/24)</f>
        <v>0.34861111111111115</v>
      </c>
      <c r="Y456" s="39">
        <f>MIP[[#This Row],[PT-1]]*$S$3+MIP[[#This Row],[PT-2]]*$T$3+MIP[[#This Row],[PT-3]]*$U$3+MIP[[#This Row],[PT &gt; 3 Pontos]]*$V$3</f>
        <v>0</v>
      </c>
      <c r="Z456" s="39">
        <f>MIP[[#This Row],[HH disponível]]-MIP[[#This Row],[HH AC TOT]]</f>
        <v>0.27361111111111108</v>
      </c>
      <c r="AA456" s="38">
        <f>MIP[[#This Row],[HH Produtivo
Total]]/MIP[[#This Row],[HH Trabalhado]]</f>
        <v>0</v>
      </c>
      <c r="AB456" s="38">
        <f>MIP[[#This Row],[HH Produtivo
Total]]/MIP[[#This Row],[HH disponível]]</f>
        <v>0</v>
      </c>
      <c r="AC456" s="38">
        <f>MIP[[#This Row],[HH Trabalhado]]/MIP[[#This Row],[HH disponível]]</f>
        <v>0.78486055776892416</v>
      </c>
      <c r="AD456" s="37" t="str">
        <f>LEFT(MIP[[#This Row],[Equipe]], SEARCH("/",MIP[[#This Row],[Equipe]],1)-1)</f>
        <v xml:space="preserve">ADEMÁRIO </v>
      </c>
      <c r="AE456" s="37" t="str">
        <f>RIGHT(MIP[[#This Row],[Equipe]], LEN(MIP[[#This Row],[Equipe]])-SEARCH("/",MIP[[#This Row],[Equipe]],1))</f>
        <v xml:space="preserve"> RONALDO</v>
      </c>
      <c r="AF456" s="44">
        <f>COUNTIFS('[1]Tempo parado'!H:H,"&gt;="&amp;MIP[[#This Row],[S.B Sitrack]],'[1]Tempo parado'!I:I,"&lt;="&amp;MIP[[#This Row],[C.B Sitrack]],'[1]Tempo parado'!B:B,MIP[[#This Row],[Placa]])</f>
        <v>0</v>
      </c>
      <c r="AG456" s="36"/>
      <c r="AH456" s="35"/>
      <c r="AI456" s="34"/>
      <c r="AJ456" s="34"/>
      <c r="AK45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5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56" s="32">
        <f>SUMIFS('[1]Tempo parado'!J:J,'[1]Tempo parado'!H:H,"&gt;="&amp;MIP[[#This Row],[S.B Sitrack]],'[1]Tempo parado'!I:I,"&lt;="&amp;MIP[[#This Row],[C.B Sitrack]],'[1]Tempo parado'!B:B,MIP[[#This Row],[Placa]])</f>
        <v>0</v>
      </c>
      <c r="AN456" s="32" t="str">
        <f>IFERROR(MIP[[#This Row],[Tempo parado]]/(MIP[[#This Row],[C.B Sitrack]]-MIP[[#This Row],[S.B Sitrack]]),"")</f>
        <v/>
      </c>
      <c r="AO456" s="30"/>
      <c r="AP456" s="44">
        <f>IF(AND(MIP[Exc]=0,MIP[Previsto / Realizado]="Realizado"),MIP[Sem],0)</f>
        <v>35</v>
      </c>
      <c r="AQ456" s="29">
        <f>IF(AND(MIP[Exc]=0,MIP[Previsto / Realizado]="Realizado",ISBLANK(MIP[[#This Row],[S.B Sitrack]])=FALSE,ISBLANK(MIP[[#This Row],[C.B Sitrack]])=FALSE),MIP[Sem],0)</f>
        <v>0</v>
      </c>
    </row>
    <row r="457" spans="1:43" s="47" customFormat="1" x14ac:dyDescent="0.25">
      <c r="A457" s="11"/>
      <c r="B457" s="44">
        <f>WEEKNUM(MIP[[#This Row],[Data]])</f>
        <v>35</v>
      </c>
      <c r="C457" s="45">
        <v>42977</v>
      </c>
      <c r="D457" s="45"/>
      <c r="E457" s="35" t="s">
        <v>10</v>
      </c>
      <c r="F457" s="35" t="s">
        <v>5</v>
      </c>
      <c r="G457" s="35"/>
      <c r="H457" s="44">
        <v>2</v>
      </c>
      <c r="I457" s="44">
        <v>3</v>
      </c>
      <c r="J457" s="44">
        <v>1</v>
      </c>
      <c r="K457" s="44">
        <v>0</v>
      </c>
      <c r="L457" s="44">
        <v>0</v>
      </c>
      <c r="M457" s="43">
        <v>0.25</v>
      </c>
      <c r="N457" s="43">
        <v>0.27083333333333331</v>
      </c>
      <c r="O457" s="43">
        <v>0.63750000000000007</v>
      </c>
      <c r="P457" s="43">
        <v>0.65833333333333333</v>
      </c>
      <c r="Q457" s="39"/>
      <c r="R457" s="42" t="s">
        <v>270</v>
      </c>
      <c r="S457" s="29">
        <f>MIP[[#This Row],[PT-1]]+MIP[[#This Row],[PT-2]]*2+MIP[[#This Row],[PT-3]]*3+MIP[[#This Row],[PT &gt; 3 Pontos]]</f>
        <v>5</v>
      </c>
      <c r="T45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457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457" s="41">
        <f>MIP[[#This Row],[Eficiência]]</f>
        <v>0.3661117691688342</v>
      </c>
      <c r="W45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57" s="39">
        <f>IF(MIP[[#This Row],[P.S]]-MIP[[#This Row],[P.E]]&lt;0,1+MIP[[#This Row],[P.S]]-MIP[[#This Row],[P.E]]-1/24,MIP[[#This Row],[P.S]]-MIP[[#This Row],[P.E]]-1/24)</f>
        <v>0.36666666666666664</v>
      </c>
      <c r="Y457" s="39">
        <f>MIP[[#This Row],[PT-1]]*$S$3+MIP[[#This Row],[PT-2]]*$T$3+MIP[[#This Row],[PT-3]]*$U$3+MIP[[#This Row],[PT &gt; 3 Pontos]]*$V$3</f>
        <v>0.11898632497987113</v>
      </c>
      <c r="Z457" s="39">
        <f>MIP[[#This Row],[HH disponível]]-MIP[[#This Row],[HH AC TOT]]</f>
        <v>0.32500000000000007</v>
      </c>
      <c r="AA457" s="38">
        <f>MIP[[#This Row],[HH Produtivo
Total]]/MIP[[#This Row],[HH Trabalhado]]</f>
        <v>0.3661117691688342</v>
      </c>
      <c r="AB457" s="38">
        <f>MIP[[#This Row],[HH Produtivo
Total]]/MIP[[#This Row],[HH disponível]]</f>
        <v>0.32450815903601221</v>
      </c>
      <c r="AC457" s="38">
        <f>MIP[[#This Row],[HH Trabalhado]]/MIP[[#This Row],[HH disponível]]</f>
        <v>0.88636363636363658</v>
      </c>
      <c r="AD457" s="37" t="str">
        <f>LEFT(MIP[[#This Row],[Equipe]], SEARCH("/",MIP[[#This Row],[Equipe]],1)-1)</f>
        <v xml:space="preserve">JOILSON </v>
      </c>
      <c r="AE457" s="37" t="str">
        <f>RIGHT(MIP[[#This Row],[Equipe]], LEN(MIP[[#This Row],[Equipe]])-SEARCH("/",MIP[[#This Row],[Equipe]],1))</f>
        <v xml:space="preserve"> VALDEI</v>
      </c>
      <c r="AF457" s="44">
        <f>COUNTIFS('[1]Tempo parado'!H:H,"&gt;="&amp;MIP[[#This Row],[S.B Sitrack]],'[1]Tempo parado'!I:I,"&lt;="&amp;MIP[[#This Row],[C.B Sitrack]],'[1]Tempo parado'!B:B,MIP[[#This Row],[Placa]])</f>
        <v>0</v>
      </c>
      <c r="AG457" s="36"/>
      <c r="AH457" s="35"/>
      <c r="AI457" s="34"/>
      <c r="AJ457" s="34"/>
      <c r="AK45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5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57" s="32">
        <f>SUMIFS('[1]Tempo parado'!J:J,'[1]Tempo parado'!H:H,"&gt;="&amp;MIP[[#This Row],[S.B Sitrack]],'[1]Tempo parado'!I:I,"&lt;="&amp;MIP[[#This Row],[C.B Sitrack]],'[1]Tempo parado'!B:B,MIP[[#This Row],[Placa]])</f>
        <v>0</v>
      </c>
      <c r="AN457" s="32" t="str">
        <f>IFERROR(MIP[[#This Row],[Tempo parado]]/(MIP[[#This Row],[C.B Sitrack]]-MIP[[#This Row],[S.B Sitrack]]),"")</f>
        <v/>
      </c>
      <c r="AO457" s="30"/>
      <c r="AP457" s="44">
        <f>IF(AND(MIP[Exc]=0,MIP[Previsto / Realizado]="Realizado"),MIP[Sem],0)</f>
        <v>0</v>
      </c>
      <c r="AQ457" s="29">
        <f>IF(AND(MIP[Exc]=0,MIP[Previsto / Realizado]="Realizado",ISBLANK(MIP[[#This Row],[S.B Sitrack]])=FALSE,ISBLANK(MIP[[#This Row],[C.B Sitrack]])=FALSE),MIP[Sem],0)</f>
        <v>0</v>
      </c>
    </row>
    <row r="458" spans="1:43" s="64" customFormat="1" x14ac:dyDescent="0.25">
      <c r="A458" s="11"/>
      <c r="B458" s="44">
        <f>WEEKNUM(MIP[[#This Row],[Data]])</f>
        <v>35</v>
      </c>
      <c r="C458" s="45">
        <v>42977</v>
      </c>
      <c r="D458" s="45"/>
      <c r="E458" s="35" t="s">
        <v>10</v>
      </c>
      <c r="F458" s="35" t="s">
        <v>2</v>
      </c>
      <c r="G458" s="35"/>
      <c r="H458" s="44">
        <v>2</v>
      </c>
      <c r="I458" s="44">
        <v>4</v>
      </c>
      <c r="J458" s="44">
        <v>2</v>
      </c>
      <c r="K458" s="44">
        <v>1</v>
      </c>
      <c r="L458" s="44">
        <v>0</v>
      </c>
      <c r="M458" s="43">
        <v>0.24791666666666667</v>
      </c>
      <c r="N458" s="43">
        <v>0.2722222222222222</v>
      </c>
      <c r="O458" s="43">
        <v>0.57638888888888895</v>
      </c>
      <c r="P458" s="43">
        <v>0.65833333333333333</v>
      </c>
      <c r="Q458" s="39"/>
      <c r="R458" s="42" t="s">
        <v>269</v>
      </c>
      <c r="S458" s="29">
        <f>MIP[[#This Row],[PT-1]]+MIP[[#This Row],[PT-2]]*2+MIP[[#This Row],[PT-3]]*3+MIP[[#This Row],[PT &gt; 3 Pontos]]</f>
        <v>11</v>
      </c>
      <c r="T45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0.1062499999999999</v>
      </c>
      <c r="U458" s="39">
        <f>IF(MIP[[#This Row],[P.S]]-MIP[[#This Row],[U.P]]&gt;=0,MIP[[#This Row],[P.S]]-MIP[[#This Row],[U.P]]+MIP[[#This Row],[S.B]]-MIP[[#This Row],[P.E]],1+MIP[[#This Row],[P.S]]-MIP[[#This Row],[U.P]]+MIP[[#This Row],[S.B]]-MIP[[#This Row],[P.E]])</f>
        <v>0.1062499999999999</v>
      </c>
      <c r="V458" s="41">
        <f>MIP[[#This Row],[Eficiência]]</f>
        <v>0.95509570776780872</v>
      </c>
      <c r="W45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58" s="39">
        <f>IF(MIP[[#This Row],[P.S]]-MIP[[#This Row],[P.E]]&lt;0,1+MIP[[#This Row],[P.S]]-MIP[[#This Row],[P.E]]-1/24,MIP[[#This Row],[P.S]]-MIP[[#This Row],[P.E]]-1/24)</f>
        <v>0.36874999999999997</v>
      </c>
      <c r="Y458" s="39">
        <f>MIP[[#This Row],[PT-1]]*$S$3+MIP[[#This Row],[PT-2]]*$T$3+MIP[[#This Row],[PT-3]]*$U$3+MIP[[#This Row],[PT &gt; 3 Pontos]]*$V$3</f>
        <v>0.25071262328904986</v>
      </c>
      <c r="Z458" s="39">
        <f>MIP[[#This Row],[HH disponível]]-MIP[[#This Row],[HH AC TOT]]</f>
        <v>0.26250000000000007</v>
      </c>
      <c r="AA458" s="38">
        <f>MIP[[#This Row],[HH Produtivo
Total]]/MIP[[#This Row],[HH Trabalhado]]</f>
        <v>0.95509570776780872</v>
      </c>
      <c r="AB458" s="38">
        <f>MIP[[#This Row],[HH Produtivo
Total]]/MIP[[#This Row],[HH disponível]]</f>
        <v>0.67989863942793194</v>
      </c>
      <c r="AC458" s="38">
        <f>MIP[[#This Row],[HH Trabalhado]]/MIP[[#This Row],[HH disponível]]</f>
        <v>0.71186440677966123</v>
      </c>
      <c r="AD458" s="37" t="str">
        <f>LEFT(MIP[[#This Row],[Equipe]], SEARCH("/",MIP[[#This Row],[Equipe]],1)-1)</f>
        <v xml:space="preserve">JOILSON </v>
      </c>
      <c r="AE458" s="37" t="str">
        <f>RIGHT(MIP[[#This Row],[Equipe]], LEN(MIP[[#This Row],[Equipe]])-SEARCH("/",MIP[[#This Row],[Equipe]],1))</f>
        <v xml:space="preserve"> VALDEI</v>
      </c>
      <c r="AF458" s="44">
        <f>COUNTIFS('[1]Tempo parado'!H:H,"&gt;="&amp;MIP[[#This Row],[S.B Sitrack]],'[1]Tempo parado'!I:I,"&lt;="&amp;MIP[[#This Row],[C.B Sitrack]],'[1]Tempo parado'!B:B,MIP[[#This Row],[Placa]])</f>
        <v>0</v>
      </c>
      <c r="AG458" s="36"/>
      <c r="AH458" s="35"/>
      <c r="AI458" s="34"/>
      <c r="AJ458" s="34"/>
      <c r="AK45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5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58" s="32">
        <f>SUMIFS('[1]Tempo parado'!J:J,'[1]Tempo parado'!H:H,"&gt;="&amp;MIP[[#This Row],[S.B Sitrack]],'[1]Tempo parado'!I:I,"&lt;="&amp;MIP[[#This Row],[C.B Sitrack]],'[1]Tempo parado'!B:B,MIP[[#This Row],[Placa]])</f>
        <v>0</v>
      </c>
      <c r="AN458" s="32" t="str">
        <f>IFERROR(MIP[[#This Row],[Tempo parado]]/(MIP[[#This Row],[C.B Sitrack]]-MIP[[#This Row],[S.B Sitrack]]),"")</f>
        <v/>
      </c>
      <c r="AO458" s="30"/>
      <c r="AP458" s="44">
        <f>IF(AND(MIP[Exc]=0,MIP[Previsto / Realizado]="Realizado"),MIP[Sem],0)</f>
        <v>35</v>
      </c>
      <c r="AQ458" s="29">
        <f>IF(AND(MIP[Exc]=0,MIP[Previsto / Realizado]="Realizado",ISBLANK(MIP[[#This Row],[S.B Sitrack]])=FALSE,ISBLANK(MIP[[#This Row],[C.B Sitrack]])=FALSE),MIP[Sem],0)</f>
        <v>0</v>
      </c>
    </row>
    <row r="459" spans="1:43" s="47" customFormat="1" x14ac:dyDescent="0.25">
      <c r="A459" s="11"/>
      <c r="B459" s="44">
        <f>WEEKNUM(MIP[[#This Row],[Data]])</f>
        <v>35</v>
      </c>
      <c r="C459" s="45">
        <v>42977</v>
      </c>
      <c r="D459" s="45"/>
      <c r="E459" s="35" t="s">
        <v>3</v>
      </c>
      <c r="F459" s="35" t="s">
        <v>5</v>
      </c>
      <c r="G459" s="35"/>
      <c r="H459" s="44">
        <v>2</v>
      </c>
      <c r="I459" s="44">
        <v>2</v>
      </c>
      <c r="J459" s="44">
        <v>2</v>
      </c>
      <c r="K459" s="44">
        <v>1</v>
      </c>
      <c r="L459" s="44">
        <v>4</v>
      </c>
      <c r="M459" s="43">
        <v>0.625</v>
      </c>
      <c r="N459" s="43">
        <v>0.64583333333333337</v>
      </c>
      <c r="O459" s="43">
        <f>1+18/24/60</f>
        <v>1.0125</v>
      </c>
      <c r="P459" s="43">
        <f>1+48/24/60</f>
        <v>1.0333333333333334</v>
      </c>
      <c r="Q459" s="39"/>
      <c r="R459" s="42" t="s">
        <v>201</v>
      </c>
      <c r="S459" s="29">
        <f>MIP[[#This Row],[PT-1]]+MIP[[#This Row],[PT-2]]*2+MIP[[#This Row],[PT-3]]*3+MIP[[#This Row],[PT &gt; 3 Pontos]]</f>
        <v>13</v>
      </c>
      <c r="T45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459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459" s="41">
        <f>MIP[[#This Row],[Eficiência]]</f>
        <v>0.8666244950589761</v>
      </c>
      <c r="W45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59" s="39">
        <f>IF(MIP[[#This Row],[P.S]]-MIP[[#This Row],[P.E]]&lt;0,1+MIP[[#This Row],[P.S]]-MIP[[#This Row],[P.E]]-1/24,MIP[[#This Row],[P.S]]-MIP[[#This Row],[P.E]]-1/24)</f>
        <v>0.36666666666666675</v>
      </c>
      <c r="Y459" s="39">
        <f>MIP[[#This Row],[PT-1]]*$S$3+MIP[[#This Row],[PT-2]]*$T$3+MIP[[#This Row],[PT-3]]*$U$3+MIP[[#This Row],[PT &gt; 3 Pontos]]*$V$3</f>
        <v>0.28165296089416714</v>
      </c>
      <c r="Z459" s="39">
        <f>MIP[[#This Row],[HH disponível]]-MIP[[#This Row],[HH AC TOT]]</f>
        <v>0.3249999999999999</v>
      </c>
      <c r="AA459" s="38">
        <f>MIP[[#This Row],[HH Produtivo
Total]]/MIP[[#This Row],[HH Trabalhado]]</f>
        <v>0.8666244950589761</v>
      </c>
      <c r="AB459" s="38">
        <f>MIP[[#This Row],[HH Produtivo
Total]]/MIP[[#This Row],[HH disponível]]</f>
        <v>0.76814443880227379</v>
      </c>
      <c r="AC459" s="38">
        <f>MIP[[#This Row],[HH Trabalhado]]/MIP[[#This Row],[HH disponível]]</f>
        <v>0.88636363636363591</v>
      </c>
      <c r="AD459" s="37" t="str">
        <f>LEFT(MIP[[#This Row],[Equipe]], SEARCH("/",MIP[[#This Row],[Equipe]],1)-1)</f>
        <v xml:space="preserve">EDILTON </v>
      </c>
      <c r="AE459" s="37" t="str">
        <f>RIGHT(MIP[[#This Row],[Equipe]], LEN(MIP[[#This Row],[Equipe]])-SEARCH("/",MIP[[#This Row],[Equipe]],1))</f>
        <v xml:space="preserve"> GECIVALDO</v>
      </c>
      <c r="AF459" s="44">
        <f>COUNTIFS('[1]Tempo parado'!H:H,"&gt;="&amp;MIP[[#This Row],[S.B Sitrack]],'[1]Tempo parado'!I:I,"&lt;="&amp;MIP[[#This Row],[C.B Sitrack]],'[1]Tempo parado'!B:B,MIP[[#This Row],[Placa]])</f>
        <v>0</v>
      </c>
      <c r="AG459" s="36"/>
      <c r="AH459" s="35"/>
      <c r="AI459" s="34"/>
      <c r="AJ459" s="34"/>
      <c r="AK45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5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59" s="32">
        <f>SUMIFS('[1]Tempo parado'!J:J,'[1]Tempo parado'!H:H,"&gt;="&amp;MIP[[#This Row],[S.B Sitrack]],'[1]Tempo parado'!I:I,"&lt;="&amp;MIP[[#This Row],[C.B Sitrack]],'[1]Tempo parado'!B:B,MIP[[#This Row],[Placa]])</f>
        <v>0</v>
      </c>
      <c r="AN459" s="32" t="str">
        <f>IFERROR(MIP[[#This Row],[Tempo parado]]/(MIP[[#This Row],[C.B Sitrack]]-MIP[[#This Row],[S.B Sitrack]]),"")</f>
        <v/>
      </c>
      <c r="AO459" s="30"/>
      <c r="AP459" s="44">
        <f>IF(AND(MIP[Exc]=0,MIP[Previsto / Realizado]="Realizado"),MIP[Sem],0)</f>
        <v>0</v>
      </c>
      <c r="AQ459" s="29">
        <f>IF(AND(MIP[Exc]=0,MIP[Previsto / Realizado]="Realizado",ISBLANK(MIP[[#This Row],[S.B Sitrack]])=FALSE,ISBLANK(MIP[[#This Row],[C.B Sitrack]])=FALSE),MIP[Sem],0)</f>
        <v>0</v>
      </c>
    </row>
    <row r="460" spans="1:43" s="64" customFormat="1" x14ac:dyDescent="0.25">
      <c r="A460" s="11"/>
      <c r="B460" s="44">
        <f>WEEKNUM(MIP[[#This Row],[Data]])</f>
        <v>35</v>
      </c>
      <c r="C460" s="45">
        <v>42977</v>
      </c>
      <c r="D460" s="45"/>
      <c r="E460" s="35" t="s">
        <v>3</v>
      </c>
      <c r="F460" s="35" t="s">
        <v>2</v>
      </c>
      <c r="G460" s="35"/>
      <c r="H460" s="44">
        <v>2</v>
      </c>
      <c r="I460" s="44">
        <v>5</v>
      </c>
      <c r="J460" s="44">
        <v>2</v>
      </c>
      <c r="K460" s="44">
        <v>1</v>
      </c>
      <c r="L460" s="44">
        <v>4</v>
      </c>
      <c r="M460" s="43">
        <v>0.63124999999999998</v>
      </c>
      <c r="N460" s="43">
        <v>0.67499999999999993</v>
      </c>
      <c r="O460" s="43">
        <v>0.97430555555555554</v>
      </c>
      <c r="P460" s="43">
        <f>1+48/24/60</f>
        <v>1.0333333333333334</v>
      </c>
      <c r="Q460" s="39"/>
      <c r="R460" s="42" t="s">
        <v>268</v>
      </c>
      <c r="S460" s="29">
        <f>MIP[[#This Row],[PT-1]]+MIP[[#This Row],[PT-2]]*2+MIP[[#This Row],[PT-3]]*3+MIP[[#This Row],[PT &gt; 3 Pontos]]</f>
        <v>16</v>
      </c>
      <c r="T46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0.10277777777777786</v>
      </c>
      <c r="U460" s="39">
        <f>IF(MIP[[#This Row],[P.S]]-MIP[[#This Row],[U.P]]&gt;=0,MIP[[#This Row],[P.S]]-MIP[[#This Row],[U.P]]+MIP[[#This Row],[S.B]]-MIP[[#This Row],[P.E]],1+MIP[[#This Row],[P.S]]-MIP[[#This Row],[U.P]]+MIP[[#This Row],[S.B]]-MIP[[#This Row],[P.E]])</f>
        <v>0.10277777777777786</v>
      </c>
      <c r="V460" s="41">
        <f>MIP[[#This Row],[Eficiência]]</f>
        <v>1.38461441636175</v>
      </c>
      <c r="W46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60" s="39">
        <f>IF(MIP[[#This Row],[P.S]]-MIP[[#This Row],[P.E]]&lt;0,1+MIP[[#This Row],[P.S]]-MIP[[#This Row],[P.E]]-1/24,MIP[[#This Row],[P.S]]-MIP[[#This Row],[P.E]]-1/24)</f>
        <v>0.36041666666666677</v>
      </c>
      <c r="Y460" s="39">
        <f>MIP[[#This Row],[PT-1]]*$S$3+MIP[[#This Row],[PT-2]]*$T$3+MIP[[#This Row],[PT-3]]*$U$3+MIP[[#This Row],[PT &gt; 3 Pontos]]*$V$3</f>
        <v>0.35673051977097869</v>
      </c>
      <c r="Z460" s="39">
        <f>MIP[[#This Row],[HH disponível]]-MIP[[#This Row],[HH AC TOT]]</f>
        <v>0.25763888888888892</v>
      </c>
      <c r="AA460" s="38">
        <f>MIP[[#This Row],[HH Produtivo
Total]]/MIP[[#This Row],[HH Trabalhado]]</f>
        <v>1.38461441636175</v>
      </c>
      <c r="AB460" s="38">
        <f>MIP[[#This Row],[HH Produtivo
Total]]/MIP[[#This Row],[HH disponível]]</f>
        <v>0.98977254040502727</v>
      </c>
      <c r="AC460" s="38">
        <f>MIP[[#This Row],[HH Trabalhado]]/MIP[[#This Row],[HH disponível]]</f>
        <v>0.71483622350674358</v>
      </c>
      <c r="AD460" s="37" t="str">
        <f>LEFT(MIP[[#This Row],[Equipe]], SEARCH("/",MIP[[#This Row],[Equipe]],1)-1)</f>
        <v xml:space="preserve">EDILTON </v>
      </c>
      <c r="AE460" s="37" t="str">
        <f>RIGHT(MIP[[#This Row],[Equipe]], LEN(MIP[[#This Row],[Equipe]])-SEARCH("/",MIP[[#This Row],[Equipe]],1))</f>
        <v xml:space="preserve"> GECIVALDO</v>
      </c>
      <c r="AF460" s="44">
        <f>COUNTIFS('[1]Tempo parado'!H:H,"&gt;="&amp;MIP[[#This Row],[S.B Sitrack]],'[1]Tempo parado'!I:I,"&lt;="&amp;MIP[[#This Row],[C.B Sitrack]],'[1]Tempo parado'!B:B,MIP[[#This Row],[Placa]])</f>
        <v>0</v>
      </c>
      <c r="AG460" s="36"/>
      <c r="AH460" s="35"/>
      <c r="AI460" s="34"/>
      <c r="AJ460" s="34"/>
      <c r="AK46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6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60" s="32">
        <f>SUMIFS('[1]Tempo parado'!J:J,'[1]Tempo parado'!H:H,"&gt;="&amp;MIP[[#This Row],[S.B Sitrack]],'[1]Tempo parado'!I:I,"&lt;="&amp;MIP[[#This Row],[C.B Sitrack]],'[1]Tempo parado'!B:B,MIP[[#This Row],[Placa]])</f>
        <v>0</v>
      </c>
      <c r="AN460" s="32" t="str">
        <f>IFERROR(MIP[[#This Row],[Tempo parado]]/(MIP[[#This Row],[C.B Sitrack]]-MIP[[#This Row],[S.B Sitrack]]),"")</f>
        <v/>
      </c>
      <c r="AO460" s="30"/>
      <c r="AP460" s="44">
        <f>IF(AND(MIP[Exc]=0,MIP[Previsto / Realizado]="Realizado"),MIP[Sem],0)</f>
        <v>35</v>
      </c>
      <c r="AQ460" s="29">
        <f>IF(AND(MIP[Exc]=0,MIP[Previsto / Realizado]="Realizado",ISBLANK(MIP[[#This Row],[S.B Sitrack]])=FALSE,ISBLANK(MIP[[#This Row],[C.B Sitrack]])=FALSE),MIP[Sem],0)</f>
        <v>0</v>
      </c>
    </row>
    <row r="461" spans="1:43" s="47" customFormat="1" x14ac:dyDescent="0.25">
      <c r="A461" s="11"/>
      <c r="B461" s="44">
        <f>WEEKNUM(MIP[[#This Row],[Data]])</f>
        <v>35</v>
      </c>
      <c r="C461" s="45">
        <v>42977</v>
      </c>
      <c r="D461" s="45"/>
      <c r="E461" s="35" t="s">
        <v>19</v>
      </c>
      <c r="F461" s="35" t="s">
        <v>5</v>
      </c>
      <c r="G461" s="35"/>
      <c r="H461" s="44">
        <v>2</v>
      </c>
      <c r="I461" s="44">
        <v>6</v>
      </c>
      <c r="J461" s="44">
        <v>1</v>
      </c>
      <c r="K461" s="44">
        <v>0</v>
      </c>
      <c r="L461" s="44">
        <v>5</v>
      </c>
      <c r="M461" s="43">
        <v>0.625</v>
      </c>
      <c r="N461" s="43">
        <v>0.64583333333333337</v>
      </c>
      <c r="O461" s="43">
        <f>1+18/24/60</f>
        <v>1.0125</v>
      </c>
      <c r="P461" s="43">
        <f>1+48/24/60</f>
        <v>1.0333333333333334</v>
      </c>
      <c r="Q461" s="39"/>
      <c r="R461" s="42" t="s">
        <v>201</v>
      </c>
      <c r="S461" s="29">
        <f>MIP[[#This Row],[PT-1]]+MIP[[#This Row],[PT-2]]*2+MIP[[#This Row],[PT-3]]*3+MIP[[#This Row],[PT &gt; 3 Pontos]]</f>
        <v>13</v>
      </c>
      <c r="T46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461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461" s="41">
        <f>MIP[[#This Row],[Eficiência]]</f>
        <v>0.90862750233976097</v>
      </c>
      <c r="W46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61" s="39">
        <f>IF(MIP[[#This Row],[P.S]]-MIP[[#This Row],[P.E]]&lt;0,1+MIP[[#This Row],[P.S]]-MIP[[#This Row],[P.E]]-1/24,MIP[[#This Row],[P.S]]-MIP[[#This Row],[P.E]]-1/24)</f>
        <v>0.36666666666666675</v>
      </c>
      <c r="Y461" s="39">
        <f>MIP[[#This Row],[PT-1]]*$S$3+MIP[[#This Row],[PT-2]]*$T$3+MIP[[#This Row],[PT-3]]*$U$3+MIP[[#This Row],[PT &gt; 3 Pontos]]*$V$3</f>
        <v>0.29530393826042223</v>
      </c>
      <c r="Z461" s="39">
        <f>MIP[[#This Row],[HH disponível]]-MIP[[#This Row],[HH AC TOT]]</f>
        <v>0.3249999999999999</v>
      </c>
      <c r="AA461" s="38">
        <f>MIP[[#This Row],[HH Produtivo
Total]]/MIP[[#This Row],[HH Trabalhado]]</f>
        <v>0.90862750233976097</v>
      </c>
      <c r="AB461" s="38">
        <f>MIP[[#This Row],[HH Produtivo
Total]]/MIP[[#This Row],[HH disponível]]</f>
        <v>0.8053743770738786</v>
      </c>
      <c r="AC461" s="38">
        <f>MIP[[#This Row],[HH Trabalhado]]/MIP[[#This Row],[HH disponível]]</f>
        <v>0.88636363636363591</v>
      </c>
      <c r="AD461" s="37" t="str">
        <f>LEFT(MIP[[#This Row],[Equipe]], SEARCH("/",MIP[[#This Row],[Equipe]],1)-1)</f>
        <v xml:space="preserve">ADEMÁRIO </v>
      </c>
      <c r="AE461" s="37" t="str">
        <f>RIGHT(MIP[[#This Row],[Equipe]], LEN(MIP[[#This Row],[Equipe]])-SEARCH("/",MIP[[#This Row],[Equipe]],1))</f>
        <v xml:space="preserve"> RONALDO</v>
      </c>
      <c r="AF461" s="44">
        <f>COUNTIFS('[1]Tempo parado'!H:H,"&gt;="&amp;MIP[[#This Row],[S.B Sitrack]],'[1]Tempo parado'!I:I,"&lt;="&amp;MIP[[#This Row],[C.B Sitrack]],'[1]Tempo parado'!B:B,MIP[[#This Row],[Placa]])</f>
        <v>0</v>
      </c>
      <c r="AG461" s="36"/>
      <c r="AH461" s="35"/>
      <c r="AI461" s="34"/>
      <c r="AJ461" s="34"/>
      <c r="AK46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6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61" s="32">
        <f>SUMIFS('[1]Tempo parado'!J:J,'[1]Tempo parado'!H:H,"&gt;="&amp;MIP[[#This Row],[S.B Sitrack]],'[1]Tempo parado'!I:I,"&lt;="&amp;MIP[[#This Row],[C.B Sitrack]],'[1]Tempo parado'!B:B,MIP[[#This Row],[Placa]])</f>
        <v>0</v>
      </c>
      <c r="AN461" s="32" t="str">
        <f>IFERROR(MIP[[#This Row],[Tempo parado]]/(MIP[[#This Row],[C.B Sitrack]]-MIP[[#This Row],[S.B Sitrack]]),"")</f>
        <v/>
      </c>
      <c r="AO461" s="30"/>
      <c r="AP461" s="44">
        <f>IF(AND(MIP[Exc]=0,MIP[Previsto / Realizado]="Realizado"),MIP[Sem],0)</f>
        <v>0</v>
      </c>
      <c r="AQ461" s="29">
        <f>IF(AND(MIP[Exc]=0,MIP[Previsto / Realizado]="Realizado",ISBLANK(MIP[[#This Row],[S.B Sitrack]])=FALSE,ISBLANK(MIP[[#This Row],[C.B Sitrack]])=FALSE),MIP[Sem],0)</f>
        <v>0</v>
      </c>
    </row>
    <row r="462" spans="1:43" s="64" customFormat="1" x14ac:dyDescent="0.25">
      <c r="A462" s="11"/>
      <c r="B462" s="44">
        <f>WEEKNUM(MIP[[#This Row],[Data]])</f>
        <v>35</v>
      </c>
      <c r="C462" s="45">
        <v>42977</v>
      </c>
      <c r="D462" s="45"/>
      <c r="E462" s="35" t="s">
        <v>19</v>
      </c>
      <c r="F462" s="35" t="s">
        <v>2</v>
      </c>
      <c r="G462" s="35"/>
      <c r="H462" s="44">
        <v>2</v>
      </c>
      <c r="I462" s="44">
        <v>7</v>
      </c>
      <c r="J462" s="44">
        <v>1</v>
      </c>
      <c r="K462" s="44">
        <v>0</v>
      </c>
      <c r="L462" s="44">
        <v>5</v>
      </c>
      <c r="M462" s="43">
        <v>0.62569444444444444</v>
      </c>
      <c r="N462" s="43">
        <v>0.6777777777777777</v>
      </c>
      <c r="O462" s="43">
        <f>1+20/24/60</f>
        <v>1.0138888888888888</v>
      </c>
      <c r="P462" s="43">
        <f>1+50/24/60</f>
        <v>1.0347222222222223</v>
      </c>
      <c r="Q462" s="39"/>
      <c r="R462" s="42" t="s">
        <v>267</v>
      </c>
      <c r="S462" s="29">
        <f>MIP[[#This Row],[PT-1]]+MIP[[#This Row],[PT-2]]*2+MIP[[#This Row],[PT-3]]*3+MIP[[#This Row],[PT &gt; 3 Pontos]]</f>
        <v>14</v>
      </c>
      <c r="T46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7.2916666666666741E-2</v>
      </c>
      <c r="U462" s="39">
        <f>IF(MIP[[#This Row],[P.S]]-MIP[[#This Row],[U.P]]&gt;=0,MIP[[#This Row],[P.S]]-MIP[[#This Row],[U.P]]+MIP[[#This Row],[S.B]]-MIP[[#This Row],[P.E]],1+MIP[[#This Row],[P.S]]-MIP[[#This Row],[U.P]]+MIP[[#This Row],[S.B]]-MIP[[#This Row],[P.E]])</f>
        <v>7.2916666666666741E-2</v>
      </c>
      <c r="V462" s="41">
        <f>MIP[[#This Row],[Eficiência]]</f>
        <v>1.0879124984808433</v>
      </c>
      <c r="W46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62" s="39">
        <f>IF(MIP[[#This Row],[P.S]]-MIP[[#This Row],[P.E]]&lt;0,1+MIP[[#This Row],[P.S]]-MIP[[#This Row],[P.E]]-1/24,MIP[[#This Row],[P.S]]-MIP[[#This Row],[P.E]]-1/24)</f>
        <v>0.36736111111111119</v>
      </c>
      <c r="Y462" s="39">
        <f>MIP[[#This Row],[PT-1]]*$S$3+MIP[[#This Row],[PT-2]]*$T$3+MIP[[#This Row],[PT-3]]*$U$3+MIP[[#This Row],[PT &gt; 3 Pontos]]*$V$3</f>
        <v>0.32032979121935939</v>
      </c>
      <c r="Z462" s="39">
        <f>MIP[[#This Row],[HH disponível]]-MIP[[#This Row],[HH AC TOT]]</f>
        <v>0.29444444444444445</v>
      </c>
      <c r="AA462" s="38">
        <f>MIP[[#This Row],[HH Produtivo
Total]]/MIP[[#This Row],[HH Trabalhado]]</f>
        <v>1.0879124984808433</v>
      </c>
      <c r="AB462" s="38">
        <f>MIP[[#This Row],[HH Produtivo
Total]]/MIP[[#This Row],[HH disponível]]</f>
        <v>0.87197523507727304</v>
      </c>
      <c r="AC462" s="38">
        <f>MIP[[#This Row],[HH Trabalhado]]/MIP[[#This Row],[HH disponível]]</f>
        <v>0.80151228733459345</v>
      </c>
      <c r="AD462" s="37" t="str">
        <f>LEFT(MIP[[#This Row],[Equipe]], SEARCH("/",MIP[[#This Row],[Equipe]],1)-1)</f>
        <v xml:space="preserve">ADEMÁRIO </v>
      </c>
      <c r="AE462" s="37" t="str">
        <f>RIGHT(MIP[[#This Row],[Equipe]], LEN(MIP[[#This Row],[Equipe]])-SEARCH("/",MIP[[#This Row],[Equipe]],1))</f>
        <v xml:space="preserve"> RONALDO</v>
      </c>
      <c r="AF462" s="44">
        <f>COUNTIFS('[1]Tempo parado'!H:H,"&gt;="&amp;MIP[[#This Row],[S.B Sitrack]],'[1]Tempo parado'!I:I,"&lt;="&amp;MIP[[#This Row],[C.B Sitrack]],'[1]Tempo parado'!B:B,MIP[[#This Row],[Placa]])</f>
        <v>0</v>
      </c>
      <c r="AG462" s="36"/>
      <c r="AH462" s="35"/>
      <c r="AI462" s="34"/>
      <c r="AJ462" s="34"/>
      <c r="AK46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6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62" s="32">
        <f>SUMIFS('[1]Tempo parado'!J:J,'[1]Tempo parado'!H:H,"&gt;="&amp;MIP[[#This Row],[S.B Sitrack]],'[1]Tempo parado'!I:I,"&lt;="&amp;MIP[[#This Row],[C.B Sitrack]],'[1]Tempo parado'!B:B,MIP[[#This Row],[Placa]])</f>
        <v>0</v>
      </c>
      <c r="AN462" s="32" t="str">
        <f>IFERROR(MIP[[#This Row],[Tempo parado]]/(MIP[[#This Row],[C.B Sitrack]]-MIP[[#This Row],[S.B Sitrack]]),"")</f>
        <v/>
      </c>
      <c r="AO462" s="30"/>
      <c r="AP462" s="44">
        <f>IF(AND(MIP[Exc]=0,MIP[Previsto / Realizado]="Realizado"),MIP[Sem],0)</f>
        <v>35</v>
      </c>
      <c r="AQ462" s="29">
        <f>IF(AND(MIP[Exc]=0,MIP[Previsto / Realizado]="Realizado",ISBLANK(MIP[[#This Row],[S.B Sitrack]])=FALSE,ISBLANK(MIP[[#This Row],[C.B Sitrack]])=FALSE),MIP[Sem],0)</f>
        <v>0</v>
      </c>
    </row>
    <row r="463" spans="1:43" s="47" customFormat="1" x14ac:dyDescent="0.25">
      <c r="A463" s="11"/>
      <c r="B463" s="44">
        <f>WEEKNUM(MIP[[#This Row],[Data]])</f>
        <v>35</v>
      </c>
      <c r="C463" s="45">
        <v>42977</v>
      </c>
      <c r="D463" s="45"/>
      <c r="E463" s="35" t="s">
        <v>7</v>
      </c>
      <c r="F463" s="35" t="s">
        <v>5</v>
      </c>
      <c r="G463" s="35"/>
      <c r="H463" s="44">
        <v>2</v>
      </c>
      <c r="I463" s="44">
        <v>0</v>
      </c>
      <c r="J463" s="44">
        <v>0</v>
      </c>
      <c r="K463" s="44">
        <v>0</v>
      </c>
      <c r="L463" s="44">
        <v>0</v>
      </c>
      <c r="M463" s="43">
        <v>0.625</v>
      </c>
      <c r="N463" s="43">
        <v>0.64583333333333337</v>
      </c>
      <c r="O463" s="43">
        <f>1+18/24/60</f>
        <v>1.0125</v>
      </c>
      <c r="P463" s="43">
        <f>1+48/24/60</f>
        <v>1.0333333333333334</v>
      </c>
      <c r="Q463" s="39"/>
      <c r="R463" s="42" t="s">
        <v>201</v>
      </c>
      <c r="S463" s="29">
        <f>MIP[[#This Row],[PT-1]]+MIP[[#This Row],[PT-2]]*2+MIP[[#This Row],[PT-3]]*3+MIP[[#This Row],[PT &gt; 3 Pontos]]</f>
        <v>0</v>
      </c>
      <c r="T46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463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463" s="41">
        <f>MIP[[#This Row],[Eficiência]]</f>
        <v>0</v>
      </c>
      <c r="W46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63" s="39">
        <f>IF(MIP[[#This Row],[P.S]]-MIP[[#This Row],[P.E]]&lt;0,1+MIP[[#This Row],[P.S]]-MIP[[#This Row],[P.E]]-1/24,MIP[[#This Row],[P.S]]-MIP[[#This Row],[P.E]]-1/24)</f>
        <v>0.36666666666666675</v>
      </c>
      <c r="Y463" s="39">
        <f>MIP[[#This Row],[PT-1]]*$S$3+MIP[[#This Row],[PT-2]]*$T$3+MIP[[#This Row],[PT-3]]*$U$3+MIP[[#This Row],[PT &gt; 3 Pontos]]*$V$3</f>
        <v>0</v>
      </c>
      <c r="Z463" s="39">
        <f>MIP[[#This Row],[HH disponível]]-MIP[[#This Row],[HH AC TOT]]</f>
        <v>0.3249999999999999</v>
      </c>
      <c r="AA463" s="38">
        <f>MIP[[#This Row],[HH Produtivo
Total]]/MIP[[#This Row],[HH Trabalhado]]</f>
        <v>0</v>
      </c>
      <c r="AB463" s="38">
        <f>MIP[[#This Row],[HH Produtivo
Total]]/MIP[[#This Row],[HH disponível]]</f>
        <v>0</v>
      </c>
      <c r="AC463" s="38">
        <f>MIP[[#This Row],[HH Trabalhado]]/MIP[[#This Row],[HH disponível]]</f>
        <v>0.88636363636363591</v>
      </c>
      <c r="AD463" s="37" t="str">
        <f>LEFT(MIP[[#This Row],[Equipe]], SEARCH("/",MIP[[#This Row],[Equipe]],1)-1)</f>
        <v xml:space="preserve">ANDERSON </v>
      </c>
      <c r="AE463" s="37" t="str">
        <f>RIGHT(MIP[[#This Row],[Equipe]], LEN(MIP[[#This Row],[Equipe]])-SEARCH("/",MIP[[#This Row],[Equipe]],1))</f>
        <v xml:space="preserve"> MARCO</v>
      </c>
      <c r="AF463" s="44">
        <f>COUNTIFS('[1]Tempo parado'!H:H,"&gt;="&amp;MIP[[#This Row],[S.B Sitrack]],'[1]Tempo parado'!I:I,"&lt;="&amp;MIP[[#This Row],[C.B Sitrack]],'[1]Tempo parado'!B:B,MIP[[#This Row],[Placa]])</f>
        <v>0</v>
      </c>
      <c r="AG463" s="36"/>
      <c r="AH463" s="35"/>
      <c r="AI463" s="34"/>
      <c r="AJ463" s="34"/>
      <c r="AK46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6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63" s="32">
        <f>SUMIFS('[1]Tempo parado'!J:J,'[1]Tempo parado'!H:H,"&gt;="&amp;MIP[[#This Row],[S.B Sitrack]],'[1]Tempo parado'!I:I,"&lt;="&amp;MIP[[#This Row],[C.B Sitrack]],'[1]Tempo parado'!B:B,MIP[[#This Row],[Placa]])</f>
        <v>0</v>
      </c>
      <c r="AN463" s="32" t="str">
        <f>IFERROR(MIP[[#This Row],[Tempo parado]]/(MIP[[#This Row],[C.B Sitrack]]-MIP[[#This Row],[S.B Sitrack]]),"")</f>
        <v/>
      </c>
      <c r="AO463" s="30"/>
      <c r="AP463" s="44">
        <f>IF(AND(MIP[Exc]=0,MIP[Previsto / Realizado]="Realizado"),MIP[Sem],0)</f>
        <v>0</v>
      </c>
      <c r="AQ463" s="29">
        <f>IF(AND(MIP[Exc]=0,MIP[Previsto / Realizado]="Realizado",ISBLANK(MIP[[#This Row],[S.B Sitrack]])=FALSE,ISBLANK(MIP[[#This Row],[C.B Sitrack]])=FALSE),MIP[Sem],0)</f>
        <v>0</v>
      </c>
    </row>
    <row r="464" spans="1:43" s="64" customFormat="1" x14ac:dyDescent="0.25">
      <c r="A464" s="11"/>
      <c r="B464" s="44">
        <f>WEEKNUM(MIP[[#This Row],[Data]])</f>
        <v>35</v>
      </c>
      <c r="C464" s="45">
        <v>42977</v>
      </c>
      <c r="D464" s="45"/>
      <c r="E464" s="35" t="s">
        <v>7</v>
      </c>
      <c r="F464" s="35" t="s">
        <v>2</v>
      </c>
      <c r="G464" s="35"/>
      <c r="H464" s="44">
        <v>2</v>
      </c>
      <c r="I464" s="44">
        <v>1</v>
      </c>
      <c r="J464" s="44">
        <v>0</v>
      </c>
      <c r="K464" s="44">
        <v>3</v>
      </c>
      <c r="L464" s="44">
        <v>7</v>
      </c>
      <c r="M464" s="43">
        <v>0.62847222222222221</v>
      </c>
      <c r="N464" s="43">
        <v>0.67708333333333337</v>
      </c>
      <c r="O464" s="43">
        <f>1+23/24/60</f>
        <v>1.0159722222222223</v>
      </c>
      <c r="P464" s="43">
        <f>1+48/24/60</f>
        <v>1.0333333333333334</v>
      </c>
      <c r="Q464" s="39"/>
      <c r="R464" s="42" t="s">
        <v>266</v>
      </c>
      <c r="S464" s="29">
        <f>MIP[[#This Row],[PT-1]]+MIP[[#This Row],[PT-2]]*2+MIP[[#This Row],[PT-3]]*3+MIP[[#This Row],[PT &gt; 3 Pontos]]</f>
        <v>17</v>
      </c>
      <c r="T46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6.5972222222222321E-2</v>
      </c>
      <c r="U464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6.5972222222222321E-2</v>
      </c>
      <c r="V464" s="41">
        <f>MIP[[#This Row],[Eficiência]]</f>
        <v>1.1948533464640996</v>
      </c>
      <c r="W46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64" s="39">
        <f>IF(MIP[[#This Row],[P.S]]-MIP[[#This Row],[P.E]]&lt;0,1+MIP[[#This Row],[P.S]]-MIP[[#This Row],[P.E]]-1/24,MIP[[#This Row],[P.S]]-MIP[[#This Row],[P.E]]-1/24)</f>
        <v>0.36319444444444454</v>
      </c>
      <c r="Y464" s="39">
        <f>MIP[[#This Row],[PT-1]]*$S$3+MIP[[#This Row],[PT-2]]*$T$3+MIP[[#This Row],[PT-3]]*$U$3+MIP[[#This Row],[PT &gt; 3 Pontos]]*$V$3</f>
        <v>0.3551369668657185</v>
      </c>
      <c r="Z464" s="39">
        <f>MIP[[#This Row],[HH disponível]]-MIP[[#This Row],[HH AC TOT]]</f>
        <v>0.29722222222222222</v>
      </c>
      <c r="AA464" s="38">
        <f>MIP[[#This Row],[HH Produtivo
Total]]/MIP[[#This Row],[HH Trabalhado]]</f>
        <v>1.1948533464640996</v>
      </c>
      <c r="AB464" s="38">
        <f>MIP[[#This Row],[HH Produtivo
Total]]/MIP[[#This Row],[HH disponível]]</f>
        <v>0.9778149756914617</v>
      </c>
      <c r="AC464" s="38">
        <f>MIP[[#This Row],[HH Trabalhado]]/MIP[[#This Row],[HH disponível]]</f>
        <v>0.81835564053537257</v>
      </c>
      <c r="AD464" s="37" t="str">
        <f>LEFT(MIP[[#This Row],[Equipe]], SEARCH("/",MIP[[#This Row],[Equipe]],1)-1)</f>
        <v xml:space="preserve">ANDERSON </v>
      </c>
      <c r="AE464" s="37" t="str">
        <f>RIGHT(MIP[[#This Row],[Equipe]], LEN(MIP[[#This Row],[Equipe]])-SEARCH("/",MIP[[#This Row],[Equipe]],1))</f>
        <v xml:space="preserve"> MARCO</v>
      </c>
      <c r="AF464" s="44">
        <f>COUNTIFS('[1]Tempo parado'!H:H,"&gt;="&amp;MIP[[#This Row],[S.B Sitrack]],'[1]Tempo parado'!I:I,"&lt;="&amp;MIP[[#This Row],[C.B Sitrack]],'[1]Tempo parado'!B:B,MIP[[#This Row],[Placa]])</f>
        <v>0</v>
      </c>
      <c r="AG464" s="36"/>
      <c r="AH464" s="35"/>
      <c r="AI464" s="34"/>
      <c r="AJ464" s="34"/>
      <c r="AK46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6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64" s="32">
        <f>SUMIFS('[1]Tempo parado'!J:J,'[1]Tempo parado'!H:H,"&gt;="&amp;MIP[[#This Row],[S.B Sitrack]],'[1]Tempo parado'!I:I,"&lt;="&amp;MIP[[#This Row],[C.B Sitrack]],'[1]Tempo parado'!B:B,MIP[[#This Row],[Placa]])</f>
        <v>0</v>
      </c>
      <c r="AN464" s="32" t="str">
        <f>IFERROR(MIP[[#This Row],[Tempo parado]]/(MIP[[#This Row],[C.B Sitrack]]-MIP[[#This Row],[S.B Sitrack]]),"")</f>
        <v/>
      </c>
      <c r="AO464" s="30"/>
      <c r="AP464" s="44">
        <f>IF(AND(MIP[Exc]=0,MIP[Previsto / Realizado]="Realizado"),MIP[Sem],0)</f>
        <v>35</v>
      </c>
      <c r="AQ464" s="29">
        <f>IF(AND(MIP[Exc]=0,MIP[Previsto / Realizado]="Realizado",ISBLANK(MIP[[#This Row],[S.B Sitrack]])=FALSE,ISBLANK(MIP[[#This Row],[C.B Sitrack]])=FALSE),MIP[Sem],0)</f>
        <v>0</v>
      </c>
    </row>
    <row r="465" spans="1:43" s="47" customFormat="1" x14ac:dyDescent="0.25">
      <c r="A465" s="11"/>
      <c r="B465" s="44">
        <f>WEEKNUM(MIP[[#This Row],[Data]])</f>
        <v>35</v>
      </c>
      <c r="C465" s="45">
        <v>42978</v>
      </c>
      <c r="D465" s="45"/>
      <c r="E465" s="35" t="s">
        <v>7</v>
      </c>
      <c r="F465" s="35" t="s">
        <v>5</v>
      </c>
      <c r="G465" s="35"/>
      <c r="H465" s="44">
        <v>2</v>
      </c>
      <c r="I465" s="44">
        <v>5</v>
      </c>
      <c r="J465" s="44">
        <v>1</v>
      </c>
      <c r="K465" s="44">
        <v>1</v>
      </c>
      <c r="L465" s="44">
        <v>4</v>
      </c>
      <c r="M465" s="43">
        <v>0.625</v>
      </c>
      <c r="N465" s="43">
        <v>0.64583333333333337</v>
      </c>
      <c r="O465" s="43">
        <f>1+18/24/60</f>
        <v>1.0125</v>
      </c>
      <c r="P465" s="43">
        <f>1+48/24/60</f>
        <v>1.0333333333333334</v>
      </c>
      <c r="Q465" s="39"/>
      <c r="R465" s="42" t="s">
        <v>4</v>
      </c>
      <c r="S465" s="29">
        <f>MIP[[#This Row],[PT-1]]+MIP[[#This Row],[PT-2]]*2+MIP[[#This Row],[PT-3]]*3+MIP[[#This Row],[PT &gt; 3 Pontos]]</f>
        <v>14</v>
      </c>
      <c r="T46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465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465" s="41">
        <f>MIP[[#This Row],[Eficiência]]</f>
        <v>0.96252847282436671</v>
      </c>
      <c r="W46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65" s="39">
        <f>IF(MIP[[#This Row],[P.S]]-MIP[[#This Row],[P.E]]&lt;0,1+MIP[[#This Row],[P.S]]-MIP[[#This Row],[P.E]]-1/24,MIP[[#This Row],[P.S]]-MIP[[#This Row],[P.E]]-1/24)</f>
        <v>0.36666666666666675</v>
      </c>
      <c r="Y465" s="39">
        <f>MIP[[#This Row],[PT-1]]*$S$3+MIP[[#This Row],[PT-2]]*$T$3+MIP[[#This Row],[PT-3]]*$U$3+MIP[[#This Row],[PT &gt; 3 Pontos]]*$V$3</f>
        <v>0.31282175366791909</v>
      </c>
      <c r="Z465" s="39">
        <f>MIP[[#This Row],[HH disponível]]-MIP[[#This Row],[HH AC TOT]]</f>
        <v>0.3249999999999999</v>
      </c>
      <c r="AA465" s="38">
        <f>MIP[[#This Row],[HH Produtivo
Total]]/MIP[[#This Row],[HH Trabalhado]]</f>
        <v>0.96252847282436671</v>
      </c>
      <c r="AB465" s="38">
        <f>MIP[[#This Row],[HH Produtivo
Total]]/MIP[[#This Row],[HH disponível]]</f>
        <v>0.85315023727614281</v>
      </c>
      <c r="AC465" s="38">
        <f>MIP[[#This Row],[HH Trabalhado]]/MIP[[#This Row],[HH disponível]]</f>
        <v>0.88636363636363591</v>
      </c>
      <c r="AD465" s="37" t="str">
        <f>LEFT(MIP[[#This Row],[Equipe]], SEARCH("/",MIP[[#This Row],[Equipe]],1)-1)</f>
        <v xml:space="preserve">ANDERSON </v>
      </c>
      <c r="AE465" s="37" t="str">
        <f>RIGHT(MIP[[#This Row],[Equipe]], LEN(MIP[[#This Row],[Equipe]])-SEARCH("/",MIP[[#This Row],[Equipe]],1))</f>
        <v xml:space="preserve"> MARCO</v>
      </c>
      <c r="AF465" s="44">
        <f>COUNTIFS('[1]Tempo parado'!H:H,"&gt;="&amp;MIP[[#This Row],[S.B Sitrack]],'[1]Tempo parado'!I:I,"&lt;="&amp;MIP[[#This Row],[C.B Sitrack]],'[1]Tempo parado'!B:B,MIP[[#This Row],[Placa]])</f>
        <v>0</v>
      </c>
      <c r="AG465" s="36"/>
      <c r="AH465" s="35"/>
      <c r="AI465" s="34"/>
      <c r="AJ465" s="34"/>
      <c r="AK46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6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65" s="32">
        <f>SUMIFS('[1]Tempo parado'!J:J,'[1]Tempo parado'!H:H,"&gt;="&amp;MIP[[#This Row],[S.B Sitrack]],'[1]Tempo parado'!I:I,"&lt;="&amp;MIP[[#This Row],[C.B Sitrack]],'[1]Tempo parado'!B:B,MIP[[#This Row],[Placa]])</f>
        <v>0</v>
      </c>
      <c r="AN465" s="32" t="str">
        <f>IFERROR(MIP[[#This Row],[Tempo parado]]/(MIP[[#This Row],[C.B Sitrack]]-MIP[[#This Row],[S.B Sitrack]]),"")</f>
        <v/>
      </c>
      <c r="AO465" s="30"/>
      <c r="AP465" s="44">
        <f>IF(AND(MIP[Exc]=0,MIP[Previsto / Realizado]="Realizado"),MIP[Sem],0)</f>
        <v>0</v>
      </c>
      <c r="AQ465" s="29">
        <f>IF(AND(MIP[Exc]=0,MIP[Previsto / Realizado]="Realizado",ISBLANK(MIP[[#This Row],[S.B Sitrack]])=FALSE,ISBLANK(MIP[[#This Row],[C.B Sitrack]])=FALSE),MIP[Sem],0)</f>
        <v>0</v>
      </c>
    </row>
    <row r="466" spans="1:43" s="64" customFormat="1" x14ac:dyDescent="0.25">
      <c r="A466" s="11"/>
      <c r="B466" s="44">
        <f>WEEKNUM(MIP[[#This Row],[Data]])</f>
        <v>35</v>
      </c>
      <c r="C466" s="45">
        <v>42978</v>
      </c>
      <c r="D466" s="45"/>
      <c r="E466" s="35" t="s">
        <v>7</v>
      </c>
      <c r="F466" s="35" t="s">
        <v>2</v>
      </c>
      <c r="G466" s="35"/>
      <c r="H466" s="44">
        <v>2</v>
      </c>
      <c r="I466" s="44">
        <v>1</v>
      </c>
      <c r="J466" s="44">
        <v>1</v>
      </c>
      <c r="K466" s="44">
        <v>1</v>
      </c>
      <c r="L466" s="44">
        <v>4</v>
      </c>
      <c r="M466" s="43">
        <v>0.62847222222222221</v>
      </c>
      <c r="N466" s="43">
        <v>0.70138888888888884</v>
      </c>
      <c r="O466" s="43">
        <f>1+10/24/60</f>
        <v>1.0069444444444444</v>
      </c>
      <c r="P466" s="43">
        <f>1+48/24/60</f>
        <v>1.0333333333333334</v>
      </c>
      <c r="Q466" s="39"/>
      <c r="R466" s="42" t="s">
        <v>200</v>
      </c>
      <c r="S466" s="29">
        <f>MIP[[#This Row],[PT-1]]+MIP[[#This Row],[PT-2]]*2+MIP[[#This Row],[PT-3]]*3+MIP[[#This Row],[PT &gt; 3 Pontos]]</f>
        <v>10</v>
      </c>
      <c r="T46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9.9305555555555647E-2</v>
      </c>
      <c r="U466" s="39">
        <f>IF(MIP[[#This Row],[P.S]]-MIP[[#This Row],[U.P]]&gt;=0,MIP[[#This Row],[P.S]]-MIP[[#This Row],[U.P]]+MIP[[#This Row],[S.B]]-MIP[[#This Row],[P.E]],1+MIP[[#This Row],[P.S]]-MIP[[#This Row],[U.P]]+MIP[[#This Row],[S.B]]-MIP[[#This Row],[P.E]])</f>
        <v>9.9305555555555647E-2</v>
      </c>
      <c r="V466" s="41">
        <f>MIP[[#This Row],[Eficiência]]</f>
        <v>0.80609055852190881</v>
      </c>
      <c r="W46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66" s="39">
        <f>IF(MIP[[#This Row],[P.S]]-MIP[[#This Row],[P.E]]&lt;0,1+MIP[[#This Row],[P.S]]-MIP[[#This Row],[P.E]]-1/24,MIP[[#This Row],[P.S]]-MIP[[#This Row],[P.E]]-1/24)</f>
        <v>0.36319444444444454</v>
      </c>
      <c r="Y466" s="39">
        <f>MIP[[#This Row],[PT-1]]*$S$3+MIP[[#This Row],[PT-2]]*$T$3+MIP[[#This Row],[PT-3]]*$U$3+MIP[[#This Row],[PT &gt; 3 Pontos]]*$V$3</f>
        <v>0.21271834183217039</v>
      </c>
      <c r="Z466" s="39">
        <f>MIP[[#This Row],[HH disponível]]-MIP[[#This Row],[HH AC TOT]]</f>
        <v>0.2638888888888889</v>
      </c>
      <c r="AA466" s="38">
        <f>MIP[[#This Row],[HH Produtivo
Total]]/MIP[[#This Row],[HH Trabalhado]]</f>
        <v>0.80609055852190881</v>
      </c>
      <c r="AB466" s="38">
        <f>MIP[[#This Row],[HH Produtivo
Total]]/MIP[[#This Row],[HH disponível]]</f>
        <v>0.58568721269278257</v>
      </c>
      <c r="AC466" s="38">
        <f>MIP[[#This Row],[HH Trabalhado]]/MIP[[#This Row],[HH disponível]]</f>
        <v>0.72657743785850848</v>
      </c>
      <c r="AD466" s="37" t="str">
        <f>LEFT(MIP[[#This Row],[Equipe]], SEARCH("/",MIP[[#This Row],[Equipe]],1)-1)</f>
        <v xml:space="preserve">ANDERSON </v>
      </c>
      <c r="AE466" s="37" t="str">
        <f>RIGHT(MIP[[#This Row],[Equipe]], LEN(MIP[[#This Row],[Equipe]])-SEARCH("/",MIP[[#This Row],[Equipe]],1))</f>
        <v xml:space="preserve"> MARCO</v>
      </c>
      <c r="AF466" s="44">
        <f>COUNTIFS('[1]Tempo parado'!H:H,"&gt;="&amp;MIP[[#This Row],[S.B Sitrack]],'[1]Tempo parado'!I:I,"&lt;="&amp;MIP[[#This Row],[C.B Sitrack]],'[1]Tempo parado'!B:B,MIP[[#This Row],[Placa]])</f>
        <v>0</v>
      </c>
      <c r="AG466" s="36"/>
      <c r="AH466" s="35"/>
      <c r="AI466" s="34"/>
      <c r="AJ466" s="34"/>
      <c r="AK46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6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66" s="32">
        <f>SUMIFS('[1]Tempo parado'!J:J,'[1]Tempo parado'!H:H,"&gt;="&amp;MIP[[#This Row],[S.B Sitrack]],'[1]Tempo parado'!I:I,"&lt;="&amp;MIP[[#This Row],[C.B Sitrack]],'[1]Tempo parado'!B:B,MIP[[#This Row],[Placa]])</f>
        <v>0</v>
      </c>
      <c r="AN466" s="32" t="str">
        <f>IFERROR(MIP[[#This Row],[Tempo parado]]/(MIP[[#This Row],[C.B Sitrack]]-MIP[[#This Row],[S.B Sitrack]]),"")</f>
        <v/>
      </c>
      <c r="AO466" s="30"/>
      <c r="AP466" s="44">
        <f>IF(AND(MIP[Exc]=0,MIP[Previsto / Realizado]="Realizado"),MIP[Sem],0)</f>
        <v>35</v>
      </c>
      <c r="AQ466" s="29">
        <f>IF(AND(MIP[Exc]=0,MIP[Previsto / Realizado]="Realizado",ISBLANK(MIP[[#This Row],[S.B Sitrack]])=FALSE,ISBLANK(MIP[[#This Row],[C.B Sitrack]])=FALSE),MIP[Sem],0)</f>
        <v>0</v>
      </c>
    </row>
    <row r="467" spans="1:43" s="47" customFormat="1" x14ac:dyDescent="0.25">
      <c r="A467" s="11"/>
      <c r="B467" s="44">
        <f>WEEKNUM(MIP[[#This Row],[Data]])</f>
        <v>35</v>
      </c>
      <c r="C467" s="45">
        <v>42978</v>
      </c>
      <c r="D467" s="45"/>
      <c r="E467" s="35" t="s">
        <v>3</v>
      </c>
      <c r="F467" s="35" t="s">
        <v>5</v>
      </c>
      <c r="G467" s="35"/>
      <c r="H467" s="44">
        <v>2</v>
      </c>
      <c r="I467" s="44">
        <v>2</v>
      </c>
      <c r="J467" s="44">
        <v>4</v>
      </c>
      <c r="K467" s="44">
        <v>0</v>
      </c>
      <c r="L467" s="44">
        <v>0</v>
      </c>
      <c r="M467" s="43">
        <v>0.625</v>
      </c>
      <c r="N467" s="43">
        <v>0.64583333333333337</v>
      </c>
      <c r="O467" s="43">
        <f>1+18/24/60</f>
        <v>1.0125</v>
      </c>
      <c r="P467" s="43">
        <f>1+48/24/60</f>
        <v>1.0333333333333334</v>
      </c>
      <c r="Q467" s="39"/>
      <c r="R467" s="42" t="s">
        <v>4</v>
      </c>
      <c r="S467" s="29">
        <f>MIP[[#This Row],[PT-1]]+MIP[[#This Row],[PT-2]]*2+MIP[[#This Row],[PT-3]]*3+MIP[[#This Row],[PT &gt; 3 Pontos]]</f>
        <v>10</v>
      </c>
      <c r="T46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467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467" s="41">
        <f>MIP[[#This Row],[Eficiência]]</f>
        <v>0.69442083178496239</v>
      </c>
      <c r="W46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67" s="39">
        <f>IF(MIP[[#This Row],[P.S]]-MIP[[#This Row],[P.E]]&lt;0,1+MIP[[#This Row],[P.S]]-MIP[[#This Row],[P.E]]-1/24,MIP[[#This Row],[P.S]]-MIP[[#This Row],[P.E]]-1/24)</f>
        <v>0.36666666666666675</v>
      </c>
      <c r="Y467" s="39">
        <f>MIP[[#This Row],[PT-1]]*$S$3+MIP[[#This Row],[PT-2]]*$T$3+MIP[[#This Row],[PT-3]]*$U$3+MIP[[#This Row],[PT &gt; 3 Pontos]]*$V$3</f>
        <v>0.2256867703301127</v>
      </c>
      <c r="Z467" s="39">
        <f>MIP[[#This Row],[HH disponível]]-MIP[[#This Row],[HH AC TOT]]</f>
        <v>0.3249999999999999</v>
      </c>
      <c r="AA467" s="38">
        <f>MIP[[#This Row],[HH Produtivo
Total]]/MIP[[#This Row],[HH Trabalhado]]</f>
        <v>0.69442083178496239</v>
      </c>
      <c r="AB467" s="38">
        <f>MIP[[#This Row],[HH Produtivo
Total]]/MIP[[#This Row],[HH disponível]]</f>
        <v>0.61550937362757996</v>
      </c>
      <c r="AC467" s="38">
        <f>MIP[[#This Row],[HH Trabalhado]]/MIP[[#This Row],[HH disponível]]</f>
        <v>0.88636363636363591</v>
      </c>
      <c r="AD467" s="37" t="str">
        <f>LEFT(MIP[[#This Row],[Equipe]], SEARCH("/",MIP[[#This Row],[Equipe]],1)-1)</f>
        <v xml:space="preserve">EDILTON </v>
      </c>
      <c r="AE467" s="37" t="str">
        <f>RIGHT(MIP[[#This Row],[Equipe]], LEN(MIP[[#This Row],[Equipe]])-SEARCH("/",MIP[[#This Row],[Equipe]],1))</f>
        <v xml:space="preserve"> GECIVALDO</v>
      </c>
      <c r="AF467" s="44">
        <f>COUNTIFS('[1]Tempo parado'!H:H,"&gt;="&amp;MIP[[#This Row],[S.B Sitrack]],'[1]Tempo parado'!I:I,"&lt;="&amp;MIP[[#This Row],[C.B Sitrack]],'[1]Tempo parado'!B:B,MIP[[#This Row],[Placa]])</f>
        <v>0</v>
      </c>
      <c r="AG467" s="36"/>
      <c r="AH467" s="35"/>
      <c r="AI467" s="34"/>
      <c r="AJ467" s="34"/>
      <c r="AK46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6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67" s="32">
        <f>SUMIFS('[1]Tempo parado'!J:J,'[1]Tempo parado'!H:H,"&gt;="&amp;MIP[[#This Row],[S.B Sitrack]],'[1]Tempo parado'!I:I,"&lt;="&amp;MIP[[#This Row],[C.B Sitrack]],'[1]Tempo parado'!B:B,MIP[[#This Row],[Placa]])</f>
        <v>0</v>
      </c>
      <c r="AN467" s="32" t="str">
        <f>IFERROR(MIP[[#This Row],[Tempo parado]]/(MIP[[#This Row],[C.B Sitrack]]-MIP[[#This Row],[S.B Sitrack]]),"")</f>
        <v/>
      </c>
      <c r="AO467" s="30"/>
      <c r="AP467" s="44">
        <f>IF(AND(MIP[Exc]=0,MIP[Previsto / Realizado]="Realizado"),MIP[Sem],0)</f>
        <v>0</v>
      </c>
      <c r="AQ467" s="29">
        <f>IF(AND(MIP[Exc]=0,MIP[Previsto / Realizado]="Realizado",ISBLANK(MIP[[#This Row],[S.B Sitrack]])=FALSE,ISBLANK(MIP[[#This Row],[C.B Sitrack]])=FALSE),MIP[Sem],0)</f>
        <v>0</v>
      </c>
    </row>
    <row r="468" spans="1:43" s="64" customFormat="1" x14ac:dyDescent="0.25">
      <c r="A468" s="11"/>
      <c r="B468" s="44">
        <f>WEEKNUM(MIP[[#This Row],[Data]])</f>
        <v>35</v>
      </c>
      <c r="C468" s="45">
        <v>42978</v>
      </c>
      <c r="D468" s="45"/>
      <c r="E468" s="35" t="s">
        <v>3</v>
      </c>
      <c r="F468" s="35" t="s">
        <v>2</v>
      </c>
      <c r="G468" s="35"/>
      <c r="H468" s="44">
        <v>2</v>
      </c>
      <c r="I468" s="44">
        <v>0</v>
      </c>
      <c r="J468" s="44">
        <v>5</v>
      </c>
      <c r="K468" s="44">
        <v>0</v>
      </c>
      <c r="L468" s="44">
        <v>0</v>
      </c>
      <c r="M468" s="43">
        <v>0.62083333333333335</v>
      </c>
      <c r="N468" s="43">
        <v>0.68402777777777779</v>
      </c>
      <c r="O468" s="43">
        <f>1+19/24/60</f>
        <v>1.0131944444444445</v>
      </c>
      <c r="P468" s="43">
        <f>1+48/24/60</f>
        <v>1.0333333333333334</v>
      </c>
      <c r="Q468" s="39"/>
      <c r="R468" s="42" t="s">
        <v>265</v>
      </c>
      <c r="S468" s="29">
        <f>MIP[[#This Row],[PT-1]]+MIP[[#This Row],[PT-2]]*2+MIP[[#This Row],[PT-3]]*3+MIP[[#This Row],[PT &gt; 3 Pontos]]</f>
        <v>10</v>
      </c>
      <c r="T46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8.333333333333337E-2</v>
      </c>
      <c r="U468" s="39">
        <f>IF(MIP[[#This Row],[P.S]]-MIP[[#This Row],[U.P]]&gt;=0,MIP[[#This Row],[P.S]]-MIP[[#This Row],[U.P]]+MIP[[#This Row],[S.B]]-MIP[[#This Row],[P.E]],1+MIP[[#This Row],[P.S]]-MIP[[#This Row],[U.P]]+MIP[[#This Row],[S.B]]-MIP[[#This Row],[P.E]])</f>
        <v>8.333333333333337E-2</v>
      </c>
      <c r="V468" s="41">
        <f>MIP[[#This Row],[Eficiência]]</f>
        <v>0.76363071483581868</v>
      </c>
      <c r="W46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68" s="39">
        <f>IF(MIP[[#This Row],[P.S]]-MIP[[#This Row],[P.E]]&lt;0,1+MIP[[#This Row],[P.S]]-MIP[[#This Row],[P.E]]-1/24,MIP[[#This Row],[P.S]]-MIP[[#This Row],[P.E]]-1/24)</f>
        <v>0.3708333333333334</v>
      </c>
      <c r="Y468" s="39">
        <f>MIP[[#This Row],[PT-1]]*$S$3+MIP[[#This Row],[PT-2]]*$T$3+MIP[[#This Row],[PT-3]]*$U$3+MIP[[#This Row],[PT &gt; 3 Pontos]]*$V$3</f>
        <v>0.21954383051529791</v>
      </c>
      <c r="Z468" s="39">
        <f>MIP[[#This Row],[HH disponível]]-MIP[[#This Row],[HH AC TOT]]</f>
        <v>0.28750000000000003</v>
      </c>
      <c r="AA468" s="38">
        <f>MIP[[#This Row],[HH Produtivo
Total]]/MIP[[#This Row],[HH Trabalhado]]</f>
        <v>0.76363071483581868</v>
      </c>
      <c r="AB468" s="38">
        <f>MIP[[#This Row],[HH Produtivo
Total]]/MIP[[#This Row],[HH disponível]]</f>
        <v>0.59202830700754483</v>
      </c>
      <c r="AC468" s="38">
        <f>MIP[[#This Row],[HH Trabalhado]]/MIP[[#This Row],[HH disponível]]</f>
        <v>0.77528089887640439</v>
      </c>
      <c r="AD468" s="37" t="str">
        <f>LEFT(MIP[[#This Row],[Equipe]], SEARCH("/",MIP[[#This Row],[Equipe]],1)-1)</f>
        <v xml:space="preserve">EDILTON </v>
      </c>
      <c r="AE468" s="37" t="str">
        <f>RIGHT(MIP[[#This Row],[Equipe]], LEN(MIP[[#This Row],[Equipe]])-SEARCH("/",MIP[[#This Row],[Equipe]],1))</f>
        <v xml:space="preserve"> GECIVALDO</v>
      </c>
      <c r="AF468" s="44">
        <f>COUNTIFS('[1]Tempo parado'!H:H,"&gt;="&amp;MIP[[#This Row],[S.B Sitrack]],'[1]Tempo parado'!I:I,"&lt;="&amp;MIP[[#This Row],[C.B Sitrack]],'[1]Tempo parado'!B:B,MIP[[#This Row],[Placa]])</f>
        <v>0</v>
      </c>
      <c r="AG468" s="36"/>
      <c r="AH468" s="35"/>
      <c r="AI468" s="34"/>
      <c r="AJ468" s="34"/>
      <c r="AK46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6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68" s="32">
        <f>SUMIFS('[1]Tempo parado'!J:J,'[1]Tempo parado'!H:H,"&gt;="&amp;MIP[[#This Row],[S.B Sitrack]],'[1]Tempo parado'!I:I,"&lt;="&amp;MIP[[#This Row],[C.B Sitrack]],'[1]Tempo parado'!B:B,MIP[[#This Row],[Placa]])</f>
        <v>0</v>
      </c>
      <c r="AN468" s="32" t="str">
        <f>IFERROR(MIP[[#This Row],[Tempo parado]]/(MIP[[#This Row],[C.B Sitrack]]-MIP[[#This Row],[S.B Sitrack]]),"")</f>
        <v/>
      </c>
      <c r="AO468" s="30"/>
      <c r="AP468" s="44">
        <f>IF(AND(MIP[Exc]=0,MIP[Previsto / Realizado]="Realizado"),MIP[Sem],0)</f>
        <v>35</v>
      </c>
      <c r="AQ468" s="29">
        <f>IF(AND(MIP[Exc]=0,MIP[Previsto / Realizado]="Realizado",ISBLANK(MIP[[#This Row],[S.B Sitrack]])=FALSE,ISBLANK(MIP[[#This Row],[C.B Sitrack]])=FALSE),MIP[Sem],0)</f>
        <v>0</v>
      </c>
    </row>
    <row r="469" spans="1:43" s="47" customFormat="1" x14ac:dyDescent="0.25">
      <c r="A469" s="11"/>
      <c r="B469" s="44">
        <f>WEEKNUM(MIP[[#This Row],[Data]])</f>
        <v>35</v>
      </c>
      <c r="C469" s="45">
        <v>42979</v>
      </c>
      <c r="D469" s="45"/>
      <c r="E469" s="35" t="s">
        <v>10</v>
      </c>
      <c r="F469" s="35" t="s">
        <v>5</v>
      </c>
      <c r="G469" s="35"/>
      <c r="H469" s="44">
        <v>2</v>
      </c>
      <c r="I469" s="44">
        <v>4</v>
      </c>
      <c r="J469" s="44">
        <v>0</v>
      </c>
      <c r="K469" s="44">
        <v>0</v>
      </c>
      <c r="L469" s="44">
        <v>4</v>
      </c>
      <c r="M469" s="43">
        <v>0.25</v>
      </c>
      <c r="N469" s="43">
        <v>0.27083333333333331</v>
      </c>
      <c r="O469" s="43">
        <v>0.63750000000000007</v>
      </c>
      <c r="P469" s="43">
        <v>0.65833333333333333</v>
      </c>
      <c r="Q469" s="39"/>
      <c r="R469" s="42" t="s">
        <v>4</v>
      </c>
      <c r="S469" s="29">
        <f>MIP[[#This Row],[PT-1]]+MIP[[#This Row],[PT-2]]*2+MIP[[#This Row],[PT-3]]*3+MIP[[#This Row],[PT &gt; 3 Pontos]]</f>
        <v>8</v>
      </c>
      <c r="T46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469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469" s="41">
        <f>MIP[[#This Row],[Eficiência]]</f>
        <v>0.55721678571920097</v>
      </c>
      <c r="W46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69" s="39">
        <f>IF(MIP[[#This Row],[P.S]]-MIP[[#This Row],[P.E]]&lt;0,1+MIP[[#This Row],[P.S]]-MIP[[#This Row],[P.E]]-1/24,MIP[[#This Row],[P.S]]-MIP[[#This Row],[P.E]]-1/24)</f>
        <v>0.36666666666666664</v>
      </c>
      <c r="Y469" s="39">
        <f>MIP[[#This Row],[PT-1]]*$S$3+MIP[[#This Row],[PT-2]]*$T$3+MIP[[#This Row],[PT-3]]*$U$3+MIP[[#This Row],[PT &gt; 3 Pontos]]*$V$3</f>
        <v>0.18109545535874036</v>
      </c>
      <c r="Z469" s="39">
        <f>MIP[[#This Row],[HH disponível]]-MIP[[#This Row],[HH AC TOT]]</f>
        <v>0.32500000000000007</v>
      </c>
      <c r="AA469" s="38">
        <f>MIP[[#This Row],[HH Produtivo
Total]]/MIP[[#This Row],[HH Trabalhado]]</f>
        <v>0.55721678571920097</v>
      </c>
      <c r="AB469" s="38">
        <f>MIP[[#This Row],[HH Produtivo
Total]]/MIP[[#This Row],[HH disponível]]</f>
        <v>0.49389669643292827</v>
      </c>
      <c r="AC469" s="38">
        <f>MIP[[#This Row],[HH Trabalhado]]/MIP[[#This Row],[HH disponível]]</f>
        <v>0.88636363636363658</v>
      </c>
      <c r="AD469" s="37" t="str">
        <f>LEFT(MIP[[#This Row],[Equipe]], SEARCH("/",MIP[[#This Row],[Equipe]],1)-1)</f>
        <v xml:space="preserve">JOILSON </v>
      </c>
      <c r="AE469" s="37" t="str">
        <f>RIGHT(MIP[[#This Row],[Equipe]], LEN(MIP[[#This Row],[Equipe]])-SEARCH("/",MIP[[#This Row],[Equipe]],1))</f>
        <v xml:space="preserve"> VALDEI</v>
      </c>
      <c r="AF469" s="44">
        <f>COUNTIFS('[1]Tempo parado'!H:H,"&gt;="&amp;MIP[[#This Row],[S.B Sitrack]],'[1]Tempo parado'!I:I,"&lt;="&amp;MIP[[#This Row],[C.B Sitrack]],'[1]Tempo parado'!B:B,MIP[[#This Row],[Placa]])</f>
        <v>0</v>
      </c>
      <c r="AG469" s="36"/>
      <c r="AH469" s="35"/>
      <c r="AI469" s="34"/>
      <c r="AJ469" s="34"/>
      <c r="AK46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6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69" s="32">
        <f>SUMIFS('[1]Tempo parado'!J:J,'[1]Tempo parado'!H:H,"&gt;="&amp;MIP[[#This Row],[S.B Sitrack]],'[1]Tempo parado'!I:I,"&lt;="&amp;MIP[[#This Row],[C.B Sitrack]],'[1]Tempo parado'!B:B,MIP[[#This Row],[Placa]])</f>
        <v>0</v>
      </c>
      <c r="AN469" s="32" t="str">
        <f>IFERROR(MIP[[#This Row],[Tempo parado]]/(MIP[[#This Row],[C.B Sitrack]]-MIP[[#This Row],[S.B Sitrack]]),"")</f>
        <v/>
      </c>
      <c r="AO469" s="30"/>
      <c r="AP469" s="44">
        <f>IF(AND(MIP[Exc]=0,MIP[Previsto / Realizado]="Realizado"),MIP[Sem],0)</f>
        <v>0</v>
      </c>
      <c r="AQ469" s="29">
        <f>IF(AND(MIP[Exc]=0,MIP[Previsto / Realizado]="Realizado",ISBLANK(MIP[[#This Row],[S.B Sitrack]])=FALSE,ISBLANK(MIP[[#This Row],[C.B Sitrack]])=FALSE),MIP[Sem],0)</f>
        <v>0</v>
      </c>
    </row>
    <row r="470" spans="1:43" s="64" customFormat="1" x14ac:dyDescent="0.25">
      <c r="A470" s="11"/>
      <c r="B470" s="44">
        <f>WEEKNUM(MIP[[#This Row],[Data]])</f>
        <v>35</v>
      </c>
      <c r="C470" s="45">
        <v>42979</v>
      </c>
      <c r="D470" s="45"/>
      <c r="E470" s="35" t="s">
        <v>10</v>
      </c>
      <c r="F470" s="35" t="s">
        <v>2</v>
      </c>
      <c r="G470" s="35"/>
      <c r="H470" s="44">
        <v>2</v>
      </c>
      <c r="I470" s="44">
        <v>7</v>
      </c>
      <c r="J470" s="44">
        <v>0</v>
      </c>
      <c r="K470" s="44">
        <v>0</v>
      </c>
      <c r="L470" s="44">
        <v>4</v>
      </c>
      <c r="M470" s="43">
        <v>0.24791666666666667</v>
      </c>
      <c r="N470" s="43">
        <v>0.28541666666666665</v>
      </c>
      <c r="O470" s="43">
        <v>0.61319444444444449</v>
      </c>
      <c r="P470" s="43"/>
      <c r="Q470" s="39"/>
      <c r="R470" s="42" t="s">
        <v>264</v>
      </c>
      <c r="S470" s="29">
        <f>MIP[[#This Row],[PT-1]]+MIP[[#This Row],[PT-2]]*2+MIP[[#This Row],[PT-3]]*3+MIP[[#This Row],[PT &gt; 3 Pontos]]</f>
        <v>11</v>
      </c>
      <c r="T47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0.42430555555555549</v>
      </c>
      <c r="U470" s="39">
        <f>IF(MIP[[#This Row],[P.S]]-MIP[[#This Row],[U.P]]&gt;=0,MIP[[#This Row],[P.S]]-MIP[[#This Row],[U.P]]+MIP[[#This Row],[S.B]]-MIP[[#This Row],[P.E]],1+MIP[[#This Row],[P.S]]-MIP[[#This Row],[U.P]]+MIP[[#This Row],[S.B]]-MIP[[#This Row],[P.E]])</f>
        <v>0.42430555555555549</v>
      </c>
      <c r="V470" s="41">
        <f>MIP[[#This Row],[Eficiência]]</f>
        <v>0.89536199150289975</v>
      </c>
      <c r="W47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1</v>
      </c>
      <c r="X470" s="39">
        <f>IF(MIP[[#This Row],[P.S]]-MIP[[#This Row],[P.E]]&lt;0,1+MIP[[#This Row],[P.S]]-MIP[[#This Row],[P.E]]-1/24,MIP[[#This Row],[P.S]]-MIP[[#This Row],[P.E]]-1/24)</f>
        <v>0.7104166666666667</v>
      </c>
      <c r="Y470" s="39">
        <f>MIP[[#This Row],[PT-1]]*$S$3+MIP[[#This Row],[PT-2]]*$T$3+MIP[[#This Row],[PT-3]]*$U$3+MIP[[#This Row],[PT &gt; 3 Pontos]]*$V$3</f>
        <v>0.25617301423555194</v>
      </c>
      <c r="Z470" s="39">
        <f>MIP[[#This Row],[HH disponível]]-MIP[[#This Row],[HH AC TOT]]</f>
        <v>0.2861111111111112</v>
      </c>
      <c r="AA470" s="38">
        <f>MIP[[#This Row],[HH Produtivo
Total]]/MIP[[#This Row],[HH Trabalhado]]</f>
        <v>0.89536199150289975</v>
      </c>
      <c r="AB470" s="38">
        <f>MIP[[#This Row],[HH Produtivo
Total]]/MIP[[#This Row],[HH disponível]]</f>
        <v>0.36059544525825493</v>
      </c>
      <c r="AC470" s="38">
        <f>MIP[[#This Row],[HH Trabalhado]]/MIP[[#This Row],[HH disponível]]</f>
        <v>0.40273704789833836</v>
      </c>
      <c r="AD470" s="37" t="str">
        <f>LEFT(MIP[[#This Row],[Equipe]], SEARCH("/",MIP[[#This Row],[Equipe]],1)-1)</f>
        <v xml:space="preserve">JOILSON </v>
      </c>
      <c r="AE470" s="37" t="str">
        <f>RIGHT(MIP[[#This Row],[Equipe]], LEN(MIP[[#This Row],[Equipe]])-SEARCH("/",MIP[[#This Row],[Equipe]],1))</f>
        <v xml:space="preserve"> VALDEI</v>
      </c>
      <c r="AF470" s="44">
        <f>COUNTIFS('[1]Tempo parado'!H:H,"&gt;="&amp;MIP[[#This Row],[S.B Sitrack]],'[1]Tempo parado'!I:I,"&lt;="&amp;MIP[[#This Row],[C.B Sitrack]],'[1]Tempo parado'!B:B,MIP[[#This Row],[Placa]])</f>
        <v>0</v>
      </c>
      <c r="AG470" s="36"/>
      <c r="AH470" s="35"/>
      <c r="AI470" s="34"/>
      <c r="AJ470" s="34"/>
      <c r="AK47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7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70" s="32">
        <f>SUMIFS('[1]Tempo parado'!J:J,'[1]Tempo parado'!H:H,"&gt;="&amp;MIP[[#This Row],[S.B Sitrack]],'[1]Tempo parado'!I:I,"&lt;="&amp;MIP[[#This Row],[C.B Sitrack]],'[1]Tempo parado'!B:B,MIP[[#This Row],[Placa]])</f>
        <v>0</v>
      </c>
      <c r="AN470" s="32" t="str">
        <f>IFERROR(MIP[[#This Row],[Tempo parado]]/(MIP[[#This Row],[C.B Sitrack]]-MIP[[#This Row],[S.B Sitrack]]),"")</f>
        <v/>
      </c>
      <c r="AO470" s="30"/>
      <c r="AP470" s="44">
        <f>IF(AND(MIP[Exc]=0,MIP[Previsto / Realizado]="Realizado"),MIP[Sem],0)</f>
        <v>0</v>
      </c>
      <c r="AQ470" s="29">
        <f>IF(AND(MIP[Exc]=0,MIP[Previsto / Realizado]="Realizado",ISBLANK(MIP[[#This Row],[S.B Sitrack]])=FALSE,ISBLANK(MIP[[#This Row],[C.B Sitrack]])=FALSE),MIP[Sem],0)</f>
        <v>0</v>
      </c>
    </row>
    <row r="471" spans="1:43" s="47" customFormat="1" x14ac:dyDescent="0.25">
      <c r="A471" s="11"/>
      <c r="B471" s="44">
        <f>WEEKNUM(MIP[[#This Row],[Data]])</f>
        <v>35</v>
      </c>
      <c r="C471" s="45">
        <v>42979</v>
      </c>
      <c r="D471" s="45"/>
      <c r="E471" s="35" t="s">
        <v>3</v>
      </c>
      <c r="F471" s="35" t="s">
        <v>5</v>
      </c>
      <c r="G471" s="35"/>
      <c r="H471" s="44">
        <v>2</v>
      </c>
      <c r="I471" s="44">
        <v>0</v>
      </c>
      <c r="J471" s="44">
        <v>4</v>
      </c>
      <c r="K471" s="44">
        <v>1</v>
      </c>
      <c r="L471" s="44">
        <v>0</v>
      </c>
      <c r="M471" s="43">
        <v>0.625</v>
      </c>
      <c r="N471" s="43">
        <v>0.64583333333333337</v>
      </c>
      <c r="O471" s="43">
        <f>1+18/24/60</f>
        <v>1.0125</v>
      </c>
      <c r="P471" s="43">
        <f>1+48/24/60</f>
        <v>1.0333333333333334</v>
      </c>
      <c r="Q471" s="39"/>
      <c r="R471" s="42" t="s">
        <v>263</v>
      </c>
      <c r="S471" s="29">
        <f>MIP[[#This Row],[PT-1]]+MIP[[#This Row],[PT-2]]*2+MIP[[#This Row],[PT-3]]*3+MIP[[#This Row],[PT &gt; 3 Pontos]]</f>
        <v>11</v>
      </c>
      <c r="T47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471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471" s="41">
        <f>MIP[[#This Row],[Eficiência]]</f>
        <v>0.73362074972129354</v>
      </c>
      <c r="W47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71" s="39">
        <f>IF(MIP[[#This Row],[P.S]]-MIP[[#This Row],[P.E]]&lt;0,1+MIP[[#This Row],[P.S]]-MIP[[#This Row],[P.E]]-1/24,MIP[[#This Row],[P.S]]-MIP[[#This Row],[P.E]]-1/24)</f>
        <v>0.36666666666666675</v>
      </c>
      <c r="Y471" s="39">
        <f>MIP[[#This Row],[PT-1]]*$S$3+MIP[[#This Row],[PT-2]]*$T$3+MIP[[#This Row],[PT-3]]*$U$3+MIP[[#This Row],[PT &gt; 3 Pontos]]*$V$3</f>
        <v>0.23842674365942032</v>
      </c>
      <c r="Z471" s="39">
        <f>MIP[[#This Row],[HH disponível]]-MIP[[#This Row],[HH AC TOT]]</f>
        <v>0.3249999999999999</v>
      </c>
      <c r="AA471" s="38">
        <f>MIP[[#This Row],[HH Produtivo
Total]]/MIP[[#This Row],[HH Trabalhado]]</f>
        <v>0.73362074972129354</v>
      </c>
      <c r="AB471" s="38">
        <f>MIP[[#This Row],[HH Produtivo
Total]]/MIP[[#This Row],[HH disponível]]</f>
        <v>0.65025475543478251</v>
      </c>
      <c r="AC471" s="38">
        <f>MIP[[#This Row],[HH Trabalhado]]/MIP[[#This Row],[HH disponível]]</f>
        <v>0.88636363636363591</v>
      </c>
      <c r="AD471" s="37" t="str">
        <f>LEFT(MIP[[#This Row],[Equipe]], SEARCH("/",MIP[[#This Row],[Equipe]],1)-1)</f>
        <v xml:space="preserve">EDILTON </v>
      </c>
      <c r="AE471" s="37" t="str">
        <f>RIGHT(MIP[[#This Row],[Equipe]], LEN(MIP[[#This Row],[Equipe]])-SEARCH("/",MIP[[#This Row],[Equipe]],1))</f>
        <v xml:space="preserve"> GECIVALDO</v>
      </c>
      <c r="AF471" s="44">
        <f>COUNTIFS('[1]Tempo parado'!H:H,"&gt;="&amp;MIP[[#This Row],[S.B Sitrack]],'[1]Tempo parado'!I:I,"&lt;="&amp;MIP[[#This Row],[C.B Sitrack]],'[1]Tempo parado'!B:B,MIP[[#This Row],[Placa]])</f>
        <v>0</v>
      </c>
      <c r="AG471" s="36"/>
      <c r="AH471" s="35"/>
      <c r="AI471" s="34"/>
      <c r="AJ471" s="34"/>
      <c r="AK47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7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71" s="32">
        <f>SUMIFS('[1]Tempo parado'!J:J,'[1]Tempo parado'!H:H,"&gt;="&amp;MIP[[#This Row],[S.B Sitrack]],'[1]Tempo parado'!I:I,"&lt;="&amp;MIP[[#This Row],[C.B Sitrack]],'[1]Tempo parado'!B:B,MIP[[#This Row],[Placa]])</f>
        <v>0</v>
      </c>
      <c r="AN471" s="32" t="str">
        <f>IFERROR(MIP[[#This Row],[Tempo parado]]/(MIP[[#This Row],[C.B Sitrack]]-MIP[[#This Row],[S.B Sitrack]]),"")</f>
        <v/>
      </c>
      <c r="AO471" s="30"/>
      <c r="AP471" s="44">
        <f>IF(AND(MIP[Exc]=0,MIP[Previsto / Realizado]="Realizado"),MIP[Sem],0)</f>
        <v>0</v>
      </c>
      <c r="AQ471" s="29">
        <f>IF(AND(MIP[Exc]=0,MIP[Previsto / Realizado]="Realizado",ISBLANK(MIP[[#This Row],[S.B Sitrack]])=FALSE,ISBLANK(MIP[[#This Row],[C.B Sitrack]])=FALSE),MIP[Sem],0)</f>
        <v>0</v>
      </c>
    </row>
    <row r="472" spans="1:43" s="64" customFormat="1" x14ac:dyDescent="0.25">
      <c r="A472" s="11"/>
      <c r="B472" s="44">
        <f>WEEKNUM(MIP[[#This Row],[Data]])</f>
        <v>35</v>
      </c>
      <c r="C472" s="45">
        <v>42979</v>
      </c>
      <c r="D472" s="45"/>
      <c r="E472" s="35" t="s">
        <v>3</v>
      </c>
      <c r="F472" s="35" t="s">
        <v>2</v>
      </c>
      <c r="G472" s="35"/>
      <c r="H472" s="44">
        <v>2</v>
      </c>
      <c r="I472" s="44">
        <v>0</v>
      </c>
      <c r="J472" s="44">
        <v>5</v>
      </c>
      <c r="K472" s="44">
        <v>1</v>
      </c>
      <c r="L472" s="44">
        <v>0</v>
      </c>
      <c r="M472" s="43">
        <v>0.67638888888888893</v>
      </c>
      <c r="N472" s="43">
        <v>0.68541666666666667</v>
      </c>
      <c r="O472" s="43">
        <f>1+2/24/60</f>
        <v>1.0013888888888889</v>
      </c>
      <c r="P472" s="43">
        <f>1+51/24/60</f>
        <v>1.0354166666666667</v>
      </c>
      <c r="Q472" s="39"/>
      <c r="R472" s="42"/>
      <c r="S472" s="29">
        <f>MIP[[#This Row],[PT-1]]+MIP[[#This Row],[PT-2]]*2+MIP[[#This Row],[PT-3]]*3+MIP[[#This Row],[PT &gt; 3 Pontos]]</f>
        <v>13</v>
      </c>
      <c r="T47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4.3055555555555514E-2</v>
      </c>
      <c r="U472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4.3055555555555514E-2</v>
      </c>
      <c r="V472" s="41">
        <f>MIP[[#This Row],[Eficiência]]</f>
        <v>1.0292737571087875</v>
      </c>
      <c r="W47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72" s="39">
        <f>IF(MIP[[#This Row],[P.S]]-MIP[[#This Row],[P.E]]&lt;0,1+MIP[[#This Row],[P.S]]-MIP[[#This Row],[P.E]]-1/24,MIP[[#This Row],[P.S]]-MIP[[#This Row],[P.E]]-1/24)</f>
        <v>0.31736111111111104</v>
      </c>
      <c r="Y472" s="39">
        <f>MIP[[#This Row],[PT-1]]*$S$3+MIP[[#This Row],[PT-2]]*$T$3+MIP[[#This Row],[PT-3]]*$U$3+MIP[[#This Row],[PT &gt; 3 Pontos]]*$V$3</f>
        <v>0.2823355097624799</v>
      </c>
      <c r="Z472" s="39">
        <f>MIP[[#This Row],[HH disponível]]-MIP[[#This Row],[HH AC TOT]]</f>
        <v>0.27430555555555552</v>
      </c>
      <c r="AA472" s="38">
        <f>MIP[[#This Row],[HH Produtivo
Total]]/MIP[[#This Row],[HH Trabalhado]]</f>
        <v>1.0292737571087875</v>
      </c>
      <c r="AB472" s="38">
        <f>MIP[[#This Row],[HH Produtivo
Total]]/MIP[[#This Row],[HH disponível]]</f>
        <v>0.88963486664763924</v>
      </c>
      <c r="AC472" s="38">
        <f>MIP[[#This Row],[HH Trabalhado]]/MIP[[#This Row],[HH disponível]]</f>
        <v>0.8643326039387309</v>
      </c>
      <c r="AD472" s="37" t="str">
        <f>LEFT(MIP[[#This Row],[Equipe]], SEARCH("/",MIP[[#This Row],[Equipe]],1)-1)</f>
        <v xml:space="preserve">EDILTON </v>
      </c>
      <c r="AE472" s="37" t="str">
        <f>RIGHT(MIP[[#This Row],[Equipe]], LEN(MIP[[#This Row],[Equipe]])-SEARCH("/",MIP[[#This Row],[Equipe]],1))</f>
        <v xml:space="preserve"> GECIVALDO</v>
      </c>
      <c r="AF472" s="44">
        <f>COUNTIFS('[1]Tempo parado'!H:H,"&gt;="&amp;MIP[[#This Row],[S.B Sitrack]],'[1]Tempo parado'!I:I,"&lt;="&amp;MIP[[#This Row],[C.B Sitrack]],'[1]Tempo parado'!B:B,MIP[[#This Row],[Placa]])</f>
        <v>0</v>
      </c>
      <c r="AG472" s="36"/>
      <c r="AH472" s="35"/>
      <c r="AI472" s="34"/>
      <c r="AJ472" s="34"/>
      <c r="AK47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7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72" s="32">
        <f>SUMIFS('[1]Tempo parado'!J:J,'[1]Tempo parado'!H:H,"&gt;="&amp;MIP[[#This Row],[S.B Sitrack]],'[1]Tempo parado'!I:I,"&lt;="&amp;MIP[[#This Row],[C.B Sitrack]],'[1]Tempo parado'!B:B,MIP[[#This Row],[Placa]])</f>
        <v>0</v>
      </c>
      <c r="AN472" s="32" t="str">
        <f>IFERROR(MIP[[#This Row],[Tempo parado]]/(MIP[[#This Row],[C.B Sitrack]]-MIP[[#This Row],[S.B Sitrack]]),"")</f>
        <v/>
      </c>
      <c r="AO472" s="30"/>
      <c r="AP472" s="44">
        <f>IF(AND(MIP[Exc]=0,MIP[Previsto / Realizado]="Realizado"),MIP[Sem],0)</f>
        <v>35</v>
      </c>
      <c r="AQ472" s="29">
        <f>IF(AND(MIP[Exc]=0,MIP[Previsto / Realizado]="Realizado",ISBLANK(MIP[[#This Row],[S.B Sitrack]])=FALSE,ISBLANK(MIP[[#This Row],[C.B Sitrack]])=FALSE),MIP[Sem],0)</f>
        <v>0</v>
      </c>
    </row>
    <row r="473" spans="1:43" s="47" customFormat="1" x14ac:dyDescent="0.25">
      <c r="A473" s="11"/>
      <c r="B473" s="44">
        <f>WEEKNUM(MIP[[#This Row],[Data]])</f>
        <v>35</v>
      </c>
      <c r="C473" s="45">
        <v>42979</v>
      </c>
      <c r="D473" s="45"/>
      <c r="E473" s="35" t="s">
        <v>19</v>
      </c>
      <c r="F473" s="35" t="s">
        <v>5</v>
      </c>
      <c r="G473" s="35"/>
      <c r="H473" s="44">
        <v>2</v>
      </c>
      <c r="I473" s="44">
        <v>0</v>
      </c>
      <c r="J473" s="44">
        <v>0</v>
      </c>
      <c r="K473" s="44">
        <v>0</v>
      </c>
      <c r="L473" s="44">
        <v>0</v>
      </c>
      <c r="M473" s="43">
        <v>0.625</v>
      </c>
      <c r="N473" s="43">
        <v>0.64583333333333337</v>
      </c>
      <c r="O473" s="43">
        <f>1+18/24/60</f>
        <v>1.0125</v>
      </c>
      <c r="P473" s="43">
        <f>1+48/24/60</f>
        <v>1.0333333333333334</v>
      </c>
      <c r="Q473" s="39"/>
      <c r="R473" s="42" t="s">
        <v>262</v>
      </c>
      <c r="S473" s="29">
        <f>MIP[[#This Row],[PT-1]]+MIP[[#This Row],[PT-2]]*2+MIP[[#This Row],[PT-3]]*3+MIP[[#This Row],[PT &gt; 3 Pontos]]</f>
        <v>0</v>
      </c>
      <c r="T47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473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473" s="41">
        <f>MIP[[#This Row],[Eficiência]]</f>
        <v>0</v>
      </c>
      <c r="W47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73" s="39">
        <f>IF(MIP[[#This Row],[P.S]]-MIP[[#This Row],[P.E]]&lt;0,1+MIP[[#This Row],[P.S]]-MIP[[#This Row],[P.E]]-1/24,MIP[[#This Row],[P.S]]-MIP[[#This Row],[P.E]]-1/24)</f>
        <v>0.36666666666666675</v>
      </c>
      <c r="Y473" s="39">
        <f>MIP[[#This Row],[PT-1]]*$S$3+MIP[[#This Row],[PT-2]]*$T$3+MIP[[#This Row],[PT-3]]*$U$3+MIP[[#This Row],[PT &gt; 3 Pontos]]*$V$3</f>
        <v>0</v>
      </c>
      <c r="Z473" s="39">
        <f>MIP[[#This Row],[HH disponível]]-MIP[[#This Row],[HH AC TOT]]</f>
        <v>0.3249999999999999</v>
      </c>
      <c r="AA473" s="38">
        <f>MIP[[#This Row],[HH Produtivo
Total]]/MIP[[#This Row],[HH Trabalhado]]</f>
        <v>0</v>
      </c>
      <c r="AB473" s="38">
        <f>MIP[[#This Row],[HH Produtivo
Total]]/MIP[[#This Row],[HH disponível]]</f>
        <v>0</v>
      </c>
      <c r="AC473" s="38">
        <f>MIP[[#This Row],[HH Trabalhado]]/MIP[[#This Row],[HH disponível]]</f>
        <v>0.88636363636363591</v>
      </c>
      <c r="AD473" s="37" t="str">
        <f>LEFT(MIP[[#This Row],[Equipe]], SEARCH("/",MIP[[#This Row],[Equipe]],1)-1)</f>
        <v xml:space="preserve">ADEMÁRIO </v>
      </c>
      <c r="AE473" s="37" t="str">
        <f>RIGHT(MIP[[#This Row],[Equipe]], LEN(MIP[[#This Row],[Equipe]])-SEARCH("/",MIP[[#This Row],[Equipe]],1))</f>
        <v xml:space="preserve"> RONALDO</v>
      </c>
      <c r="AF473" s="44">
        <f>COUNTIFS('[1]Tempo parado'!H:H,"&gt;="&amp;MIP[[#This Row],[S.B Sitrack]],'[1]Tempo parado'!I:I,"&lt;="&amp;MIP[[#This Row],[C.B Sitrack]],'[1]Tempo parado'!B:B,MIP[[#This Row],[Placa]])</f>
        <v>0</v>
      </c>
      <c r="AG473" s="36"/>
      <c r="AH473" s="35"/>
      <c r="AI473" s="34"/>
      <c r="AJ473" s="34"/>
      <c r="AK47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7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73" s="32">
        <f>SUMIFS('[1]Tempo parado'!J:J,'[1]Tempo parado'!H:H,"&gt;="&amp;MIP[[#This Row],[S.B Sitrack]],'[1]Tempo parado'!I:I,"&lt;="&amp;MIP[[#This Row],[C.B Sitrack]],'[1]Tempo parado'!B:B,MIP[[#This Row],[Placa]])</f>
        <v>0</v>
      </c>
      <c r="AN473" s="32" t="str">
        <f>IFERROR(MIP[[#This Row],[Tempo parado]]/(MIP[[#This Row],[C.B Sitrack]]-MIP[[#This Row],[S.B Sitrack]]),"")</f>
        <v/>
      </c>
      <c r="AO473" s="30"/>
      <c r="AP473" s="44">
        <f>IF(AND(MIP[Exc]=0,MIP[Previsto / Realizado]="Realizado"),MIP[Sem],0)</f>
        <v>0</v>
      </c>
      <c r="AQ473" s="29">
        <f>IF(AND(MIP[Exc]=0,MIP[Previsto / Realizado]="Realizado",ISBLANK(MIP[[#This Row],[S.B Sitrack]])=FALSE,ISBLANK(MIP[[#This Row],[C.B Sitrack]])=FALSE),MIP[Sem],0)</f>
        <v>0</v>
      </c>
    </row>
    <row r="474" spans="1:43" s="64" customFormat="1" x14ac:dyDescent="0.25">
      <c r="A474" s="11"/>
      <c r="B474" s="44">
        <f>WEEKNUM(MIP[[#This Row],[Data]])</f>
        <v>35</v>
      </c>
      <c r="C474" s="45">
        <v>42979</v>
      </c>
      <c r="D474" s="45"/>
      <c r="E474" s="35" t="s">
        <v>19</v>
      </c>
      <c r="F474" s="35" t="s">
        <v>2</v>
      </c>
      <c r="G474" s="35"/>
      <c r="H474" s="44">
        <v>2</v>
      </c>
      <c r="I474" s="44">
        <v>0</v>
      </c>
      <c r="J474" s="44">
        <v>0</v>
      </c>
      <c r="K474" s="44">
        <v>0</v>
      </c>
      <c r="L474" s="44">
        <v>8</v>
      </c>
      <c r="M474" s="43">
        <v>0.61875000000000002</v>
      </c>
      <c r="N474" s="43">
        <v>0.6694444444444444</v>
      </c>
      <c r="O474" s="43">
        <f>1+30/24/60</f>
        <v>1.0208333333333333</v>
      </c>
      <c r="P474" s="43">
        <f>1+49/24/60</f>
        <v>1.0340277777777778</v>
      </c>
      <c r="Q474" s="39">
        <v>3.8194444444444441E-2</v>
      </c>
      <c r="R474" s="42" t="s">
        <v>261</v>
      </c>
      <c r="S474" s="29">
        <f>MIP[[#This Row],[PT-1]]+MIP[[#This Row],[PT-2]]*2+MIP[[#This Row],[PT-3]]*3+MIP[[#This Row],[PT &gt; 3 Pontos]]</f>
        <v>8</v>
      </c>
      <c r="T47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0.10208333333333333</v>
      </c>
      <c r="U474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6.3888888888888884E-2</v>
      </c>
      <c r="V474" s="41">
        <f>MIP[[#This Row],[Eficiência]]</f>
        <v>0.59656543566807152</v>
      </c>
      <c r="W47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74" s="39">
        <f>IF(MIP[[#This Row],[P.S]]-MIP[[#This Row],[P.E]]&lt;0,1+MIP[[#This Row],[P.S]]-MIP[[#This Row],[P.E]]-1/24,MIP[[#This Row],[P.S]]-MIP[[#This Row],[P.E]]-1/24)</f>
        <v>0.37361111111111106</v>
      </c>
      <c r="Y474" s="39">
        <f>MIP[[#This Row],[PT-1]]*$S$3+MIP[[#This Row],[PT-2]]*$T$3+MIP[[#This Row],[PT-3]]*$U$3+MIP[[#This Row],[PT &gt; 3 Pontos]]*$V$3</f>
        <v>0.16198408704598327</v>
      </c>
      <c r="Z474" s="39">
        <f>MIP[[#This Row],[HH disponível]]-MIP[[#This Row],[HH AC TOT]]</f>
        <v>0.2715277777777777</v>
      </c>
      <c r="AA474" s="38">
        <f>MIP[[#This Row],[HH Produtivo
Total]]/MIP[[#This Row],[HH Trabalhado]]</f>
        <v>0.59656543566807152</v>
      </c>
      <c r="AB474" s="38">
        <f>MIP[[#This Row],[HH Produtivo
Total]]/MIP[[#This Row],[HH disponível]]</f>
        <v>0.4335633556621114</v>
      </c>
      <c r="AC474" s="38">
        <f>MIP[[#This Row],[HH Trabalhado]]/MIP[[#This Row],[HH disponível]]</f>
        <v>0.72676579925650542</v>
      </c>
      <c r="AD474" s="37" t="str">
        <f>LEFT(MIP[[#This Row],[Equipe]], SEARCH("/",MIP[[#This Row],[Equipe]],1)-1)</f>
        <v xml:space="preserve">ADEMÁRIO </v>
      </c>
      <c r="AE474" s="37" t="str">
        <f>RIGHT(MIP[[#This Row],[Equipe]], LEN(MIP[[#This Row],[Equipe]])-SEARCH("/",MIP[[#This Row],[Equipe]],1))</f>
        <v xml:space="preserve"> RONALDO</v>
      </c>
      <c r="AF474" s="44">
        <f>COUNTIFS('[1]Tempo parado'!H:H,"&gt;="&amp;MIP[[#This Row],[S.B Sitrack]],'[1]Tempo parado'!I:I,"&lt;="&amp;MIP[[#This Row],[C.B Sitrack]],'[1]Tempo parado'!B:B,MIP[[#This Row],[Placa]])</f>
        <v>0</v>
      </c>
      <c r="AG474" s="36"/>
      <c r="AH474" s="35"/>
      <c r="AI474" s="34"/>
      <c r="AJ474" s="34"/>
      <c r="AK47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7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74" s="32">
        <f>SUMIFS('[1]Tempo parado'!J:J,'[1]Tempo parado'!H:H,"&gt;="&amp;MIP[[#This Row],[S.B Sitrack]],'[1]Tempo parado'!I:I,"&lt;="&amp;MIP[[#This Row],[C.B Sitrack]],'[1]Tempo parado'!B:B,MIP[[#This Row],[Placa]])</f>
        <v>0</v>
      </c>
      <c r="AN474" s="32" t="str">
        <f>IFERROR(MIP[[#This Row],[Tempo parado]]/(MIP[[#This Row],[C.B Sitrack]]-MIP[[#This Row],[S.B Sitrack]]),"")</f>
        <v/>
      </c>
      <c r="AO474" s="30"/>
      <c r="AP474" s="44">
        <f>IF(AND(MIP[Exc]=0,MIP[Previsto / Realizado]="Realizado"),MIP[Sem],0)</f>
        <v>35</v>
      </c>
      <c r="AQ474" s="29">
        <f>IF(AND(MIP[Exc]=0,MIP[Previsto / Realizado]="Realizado",ISBLANK(MIP[[#This Row],[S.B Sitrack]])=FALSE,ISBLANK(MIP[[#This Row],[C.B Sitrack]])=FALSE),MIP[Sem],0)</f>
        <v>0</v>
      </c>
    </row>
    <row r="475" spans="1:43" s="47" customFormat="1" x14ac:dyDescent="0.25">
      <c r="A475" s="11"/>
      <c r="B475" s="44">
        <f>WEEKNUM(MIP[[#This Row],[Data]])</f>
        <v>35</v>
      </c>
      <c r="C475" s="45">
        <v>42979</v>
      </c>
      <c r="D475" s="45"/>
      <c r="E475" s="35" t="s">
        <v>7</v>
      </c>
      <c r="F475" s="35" t="s">
        <v>5</v>
      </c>
      <c r="G475" s="35"/>
      <c r="H475" s="44">
        <v>2</v>
      </c>
      <c r="I475" s="44">
        <v>0</v>
      </c>
      <c r="J475" s="44">
        <v>0</v>
      </c>
      <c r="K475" s="44">
        <v>0</v>
      </c>
      <c r="L475" s="44">
        <v>0</v>
      </c>
      <c r="M475" s="43">
        <v>0.625</v>
      </c>
      <c r="N475" s="43">
        <v>0.64583333333333337</v>
      </c>
      <c r="O475" s="43">
        <f>1+18/24/60</f>
        <v>1.0125</v>
      </c>
      <c r="P475" s="43">
        <f>1+48/24/60</f>
        <v>1.0333333333333334</v>
      </c>
      <c r="Q475" s="39"/>
      <c r="R475" s="42" t="s">
        <v>260</v>
      </c>
      <c r="S475" s="29">
        <f>MIP[[#This Row],[PT-1]]+MIP[[#This Row],[PT-2]]*2+MIP[[#This Row],[PT-3]]*3+MIP[[#This Row],[PT &gt; 3 Pontos]]</f>
        <v>0</v>
      </c>
      <c r="T47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475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475" s="41">
        <f>MIP[[#This Row],[Eficiência]]</f>
        <v>0</v>
      </c>
      <c r="W47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75" s="39">
        <f>IF(MIP[[#This Row],[P.S]]-MIP[[#This Row],[P.E]]&lt;0,1+MIP[[#This Row],[P.S]]-MIP[[#This Row],[P.E]]-1/24,MIP[[#This Row],[P.S]]-MIP[[#This Row],[P.E]]-1/24)</f>
        <v>0.36666666666666675</v>
      </c>
      <c r="Y475" s="39">
        <f>MIP[[#This Row],[PT-1]]*$S$3+MIP[[#This Row],[PT-2]]*$T$3+MIP[[#This Row],[PT-3]]*$U$3+MIP[[#This Row],[PT &gt; 3 Pontos]]*$V$3</f>
        <v>0</v>
      </c>
      <c r="Z475" s="39">
        <f>MIP[[#This Row],[HH disponível]]-MIP[[#This Row],[HH AC TOT]]</f>
        <v>0.3249999999999999</v>
      </c>
      <c r="AA475" s="38">
        <f>MIP[[#This Row],[HH Produtivo
Total]]/MIP[[#This Row],[HH Trabalhado]]</f>
        <v>0</v>
      </c>
      <c r="AB475" s="38">
        <f>MIP[[#This Row],[HH Produtivo
Total]]/MIP[[#This Row],[HH disponível]]</f>
        <v>0</v>
      </c>
      <c r="AC475" s="38">
        <f>MIP[[#This Row],[HH Trabalhado]]/MIP[[#This Row],[HH disponível]]</f>
        <v>0.88636363636363591</v>
      </c>
      <c r="AD475" s="37" t="str">
        <f>LEFT(MIP[[#This Row],[Equipe]], SEARCH("/",MIP[[#This Row],[Equipe]],1)-1)</f>
        <v xml:space="preserve">ANDERSON </v>
      </c>
      <c r="AE475" s="37" t="str">
        <f>RIGHT(MIP[[#This Row],[Equipe]], LEN(MIP[[#This Row],[Equipe]])-SEARCH("/",MIP[[#This Row],[Equipe]],1))</f>
        <v xml:space="preserve"> MARCO</v>
      </c>
      <c r="AF475" s="44">
        <f>COUNTIFS('[1]Tempo parado'!H:H,"&gt;="&amp;MIP[[#This Row],[S.B Sitrack]],'[1]Tempo parado'!I:I,"&lt;="&amp;MIP[[#This Row],[C.B Sitrack]],'[1]Tempo parado'!B:B,MIP[[#This Row],[Placa]])</f>
        <v>0</v>
      </c>
      <c r="AG475" s="36"/>
      <c r="AH475" s="35"/>
      <c r="AI475" s="34"/>
      <c r="AJ475" s="34"/>
      <c r="AK47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7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75" s="32">
        <f>SUMIFS('[1]Tempo parado'!J:J,'[1]Tempo parado'!H:H,"&gt;="&amp;MIP[[#This Row],[S.B Sitrack]],'[1]Tempo parado'!I:I,"&lt;="&amp;MIP[[#This Row],[C.B Sitrack]],'[1]Tempo parado'!B:B,MIP[[#This Row],[Placa]])</f>
        <v>0</v>
      </c>
      <c r="AN475" s="32" t="str">
        <f>IFERROR(MIP[[#This Row],[Tempo parado]]/(MIP[[#This Row],[C.B Sitrack]]-MIP[[#This Row],[S.B Sitrack]]),"")</f>
        <v/>
      </c>
      <c r="AO475" s="30"/>
      <c r="AP475" s="44">
        <f>IF(AND(MIP[Exc]=0,MIP[Previsto / Realizado]="Realizado"),MIP[Sem],0)</f>
        <v>0</v>
      </c>
      <c r="AQ475" s="29">
        <f>IF(AND(MIP[Exc]=0,MIP[Previsto / Realizado]="Realizado",ISBLANK(MIP[[#This Row],[S.B Sitrack]])=FALSE,ISBLANK(MIP[[#This Row],[C.B Sitrack]])=FALSE),MIP[Sem],0)</f>
        <v>0</v>
      </c>
    </row>
    <row r="476" spans="1:43" s="64" customFormat="1" x14ac:dyDescent="0.25">
      <c r="A476" s="11"/>
      <c r="B476" s="44">
        <f>WEEKNUM(MIP[[#This Row],[Data]])</f>
        <v>35</v>
      </c>
      <c r="C476" s="45">
        <v>42979</v>
      </c>
      <c r="D476" s="45"/>
      <c r="E476" s="35" t="s">
        <v>7</v>
      </c>
      <c r="F476" s="35" t="s">
        <v>2</v>
      </c>
      <c r="G476" s="35"/>
      <c r="H476" s="44">
        <v>2</v>
      </c>
      <c r="I476" s="44">
        <v>0</v>
      </c>
      <c r="J476" s="44">
        <v>0</v>
      </c>
      <c r="K476" s="44">
        <v>0</v>
      </c>
      <c r="L476" s="44">
        <v>5</v>
      </c>
      <c r="M476" s="43">
        <v>0.63888888888888895</v>
      </c>
      <c r="N476" s="43">
        <v>0.6694444444444444</v>
      </c>
      <c r="O476" s="43">
        <f>1+30/24/60</f>
        <v>1.0208333333333333</v>
      </c>
      <c r="P476" s="43">
        <f>1+48/24/60</f>
        <v>1.0333333333333334</v>
      </c>
      <c r="Q476" s="39">
        <v>8.4027777777777771E-2</v>
      </c>
      <c r="R476" s="42" t="s">
        <v>259</v>
      </c>
      <c r="S476" s="29">
        <f>MIP[[#This Row],[PT-1]]+MIP[[#This Row],[PT-2]]*2+MIP[[#This Row],[PT-3]]*3+MIP[[#This Row],[PT &gt; 3 Pontos]]</f>
        <v>5</v>
      </c>
      <c r="T47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0.12708333333333338</v>
      </c>
      <c r="U476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4.3055555555555625E-2</v>
      </c>
      <c r="V476" s="41">
        <f>MIP[[#This Row],[Eficiência]]</f>
        <v>0.44857131797349215</v>
      </c>
      <c r="W47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76" s="39">
        <f>IF(MIP[[#This Row],[P.S]]-MIP[[#This Row],[P.E]]&lt;0,1+MIP[[#This Row],[P.S]]-MIP[[#This Row],[P.E]]-1/24,MIP[[#This Row],[P.S]]-MIP[[#This Row],[P.E]]-1/24)</f>
        <v>0.3527777777777778</v>
      </c>
      <c r="Y476" s="39">
        <f>MIP[[#This Row],[PT-1]]*$S$3+MIP[[#This Row],[PT-2]]*$T$3+MIP[[#This Row],[PT-3]]*$U$3+MIP[[#This Row],[PT &gt; 3 Pontos]]*$V$3</f>
        <v>0.10124005440373954</v>
      </c>
      <c r="Z476" s="39">
        <f>MIP[[#This Row],[HH disponível]]-MIP[[#This Row],[HH AC TOT]]</f>
        <v>0.22569444444444442</v>
      </c>
      <c r="AA476" s="38">
        <f>MIP[[#This Row],[HH Produtivo
Total]]/MIP[[#This Row],[HH Trabalhado]]</f>
        <v>0.44857131797349215</v>
      </c>
      <c r="AB476" s="38">
        <f>MIP[[#This Row],[HH Produtivo
Total]]/MIP[[#This Row],[HH disponível]]</f>
        <v>0.28697968177437977</v>
      </c>
      <c r="AC476" s="38">
        <f>MIP[[#This Row],[HH Trabalhado]]/MIP[[#This Row],[HH disponível]]</f>
        <v>0.63976377952755892</v>
      </c>
      <c r="AD476" s="37" t="str">
        <f>LEFT(MIP[[#This Row],[Equipe]], SEARCH("/",MIP[[#This Row],[Equipe]],1)-1)</f>
        <v xml:space="preserve">ANDERSON </v>
      </c>
      <c r="AE476" s="37" t="str">
        <f>RIGHT(MIP[[#This Row],[Equipe]], LEN(MIP[[#This Row],[Equipe]])-SEARCH("/",MIP[[#This Row],[Equipe]],1))</f>
        <v xml:space="preserve"> MARCO</v>
      </c>
      <c r="AF476" s="44">
        <f>COUNTIFS('[1]Tempo parado'!H:H,"&gt;="&amp;MIP[[#This Row],[S.B Sitrack]],'[1]Tempo parado'!I:I,"&lt;="&amp;MIP[[#This Row],[C.B Sitrack]],'[1]Tempo parado'!B:B,MIP[[#This Row],[Placa]])</f>
        <v>0</v>
      </c>
      <c r="AG476" s="36"/>
      <c r="AH476" s="35"/>
      <c r="AI476" s="34"/>
      <c r="AJ476" s="34"/>
      <c r="AK47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7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76" s="32">
        <f>SUMIFS('[1]Tempo parado'!J:J,'[1]Tempo parado'!H:H,"&gt;="&amp;MIP[[#This Row],[S.B Sitrack]],'[1]Tempo parado'!I:I,"&lt;="&amp;MIP[[#This Row],[C.B Sitrack]],'[1]Tempo parado'!B:B,MIP[[#This Row],[Placa]])</f>
        <v>0</v>
      </c>
      <c r="AN476" s="32" t="str">
        <f>IFERROR(MIP[[#This Row],[Tempo parado]]/(MIP[[#This Row],[C.B Sitrack]]-MIP[[#This Row],[S.B Sitrack]]),"")</f>
        <v/>
      </c>
      <c r="AO476" s="30"/>
      <c r="AP476" s="44">
        <f>IF(AND(MIP[Exc]=0,MIP[Previsto / Realizado]="Realizado"),MIP[Sem],0)</f>
        <v>35</v>
      </c>
      <c r="AQ476" s="29">
        <f>IF(AND(MIP[Exc]=0,MIP[Previsto / Realizado]="Realizado",ISBLANK(MIP[[#This Row],[S.B Sitrack]])=FALSE,ISBLANK(MIP[[#This Row],[C.B Sitrack]])=FALSE),MIP[Sem],0)</f>
        <v>0</v>
      </c>
    </row>
    <row r="477" spans="1:43" s="47" customFormat="1" x14ac:dyDescent="0.25">
      <c r="A477" s="11"/>
      <c r="B477" s="44">
        <f>WEEKNUM(MIP[[#This Row],[Data]])</f>
        <v>35</v>
      </c>
      <c r="C477" s="45">
        <v>42980</v>
      </c>
      <c r="D477" s="45"/>
      <c r="E477" s="35" t="s">
        <v>19</v>
      </c>
      <c r="F477" s="35" t="s">
        <v>5</v>
      </c>
      <c r="G477" s="35"/>
      <c r="H477" s="44">
        <v>2</v>
      </c>
      <c r="I477" s="44">
        <v>0</v>
      </c>
      <c r="J477" s="44">
        <v>0</v>
      </c>
      <c r="K477" s="44">
        <v>0</v>
      </c>
      <c r="L477" s="44">
        <v>0</v>
      </c>
      <c r="M477" s="43">
        <v>0.625</v>
      </c>
      <c r="N477" s="43">
        <v>0.64583333333333337</v>
      </c>
      <c r="O477" s="43">
        <f>1+18/24/60</f>
        <v>1.0125</v>
      </c>
      <c r="P477" s="43">
        <f>1+48/24/60</f>
        <v>1.0333333333333334</v>
      </c>
      <c r="Q477" s="39"/>
      <c r="R477" s="42" t="s">
        <v>258</v>
      </c>
      <c r="S477" s="29">
        <f>MIP[[#This Row],[PT-1]]+MIP[[#This Row],[PT-2]]*2+MIP[[#This Row],[PT-3]]*3+MIP[[#This Row],[PT &gt; 3 Pontos]]</f>
        <v>0</v>
      </c>
      <c r="T47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477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477" s="41">
        <f>MIP[[#This Row],[Eficiência]]</f>
        <v>0</v>
      </c>
      <c r="W47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77" s="39">
        <f>IF(MIP[[#This Row],[P.S]]-MIP[[#This Row],[P.E]]&lt;0,1+MIP[[#This Row],[P.S]]-MIP[[#This Row],[P.E]]-1/24,MIP[[#This Row],[P.S]]-MIP[[#This Row],[P.E]]-1/24)</f>
        <v>0.36666666666666675</v>
      </c>
      <c r="Y477" s="39">
        <f>MIP[[#This Row],[PT-1]]*$S$3+MIP[[#This Row],[PT-2]]*$T$3+MIP[[#This Row],[PT-3]]*$U$3+MIP[[#This Row],[PT &gt; 3 Pontos]]*$V$3</f>
        <v>0</v>
      </c>
      <c r="Z477" s="39">
        <f>MIP[[#This Row],[HH disponível]]-MIP[[#This Row],[HH AC TOT]]</f>
        <v>0.3249999999999999</v>
      </c>
      <c r="AA477" s="38">
        <f>MIP[[#This Row],[HH Produtivo
Total]]/MIP[[#This Row],[HH Trabalhado]]</f>
        <v>0</v>
      </c>
      <c r="AB477" s="38">
        <f>MIP[[#This Row],[HH Produtivo
Total]]/MIP[[#This Row],[HH disponível]]</f>
        <v>0</v>
      </c>
      <c r="AC477" s="38">
        <f>MIP[[#This Row],[HH Trabalhado]]/MIP[[#This Row],[HH disponível]]</f>
        <v>0.88636363636363591</v>
      </c>
      <c r="AD477" s="37" t="str">
        <f>LEFT(MIP[[#This Row],[Equipe]], SEARCH("/",MIP[[#This Row],[Equipe]],1)-1)</f>
        <v xml:space="preserve">ADEMÁRIO </v>
      </c>
      <c r="AE477" s="37" t="str">
        <f>RIGHT(MIP[[#This Row],[Equipe]], LEN(MIP[[#This Row],[Equipe]])-SEARCH("/",MIP[[#This Row],[Equipe]],1))</f>
        <v xml:space="preserve"> RONALDO</v>
      </c>
      <c r="AF477" s="44">
        <f>COUNTIFS('[1]Tempo parado'!H:H,"&gt;="&amp;MIP[[#This Row],[S.B Sitrack]],'[1]Tempo parado'!I:I,"&lt;="&amp;MIP[[#This Row],[C.B Sitrack]],'[1]Tempo parado'!B:B,MIP[[#This Row],[Placa]])</f>
        <v>0</v>
      </c>
      <c r="AG477" s="36"/>
      <c r="AH477" s="35"/>
      <c r="AI477" s="34"/>
      <c r="AJ477" s="34"/>
      <c r="AK47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7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77" s="32">
        <f>SUMIFS('[1]Tempo parado'!J:J,'[1]Tempo parado'!H:H,"&gt;="&amp;MIP[[#This Row],[S.B Sitrack]],'[1]Tempo parado'!I:I,"&lt;="&amp;MIP[[#This Row],[C.B Sitrack]],'[1]Tempo parado'!B:B,MIP[[#This Row],[Placa]])</f>
        <v>0</v>
      </c>
      <c r="AN477" s="32" t="str">
        <f>IFERROR(MIP[[#This Row],[Tempo parado]]/(MIP[[#This Row],[C.B Sitrack]]-MIP[[#This Row],[S.B Sitrack]]),"")</f>
        <v/>
      </c>
      <c r="AO477" s="30"/>
      <c r="AP477" s="44">
        <f>IF(AND(MIP[Exc]=0,MIP[Previsto / Realizado]="Realizado"),MIP[Sem],0)</f>
        <v>0</v>
      </c>
      <c r="AQ477" s="29">
        <f>IF(AND(MIP[Exc]=0,MIP[Previsto / Realizado]="Realizado",ISBLANK(MIP[[#This Row],[S.B Sitrack]])=FALSE,ISBLANK(MIP[[#This Row],[C.B Sitrack]])=FALSE),MIP[Sem],0)</f>
        <v>0</v>
      </c>
    </row>
    <row r="478" spans="1:43" s="64" customFormat="1" x14ac:dyDescent="0.25">
      <c r="A478" s="11"/>
      <c r="B478" s="44">
        <f>WEEKNUM(MIP[[#This Row],[Data]])</f>
        <v>35</v>
      </c>
      <c r="C478" s="45">
        <v>42980</v>
      </c>
      <c r="D478" s="45"/>
      <c r="E478" s="35" t="s">
        <v>19</v>
      </c>
      <c r="F478" s="35" t="s">
        <v>2</v>
      </c>
      <c r="G478" s="35"/>
      <c r="H478" s="44">
        <v>2</v>
      </c>
      <c r="I478" s="44">
        <v>2</v>
      </c>
      <c r="J478" s="44">
        <v>0</v>
      </c>
      <c r="K478" s="44">
        <v>1</v>
      </c>
      <c r="L478" s="44">
        <v>9</v>
      </c>
      <c r="M478" s="43">
        <v>0.65763888888888888</v>
      </c>
      <c r="N478" s="43">
        <v>0.68055555555555547</v>
      </c>
      <c r="O478" s="43">
        <f>1+20/24/60</f>
        <v>1.0138888888888888</v>
      </c>
      <c r="P478" s="43">
        <f>1+55/24/60</f>
        <v>1.0381944444444444</v>
      </c>
      <c r="Q478" s="39">
        <v>2.2916666666666669E-2</v>
      </c>
      <c r="R478" s="42" t="s">
        <v>257</v>
      </c>
      <c r="S478" s="29">
        <f>MIP[[#This Row],[PT-1]]+MIP[[#This Row],[PT-2]]*2+MIP[[#This Row],[PT-3]]*3+MIP[[#This Row],[PT &gt; 3 Pontos]]</f>
        <v>14</v>
      </c>
      <c r="T47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7.0138888888888834E-2</v>
      </c>
      <c r="U478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4.7222222222222165E-2</v>
      </c>
      <c r="V478" s="41">
        <f>MIP[[#This Row],[Eficiência]]</f>
        <v>1.0979552859229302</v>
      </c>
      <c r="W47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78" s="39">
        <f>IF(MIP[[#This Row],[P.S]]-MIP[[#This Row],[P.E]]&lt;0,1+MIP[[#This Row],[P.S]]-MIP[[#This Row],[P.E]]-1/24,MIP[[#This Row],[P.S]]-MIP[[#This Row],[P.E]]-1/24)</f>
        <v>0.33888888888888885</v>
      </c>
      <c r="Y478" s="39">
        <f>MIP[[#This Row],[PT-1]]*$S$3+MIP[[#This Row],[PT-2]]*$T$3+MIP[[#This Row],[PT-3]]*$U$3+MIP[[#This Row],[PT &gt; 3 Pontos]]*$V$3</f>
        <v>0.29507548309178755</v>
      </c>
      <c r="Z478" s="39">
        <f>MIP[[#This Row],[HH disponível]]-MIP[[#This Row],[HH AC TOT]]</f>
        <v>0.26875000000000004</v>
      </c>
      <c r="AA478" s="38">
        <f>MIP[[#This Row],[HH Produtivo
Total]]/MIP[[#This Row],[HH Trabalhado]]</f>
        <v>1.0979552859229302</v>
      </c>
      <c r="AB478" s="38">
        <f>MIP[[#This Row],[HH Produtivo
Total]]/MIP[[#This Row],[HH disponível]]</f>
        <v>0.8707145402708486</v>
      </c>
      <c r="AC478" s="38">
        <f>MIP[[#This Row],[HH Trabalhado]]/MIP[[#This Row],[HH disponível]]</f>
        <v>0.79303278688524614</v>
      </c>
      <c r="AD478" s="37" t="str">
        <f>LEFT(MIP[[#This Row],[Equipe]], SEARCH("/",MIP[[#This Row],[Equipe]],1)-1)</f>
        <v xml:space="preserve">ADEMÁRIO </v>
      </c>
      <c r="AE478" s="37" t="str">
        <f>RIGHT(MIP[[#This Row],[Equipe]], LEN(MIP[[#This Row],[Equipe]])-SEARCH("/",MIP[[#This Row],[Equipe]],1))</f>
        <v xml:space="preserve"> RONALDO</v>
      </c>
      <c r="AF478" s="44">
        <f>COUNTIFS('[1]Tempo parado'!H:H,"&gt;="&amp;MIP[[#This Row],[S.B Sitrack]],'[1]Tempo parado'!I:I,"&lt;="&amp;MIP[[#This Row],[C.B Sitrack]],'[1]Tempo parado'!B:B,MIP[[#This Row],[Placa]])</f>
        <v>0</v>
      </c>
      <c r="AG478" s="36"/>
      <c r="AH478" s="35"/>
      <c r="AI478" s="34"/>
      <c r="AJ478" s="34"/>
      <c r="AK47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7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78" s="32">
        <f>SUMIFS('[1]Tempo parado'!J:J,'[1]Tempo parado'!H:H,"&gt;="&amp;MIP[[#This Row],[S.B Sitrack]],'[1]Tempo parado'!I:I,"&lt;="&amp;MIP[[#This Row],[C.B Sitrack]],'[1]Tempo parado'!B:B,MIP[[#This Row],[Placa]])</f>
        <v>0</v>
      </c>
      <c r="AN478" s="32" t="str">
        <f>IFERROR(MIP[[#This Row],[Tempo parado]]/(MIP[[#This Row],[C.B Sitrack]]-MIP[[#This Row],[S.B Sitrack]]),"")</f>
        <v/>
      </c>
      <c r="AO478" s="30"/>
      <c r="AP478" s="44">
        <f>IF(AND(MIP[Exc]=0,MIP[Previsto / Realizado]="Realizado"),MIP[Sem],0)</f>
        <v>35</v>
      </c>
      <c r="AQ478" s="29">
        <f>IF(AND(MIP[Exc]=0,MIP[Previsto / Realizado]="Realizado",ISBLANK(MIP[[#This Row],[S.B Sitrack]])=FALSE,ISBLANK(MIP[[#This Row],[C.B Sitrack]])=FALSE),MIP[Sem],0)</f>
        <v>0</v>
      </c>
    </row>
    <row r="479" spans="1:43" s="47" customFormat="1" x14ac:dyDescent="0.25">
      <c r="A479" s="11"/>
      <c r="B479" s="44">
        <f>WEEKNUM(MIP[[#This Row],[Data]])</f>
        <v>36</v>
      </c>
      <c r="C479" s="45">
        <v>42981</v>
      </c>
      <c r="D479" s="45"/>
      <c r="E479" s="35" t="s">
        <v>19</v>
      </c>
      <c r="F479" s="35" t="s">
        <v>5</v>
      </c>
      <c r="G479" s="35"/>
      <c r="H479" s="44">
        <v>2</v>
      </c>
      <c r="I479" s="44">
        <v>1</v>
      </c>
      <c r="J479" s="44">
        <v>1</v>
      </c>
      <c r="K479" s="44">
        <v>1</v>
      </c>
      <c r="L479" s="44">
        <v>5</v>
      </c>
      <c r="M479" s="43">
        <v>0.625</v>
      </c>
      <c r="N479" s="43">
        <v>0.64583333333333337</v>
      </c>
      <c r="O479" s="43">
        <f>1+18/24/60</f>
        <v>1.0125</v>
      </c>
      <c r="P479" s="43">
        <f>1+48/24/60</f>
        <v>1.0333333333333334</v>
      </c>
      <c r="Q479" s="39"/>
      <c r="R479" s="42"/>
      <c r="S479" s="29">
        <f>MIP[[#This Row],[PT-1]]+MIP[[#This Row],[PT-2]]*2+MIP[[#This Row],[PT-3]]*3+MIP[[#This Row],[PT &gt; 3 Pontos]]</f>
        <v>11</v>
      </c>
      <c r="T47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479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479" s="41">
        <f>MIP[[#This Row],[Eficiência]]</f>
        <v>0.71681954680897964</v>
      </c>
      <c r="W47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79" s="39">
        <f>IF(MIP[[#This Row],[P.S]]-MIP[[#This Row],[P.E]]&lt;0,1+MIP[[#This Row],[P.S]]-MIP[[#This Row],[P.E]]-1/24,MIP[[#This Row],[P.S]]-MIP[[#This Row],[P.E]]-1/24)</f>
        <v>0.36666666666666675</v>
      </c>
      <c r="Y479" s="39">
        <f>MIP[[#This Row],[PT-1]]*$S$3+MIP[[#This Row],[PT-2]]*$T$3+MIP[[#This Row],[PT-3]]*$U$3+MIP[[#This Row],[PT &gt; 3 Pontos]]*$V$3</f>
        <v>0.2329663527129183</v>
      </c>
      <c r="Z479" s="39">
        <f>MIP[[#This Row],[HH disponível]]-MIP[[#This Row],[HH AC TOT]]</f>
        <v>0.3249999999999999</v>
      </c>
      <c r="AA479" s="38">
        <f>MIP[[#This Row],[HH Produtivo
Total]]/MIP[[#This Row],[HH Trabalhado]]</f>
        <v>0.71681954680897964</v>
      </c>
      <c r="AB479" s="38">
        <f>MIP[[#This Row],[HH Produtivo
Total]]/MIP[[#This Row],[HH disponível]]</f>
        <v>0.63536278012614067</v>
      </c>
      <c r="AC479" s="38">
        <f>MIP[[#This Row],[HH Trabalhado]]/MIP[[#This Row],[HH disponível]]</f>
        <v>0.88636363636363591</v>
      </c>
      <c r="AD479" s="37" t="str">
        <f>LEFT(MIP[[#This Row],[Equipe]], SEARCH("/",MIP[[#This Row],[Equipe]],1)-1)</f>
        <v xml:space="preserve">ADEMÁRIO </v>
      </c>
      <c r="AE479" s="37" t="str">
        <f>RIGHT(MIP[[#This Row],[Equipe]], LEN(MIP[[#This Row],[Equipe]])-SEARCH("/",MIP[[#This Row],[Equipe]],1))</f>
        <v xml:space="preserve"> RONALDO</v>
      </c>
      <c r="AF479" s="44">
        <f>COUNTIFS('[1]Tempo parado'!H:H,"&gt;="&amp;MIP[[#This Row],[S.B Sitrack]],'[1]Tempo parado'!I:I,"&lt;="&amp;MIP[[#This Row],[C.B Sitrack]],'[1]Tempo parado'!B:B,MIP[[#This Row],[Placa]])</f>
        <v>0</v>
      </c>
      <c r="AG479" s="36"/>
      <c r="AH479" s="35"/>
      <c r="AI479" s="34"/>
      <c r="AJ479" s="34"/>
      <c r="AK47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7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79" s="32">
        <f>SUMIFS('[1]Tempo parado'!J:J,'[1]Tempo parado'!H:H,"&gt;="&amp;MIP[[#This Row],[S.B Sitrack]],'[1]Tempo parado'!I:I,"&lt;="&amp;MIP[[#This Row],[C.B Sitrack]],'[1]Tempo parado'!B:B,MIP[[#This Row],[Placa]])</f>
        <v>0</v>
      </c>
      <c r="AN479" s="32" t="str">
        <f>IFERROR(MIP[[#This Row],[Tempo parado]]/(MIP[[#This Row],[C.B Sitrack]]-MIP[[#This Row],[S.B Sitrack]]),"")</f>
        <v/>
      </c>
      <c r="AO479" s="30"/>
      <c r="AP479" s="44">
        <f>IF(AND(MIP[Exc]=0,MIP[Previsto / Realizado]="Realizado"),MIP[Sem],0)</f>
        <v>0</v>
      </c>
      <c r="AQ479" s="29">
        <f>IF(AND(MIP[Exc]=0,MIP[Previsto / Realizado]="Realizado",ISBLANK(MIP[[#This Row],[S.B Sitrack]])=FALSE,ISBLANK(MIP[[#This Row],[C.B Sitrack]])=FALSE),MIP[Sem],0)</f>
        <v>0</v>
      </c>
    </row>
    <row r="480" spans="1:43" s="64" customFormat="1" x14ac:dyDescent="0.25">
      <c r="A480" s="11"/>
      <c r="B480" s="44">
        <f>WEEKNUM(MIP[[#This Row],[Data]])</f>
        <v>36</v>
      </c>
      <c r="C480" s="45">
        <v>42981</v>
      </c>
      <c r="D480" s="45"/>
      <c r="E480" s="35" t="s">
        <v>19</v>
      </c>
      <c r="F480" s="35" t="s">
        <v>2</v>
      </c>
      <c r="G480" s="35"/>
      <c r="H480" s="44">
        <v>2</v>
      </c>
      <c r="I480" s="44">
        <v>1</v>
      </c>
      <c r="J480" s="44">
        <v>1</v>
      </c>
      <c r="K480" s="44">
        <v>1</v>
      </c>
      <c r="L480" s="44">
        <v>5</v>
      </c>
      <c r="M480" s="43">
        <v>0.65277777777777779</v>
      </c>
      <c r="N480" s="43">
        <v>0.6791666666666667</v>
      </c>
      <c r="O480" s="43">
        <v>0.98263888888888884</v>
      </c>
      <c r="P480" s="43">
        <f>1+54/24/60</f>
        <v>1.0375000000000001</v>
      </c>
      <c r="Q480" s="39"/>
      <c r="R480" s="42" t="s">
        <v>256</v>
      </c>
      <c r="S480" s="29">
        <f>MIP[[#This Row],[PT-1]]+MIP[[#This Row],[PT-2]]*2+MIP[[#This Row],[PT-3]]*3+MIP[[#This Row],[PT &gt; 3 Pontos]]</f>
        <v>11</v>
      </c>
      <c r="T48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8.1250000000000155E-2</v>
      </c>
      <c r="U480" s="39">
        <f>IF(MIP[[#This Row],[P.S]]-MIP[[#This Row],[U.P]]&gt;=0,MIP[[#This Row],[P.S]]-MIP[[#This Row],[U.P]]+MIP[[#This Row],[S.B]]-MIP[[#This Row],[P.E]],1+MIP[[#This Row],[P.S]]-MIP[[#This Row],[U.P]]+MIP[[#This Row],[S.B]]-MIP[[#This Row],[P.E]])</f>
        <v>8.1250000000000155E-2</v>
      </c>
      <c r="V480" s="41">
        <f>MIP[[#This Row],[Eficiência]]</f>
        <v>0.88984495465942304</v>
      </c>
      <c r="W48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80" s="39">
        <f>IF(MIP[[#This Row],[P.S]]-MIP[[#This Row],[P.E]]&lt;0,1+MIP[[#This Row],[P.S]]-MIP[[#This Row],[P.E]]-1/24,MIP[[#This Row],[P.S]]-MIP[[#This Row],[P.E]]-1/24)</f>
        <v>0.34305555555555561</v>
      </c>
      <c r="Y480" s="39">
        <f>MIP[[#This Row],[PT-1]]*$S$3+MIP[[#This Row],[PT-2]]*$T$3+MIP[[#This Row],[PT-3]]*$U$3+MIP[[#This Row],[PT &gt; 3 Pontos]]*$V$3</f>
        <v>0.2329663527129183</v>
      </c>
      <c r="Z480" s="39">
        <f>MIP[[#This Row],[HH disponível]]-MIP[[#This Row],[HH AC TOT]]</f>
        <v>0.26180555555555546</v>
      </c>
      <c r="AA480" s="38">
        <f>MIP[[#This Row],[HH Produtivo
Total]]/MIP[[#This Row],[HH Trabalhado]]</f>
        <v>0.88984495465942304</v>
      </c>
      <c r="AB480" s="38">
        <f>MIP[[#This Row],[HH Produtivo
Total]]/MIP[[#This Row],[HH disponível]]</f>
        <v>0.6790922022400856</v>
      </c>
      <c r="AC480" s="38">
        <f>MIP[[#This Row],[HH Trabalhado]]/MIP[[#This Row],[HH disponível]]</f>
        <v>0.7631578947368417</v>
      </c>
      <c r="AD480" s="37" t="str">
        <f>LEFT(MIP[[#This Row],[Equipe]], SEARCH("/",MIP[[#This Row],[Equipe]],1)-1)</f>
        <v xml:space="preserve">ADEMÁRIO </v>
      </c>
      <c r="AE480" s="37" t="str">
        <f>RIGHT(MIP[[#This Row],[Equipe]], LEN(MIP[[#This Row],[Equipe]])-SEARCH("/",MIP[[#This Row],[Equipe]],1))</f>
        <v xml:space="preserve"> RONALDO</v>
      </c>
      <c r="AF480" s="44">
        <f>COUNTIFS('[1]Tempo parado'!H:H,"&gt;="&amp;MIP[[#This Row],[S.B Sitrack]],'[1]Tempo parado'!I:I,"&lt;="&amp;MIP[[#This Row],[C.B Sitrack]],'[1]Tempo parado'!B:B,MIP[[#This Row],[Placa]])</f>
        <v>0</v>
      </c>
      <c r="AG480" s="36"/>
      <c r="AH480" s="35"/>
      <c r="AI480" s="34"/>
      <c r="AJ480" s="34"/>
      <c r="AK48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8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80" s="32">
        <f>SUMIFS('[1]Tempo parado'!J:J,'[1]Tempo parado'!H:H,"&gt;="&amp;MIP[[#This Row],[S.B Sitrack]],'[1]Tempo parado'!I:I,"&lt;="&amp;MIP[[#This Row],[C.B Sitrack]],'[1]Tempo parado'!B:B,MIP[[#This Row],[Placa]])</f>
        <v>0</v>
      </c>
      <c r="AN480" s="32" t="str">
        <f>IFERROR(MIP[[#This Row],[Tempo parado]]/(MIP[[#This Row],[C.B Sitrack]]-MIP[[#This Row],[S.B Sitrack]]),"")</f>
        <v/>
      </c>
      <c r="AO480" s="30"/>
      <c r="AP480" s="44">
        <f>IF(AND(MIP[Exc]=0,MIP[Previsto / Realizado]="Realizado"),MIP[Sem],0)</f>
        <v>36</v>
      </c>
      <c r="AQ480" s="29">
        <f>IF(AND(MIP[Exc]=0,MIP[Previsto / Realizado]="Realizado",ISBLANK(MIP[[#This Row],[S.B Sitrack]])=FALSE,ISBLANK(MIP[[#This Row],[C.B Sitrack]])=FALSE),MIP[Sem],0)</f>
        <v>0</v>
      </c>
    </row>
    <row r="481" spans="1:43" s="47" customFormat="1" x14ac:dyDescent="0.25">
      <c r="A481" s="11"/>
      <c r="B481" s="44">
        <f>WEEKNUM(MIP[[#This Row],[Data]])</f>
        <v>36</v>
      </c>
      <c r="C481" s="45">
        <v>42981</v>
      </c>
      <c r="D481" s="45"/>
      <c r="E481" s="35" t="s">
        <v>10</v>
      </c>
      <c r="F481" s="35" t="s">
        <v>5</v>
      </c>
      <c r="G481" s="35"/>
      <c r="H481" s="44">
        <v>2</v>
      </c>
      <c r="I481" s="44">
        <v>0</v>
      </c>
      <c r="J481" s="44">
        <v>0</v>
      </c>
      <c r="K481" s="44">
        <v>0</v>
      </c>
      <c r="L481" s="44">
        <v>0</v>
      </c>
      <c r="M481" s="43">
        <v>0.25</v>
      </c>
      <c r="N481" s="43">
        <v>0.27083333333333331</v>
      </c>
      <c r="O481" s="43">
        <v>0.63750000000000007</v>
      </c>
      <c r="P481" s="43">
        <v>0.65833333333333333</v>
      </c>
      <c r="Q481" s="39"/>
      <c r="R481" s="42"/>
      <c r="S481" s="29">
        <f>MIP[[#This Row],[PT-1]]+MIP[[#This Row],[PT-2]]*2+MIP[[#This Row],[PT-3]]*3+MIP[[#This Row],[PT &gt; 3 Pontos]]</f>
        <v>0</v>
      </c>
      <c r="T48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481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481" s="41">
        <f>MIP[[#This Row],[Eficiência]]</f>
        <v>0</v>
      </c>
      <c r="W48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81" s="39">
        <f>IF(MIP[[#This Row],[P.S]]-MIP[[#This Row],[P.E]]&lt;0,1+MIP[[#This Row],[P.S]]-MIP[[#This Row],[P.E]]-1/24,MIP[[#This Row],[P.S]]-MIP[[#This Row],[P.E]]-1/24)</f>
        <v>0.36666666666666664</v>
      </c>
      <c r="Y481" s="39">
        <f>MIP[[#This Row],[PT-1]]*$S$3+MIP[[#This Row],[PT-2]]*$T$3+MIP[[#This Row],[PT-3]]*$U$3+MIP[[#This Row],[PT &gt; 3 Pontos]]*$V$3</f>
        <v>0</v>
      </c>
      <c r="Z481" s="39">
        <f>MIP[[#This Row],[HH disponível]]-MIP[[#This Row],[HH AC TOT]]</f>
        <v>0.32500000000000007</v>
      </c>
      <c r="AA481" s="38">
        <f>MIP[[#This Row],[HH Produtivo
Total]]/MIP[[#This Row],[HH Trabalhado]]</f>
        <v>0</v>
      </c>
      <c r="AB481" s="38">
        <f>MIP[[#This Row],[HH Produtivo
Total]]/MIP[[#This Row],[HH disponível]]</f>
        <v>0</v>
      </c>
      <c r="AC481" s="38">
        <f>MIP[[#This Row],[HH Trabalhado]]/MIP[[#This Row],[HH disponível]]</f>
        <v>0.88636363636363658</v>
      </c>
      <c r="AD481" s="37" t="str">
        <f>LEFT(MIP[[#This Row],[Equipe]], SEARCH("/",MIP[[#This Row],[Equipe]],1)-1)</f>
        <v xml:space="preserve">JOILSON </v>
      </c>
      <c r="AE481" s="37" t="str">
        <f>RIGHT(MIP[[#This Row],[Equipe]], LEN(MIP[[#This Row],[Equipe]])-SEARCH("/",MIP[[#This Row],[Equipe]],1))</f>
        <v xml:space="preserve"> VALDEI</v>
      </c>
      <c r="AF481" s="44">
        <f>COUNTIFS('[1]Tempo parado'!H:H,"&gt;="&amp;MIP[[#This Row],[S.B Sitrack]],'[1]Tempo parado'!I:I,"&lt;="&amp;MIP[[#This Row],[C.B Sitrack]],'[1]Tempo parado'!B:B,MIP[[#This Row],[Placa]])</f>
        <v>0</v>
      </c>
      <c r="AG481" s="36"/>
      <c r="AH481" s="35"/>
      <c r="AI481" s="34"/>
      <c r="AJ481" s="34"/>
      <c r="AK48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8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81" s="32">
        <f>SUMIFS('[1]Tempo parado'!J:J,'[1]Tempo parado'!H:H,"&gt;="&amp;MIP[[#This Row],[S.B Sitrack]],'[1]Tempo parado'!I:I,"&lt;="&amp;MIP[[#This Row],[C.B Sitrack]],'[1]Tempo parado'!B:B,MIP[[#This Row],[Placa]])</f>
        <v>0</v>
      </c>
      <c r="AN481" s="32" t="str">
        <f>IFERROR(MIP[[#This Row],[Tempo parado]]/(MIP[[#This Row],[C.B Sitrack]]-MIP[[#This Row],[S.B Sitrack]]),"")</f>
        <v/>
      </c>
      <c r="AO481" s="30"/>
      <c r="AP481" s="44">
        <f>IF(AND(MIP[Exc]=0,MIP[Previsto / Realizado]="Realizado"),MIP[Sem],0)</f>
        <v>0</v>
      </c>
      <c r="AQ481" s="29">
        <f>IF(AND(MIP[Exc]=0,MIP[Previsto / Realizado]="Realizado",ISBLANK(MIP[[#This Row],[S.B Sitrack]])=FALSE,ISBLANK(MIP[[#This Row],[C.B Sitrack]])=FALSE),MIP[Sem],0)</f>
        <v>0</v>
      </c>
    </row>
    <row r="482" spans="1:43" s="64" customFormat="1" x14ac:dyDescent="0.25">
      <c r="A482" s="11"/>
      <c r="B482" s="44">
        <f>WEEKNUM(MIP[[#This Row],[Data]])</f>
        <v>36</v>
      </c>
      <c r="C482" s="45">
        <v>42981</v>
      </c>
      <c r="D482" s="45"/>
      <c r="E482" s="35" t="s">
        <v>10</v>
      </c>
      <c r="F482" s="35" t="s">
        <v>2</v>
      </c>
      <c r="G482" s="35"/>
      <c r="H482" s="44">
        <v>2</v>
      </c>
      <c r="I482" s="44">
        <v>8</v>
      </c>
      <c r="J482" s="44">
        <v>2</v>
      </c>
      <c r="K482" s="44">
        <v>1</v>
      </c>
      <c r="L482" s="44">
        <v>0</v>
      </c>
      <c r="M482" s="43">
        <v>0.24930555555555556</v>
      </c>
      <c r="N482" s="43">
        <v>0.2986111111111111</v>
      </c>
      <c r="O482" s="43">
        <v>0.65972222222222221</v>
      </c>
      <c r="P482" s="43">
        <v>0.66041666666666665</v>
      </c>
      <c r="Q482" s="39"/>
      <c r="R482" s="42"/>
      <c r="S482" s="29">
        <f>MIP[[#This Row],[PT-1]]+MIP[[#This Row],[PT-2]]*2+MIP[[#This Row],[PT-3]]*3+MIP[[#This Row],[PT &gt; 3 Pontos]]</f>
        <v>15</v>
      </c>
      <c r="T48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4.9999999999999989E-2</v>
      </c>
      <c r="U482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4.9999999999999989E-2</v>
      </c>
      <c r="V482" s="41">
        <f>MIP[[#This Row],[Eficiência]]</f>
        <v>1.0982067186515434</v>
      </c>
      <c r="W48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82" s="39">
        <f>IF(MIP[[#This Row],[P.S]]-MIP[[#This Row],[P.E]]&lt;0,1+MIP[[#This Row],[P.S]]-MIP[[#This Row],[P.E]]-1/24,MIP[[#This Row],[P.S]]-MIP[[#This Row],[P.E]]-1/24)</f>
        <v>0.36944444444444441</v>
      </c>
      <c r="Y482" s="39">
        <f>MIP[[#This Row],[PT-1]]*$S$3+MIP[[#This Row],[PT-2]]*$T$3+MIP[[#This Row],[PT-3]]*$U$3+MIP[[#This Row],[PT &gt; 3 Pontos]]*$V$3</f>
        <v>0.35081603512479859</v>
      </c>
      <c r="Z482" s="39">
        <f>MIP[[#This Row],[HH disponível]]-MIP[[#This Row],[HH AC TOT]]</f>
        <v>0.31944444444444442</v>
      </c>
      <c r="AA482" s="38">
        <f>MIP[[#This Row],[HH Produtivo
Total]]/MIP[[#This Row],[HH Trabalhado]]</f>
        <v>1.0982067186515434</v>
      </c>
      <c r="AB482" s="38">
        <f>MIP[[#This Row],[HH Produtivo
Total]]/MIP[[#This Row],[HH disponível]]</f>
        <v>0.94957723793178572</v>
      </c>
      <c r="AC482" s="38">
        <f>MIP[[#This Row],[HH Trabalhado]]/MIP[[#This Row],[HH disponível]]</f>
        <v>0.86466165413533835</v>
      </c>
      <c r="AD482" s="37" t="str">
        <f>LEFT(MIP[[#This Row],[Equipe]], SEARCH("/",MIP[[#This Row],[Equipe]],1)-1)</f>
        <v xml:space="preserve">JOILSON </v>
      </c>
      <c r="AE482" s="37" t="str">
        <f>RIGHT(MIP[[#This Row],[Equipe]], LEN(MIP[[#This Row],[Equipe]])-SEARCH("/",MIP[[#This Row],[Equipe]],1))</f>
        <v xml:space="preserve"> VALDEI</v>
      </c>
      <c r="AF482" s="44">
        <f>COUNTIFS('[1]Tempo parado'!H:H,"&gt;="&amp;MIP[[#This Row],[S.B Sitrack]],'[1]Tempo parado'!I:I,"&lt;="&amp;MIP[[#This Row],[C.B Sitrack]],'[1]Tempo parado'!B:B,MIP[[#This Row],[Placa]])</f>
        <v>0</v>
      </c>
      <c r="AG482" s="36"/>
      <c r="AH482" s="35"/>
      <c r="AI482" s="34"/>
      <c r="AJ482" s="34"/>
      <c r="AK48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8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82" s="32">
        <f>SUMIFS('[1]Tempo parado'!J:J,'[1]Tempo parado'!H:H,"&gt;="&amp;MIP[[#This Row],[S.B Sitrack]],'[1]Tempo parado'!I:I,"&lt;="&amp;MIP[[#This Row],[C.B Sitrack]],'[1]Tempo parado'!B:B,MIP[[#This Row],[Placa]])</f>
        <v>0</v>
      </c>
      <c r="AN482" s="32" t="str">
        <f>IFERROR(MIP[[#This Row],[Tempo parado]]/(MIP[[#This Row],[C.B Sitrack]]-MIP[[#This Row],[S.B Sitrack]]),"")</f>
        <v/>
      </c>
      <c r="AO482" s="30"/>
      <c r="AP482" s="44">
        <f>IF(AND(MIP[Exc]=0,MIP[Previsto / Realizado]="Realizado"),MIP[Sem],0)</f>
        <v>36</v>
      </c>
      <c r="AQ482" s="29">
        <f>IF(AND(MIP[Exc]=0,MIP[Previsto / Realizado]="Realizado",ISBLANK(MIP[[#This Row],[S.B Sitrack]])=FALSE,ISBLANK(MIP[[#This Row],[C.B Sitrack]])=FALSE),MIP[Sem],0)</f>
        <v>0</v>
      </c>
    </row>
    <row r="483" spans="1:43" s="47" customFormat="1" x14ac:dyDescent="0.25">
      <c r="A483" s="11"/>
      <c r="B483" s="44">
        <f>WEEKNUM(MIP[[#This Row],[Data]])</f>
        <v>36</v>
      </c>
      <c r="C483" s="45">
        <v>42982</v>
      </c>
      <c r="D483" s="45"/>
      <c r="E483" s="35" t="s">
        <v>3</v>
      </c>
      <c r="F483" s="35" t="s">
        <v>5</v>
      </c>
      <c r="G483" s="35"/>
      <c r="H483" s="44">
        <v>2</v>
      </c>
      <c r="I483" s="44">
        <v>1</v>
      </c>
      <c r="J483" s="44">
        <v>1</v>
      </c>
      <c r="K483" s="44">
        <v>0</v>
      </c>
      <c r="L483" s="44">
        <v>9</v>
      </c>
      <c r="M483" s="43">
        <v>0.625</v>
      </c>
      <c r="N483" s="43">
        <v>0.64583333333333337</v>
      </c>
      <c r="O483" s="43">
        <f>1+18/24/60</f>
        <v>1.0125</v>
      </c>
      <c r="P483" s="43">
        <f>1+48/24/60</f>
        <v>1.0333333333333334</v>
      </c>
      <c r="Q483" s="39"/>
      <c r="R483" s="42"/>
      <c r="S483" s="29">
        <f>MIP[[#This Row],[PT-1]]+MIP[[#This Row],[PT-2]]*2+MIP[[#This Row],[PT-3]]*3+MIP[[#This Row],[PT &gt; 3 Pontos]]</f>
        <v>12</v>
      </c>
      <c r="T48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483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483" s="41">
        <f>MIP[[#This Row],[Eficiência]]</f>
        <v>0.77282066765762469</v>
      </c>
      <c r="W48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83" s="39">
        <f>IF(MIP[[#This Row],[P.S]]-MIP[[#This Row],[P.E]]&lt;0,1+MIP[[#This Row],[P.S]]-MIP[[#This Row],[P.E]]-1/24,MIP[[#This Row],[P.S]]-MIP[[#This Row],[P.E]]-1/24)</f>
        <v>0.36666666666666675</v>
      </c>
      <c r="Y483" s="39">
        <f>MIP[[#This Row],[PT-1]]*$S$3+MIP[[#This Row],[PT-2]]*$T$3+MIP[[#This Row],[PT-3]]*$U$3+MIP[[#This Row],[PT &gt; 3 Pontos]]*$V$3</f>
        <v>0.25116671698872794</v>
      </c>
      <c r="Z483" s="39">
        <f>MIP[[#This Row],[HH disponível]]-MIP[[#This Row],[HH AC TOT]]</f>
        <v>0.3249999999999999</v>
      </c>
      <c r="AA483" s="38">
        <f>MIP[[#This Row],[HH Produtivo
Total]]/MIP[[#This Row],[HH Trabalhado]]</f>
        <v>0.77282066765762469</v>
      </c>
      <c r="AB483" s="38">
        <f>MIP[[#This Row],[HH Produtivo
Total]]/MIP[[#This Row],[HH disponível]]</f>
        <v>0.68500013724198516</v>
      </c>
      <c r="AC483" s="38">
        <f>MIP[[#This Row],[HH Trabalhado]]/MIP[[#This Row],[HH disponível]]</f>
        <v>0.88636363636363591</v>
      </c>
      <c r="AD483" s="37" t="str">
        <f>LEFT(MIP[[#This Row],[Equipe]], SEARCH("/",MIP[[#This Row],[Equipe]],1)-1)</f>
        <v xml:space="preserve">EDILTON </v>
      </c>
      <c r="AE483" s="37" t="str">
        <f>RIGHT(MIP[[#This Row],[Equipe]], LEN(MIP[[#This Row],[Equipe]])-SEARCH("/",MIP[[#This Row],[Equipe]],1))</f>
        <v xml:space="preserve"> GECIVALDO</v>
      </c>
      <c r="AF483" s="44">
        <f>COUNTIFS('[1]Tempo parado'!H:H,"&gt;="&amp;MIP[[#This Row],[S.B Sitrack]],'[1]Tempo parado'!I:I,"&lt;="&amp;MIP[[#This Row],[C.B Sitrack]],'[1]Tempo parado'!B:B,MIP[[#This Row],[Placa]])</f>
        <v>0</v>
      </c>
      <c r="AG483" s="36"/>
      <c r="AH483" s="35"/>
      <c r="AI483" s="34"/>
      <c r="AJ483" s="34"/>
      <c r="AK48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8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83" s="32">
        <f>SUMIFS('[1]Tempo parado'!J:J,'[1]Tempo parado'!H:H,"&gt;="&amp;MIP[[#This Row],[S.B Sitrack]],'[1]Tempo parado'!I:I,"&lt;="&amp;MIP[[#This Row],[C.B Sitrack]],'[1]Tempo parado'!B:B,MIP[[#This Row],[Placa]])</f>
        <v>0</v>
      </c>
      <c r="AN483" s="32" t="str">
        <f>IFERROR(MIP[[#This Row],[Tempo parado]]/(MIP[[#This Row],[C.B Sitrack]]-MIP[[#This Row],[S.B Sitrack]]),"")</f>
        <v/>
      </c>
      <c r="AO483" s="30"/>
      <c r="AP483" s="44">
        <f>IF(AND(MIP[Exc]=0,MIP[Previsto / Realizado]="Realizado"),MIP[Sem],0)</f>
        <v>0</v>
      </c>
      <c r="AQ483" s="29">
        <f>IF(AND(MIP[Exc]=0,MIP[Previsto / Realizado]="Realizado",ISBLANK(MIP[[#This Row],[S.B Sitrack]])=FALSE,ISBLANK(MIP[[#This Row],[C.B Sitrack]])=FALSE),MIP[Sem],0)</f>
        <v>0</v>
      </c>
    </row>
    <row r="484" spans="1:43" s="64" customFormat="1" x14ac:dyDescent="0.25">
      <c r="A484" s="11"/>
      <c r="B484" s="44">
        <f>WEEKNUM(MIP[[#This Row],[Data]])</f>
        <v>36</v>
      </c>
      <c r="C484" s="45">
        <v>42982</v>
      </c>
      <c r="D484" s="45"/>
      <c r="E484" s="35" t="s">
        <v>3</v>
      </c>
      <c r="F484" s="35" t="s">
        <v>2</v>
      </c>
      <c r="G484" s="35"/>
      <c r="H484" s="44">
        <v>2</v>
      </c>
      <c r="I484" s="44">
        <v>1</v>
      </c>
      <c r="J484" s="44">
        <v>3</v>
      </c>
      <c r="K484" s="44">
        <v>0</v>
      </c>
      <c r="L484" s="44">
        <v>9</v>
      </c>
      <c r="M484" s="43">
        <v>0.61041666666666672</v>
      </c>
      <c r="N484" s="43">
        <v>0.65763888888888888</v>
      </c>
      <c r="O484" s="43">
        <f>1+9/24/60</f>
        <v>1.0062500000000001</v>
      </c>
      <c r="P484" s="43">
        <f>1+48/24/60</f>
        <v>1.0333333333333334</v>
      </c>
      <c r="Q484" s="39"/>
      <c r="R484" s="42" t="s">
        <v>100</v>
      </c>
      <c r="S484" s="29">
        <f>MIP[[#This Row],[PT-1]]+MIP[[#This Row],[PT-2]]*2+MIP[[#This Row],[PT-3]]*3+MIP[[#This Row],[PT &gt; 3 Pontos]]</f>
        <v>16</v>
      </c>
      <c r="T48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7.4305555555555514E-2</v>
      </c>
      <c r="U484" s="39">
        <f>IF(MIP[[#This Row],[P.S]]-MIP[[#This Row],[U.P]]&gt;=0,MIP[[#This Row],[P.S]]-MIP[[#This Row],[U.P]]+MIP[[#This Row],[S.B]]-MIP[[#This Row],[P.E]],1+MIP[[#This Row],[P.S]]-MIP[[#This Row],[U.P]]+MIP[[#This Row],[S.B]]-MIP[[#This Row],[P.E]])</f>
        <v>7.4305555555555514E-2</v>
      </c>
      <c r="V484" s="41">
        <f>MIP[[#This Row],[Eficiência]]</f>
        <v>1.1043830742999541</v>
      </c>
      <c r="W48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84" s="39">
        <f>IF(MIP[[#This Row],[P.S]]-MIP[[#This Row],[P.E]]&lt;0,1+MIP[[#This Row],[P.S]]-MIP[[#This Row],[P.E]]-1/24,MIP[[#This Row],[P.S]]-MIP[[#This Row],[P.E]]-1/24)</f>
        <v>0.38125000000000003</v>
      </c>
      <c r="Y484" s="39">
        <f>MIP[[#This Row],[PT-1]]*$S$3+MIP[[#This Row],[PT-2]]*$T$3+MIP[[#This Row],[PT-3]]*$U$3+MIP[[#This Row],[PT &gt; 3 Pontos]]*$V$3</f>
        <v>0.3389842491948471</v>
      </c>
      <c r="Z484" s="39">
        <f>MIP[[#This Row],[HH disponível]]-MIP[[#This Row],[HH AC TOT]]</f>
        <v>0.30694444444444452</v>
      </c>
      <c r="AA484" s="38">
        <f>MIP[[#This Row],[HH Produtivo
Total]]/MIP[[#This Row],[HH Trabalhado]]</f>
        <v>1.1043830742999541</v>
      </c>
      <c r="AB484" s="38">
        <f>MIP[[#This Row],[HH Produtivo
Total]]/MIP[[#This Row],[HH disponível]]</f>
        <v>0.88913901428156605</v>
      </c>
      <c r="AC484" s="38">
        <f>MIP[[#This Row],[HH Trabalhado]]/MIP[[#This Row],[HH disponível]]</f>
        <v>0.80510018214936263</v>
      </c>
      <c r="AD484" s="37" t="str">
        <f>LEFT(MIP[[#This Row],[Equipe]], SEARCH("/",MIP[[#This Row],[Equipe]],1)-1)</f>
        <v xml:space="preserve">EDILTON </v>
      </c>
      <c r="AE484" s="37" t="str">
        <f>RIGHT(MIP[[#This Row],[Equipe]], LEN(MIP[[#This Row],[Equipe]])-SEARCH("/",MIP[[#This Row],[Equipe]],1))</f>
        <v xml:space="preserve"> GECIVALDO</v>
      </c>
      <c r="AF484" s="44">
        <f>COUNTIFS('[1]Tempo parado'!H:H,"&gt;="&amp;MIP[[#This Row],[S.B Sitrack]],'[1]Tempo parado'!I:I,"&lt;="&amp;MIP[[#This Row],[C.B Sitrack]],'[1]Tempo parado'!B:B,MIP[[#This Row],[Placa]])</f>
        <v>0</v>
      </c>
      <c r="AG484" s="36"/>
      <c r="AH484" s="35"/>
      <c r="AI484" s="34"/>
      <c r="AJ484" s="34"/>
      <c r="AK48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8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84" s="32">
        <f>SUMIFS('[1]Tempo parado'!J:J,'[1]Tempo parado'!H:H,"&gt;="&amp;MIP[[#This Row],[S.B Sitrack]],'[1]Tempo parado'!I:I,"&lt;="&amp;MIP[[#This Row],[C.B Sitrack]],'[1]Tempo parado'!B:B,MIP[[#This Row],[Placa]])</f>
        <v>0</v>
      </c>
      <c r="AN484" s="32" t="str">
        <f>IFERROR(MIP[[#This Row],[Tempo parado]]/(MIP[[#This Row],[C.B Sitrack]]-MIP[[#This Row],[S.B Sitrack]]),"")</f>
        <v/>
      </c>
      <c r="AO484" s="30"/>
      <c r="AP484" s="44">
        <f>IF(AND(MIP[Exc]=0,MIP[Previsto / Realizado]="Realizado"),MIP[Sem],0)</f>
        <v>36</v>
      </c>
      <c r="AQ484" s="29">
        <f>IF(AND(MIP[Exc]=0,MIP[Previsto / Realizado]="Realizado",ISBLANK(MIP[[#This Row],[S.B Sitrack]])=FALSE,ISBLANK(MIP[[#This Row],[C.B Sitrack]])=FALSE),MIP[Sem],0)</f>
        <v>0</v>
      </c>
    </row>
    <row r="485" spans="1:43" s="47" customFormat="1" x14ac:dyDescent="0.25">
      <c r="A485" s="11"/>
      <c r="B485" s="44">
        <f>WEEKNUM(MIP[[#This Row],[Data]])</f>
        <v>36</v>
      </c>
      <c r="C485" s="45">
        <v>42982</v>
      </c>
      <c r="D485" s="45"/>
      <c r="E485" s="35" t="s">
        <v>7</v>
      </c>
      <c r="F485" s="35" t="s">
        <v>5</v>
      </c>
      <c r="G485" s="35"/>
      <c r="H485" s="44">
        <v>2</v>
      </c>
      <c r="I485" s="44">
        <v>1</v>
      </c>
      <c r="J485" s="44">
        <v>1</v>
      </c>
      <c r="K485" s="44">
        <v>0</v>
      </c>
      <c r="L485" s="44">
        <v>0</v>
      </c>
      <c r="M485" s="43">
        <v>0.25</v>
      </c>
      <c r="N485" s="43">
        <v>0.27083333333333331</v>
      </c>
      <c r="O485" s="43">
        <v>0.63750000000000007</v>
      </c>
      <c r="P485" s="43">
        <v>0.65833333333333333</v>
      </c>
      <c r="Q485" s="39"/>
      <c r="R485" s="42" t="s">
        <v>255</v>
      </c>
      <c r="S485" s="29">
        <f>MIP[[#This Row],[PT-1]]+MIP[[#This Row],[PT-2]]*2+MIP[[#This Row],[PT-3]]*3+MIP[[#This Row],[PT &gt; 3 Pontos]]</f>
        <v>3</v>
      </c>
      <c r="T48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485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485" s="41">
        <f>MIP[[#This Row],[Eficiência]]</f>
        <v>0.21210652019075926</v>
      </c>
      <c r="W48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85" s="39">
        <f>IF(MIP[[#This Row],[P.S]]-MIP[[#This Row],[P.E]]&lt;0,1+MIP[[#This Row],[P.S]]-MIP[[#This Row],[P.E]]-1/24,MIP[[#This Row],[P.S]]-MIP[[#This Row],[P.E]]-1/24)</f>
        <v>0.36666666666666664</v>
      </c>
      <c r="Y485" s="39">
        <f>MIP[[#This Row],[PT-1]]*$S$3+MIP[[#This Row],[PT-2]]*$T$3+MIP[[#This Row],[PT-3]]*$U$3+MIP[[#This Row],[PT &gt; 3 Pontos]]*$V$3</f>
        <v>6.8934619061996771E-2</v>
      </c>
      <c r="Z485" s="39">
        <f>MIP[[#This Row],[HH disponível]]-MIP[[#This Row],[HH AC TOT]]</f>
        <v>0.32500000000000007</v>
      </c>
      <c r="AA485" s="38">
        <f>MIP[[#This Row],[HH Produtivo
Total]]/MIP[[#This Row],[HH Trabalhado]]</f>
        <v>0.21210652019075926</v>
      </c>
      <c r="AB485" s="38">
        <f>MIP[[#This Row],[HH Produtivo
Total]]/MIP[[#This Row],[HH disponível]]</f>
        <v>0.18800350653271847</v>
      </c>
      <c r="AC485" s="38">
        <f>MIP[[#This Row],[HH Trabalhado]]/MIP[[#This Row],[HH disponível]]</f>
        <v>0.88636363636363658</v>
      </c>
      <c r="AD485" s="37" t="str">
        <f>LEFT(MIP[[#This Row],[Equipe]], SEARCH("/",MIP[[#This Row],[Equipe]],1)-1)</f>
        <v xml:space="preserve">ANDERSON </v>
      </c>
      <c r="AE485" s="37" t="str">
        <f>RIGHT(MIP[[#This Row],[Equipe]], LEN(MIP[[#This Row],[Equipe]])-SEARCH("/",MIP[[#This Row],[Equipe]],1))</f>
        <v xml:space="preserve"> MARCO</v>
      </c>
      <c r="AF485" s="44">
        <f>COUNTIFS('[1]Tempo parado'!H:H,"&gt;="&amp;MIP[[#This Row],[S.B Sitrack]],'[1]Tempo parado'!I:I,"&lt;="&amp;MIP[[#This Row],[C.B Sitrack]],'[1]Tempo parado'!B:B,MIP[[#This Row],[Placa]])</f>
        <v>0</v>
      </c>
      <c r="AG485" s="36"/>
      <c r="AH485" s="35"/>
      <c r="AI485" s="34"/>
      <c r="AJ485" s="34"/>
      <c r="AK48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8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85" s="32">
        <f>SUMIFS('[1]Tempo parado'!J:J,'[1]Tempo parado'!H:H,"&gt;="&amp;MIP[[#This Row],[S.B Sitrack]],'[1]Tempo parado'!I:I,"&lt;="&amp;MIP[[#This Row],[C.B Sitrack]],'[1]Tempo parado'!B:B,MIP[[#This Row],[Placa]])</f>
        <v>0</v>
      </c>
      <c r="AN485" s="32" t="str">
        <f>IFERROR(MIP[[#This Row],[Tempo parado]]/(MIP[[#This Row],[C.B Sitrack]]-MIP[[#This Row],[S.B Sitrack]]),"")</f>
        <v/>
      </c>
      <c r="AO485" s="30"/>
      <c r="AP485" s="44">
        <f>IF(AND(MIP[Exc]=0,MIP[Previsto / Realizado]="Realizado"),MIP[Sem],0)</f>
        <v>0</v>
      </c>
      <c r="AQ485" s="29">
        <f>IF(AND(MIP[Exc]=0,MIP[Previsto / Realizado]="Realizado",ISBLANK(MIP[[#This Row],[S.B Sitrack]])=FALSE,ISBLANK(MIP[[#This Row],[C.B Sitrack]])=FALSE),MIP[Sem],0)</f>
        <v>0</v>
      </c>
    </row>
    <row r="486" spans="1:43" s="64" customFormat="1" x14ac:dyDescent="0.25">
      <c r="A486" s="11"/>
      <c r="B486" s="44">
        <f>WEEKNUM(MIP[[#This Row],[Data]])</f>
        <v>36</v>
      </c>
      <c r="C486" s="45">
        <v>42982</v>
      </c>
      <c r="D486" s="45"/>
      <c r="E486" s="35" t="s">
        <v>7</v>
      </c>
      <c r="F486" s="35" t="s">
        <v>2</v>
      </c>
      <c r="G486" s="35"/>
      <c r="H486" s="44">
        <v>2</v>
      </c>
      <c r="I486" s="44">
        <v>1</v>
      </c>
      <c r="J486" s="44">
        <v>1</v>
      </c>
      <c r="K486" s="44">
        <v>1</v>
      </c>
      <c r="L486" s="44">
        <v>0</v>
      </c>
      <c r="M486" s="43">
        <v>0.26874999999999999</v>
      </c>
      <c r="N486" s="43">
        <v>0.28402777777777777</v>
      </c>
      <c r="O486" s="43">
        <v>0.60763888888888895</v>
      </c>
      <c r="P486" s="43">
        <v>0.65972222222222221</v>
      </c>
      <c r="Q486" s="39">
        <v>0.1111111111111111</v>
      </c>
      <c r="R486" s="42" t="s">
        <v>254</v>
      </c>
      <c r="S486" s="29">
        <f>MIP[[#This Row],[PT-1]]+MIP[[#This Row],[PT-2]]*2+MIP[[#This Row],[PT-3]]*3+MIP[[#This Row],[PT &gt; 3 Pontos]]</f>
        <v>6</v>
      </c>
      <c r="T48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0.17847222222222214</v>
      </c>
      <c r="U486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6.7361111111111038E-2</v>
      </c>
      <c r="V486" s="41">
        <f>MIP[[#This Row],[Eficiência]]</f>
        <v>0.77108077059031443</v>
      </c>
      <c r="W48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86" s="39">
        <f>IF(MIP[[#This Row],[P.S]]-MIP[[#This Row],[P.E]]&lt;0,1+MIP[[#This Row],[P.S]]-MIP[[#This Row],[P.E]]-1/24,MIP[[#This Row],[P.S]]-MIP[[#This Row],[P.E]]-1/24)</f>
        <v>0.34930555555555554</v>
      </c>
      <c r="Y486" s="39">
        <f>MIP[[#This Row],[PT-1]]*$S$3+MIP[[#This Row],[PT-2]]*$T$3+MIP[[#This Row],[PT-3]]*$U$3+MIP[[#This Row],[PT &gt; 3 Pontos]]*$V$3</f>
        <v>0.13172629830917876</v>
      </c>
      <c r="Z486" s="39">
        <f>MIP[[#This Row],[HH disponível]]-MIP[[#This Row],[HH AC TOT]]</f>
        <v>0.17083333333333339</v>
      </c>
      <c r="AA486" s="38">
        <f>MIP[[#This Row],[HH Produtivo
Total]]/MIP[[#This Row],[HH Trabalhado]]</f>
        <v>0.77108077059031443</v>
      </c>
      <c r="AB486" s="38">
        <f>MIP[[#This Row],[HH Produtivo
Total]]/MIP[[#This Row],[HH disponível]]</f>
        <v>0.37710908462269865</v>
      </c>
      <c r="AC486" s="38">
        <f>MIP[[#This Row],[HH Trabalhado]]/MIP[[#This Row],[HH disponível]]</f>
        <v>0.48906560636182922</v>
      </c>
      <c r="AD486" s="37" t="str">
        <f>LEFT(MIP[[#This Row],[Equipe]], SEARCH("/",MIP[[#This Row],[Equipe]],1)-1)</f>
        <v xml:space="preserve">ANDERSON </v>
      </c>
      <c r="AE486" s="37" t="str">
        <f>RIGHT(MIP[[#This Row],[Equipe]], LEN(MIP[[#This Row],[Equipe]])-SEARCH("/",MIP[[#This Row],[Equipe]],1))</f>
        <v xml:space="preserve"> MARCO</v>
      </c>
      <c r="AF486" s="44">
        <f>COUNTIFS('[1]Tempo parado'!H:H,"&gt;="&amp;MIP[[#This Row],[S.B Sitrack]],'[1]Tempo parado'!I:I,"&lt;="&amp;MIP[[#This Row],[C.B Sitrack]],'[1]Tempo parado'!B:B,MIP[[#This Row],[Placa]])</f>
        <v>0</v>
      </c>
      <c r="AG486" s="36"/>
      <c r="AH486" s="35"/>
      <c r="AI486" s="34"/>
      <c r="AJ486" s="34"/>
      <c r="AK48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8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86" s="32">
        <f>SUMIFS('[1]Tempo parado'!J:J,'[1]Tempo parado'!H:H,"&gt;="&amp;MIP[[#This Row],[S.B Sitrack]],'[1]Tempo parado'!I:I,"&lt;="&amp;MIP[[#This Row],[C.B Sitrack]],'[1]Tempo parado'!B:B,MIP[[#This Row],[Placa]])</f>
        <v>0</v>
      </c>
      <c r="AN486" s="32" t="str">
        <f>IFERROR(MIP[[#This Row],[Tempo parado]]/(MIP[[#This Row],[C.B Sitrack]]-MIP[[#This Row],[S.B Sitrack]]),"")</f>
        <v/>
      </c>
      <c r="AO486" s="30"/>
      <c r="AP486" s="44">
        <f>IF(AND(MIP[Exc]=0,MIP[Previsto / Realizado]="Realizado"),MIP[Sem],0)</f>
        <v>36</v>
      </c>
      <c r="AQ486" s="29">
        <f>IF(AND(MIP[Exc]=0,MIP[Previsto / Realizado]="Realizado",ISBLANK(MIP[[#This Row],[S.B Sitrack]])=FALSE,ISBLANK(MIP[[#This Row],[C.B Sitrack]])=FALSE),MIP[Sem],0)</f>
        <v>0</v>
      </c>
    </row>
    <row r="487" spans="1:43" s="47" customFormat="1" x14ac:dyDescent="0.25">
      <c r="A487" s="11"/>
      <c r="B487" s="44">
        <f>WEEKNUM(MIP[[#This Row],[Data]])</f>
        <v>36</v>
      </c>
      <c r="C487" s="45">
        <v>42982</v>
      </c>
      <c r="D487" s="45"/>
      <c r="E487" s="35" t="s">
        <v>19</v>
      </c>
      <c r="F487" s="35" t="s">
        <v>5</v>
      </c>
      <c r="G487" s="35"/>
      <c r="H487" s="44">
        <v>2</v>
      </c>
      <c r="I487" s="44">
        <v>0</v>
      </c>
      <c r="J487" s="44">
        <v>0</v>
      </c>
      <c r="K487" s="44">
        <v>0</v>
      </c>
      <c r="L487" s="44">
        <v>0</v>
      </c>
      <c r="M487" s="43">
        <v>0.625</v>
      </c>
      <c r="N487" s="43">
        <v>0.64583333333333337</v>
      </c>
      <c r="O487" s="43">
        <f>1+18/24/60</f>
        <v>1.0125</v>
      </c>
      <c r="P487" s="43">
        <f>1+48/24/60</f>
        <v>1.0333333333333334</v>
      </c>
      <c r="Q487" s="39"/>
      <c r="R487" s="42"/>
      <c r="S487" s="29">
        <f>MIP[[#This Row],[PT-1]]+MIP[[#This Row],[PT-2]]*2+MIP[[#This Row],[PT-3]]*3+MIP[[#This Row],[PT &gt; 3 Pontos]]</f>
        <v>0</v>
      </c>
      <c r="T48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487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487" s="41">
        <f>MIP[[#This Row],[Eficiência]]</f>
        <v>0</v>
      </c>
      <c r="W48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87" s="39">
        <f>IF(MIP[[#This Row],[P.S]]-MIP[[#This Row],[P.E]]&lt;0,1+MIP[[#This Row],[P.S]]-MIP[[#This Row],[P.E]]-1/24,MIP[[#This Row],[P.S]]-MIP[[#This Row],[P.E]]-1/24)</f>
        <v>0.36666666666666675</v>
      </c>
      <c r="Y487" s="39">
        <f>MIP[[#This Row],[PT-1]]*$S$3+MIP[[#This Row],[PT-2]]*$T$3+MIP[[#This Row],[PT-3]]*$U$3+MIP[[#This Row],[PT &gt; 3 Pontos]]*$V$3</f>
        <v>0</v>
      </c>
      <c r="Z487" s="39">
        <f>MIP[[#This Row],[HH disponível]]-MIP[[#This Row],[HH AC TOT]]</f>
        <v>0.3249999999999999</v>
      </c>
      <c r="AA487" s="38">
        <f>MIP[[#This Row],[HH Produtivo
Total]]/MIP[[#This Row],[HH Trabalhado]]</f>
        <v>0</v>
      </c>
      <c r="AB487" s="38">
        <f>MIP[[#This Row],[HH Produtivo
Total]]/MIP[[#This Row],[HH disponível]]</f>
        <v>0</v>
      </c>
      <c r="AC487" s="38">
        <f>MIP[[#This Row],[HH Trabalhado]]/MIP[[#This Row],[HH disponível]]</f>
        <v>0.88636363636363591</v>
      </c>
      <c r="AD487" s="37" t="str">
        <f>LEFT(MIP[[#This Row],[Equipe]], SEARCH("/",MIP[[#This Row],[Equipe]],1)-1)</f>
        <v xml:space="preserve">ADEMÁRIO </v>
      </c>
      <c r="AE487" s="37" t="str">
        <f>RIGHT(MIP[[#This Row],[Equipe]], LEN(MIP[[#This Row],[Equipe]])-SEARCH("/",MIP[[#This Row],[Equipe]],1))</f>
        <v xml:space="preserve"> RONALDO</v>
      </c>
      <c r="AF487" s="44">
        <f>COUNTIFS('[1]Tempo parado'!H:H,"&gt;="&amp;MIP[[#This Row],[S.B Sitrack]],'[1]Tempo parado'!I:I,"&lt;="&amp;MIP[[#This Row],[C.B Sitrack]],'[1]Tempo parado'!B:B,MIP[[#This Row],[Placa]])</f>
        <v>0</v>
      </c>
      <c r="AG487" s="36"/>
      <c r="AH487" s="35"/>
      <c r="AI487" s="34"/>
      <c r="AJ487" s="34"/>
      <c r="AK48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8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87" s="32">
        <f>SUMIFS('[1]Tempo parado'!J:J,'[1]Tempo parado'!H:H,"&gt;="&amp;MIP[[#This Row],[S.B Sitrack]],'[1]Tempo parado'!I:I,"&lt;="&amp;MIP[[#This Row],[C.B Sitrack]],'[1]Tempo parado'!B:B,MIP[[#This Row],[Placa]])</f>
        <v>0</v>
      </c>
      <c r="AN487" s="32" t="str">
        <f>IFERROR(MIP[[#This Row],[Tempo parado]]/(MIP[[#This Row],[C.B Sitrack]]-MIP[[#This Row],[S.B Sitrack]]),"")</f>
        <v/>
      </c>
      <c r="AO487" s="30"/>
      <c r="AP487" s="44">
        <f>IF(AND(MIP[Exc]=0,MIP[Previsto / Realizado]="Realizado"),MIP[Sem],0)</f>
        <v>0</v>
      </c>
      <c r="AQ487" s="29">
        <f>IF(AND(MIP[Exc]=0,MIP[Previsto / Realizado]="Realizado",ISBLANK(MIP[[#This Row],[S.B Sitrack]])=FALSE,ISBLANK(MIP[[#This Row],[C.B Sitrack]])=FALSE),MIP[Sem],0)</f>
        <v>0</v>
      </c>
    </row>
    <row r="488" spans="1:43" s="64" customFormat="1" x14ac:dyDescent="0.25">
      <c r="A488" s="11"/>
      <c r="B488" s="44">
        <f>WEEKNUM(MIP[[#This Row],[Data]])</f>
        <v>36</v>
      </c>
      <c r="C488" s="45">
        <v>42982</v>
      </c>
      <c r="D488" s="45"/>
      <c r="E488" s="35" t="s">
        <v>19</v>
      </c>
      <c r="F488" s="35" t="s">
        <v>2</v>
      </c>
      <c r="G488" s="35"/>
      <c r="H488" s="44">
        <v>2</v>
      </c>
      <c r="I488" s="44">
        <v>0</v>
      </c>
      <c r="J488" s="44">
        <v>1</v>
      </c>
      <c r="K488" s="44">
        <v>0</v>
      </c>
      <c r="L488" s="44">
        <v>10</v>
      </c>
      <c r="M488" s="43">
        <v>0.62847222222222221</v>
      </c>
      <c r="N488" s="43">
        <v>0.67013888888888884</v>
      </c>
      <c r="O488" s="43">
        <v>0.99930555555555556</v>
      </c>
      <c r="P488" s="43">
        <f>1+57/24/60</f>
        <v>1.0395833333333333</v>
      </c>
      <c r="Q488" s="39"/>
      <c r="R488" s="42"/>
      <c r="S488" s="29">
        <f>MIP[[#This Row],[PT-1]]+MIP[[#This Row],[PT-2]]*2+MIP[[#This Row],[PT-3]]*3+MIP[[#This Row],[PT &gt; 3 Pontos]]</f>
        <v>12</v>
      </c>
      <c r="T48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8.1944444444444375E-2</v>
      </c>
      <c r="U488" s="39">
        <f>IF(MIP[[#This Row],[P.S]]-MIP[[#This Row],[U.P]]&gt;=0,MIP[[#This Row],[P.S]]-MIP[[#This Row],[U.P]]+MIP[[#This Row],[S.B]]-MIP[[#This Row],[P.E]],1+MIP[[#This Row],[P.S]]-MIP[[#This Row],[U.P]]+MIP[[#This Row],[S.B]]-MIP[[#This Row],[P.E]])</f>
        <v>8.1944444444444375E-2</v>
      </c>
      <c r="V488" s="41">
        <f>MIP[[#This Row],[Eficiência]]</f>
        <v>0.85700478229752564</v>
      </c>
      <c r="W48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88" s="39">
        <f>IF(MIP[[#This Row],[P.S]]-MIP[[#This Row],[P.E]]&lt;0,1+MIP[[#This Row],[P.S]]-MIP[[#This Row],[P.E]]-1/24,MIP[[#This Row],[P.S]]-MIP[[#This Row],[P.E]]-1/24)</f>
        <v>0.36944444444444441</v>
      </c>
      <c r="Y488" s="39">
        <f>MIP[[#This Row],[PT-1]]*$S$3+MIP[[#This Row],[PT-2]]*$T$3+MIP[[#This Row],[PT-3]]*$U$3+MIP[[#This Row],[PT &gt; 3 Pontos]]*$V$3</f>
        <v>0.24638887491053865</v>
      </c>
      <c r="Z488" s="39">
        <f>MIP[[#This Row],[HH disponível]]-MIP[[#This Row],[HH AC TOT]]</f>
        <v>0.28750000000000003</v>
      </c>
      <c r="AA488" s="38">
        <f>MIP[[#This Row],[HH Produtivo
Total]]/MIP[[#This Row],[HH Trabalhado]]</f>
        <v>0.85700478229752564</v>
      </c>
      <c r="AB488" s="38">
        <f>MIP[[#This Row],[HH Produtivo
Total]]/MIP[[#This Row],[HH disponível]]</f>
        <v>0.6669172553969468</v>
      </c>
      <c r="AC488" s="38">
        <f>MIP[[#This Row],[HH Trabalhado]]/MIP[[#This Row],[HH disponível]]</f>
        <v>0.77819548872180466</v>
      </c>
      <c r="AD488" s="37" t="str">
        <f>LEFT(MIP[[#This Row],[Equipe]], SEARCH("/",MIP[[#This Row],[Equipe]],1)-1)</f>
        <v xml:space="preserve">ADEMÁRIO </v>
      </c>
      <c r="AE488" s="37" t="str">
        <f>RIGHT(MIP[[#This Row],[Equipe]], LEN(MIP[[#This Row],[Equipe]])-SEARCH("/",MIP[[#This Row],[Equipe]],1))</f>
        <v xml:space="preserve"> RONALDO</v>
      </c>
      <c r="AF488" s="44">
        <f>COUNTIFS('[1]Tempo parado'!H:H,"&gt;="&amp;MIP[[#This Row],[S.B Sitrack]],'[1]Tempo parado'!I:I,"&lt;="&amp;MIP[[#This Row],[C.B Sitrack]],'[1]Tempo parado'!B:B,MIP[[#This Row],[Placa]])</f>
        <v>0</v>
      </c>
      <c r="AG488" s="36"/>
      <c r="AH488" s="35"/>
      <c r="AI488" s="34"/>
      <c r="AJ488" s="34"/>
      <c r="AK48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8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88" s="32">
        <f>SUMIFS('[1]Tempo parado'!J:J,'[1]Tempo parado'!H:H,"&gt;="&amp;MIP[[#This Row],[S.B Sitrack]],'[1]Tempo parado'!I:I,"&lt;="&amp;MIP[[#This Row],[C.B Sitrack]],'[1]Tempo parado'!B:B,MIP[[#This Row],[Placa]])</f>
        <v>0</v>
      </c>
      <c r="AN488" s="32" t="str">
        <f>IFERROR(MIP[[#This Row],[Tempo parado]]/(MIP[[#This Row],[C.B Sitrack]]-MIP[[#This Row],[S.B Sitrack]]),"")</f>
        <v/>
      </c>
      <c r="AO488" s="30"/>
      <c r="AP488" s="44">
        <f>IF(AND(MIP[Exc]=0,MIP[Previsto / Realizado]="Realizado"),MIP[Sem],0)</f>
        <v>36</v>
      </c>
      <c r="AQ488" s="29">
        <f>IF(AND(MIP[Exc]=0,MIP[Previsto / Realizado]="Realizado",ISBLANK(MIP[[#This Row],[S.B Sitrack]])=FALSE,ISBLANK(MIP[[#This Row],[C.B Sitrack]])=FALSE),MIP[Sem],0)</f>
        <v>0</v>
      </c>
    </row>
    <row r="489" spans="1:43" s="47" customFormat="1" x14ac:dyDescent="0.25">
      <c r="A489" s="11"/>
      <c r="B489" s="44">
        <f>WEEKNUM(MIP[[#This Row],[Data]])</f>
        <v>36</v>
      </c>
      <c r="C489" s="45">
        <v>42983</v>
      </c>
      <c r="D489" s="45"/>
      <c r="E489" s="35" t="s">
        <v>178</v>
      </c>
      <c r="F489" s="35" t="s">
        <v>5</v>
      </c>
      <c r="G489" s="35"/>
      <c r="H489" s="44">
        <v>2</v>
      </c>
      <c r="I489" s="44">
        <v>2</v>
      </c>
      <c r="J489" s="44">
        <v>0</v>
      </c>
      <c r="K489" s="44">
        <v>0</v>
      </c>
      <c r="L489" s="44">
        <v>0</v>
      </c>
      <c r="M489" s="43">
        <v>0.25</v>
      </c>
      <c r="N489" s="43">
        <v>0.27083333333333331</v>
      </c>
      <c r="O489" s="43">
        <v>0.63750000000000007</v>
      </c>
      <c r="P489" s="43">
        <v>0.65833333333333333</v>
      </c>
      <c r="Q489" s="39"/>
      <c r="R489" s="42" t="s">
        <v>188</v>
      </c>
      <c r="S489" s="29">
        <f>MIP[[#This Row],[PT-1]]+MIP[[#This Row],[PT-2]]*2+MIP[[#This Row],[PT-3]]*3+MIP[[#This Row],[PT &gt; 3 Pontos]]</f>
        <v>2</v>
      </c>
      <c r="T48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489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489" s="41">
        <f>MIP[[#This Row],[Eficiência]]</f>
        <v>0.15400524897807494</v>
      </c>
      <c r="W48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89" s="39">
        <f>IF(MIP[[#This Row],[P.S]]-MIP[[#This Row],[P.E]]&lt;0,1+MIP[[#This Row],[P.S]]-MIP[[#This Row],[P.E]]-1/24,MIP[[#This Row],[P.S]]-MIP[[#This Row],[P.E]]-1/24)</f>
        <v>0.36666666666666664</v>
      </c>
      <c r="Y489" s="39">
        <f>MIP[[#This Row],[PT-1]]*$S$3+MIP[[#This Row],[PT-2]]*$T$3+MIP[[#This Row],[PT-3]]*$U$3+MIP[[#This Row],[PT &gt; 3 Pontos]]*$V$3</f>
        <v>5.0051705917874362E-2</v>
      </c>
      <c r="Z489" s="39">
        <f>MIP[[#This Row],[HH disponível]]-MIP[[#This Row],[HH AC TOT]]</f>
        <v>0.32500000000000007</v>
      </c>
      <c r="AA489" s="38">
        <f>MIP[[#This Row],[HH Produtivo
Total]]/MIP[[#This Row],[HH Trabalhado]]</f>
        <v>0.15400524897807494</v>
      </c>
      <c r="AB489" s="38">
        <f>MIP[[#This Row],[HH Produtivo
Total]]/MIP[[#This Row],[HH disponível]]</f>
        <v>0.13650465250329372</v>
      </c>
      <c r="AC489" s="38">
        <f>MIP[[#This Row],[HH Trabalhado]]/MIP[[#This Row],[HH disponível]]</f>
        <v>0.88636363636363658</v>
      </c>
      <c r="AD489" s="37" t="str">
        <f>LEFT(MIP[[#This Row],[Equipe]], SEARCH("/",MIP[[#This Row],[Equipe]],1)-1)</f>
        <v xml:space="preserve">HERVAL </v>
      </c>
      <c r="AE489" s="37" t="str">
        <f>RIGHT(MIP[[#This Row],[Equipe]], LEN(MIP[[#This Row],[Equipe]])-SEARCH("/",MIP[[#This Row],[Equipe]],1))</f>
        <v xml:space="preserve"> VALDEI</v>
      </c>
      <c r="AF489" s="44">
        <f>COUNTIFS('[1]Tempo parado'!H:H,"&gt;="&amp;MIP[[#This Row],[S.B Sitrack]],'[1]Tempo parado'!I:I,"&lt;="&amp;MIP[[#This Row],[C.B Sitrack]],'[1]Tempo parado'!B:B,MIP[[#This Row],[Placa]])</f>
        <v>0</v>
      </c>
      <c r="AG489" s="36"/>
      <c r="AH489" s="35"/>
      <c r="AI489" s="34"/>
      <c r="AJ489" s="34"/>
      <c r="AK48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8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89" s="32">
        <f>SUMIFS('[1]Tempo parado'!J:J,'[1]Tempo parado'!H:H,"&gt;="&amp;MIP[[#This Row],[S.B Sitrack]],'[1]Tempo parado'!I:I,"&lt;="&amp;MIP[[#This Row],[C.B Sitrack]],'[1]Tempo parado'!B:B,MIP[[#This Row],[Placa]])</f>
        <v>0</v>
      </c>
      <c r="AN489" s="32" t="str">
        <f>IFERROR(MIP[[#This Row],[Tempo parado]]/(MIP[[#This Row],[C.B Sitrack]]-MIP[[#This Row],[S.B Sitrack]]),"")</f>
        <v/>
      </c>
      <c r="AO489" s="30"/>
      <c r="AP489" s="44">
        <f>IF(AND(MIP[Exc]=0,MIP[Previsto / Realizado]="Realizado"),MIP[Sem],0)</f>
        <v>0</v>
      </c>
      <c r="AQ489" s="29">
        <f>IF(AND(MIP[Exc]=0,MIP[Previsto / Realizado]="Realizado",ISBLANK(MIP[[#This Row],[S.B Sitrack]])=FALSE,ISBLANK(MIP[[#This Row],[C.B Sitrack]])=FALSE),MIP[Sem],0)</f>
        <v>0</v>
      </c>
    </row>
    <row r="490" spans="1:43" s="64" customFormat="1" x14ac:dyDescent="0.25">
      <c r="A490" s="11"/>
      <c r="B490" s="44">
        <f>WEEKNUM(MIP[[#This Row],[Data]])</f>
        <v>36</v>
      </c>
      <c r="C490" s="45">
        <v>42983</v>
      </c>
      <c r="D490" s="45"/>
      <c r="E490" s="35" t="s">
        <v>178</v>
      </c>
      <c r="F490" s="35" t="s">
        <v>2</v>
      </c>
      <c r="G490" s="35"/>
      <c r="H490" s="44">
        <v>2</v>
      </c>
      <c r="I490" s="44">
        <v>10</v>
      </c>
      <c r="J490" s="44">
        <v>1</v>
      </c>
      <c r="K490" s="44">
        <v>0</v>
      </c>
      <c r="L490" s="44">
        <v>0</v>
      </c>
      <c r="M490" s="43">
        <v>0.26250000000000001</v>
      </c>
      <c r="N490" s="43">
        <v>0.28263888888888888</v>
      </c>
      <c r="O490" s="43">
        <v>0.59722222222222221</v>
      </c>
      <c r="P490" s="43">
        <v>0.65833333333333333</v>
      </c>
      <c r="Q490" s="39"/>
      <c r="R490" s="42" t="s">
        <v>253</v>
      </c>
      <c r="S490" s="29">
        <f>MIP[[#This Row],[PT-1]]+MIP[[#This Row],[PT-2]]*2+MIP[[#This Row],[PT-3]]*3+MIP[[#This Row],[PT &gt; 3 Pontos]]</f>
        <v>12</v>
      </c>
      <c r="T49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8.1249999999999989E-2</v>
      </c>
      <c r="U490" s="39">
        <f>IF(MIP[[#This Row],[P.S]]-MIP[[#This Row],[U.P]]&gt;=0,MIP[[#This Row],[P.S]]-MIP[[#This Row],[U.P]]+MIP[[#This Row],[S.B]]-MIP[[#This Row],[P.E]],1+MIP[[#This Row],[P.S]]-MIP[[#This Row],[U.P]]+MIP[[#This Row],[S.B]]-MIP[[#This Row],[P.E]])</f>
        <v>8.1249999999999989E-2</v>
      </c>
      <c r="V490" s="41">
        <f>MIP[[#This Row],[Eficiência]]</f>
        <v>1.077864900247077</v>
      </c>
      <c r="W49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90" s="39">
        <f>IF(MIP[[#This Row],[P.S]]-MIP[[#This Row],[P.E]]&lt;0,1+MIP[[#This Row],[P.S]]-MIP[[#This Row],[P.E]]-1/24,MIP[[#This Row],[P.S]]-MIP[[#This Row],[P.E]]-1/24)</f>
        <v>0.35416666666666663</v>
      </c>
      <c r="Y490" s="39">
        <f>MIP[[#This Row],[PT-1]]*$S$3+MIP[[#This Row],[PT-2]]*$T$3+MIP[[#This Row],[PT-3]]*$U$3+MIP[[#This Row],[PT &gt; 3 Pontos]]*$V$3</f>
        <v>0.29416729569243139</v>
      </c>
      <c r="Z490" s="39">
        <f>MIP[[#This Row],[HH disponível]]-MIP[[#This Row],[HH AC TOT]]</f>
        <v>0.27291666666666664</v>
      </c>
      <c r="AA490" s="38">
        <f>MIP[[#This Row],[HH Produtivo
Total]]/MIP[[#This Row],[HH Trabalhado]]</f>
        <v>1.077864900247077</v>
      </c>
      <c r="AB490" s="38">
        <f>MIP[[#This Row],[HH Produtivo
Total]]/MIP[[#This Row],[HH disponível]]</f>
        <v>0.83059001136686517</v>
      </c>
      <c r="AC490" s="38">
        <f>MIP[[#This Row],[HH Trabalhado]]/MIP[[#This Row],[HH disponível]]</f>
        <v>0.77058823529411768</v>
      </c>
      <c r="AD490" s="37" t="str">
        <f>LEFT(MIP[[#This Row],[Equipe]], SEARCH("/",MIP[[#This Row],[Equipe]],1)-1)</f>
        <v xml:space="preserve">HERVAL </v>
      </c>
      <c r="AE490" s="37" t="str">
        <f>RIGHT(MIP[[#This Row],[Equipe]], LEN(MIP[[#This Row],[Equipe]])-SEARCH("/",MIP[[#This Row],[Equipe]],1))</f>
        <v xml:space="preserve"> VALDEI</v>
      </c>
      <c r="AF490" s="44">
        <f>COUNTIFS('[1]Tempo parado'!H:H,"&gt;="&amp;MIP[[#This Row],[S.B Sitrack]],'[1]Tempo parado'!I:I,"&lt;="&amp;MIP[[#This Row],[C.B Sitrack]],'[1]Tempo parado'!B:B,MIP[[#This Row],[Placa]])</f>
        <v>0</v>
      </c>
      <c r="AG490" s="36"/>
      <c r="AH490" s="35"/>
      <c r="AI490" s="34"/>
      <c r="AJ490" s="34"/>
      <c r="AK49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9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90" s="32">
        <f>SUMIFS('[1]Tempo parado'!J:J,'[1]Tempo parado'!H:H,"&gt;="&amp;MIP[[#This Row],[S.B Sitrack]],'[1]Tempo parado'!I:I,"&lt;="&amp;MIP[[#This Row],[C.B Sitrack]],'[1]Tempo parado'!B:B,MIP[[#This Row],[Placa]])</f>
        <v>0</v>
      </c>
      <c r="AN490" s="32" t="str">
        <f>IFERROR(MIP[[#This Row],[Tempo parado]]/(MIP[[#This Row],[C.B Sitrack]]-MIP[[#This Row],[S.B Sitrack]]),"")</f>
        <v/>
      </c>
      <c r="AO490" s="30"/>
      <c r="AP490" s="44">
        <f>IF(AND(MIP[Exc]=0,MIP[Previsto / Realizado]="Realizado"),MIP[Sem],0)</f>
        <v>36</v>
      </c>
      <c r="AQ490" s="29">
        <f>IF(AND(MIP[Exc]=0,MIP[Previsto / Realizado]="Realizado",ISBLANK(MIP[[#This Row],[S.B Sitrack]])=FALSE,ISBLANK(MIP[[#This Row],[C.B Sitrack]])=FALSE),MIP[Sem],0)</f>
        <v>0</v>
      </c>
    </row>
    <row r="491" spans="1:43" s="47" customFormat="1" x14ac:dyDescent="0.25">
      <c r="A491" s="11"/>
      <c r="B491" s="44">
        <f>WEEKNUM(MIP[[#This Row],[Data]])</f>
        <v>36</v>
      </c>
      <c r="C491" s="45">
        <v>42983</v>
      </c>
      <c r="D491" s="45"/>
      <c r="E491" s="35" t="s">
        <v>3</v>
      </c>
      <c r="F491" s="35" t="s">
        <v>5</v>
      </c>
      <c r="G491" s="35"/>
      <c r="H491" s="44">
        <v>2</v>
      </c>
      <c r="I491" s="44">
        <v>8</v>
      </c>
      <c r="J491" s="44">
        <v>2</v>
      </c>
      <c r="K491" s="44">
        <v>1</v>
      </c>
      <c r="L491" s="44">
        <v>0</v>
      </c>
      <c r="M491" s="43">
        <v>0.625</v>
      </c>
      <c r="N491" s="43">
        <v>0.64583333333333337</v>
      </c>
      <c r="O491" s="43">
        <f>1+18/24/60</f>
        <v>1.0125</v>
      </c>
      <c r="P491" s="43">
        <f>1+48/24/60</f>
        <v>1.0333333333333334</v>
      </c>
      <c r="Q491" s="39"/>
      <c r="R491" s="42"/>
      <c r="S491" s="29">
        <f>MIP[[#This Row],[PT-1]]+MIP[[#This Row],[PT-2]]*2+MIP[[#This Row],[PT-3]]*3+MIP[[#This Row],[PT &gt; 3 Pontos]]</f>
        <v>15</v>
      </c>
      <c r="T49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491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491" s="41">
        <f>MIP[[#This Row],[Eficiência]]</f>
        <v>1.0794339542301499</v>
      </c>
      <c r="W49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91" s="39">
        <f>IF(MIP[[#This Row],[P.S]]-MIP[[#This Row],[P.E]]&lt;0,1+MIP[[#This Row],[P.S]]-MIP[[#This Row],[P.E]]-1/24,MIP[[#This Row],[P.S]]-MIP[[#This Row],[P.E]]-1/24)</f>
        <v>0.36666666666666675</v>
      </c>
      <c r="Y491" s="39">
        <f>MIP[[#This Row],[PT-1]]*$S$3+MIP[[#This Row],[PT-2]]*$T$3+MIP[[#This Row],[PT-3]]*$U$3+MIP[[#This Row],[PT &gt; 3 Pontos]]*$V$3</f>
        <v>0.35081603512479859</v>
      </c>
      <c r="Z491" s="39">
        <f>MIP[[#This Row],[HH disponível]]-MIP[[#This Row],[HH AC TOT]]</f>
        <v>0.3249999999999999</v>
      </c>
      <c r="AA491" s="38">
        <f>MIP[[#This Row],[HH Produtivo
Total]]/MIP[[#This Row],[HH Trabalhado]]</f>
        <v>1.0794339542301499</v>
      </c>
      <c r="AB491" s="38">
        <f>MIP[[#This Row],[HH Produtivo
Total]]/MIP[[#This Row],[HH disponível]]</f>
        <v>0.95677100488581412</v>
      </c>
      <c r="AC491" s="38">
        <f>MIP[[#This Row],[HH Trabalhado]]/MIP[[#This Row],[HH disponível]]</f>
        <v>0.88636363636363591</v>
      </c>
      <c r="AD491" s="37" t="str">
        <f>LEFT(MIP[[#This Row],[Equipe]], SEARCH("/",MIP[[#This Row],[Equipe]],1)-1)</f>
        <v xml:space="preserve">EDILTON </v>
      </c>
      <c r="AE491" s="37" t="str">
        <f>RIGHT(MIP[[#This Row],[Equipe]], LEN(MIP[[#This Row],[Equipe]])-SEARCH("/",MIP[[#This Row],[Equipe]],1))</f>
        <v xml:space="preserve"> GECIVALDO</v>
      </c>
      <c r="AF491" s="44">
        <f>COUNTIFS('[1]Tempo parado'!H:H,"&gt;="&amp;MIP[[#This Row],[S.B Sitrack]],'[1]Tempo parado'!I:I,"&lt;="&amp;MIP[[#This Row],[C.B Sitrack]],'[1]Tempo parado'!B:B,MIP[[#This Row],[Placa]])</f>
        <v>0</v>
      </c>
      <c r="AG491" s="36"/>
      <c r="AH491" s="35"/>
      <c r="AI491" s="34"/>
      <c r="AJ491" s="34"/>
      <c r="AK49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9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91" s="32">
        <f>SUMIFS('[1]Tempo parado'!J:J,'[1]Tempo parado'!H:H,"&gt;="&amp;MIP[[#This Row],[S.B Sitrack]],'[1]Tempo parado'!I:I,"&lt;="&amp;MIP[[#This Row],[C.B Sitrack]],'[1]Tempo parado'!B:B,MIP[[#This Row],[Placa]])</f>
        <v>0</v>
      </c>
      <c r="AN491" s="32" t="str">
        <f>IFERROR(MIP[[#This Row],[Tempo parado]]/(MIP[[#This Row],[C.B Sitrack]]-MIP[[#This Row],[S.B Sitrack]]),"")</f>
        <v/>
      </c>
      <c r="AO491" s="30"/>
      <c r="AP491" s="44">
        <f>IF(AND(MIP[Exc]=0,MIP[Previsto / Realizado]="Realizado"),MIP[Sem],0)</f>
        <v>0</v>
      </c>
      <c r="AQ491" s="29">
        <f>IF(AND(MIP[Exc]=0,MIP[Previsto / Realizado]="Realizado",ISBLANK(MIP[[#This Row],[S.B Sitrack]])=FALSE,ISBLANK(MIP[[#This Row],[C.B Sitrack]])=FALSE),MIP[Sem],0)</f>
        <v>0</v>
      </c>
    </row>
    <row r="492" spans="1:43" s="64" customFormat="1" x14ac:dyDescent="0.25">
      <c r="A492" s="11"/>
      <c r="B492" s="44">
        <f>WEEKNUM(MIP[[#This Row],[Data]])</f>
        <v>36</v>
      </c>
      <c r="C492" s="45">
        <v>42983</v>
      </c>
      <c r="D492" s="45"/>
      <c r="E492" s="35" t="s">
        <v>3</v>
      </c>
      <c r="F492" s="35" t="s">
        <v>2</v>
      </c>
      <c r="G492" s="35"/>
      <c r="H492" s="44">
        <v>2</v>
      </c>
      <c r="I492" s="44">
        <v>5</v>
      </c>
      <c r="J492" s="44">
        <v>2</v>
      </c>
      <c r="K492" s="44">
        <v>1</v>
      </c>
      <c r="L492" s="44">
        <v>0</v>
      </c>
      <c r="M492" s="43">
        <v>0.62291666666666667</v>
      </c>
      <c r="N492" s="43">
        <v>0.63541666666666663</v>
      </c>
      <c r="O492" s="43">
        <f>1+41/24/60</f>
        <v>1.0284722222222222</v>
      </c>
      <c r="P492" s="43">
        <f>1+48/24/60</f>
        <v>1.0333333333333334</v>
      </c>
      <c r="Q492" s="39"/>
      <c r="R492" s="42" t="s">
        <v>252</v>
      </c>
      <c r="S492" s="29">
        <f>MIP[[#This Row],[PT-1]]+MIP[[#This Row],[PT-2]]*2+MIP[[#This Row],[PT-3]]*3+MIP[[#This Row],[PT &gt; 3 Pontos]]</f>
        <v>12</v>
      </c>
      <c r="T49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1.736111111111116E-2</v>
      </c>
      <c r="U492" s="39">
        <f>IF(MIP[[#This Row],[P.S]]-MIP[[#This Row],[U.P]]&gt;=0,MIP[[#This Row],[P.S]]-MIP[[#This Row],[U.P]]+MIP[[#This Row],[S.B]]-MIP[[#This Row],[P.E]],1+MIP[[#This Row],[P.S]]-MIP[[#This Row],[U.P]]+MIP[[#This Row],[S.B]]-MIP[[#This Row],[P.E]])</f>
        <v>1.736111111111116E-2</v>
      </c>
      <c r="V492" s="41">
        <f>MIP[[#This Row],[Eficiência]]</f>
        <v>0.78471028813656385</v>
      </c>
      <c r="W49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92" s="39">
        <f>IF(MIP[[#This Row],[P.S]]-MIP[[#This Row],[P.E]]&lt;0,1+MIP[[#This Row],[P.S]]-MIP[[#This Row],[P.E]]-1/24,MIP[[#This Row],[P.S]]-MIP[[#This Row],[P.E]]-1/24)</f>
        <v>0.36875000000000008</v>
      </c>
      <c r="Y492" s="39">
        <f>MIP[[#This Row],[PT-1]]*$S$3+MIP[[#This Row],[PT-2]]*$T$3+MIP[[#This Row],[PT-3]]*$U$3+MIP[[#This Row],[PT &gt; 3 Pontos]]*$V$3</f>
        <v>0.27573847624798703</v>
      </c>
      <c r="Z492" s="39">
        <f>MIP[[#This Row],[HH disponível]]-MIP[[#This Row],[HH AC TOT]]</f>
        <v>0.35138888888888892</v>
      </c>
      <c r="AA492" s="38">
        <f>MIP[[#This Row],[HH Produtivo
Total]]/MIP[[#This Row],[HH Trabalhado]]</f>
        <v>0.78471028813656385</v>
      </c>
      <c r="AB492" s="38">
        <f>MIP[[#This Row],[HH Produtivo
Total]]/MIP[[#This Row],[HH disponível]]</f>
        <v>0.74776535931657484</v>
      </c>
      <c r="AC492" s="38">
        <f>MIP[[#This Row],[HH Trabalhado]]/MIP[[#This Row],[HH disponível]]</f>
        <v>0.95291902071563073</v>
      </c>
      <c r="AD492" s="37" t="str">
        <f>LEFT(MIP[[#This Row],[Equipe]], SEARCH("/",MIP[[#This Row],[Equipe]],1)-1)</f>
        <v xml:space="preserve">EDILTON </v>
      </c>
      <c r="AE492" s="37" t="str">
        <f>RIGHT(MIP[[#This Row],[Equipe]], LEN(MIP[[#This Row],[Equipe]])-SEARCH("/",MIP[[#This Row],[Equipe]],1))</f>
        <v xml:space="preserve"> GECIVALDO</v>
      </c>
      <c r="AF492" s="44">
        <f>COUNTIFS('[1]Tempo parado'!H:H,"&gt;="&amp;MIP[[#This Row],[S.B Sitrack]],'[1]Tempo parado'!I:I,"&lt;="&amp;MIP[[#This Row],[C.B Sitrack]],'[1]Tempo parado'!B:B,MIP[[#This Row],[Placa]])</f>
        <v>0</v>
      </c>
      <c r="AG492" s="36"/>
      <c r="AH492" s="35"/>
      <c r="AI492" s="34"/>
      <c r="AJ492" s="34"/>
      <c r="AK49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9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92" s="32">
        <f>SUMIFS('[1]Tempo parado'!J:J,'[1]Tempo parado'!H:H,"&gt;="&amp;MIP[[#This Row],[S.B Sitrack]],'[1]Tempo parado'!I:I,"&lt;="&amp;MIP[[#This Row],[C.B Sitrack]],'[1]Tempo parado'!B:B,MIP[[#This Row],[Placa]])</f>
        <v>0</v>
      </c>
      <c r="AN492" s="32" t="str">
        <f>IFERROR(MIP[[#This Row],[Tempo parado]]/(MIP[[#This Row],[C.B Sitrack]]-MIP[[#This Row],[S.B Sitrack]]),"")</f>
        <v/>
      </c>
      <c r="AO492" s="30"/>
      <c r="AP492" s="44">
        <f>IF(AND(MIP[Exc]=0,MIP[Previsto / Realizado]="Realizado"),MIP[Sem],0)</f>
        <v>36</v>
      </c>
      <c r="AQ492" s="29">
        <f>IF(AND(MIP[Exc]=0,MIP[Previsto / Realizado]="Realizado",ISBLANK(MIP[[#This Row],[S.B Sitrack]])=FALSE,ISBLANK(MIP[[#This Row],[C.B Sitrack]])=FALSE),MIP[Sem],0)</f>
        <v>0</v>
      </c>
    </row>
    <row r="493" spans="1:43" s="47" customFormat="1" x14ac:dyDescent="0.25">
      <c r="A493" s="11"/>
      <c r="B493" s="44">
        <f>WEEKNUM(MIP[[#This Row],[Data]])</f>
        <v>36</v>
      </c>
      <c r="C493" s="45">
        <v>42984</v>
      </c>
      <c r="D493" s="45"/>
      <c r="E493" s="35" t="s">
        <v>178</v>
      </c>
      <c r="F493" s="35" t="s">
        <v>5</v>
      </c>
      <c r="G493" s="35"/>
      <c r="H493" s="44">
        <v>2</v>
      </c>
      <c r="I493" s="44">
        <v>5</v>
      </c>
      <c r="J493" s="44">
        <v>1</v>
      </c>
      <c r="K493" s="44">
        <v>1</v>
      </c>
      <c r="L493" s="44">
        <v>0</v>
      </c>
      <c r="M493" s="43">
        <v>0.25</v>
      </c>
      <c r="N493" s="43">
        <v>0.27083333333333331</v>
      </c>
      <c r="O493" s="43">
        <v>0.63750000000000007</v>
      </c>
      <c r="P493" s="43">
        <v>0.65833333333333333</v>
      </c>
      <c r="Q493" s="39"/>
      <c r="R493" s="42" t="s">
        <v>251</v>
      </c>
      <c r="S493" s="29">
        <f>MIP[[#This Row],[PT-1]]+MIP[[#This Row],[PT-2]]*2+MIP[[#This Row],[PT-3]]*3+MIP[[#This Row],[PT &gt; 3 Pontos]]</f>
        <v>10</v>
      </c>
      <c r="T49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493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493" s="41">
        <f>MIP[[#This Row],[Eficiência]]</f>
        <v>0.71332218506131506</v>
      </c>
      <c r="W49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93" s="39">
        <f>IF(MIP[[#This Row],[P.S]]-MIP[[#This Row],[P.E]]&lt;0,1+MIP[[#This Row],[P.S]]-MIP[[#This Row],[P.E]]-1/24,MIP[[#This Row],[P.S]]-MIP[[#This Row],[P.E]]-1/24)</f>
        <v>0.36666666666666664</v>
      </c>
      <c r="Y493" s="39">
        <f>MIP[[#This Row],[PT-1]]*$S$3+MIP[[#This Row],[PT-2]]*$T$3+MIP[[#This Row],[PT-3]]*$U$3+MIP[[#This Row],[PT &gt; 3 Pontos]]*$V$3</f>
        <v>0.23182971014492745</v>
      </c>
      <c r="Z493" s="39">
        <f>MIP[[#This Row],[HH disponível]]-MIP[[#This Row],[HH AC TOT]]</f>
        <v>0.32500000000000007</v>
      </c>
      <c r="AA493" s="38">
        <f>MIP[[#This Row],[HH Produtivo
Total]]/MIP[[#This Row],[HH Trabalhado]]</f>
        <v>0.71332218506131506</v>
      </c>
      <c r="AB493" s="38">
        <f>MIP[[#This Row],[HH Produtivo
Total]]/MIP[[#This Row],[HH disponível]]</f>
        <v>0.63226284584980219</v>
      </c>
      <c r="AC493" s="38">
        <f>MIP[[#This Row],[HH Trabalhado]]/MIP[[#This Row],[HH disponível]]</f>
        <v>0.88636363636363658</v>
      </c>
      <c r="AD493" s="37" t="str">
        <f>LEFT(MIP[[#This Row],[Equipe]], SEARCH("/",MIP[[#This Row],[Equipe]],1)-1)</f>
        <v xml:space="preserve">HERVAL </v>
      </c>
      <c r="AE493" s="37" t="str">
        <f>RIGHT(MIP[[#This Row],[Equipe]], LEN(MIP[[#This Row],[Equipe]])-SEARCH("/",MIP[[#This Row],[Equipe]],1))</f>
        <v xml:space="preserve"> VALDEI</v>
      </c>
      <c r="AF493" s="44">
        <f>COUNTIFS('[1]Tempo parado'!H:H,"&gt;="&amp;MIP[[#This Row],[S.B Sitrack]],'[1]Tempo parado'!I:I,"&lt;="&amp;MIP[[#This Row],[C.B Sitrack]],'[1]Tempo parado'!B:B,MIP[[#This Row],[Placa]])</f>
        <v>0</v>
      </c>
      <c r="AG493" s="36"/>
      <c r="AH493" s="35"/>
      <c r="AI493" s="34"/>
      <c r="AJ493" s="34"/>
      <c r="AK49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9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93" s="32">
        <f>SUMIFS('[1]Tempo parado'!J:J,'[1]Tempo parado'!H:H,"&gt;="&amp;MIP[[#This Row],[S.B Sitrack]],'[1]Tempo parado'!I:I,"&lt;="&amp;MIP[[#This Row],[C.B Sitrack]],'[1]Tempo parado'!B:B,MIP[[#This Row],[Placa]])</f>
        <v>0</v>
      </c>
      <c r="AN493" s="32" t="str">
        <f>IFERROR(MIP[[#This Row],[Tempo parado]]/(MIP[[#This Row],[C.B Sitrack]]-MIP[[#This Row],[S.B Sitrack]]),"")</f>
        <v/>
      </c>
      <c r="AO493" s="30"/>
      <c r="AP493" s="44">
        <f>IF(AND(MIP[Exc]=0,MIP[Previsto / Realizado]="Realizado"),MIP[Sem],0)</f>
        <v>0</v>
      </c>
      <c r="AQ493" s="29">
        <f>IF(AND(MIP[Exc]=0,MIP[Previsto / Realizado]="Realizado",ISBLANK(MIP[[#This Row],[S.B Sitrack]])=FALSE,ISBLANK(MIP[[#This Row],[C.B Sitrack]])=FALSE),MIP[Sem],0)</f>
        <v>0</v>
      </c>
    </row>
    <row r="494" spans="1:43" s="64" customFormat="1" x14ac:dyDescent="0.25">
      <c r="A494" s="11"/>
      <c r="B494" s="44">
        <f>WEEKNUM(MIP[[#This Row],[Data]])</f>
        <v>36</v>
      </c>
      <c r="C494" s="45">
        <v>42984</v>
      </c>
      <c r="D494" s="45"/>
      <c r="E494" s="35" t="s">
        <v>178</v>
      </c>
      <c r="F494" s="35" t="s">
        <v>2</v>
      </c>
      <c r="G494" s="35"/>
      <c r="H494" s="44">
        <v>2</v>
      </c>
      <c r="I494" s="44">
        <v>3</v>
      </c>
      <c r="J494" s="44">
        <v>0</v>
      </c>
      <c r="K494" s="44">
        <v>1</v>
      </c>
      <c r="L494" s="44">
        <v>0</v>
      </c>
      <c r="M494" s="43">
        <v>0.25694444444444448</v>
      </c>
      <c r="N494" s="43">
        <v>0.29166666666666669</v>
      </c>
      <c r="O494" s="43">
        <v>0.64374999999999993</v>
      </c>
      <c r="P494" s="43">
        <v>0.65902777777777777</v>
      </c>
      <c r="Q494" s="39">
        <v>4.8611111111111112E-2</v>
      </c>
      <c r="R494" s="42" t="s">
        <v>250</v>
      </c>
      <c r="S494" s="29">
        <f>MIP[[#This Row],[PT-1]]+MIP[[#This Row],[PT-2]]*2+MIP[[#This Row],[PT-3]]*3+MIP[[#This Row],[PT &gt; 3 Pontos]]</f>
        <v>6</v>
      </c>
      <c r="T49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9.8611111111111149E-2</v>
      </c>
      <c r="U494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5.0000000000000044E-2</v>
      </c>
      <c r="V494" s="41">
        <f>MIP[[#This Row],[Eficiência]]</f>
        <v>0.52660929150809221</v>
      </c>
      <c r="W49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94" s="39">
        <f>IF(MIP[[#This Row],[P.S]]-MIP[[#This Row],[P.E]]&lt;0,1+MIP[[#This Row],[P.S]]-MIP[[#This Row],[P.E]]-1/24,MIP[[#This Row],[P.S]]-MIP[[#This Row],[P.E]]-1/24)</f>
        <v>0.36041666666666661</v>
      </c>
      <c r="Y494" s="39">
        <f>MIP[[#This Row],[PT-1]]*$S$3+MIP[[#This Row],[PT-2]]*$T$3+MIP[[#This Row],[PT-3]]*$U$3+MIP[[#This Row],[PT &gt; 3 Pontos]]*$V$3</f>
        <v>0.13786923812399354</v>
      </c>
      <c r="Z494" s="39">
        <f>MIP[[#This Row],[HH disponível]]-MIP[[#This Row],[HH AC TOT]]</f>
        <v>0.26180555555555546</v>
      </c>
      <c r="AA494" s="38">
        <f>MIP[[#This Row],[HH Produtivo
Total]]/MIP[[#This Row],[HH Trabalhado]]</f>
        <v>0.52660929150809221</v>
      </c>
      <c r="AB494" s="38">
        <f>MIP[[#This Row],[HH Produtivo
Total]]/MIP[[#This Row],[HH disponível]]</f>
        <v>0.38252736589316133</v>
      </c>
      <c r="AC494" s="38">
        <f>MIP[[#This Row],[HH Trabalhado]]/MIP[[#This Row],[HH disponível]]</f>
        <v>0.72639691714836208</v>
      </c>
      <c r="AD494" s="37" t="str">
        <f>LEFT(MIP[[#This Row],[Equipe]], SEARCH("/",MIP[[#This Row],[Equipe]],1)-1)</f>
        <v xml:space="preserve">HERVAL </v>
      </c>
      <c r="AE494" s="37" t="str">
        <f>RIGHT(MIP[[#This Row],[Equipe]], LEN(MIP[[#This Row],[Equipe]])-SEARCH("/",MIP[[#This Row],[Equipe]],1))</f>
        <v xml:space="preserve"> VALDEI</v>
      </c>
      <c r="AF494" s="44">
        <f>COUNTIFS('[1]Tempo parado'!H:H,"&gt;="&amp;MIP[[#This Row],[S.B Sitrack]],'[1]Tempo parado'!I:I,"&lt;="&amp;MIP[[#This Row],[C.B Sitrack]],'[1]Tempo parado'!B:B,MIP[[#This Row],[Placa]])</f>
        <v>0</v>
      </c>
      <c r="AG494" s="36"/>
      <c r="AH494" s="35"/>
      <c r="AI494" s="34"/>
      <c r="AJ494" s="34"/>
      <c r="AK49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9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94" s="32">
        <f>SUMIFS('[1]Tempo parado'!J:J,'[1]Tempo parado'!H:H,"&gt;="&amp;MIP[[#This Row],[S.B Sitrack]],'[1]Tempo parado'!I:I,"&lt;="&amp;MIP[[#This Row],[C.B Sitrack]],'[1]Tempo parado'!B:B,MIP[[#This Row],[Placa]])</f>
        <v>0</v>
      </c>
      <c r="AN494" s="32" t="str">
        <f>IFERROR(MIP[[#This Row],[Tempo parado]]/(MIP[[#This Row],[C.B Sitrack]]-MIP[[#This Row],[S.B Sitrack]]),"")</f>
        <v/>
      </c>
      <c r="AO494" s="30"/>
      <c r="AP494" s="44">
        <f>IF(AND(MIP[Exc]=0,MIP[Previsto / Realizado]="Realizado"),MIP[Sem],0)</f>
        <v>36</v>
      </c>
      <c r="AQ494" s="29">
        <f>IF(AND(MIP[Exc]=0,MIP[Previsto / Realizado]="Realizado",ISBLANK(MIP[[#This Row],[S.B Sitrack]])=FALSE,ISBLANK(MIP[[#This Row],[C.B Sitrack]])=FALSE),MIP[Sem],0)</f>
        <v>0</v>
      </c>
    </row>
    <row r="495" spans="1:43" s="47" customFormat="1" x14ac:dyDescent="0.25">
      <c r="A495" s="11"/>
      <c r="B495" s="44">
        <f>WEEKNUM(MIP[[#This Row],[Data]])</f>
        <v>36</v>
      </c>
      <c r="C495" s="45">
        <v>42984</v>
      </c>
      <c r="D495" s="45"/>
      <c r="E495" s="35" t="s">
        <v>3</v>
      </c>
      <c r="F495" s="35" t="s">
        <v>5</v>
      </c>
      <c r="G495" s="35"/>
      <c r="H495" s="44">
        <v>2</v>
      </c>
      <c r="I495" s="44">
        <v>3</v>
      </c>
      <c r="J495" s="44">
        <v>3</v>
      </c>
      <c r="K495" s="44">
        <v>2</v>
      </c>
      <c r="L495" s="44">
        <v>0</v>
      </c>
      <c r="M495" s="43">
        <v>0.625</v>
      </c>
      <c r="N495" s="43">
        <v>0.64583333333333337</v>
      </c>
      <c r="O495" s="43">
        <f>1+18/24/60</f>
        <v>1.0125</v>
      </c>
      <c r="P495" s="43">
        <f>1+48/24/60</f>
        <v>1.0333333333333334</v>
      </c>
      <c r="Q495" s="39"/>
      <c r="R495" s="42"/>
      <c r="S495" s="29">
        <f>MIP[[#This Row],[PT-1]]+MIP[[#This Row],[PT-2]]*2+MIP[[#This Row],[PT-3]]*3+MIP[[#This Row],[PT &gt; 3 Pontos]]</f>
        <v>15</v>
      </c>
      <c r="T49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495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495" s="41">
        <f>MIP[[#This Row],[Eficiência]]</f>
        <v>1.0227298944010905</v>
      </c>
      <c r="W49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95" s="39">
        <f>IF(MIP[[#This Row],[P.S]]-MIP[[#This Row],[P.E]]&lt;0,1+MIP[[#This Row],[P.S]]-MIP[[#This Row],[P.E]]-1/24,MIP[[#This Row],[P.S]]-MIP[[#This Row],[P.E]]-1/24)</f>
        <v>0.36666666666666675</v>
      </c>
      <c r="Y495" s="39">
        <f>MIP[[#This Row],[PT-1]]*$S$3+MIP[[#This Row],[PT-2]]*$T$3+MIP[[#This Row],[PT-3]]*$U$3+MIP[[#This Row],[PT &gt; 3 Pontos]]*$V$3</f>
        <v>0.33238721568035429</v>
      </c>
      <c r="Z495" s="39">
        <f>MIP[[#This Row],[HH disponível]]-MIP[[#This Row],[HH AC TOT]]</f>
        <v>0.3249999999999999</v>
      </c>
      <c r="AA495" s="38">
        <f>MIP[[#This Row],[HH Produtivo
Total]]/MIP[[#This Row],[HH Trabalhado]]</f>
        <v>1.0227298944010905</v>
      </c>
      <c r="AB495" s="38">
        <f>MIP[[#This Row],[HH Produtivo
Total]]/MIP[[#This Row],[HH disponível]]</f>
        <v>0.90651058821914787</v>
      </c>
      <c r="AC495" s="38">
        <f>MIP[[#This Row],[HH Trabalhado]]/MIP[[#This Row],[HH disponível]]</f>
        <v>0.88636363636363591</v>
      </c>
      <c r="AD495" s="37" t="str">
        <f>LEFT(MIP[[#This Row],[Equipe]], SEARCH("/",MIP[[#This Row],[Equipe]],1)-1)</f>
        <v xml:space="preserve">EDILTON </v>
      </c>
      <c r="AE495" s="37" t="str">
        <f>RIGHT(MIP[[#This Row],[Equipe]], LEN(MIP[[#This Row],[Equipe]])-SEARCH("/",MIP[[#This Row],[Equipe]],1))</f>
        <v xml:space="preserve"> GECIVALDO</v>
      </c>
      <c r="AF495" s="44">
        <f>COUNTIFS('[1]Tempo parado'!H:H,"&gt;="&amp;MIP[[#This Row],[S.B Sitrack]],'[1]Tempo parado'!I:I,"&lt;="&amp;MIP[[#This Row],[C.B Sitrack]],'[1]Tempo parado'!B:B,MIP[[#This Row],[Placa]])</f>
        <v>0</v>
      </c>
      <c r="AG495" s="36"/>
      <c r="AH495" s="35"/>
      <c r="AI495" s="34"/>
      <c r="AJ495" s="34"/>
      <c r="AK49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9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95" s="32">
        <f>SUMIFS('[1]Tempo parado'!J:J,'[1]Tempo parado'!H:H,"&gt;="&amp;MIP[[#This Row],[S.B Sitrack]],'[1]Tempo parado'!I:I,"&lt;="&amp;MIP[[#This Row],[C.B Sitrack]],'[1]Tempo parado'!B:B,MIP[[#This Row],[Placa]])</f>
        <v>0</v>
      </c>
      <c r="AN495" s="32" t="str">
        <f>IFERROR(MIP[[#This Row],[Tempo parado]]/(MIP[[#This Row],[C.B Sitrack]]-MIP[[#This Row],[S.B Sitrack]]),"")</f>
        <v/>
      </c>
      <c r="AO495" s="30"/>
      <c r="AP495" s="44">
        <f>IF(AND(MIP[Exc]=0,MIP[Previsto / Realizado]="Realizado"),MIP[Sem],0)</f>
        <v>0</v>
      </c>
      <c r="AQ495" s="29">
        <f>IF(AND(MIP[Exc]=0,MIP[Previsto / Realizado]="Realizado",ISBLANK(MIP[[#This Row],[S.B Sitrack]])=FALSE,ISBLANK(MIP[[#This Row],[C.B Sitrack]])=FALSE),MIP[Sem],0)</f>
        <v>0</v>
      </c>
    </row>
    <row r="496" spans="1:43" s="64" customFormat="1" x14ac:dyDescent="0.25">
      <c r="A496" s="11"/>
      <c r="B496" s="44">
        <f>WEEKNUM(MIP[[#This Row],[Data]])</f>
        <v>36</v>
      </c>
      <c r="C496" s="45">
        <v>42984</v>
      </c>
      <c r="D496" s="45"/>
      <c r="E496" s="35" t="s">
        <v>3</v>
      </c>
      <c r="F496" s="35" t="s">
        <v>2</v>
      </c>
      <c r="G496" s="35"/>
      <c r="H496" s="44">
        <v>2</v>
      </c>
      <c r="I496" s="44">
        <v>4</v>
      </c>
      <c r="J496" s="44">
        <v>3</v>
      </c>
      <c r="K496" s="44">
        <v>1</v>
      </c>
      <c r="L496" s="44">
        <v>0</v>
      </c>
      <c r="M496" s="43">
        <v>0.62152777777777779</v>
      </c>
      <c r="N496" s="43">
        <v>0.67222222222222217</v>
      </c>
      <c r="O496" s="43">
        <v>0.99444444444444446</v>
      </c>
      <c r="P496" s="43">
        <f>1+59/24/60</f>
        <v>1.0409722222222222</v>
      </c>
      <c r="Q496" s="39"/>
      <c r="R496" s="42" t="s">
        <v>32</v>
      </c>
      <c r="S496" s="29">
        <f>MIP[[#This Row],[PT-1]]+MIP[[#This Row],[PT-2]]*2+MIP[[#This Row],[PT-3]]*3+MIP[[#This Row],[PT &gt; 3 Pontos]]</f>
        <v>13</v>
      </c>
      <c r="T49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9.7222222222222099E-2</v>
      </c>
      <c r="U496" s="39">
        <f>IF(MIP[[#This Row],[P.S]]-MIP[[#This Row],[U.P]]&gt;=0,MIP[[#This Row],[P.S]]-MIP[[#This Row],[U.P]]+MIP[[#This Row],[S.B]]-MIP[[#This Row],[P.E]],1+MIP[[#This Row],[P.S]]-MIP[[#This Row],[U.P]]+MIP[[#This Row],[S.B]]-MIP[[#This Row],[P.E]])</f>
        <v>9.7222222222222099E-2</v>
      </c>
      <c r="V496" s="41">
        <f>MIP[[#This Row],[Eficiência]]</f>
        <v>1.0501356453580137</v>
      </c>
      <c r="W49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96" s="39">
        <f>IF(MIP[[#This Row],[P.S]]-MIP[[#This Row],[P.E]]&lt;0,1+MIP[[#This Row],[P.S]]-MIP[[#This Row],[P.E]]-1/24,MIP[[#This Row],[P.S]]-MIP[[#This Row],[P.E]]-1/24)</f>
        <v>0.37777777777777771</v>
      </c>
      <c r="Y496" s="39">
        <f>MIP[[#This Row],[PT-1]]*$S$3+MIP[[#This Row],[PT-2]]*$T$3+MIP[[#This Row],[PT-3]]*$U$3+MIP[[#This Row],[PT &gt; 3 Pontos]]*$V$3</f>
        <v>0.29462138939210947</v>
      </c>
      <c r="Z496" s="39">
        <f>MIP[[#This Row],[HH disponível]]-MIP[[#This Row],[HH AC TOT]]</f>
        <v>0.28055555555555561</v>
      </c>
      <c r="AA496" s="38">
        <f>MIP[[#This Row],[HH Produtivo
Total]]/MIP[[#This Row],[HH Trabalhado]]</f>
        <v>1.0501356453580137</v>
      </c>
      <c r="AB496" s="38">
        <f>MIP[[#This Row],[HH Produtivo
Total]]/MIP[[#This Row],[HH disponível]]</f>
        <v>0.77988014839087816</v>
      </c>
      <c r="AC496" s="38">
        <f>MIP[[#This Row],[HH Trabalhado]]/MIP[[#This Row],[HH disponível]]</f>
        <v>0.74264705882352966</v>
      </c>
      <c r="AD496" s="37" t="str">
        <f>LEFT(MIP[[#This Row],[Equipe]], SEARCH("/",MIP[[#This Row],[Equipe]],1)-1)</f>
        <v xml:space="preserve">EDILTON </v>
      </c>
      <c r="AE496" s="37" t="str">
        <f>RIGHT(MIP[[#This Row],[Equipe]], LEN(MIP[[#This Row],[Equipe]])-SEARCH("/",MIP[[#This Row],[Equipe]],1))</f>
        <v xml:space="preserve"> GECIVALDO</v>
      </c>
      <c r="AF496" s="44">
        <f>COUNTIFS('[1]Tempo parado'!H:H,"&gt;="&amp;MIP[[#This Row],[S.B Sitrack]],'[1]Tempo parado'!I:I,"&lt;="&amp;MIP[[#This Row],[C.B Sitrack]],'[1]Tempo parado'!B:B,MIP[[#This Row],[Placa]])</f>
        <v>0</v>
      </c>
      <c r="AG496" s="36"/>
      <c r="AH496" s="35"/>
      <c r="AI496" s="34"/>
      <c r="AJ496" s="34"/>
      <c r="AK49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9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96" s="32">
        <f>SUMIFS('[1]Tempo parado'!J:J,'[1]Tempo parado'!H:H,"&gt;="&amp;MIP[[#This Row],[S.B Sitrack]],'[1]Tempo parado'!I:I,"&lt;="&amp;MIP[[#This Row],[C.B Sitrack]],'[1]Tempo parado'!B:B,MIP[[#This Row],[Placa]])</f>
        <v>0</v>
      </c>
      <c r="AN496" s="32" t="str">
        <f>IFERROR(MIP[[#This Row],[Tempo parado]]/(MIP[[#This Row],[C.B Sitrack]]-MIP[[#This Row],[S.B Sitrack]]),"")</f>
        <v/>
      </c>
      <c r="AO496" s="30"/>
      <c r="AP496" s="44">
        <f>IF(AND(MIP[Exc]=0,MIP[Previsto / Realizado]="Realizado"),MIP[Sem],0)</f>
        <v>36</v>
      </c>
      <c r="AQ496" s="29">
        <f>IF(AND(MIP[Exc]=0,MIP[Previsto / Realizado]="Realizado",ISBLANK(MIP[[#This Row],[S.B Sitrack]])=FALSE,ISBLANK(MIP[[#This Row],[C.B Sitrack]])=FALSE),MIP[Sem],0)</f>
        <v>0</v>
      </c>
    </row>
    <row r="497" spans="1:43" s="47" customFormat="1" x14ac:dyDescent="0.25">
      <c r="A497" s="11"/>
      <c r="B497" s="44">
        <f>WEEKNUM(MIP[[#This Row],[Data]])</f>
        <v>36</v>
      </c>
      <c r="C497" s="45">
        <v>42985</v>
      </c>
      <c r="D497" s="45"/>
      <c r="E497" s="35" t="s">
        <v>10</v>
      </c>
      <c r="F497" s="35" t="s">
        <v>5</v>
      </c>
      <c r="G497" s="35"/>
      <c r="H497" s="44">
        <v>2</v>
      </c>
      <c r="I497" s="44">
        <v>2</v>
      </c>
      <c r="J497" s="44">
        <v>0</v>
      </c>
      <c r="K497" s="44">
        <v>0</v>
      </c>
      <c r="L497" s="44">
        <v>0</v>
      </c>
      <c r="M497" s="43">
        <v>0.25</v>
      </c>
      <c r="N497" s="43">
        <v>0.27083333333333331</v>
      </c>
      <c r="O497" s="43">
        <v>0.63750000000000007</v>
      </c>
      <c r="P497" s="43">
        <v>0.65833333333333333</v>
      </c>
      <c r="Q497" s="39"/>
      <c r="R497" s="42" t="s">
        <v>188</v>
      </c>
      <c r="S497" s="29">
        <f>MIP[[#This Row],[PT-1]]+MIP[[#This Row],[PT-2]]*2+MIP[[#This Row],[PT-3]]*3+MIP[[#This Row],[PT &gt; 3 Pontos]]</f>
        <v>2</v>
      </c>
      <c r="T49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497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497" s="41">
        <f>MIP[[#This Row],[Eficiência]]</f>
        <v>0.15400524897807494</v>
      </c>
      <c r="W49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97" s="39">
        <f>IF(MIP[[#This Row],[P.S]]-MIP[[#This Row],[P.E]]&lt;0,1+MIP[[#This Row],[P.S]]-MIP[[#This Row],[P.E]]-1/24,MIP[[#This Row],[P.S]]-MIP[[#This Row],[P.E]]-1/24)</f>
        <v>0.36666666666666664</v>
      </c>
      <c r="Y497" s="39">
        <f>MIP[[#This Row],[PT-1]]*$S$3+MIP[[#This Row],[PT-2]]*$T$3+MIP[[#This Row],[PT-3]]*$U$3+MIP[[#This Row],[PT &gt; 3 Pontos]]*$V$3</f>
        <v>5.0051705917874362E-2</v>
      </c>
      <c r="Z497" s="39">
        <f>MIP[[#This Row],[HH disponível]]-MIP[[#This Row],[HH AC TOT]]</f>
        <v>0.32500000000000007</v>
      </c>
      <c r="AA497" s="38">
        <f>MIP[[#This Row],[HH Produtivo
Total]]/MIP[[#This Row],[HH Trabalhado]]</f>
        <v>0.15400524897807494</v>
      </c>
      <c r="AB497" s="38">
        <f>MIP[[#This Row],[HH Produtivo
Total]]/MIP[[#This Row],[HH disponível]]</f>
        <v>0.13650465250329372</v>
      </c>
      <c r="AC497" s="38">
        <f>MIP[[#This Row],[HH Trabalhado]]/MIP[[#This Row],[HH disponível]]</f>
        <v>0.88636363636363658</v>
      </c>
      <c r="AD497" s="37" t="str">
        <f>LEFT(MIP[[#This Row],[Equipe]], SEARCH("/",MIP[[#This Row],[Equipe]],1)-1)</f>
        <v xml:space="preserve">JOILSON </v>
      </c>
      <c r="AE497" s="37" t="str">
        <f>RIGHT(MIP[[#This Row],[Equipe]], LEN(MIP[[#This Row],[Equipe]])-SEARCH("/",MIP[[#This Row],[Equipe]],1))</f>
        <v xml:space="preserve"> VALDEI</v>
      </c>
      <c r="AF497" s="44">
        <f>COUNTIFS('[1]Tempo parado'!H:H,"&gt;="&amp;MIP[[#This Row],[S.B Sitrack]],'[1]Tempo parado'!I:I,"&lt;="&amp;MIP[[#This Row],[C.B Sitrack]],'[1]Tempo parado'!B:B,MIP[[#This Row],[Placa]])</f>
        <v>0</v>
      </c>
      <c r="AG497" s="36"/>
      <c r="AH497" s="35"/>
      <c r="AI497" s="34"/>
      <c r="AJ497" s="34"/>
      <c r="AK49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9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97" s="32">
        <f>SUMIFS('[1]Tempo parado'!J:J,'[1]Tempo parado'!H:H,"&gt;="&amp;MIP[[#This Row],[S.B Sitrack]],'[1]Tempo parado'!I:I,"&lt;="&amp;MIP[[#This Row],[C.B Sitrack]],'[1]Tempo parado'!B:B,MIP[[#This Row],[Placa]])</f>
        <v>0</v>
      </c>
      <c r="AN497" s="32" t="str">
        <f>IFERROR(MIP[[#This Row],[Tempo parado]]/(MIP[[#This Row],[C.B Sitrack]]-MIP[[#This Row],[S.B Sitrack]]),"")</f>
        <v/>
      </c>
      <c r="AO497" s="30"/>
      <c r="AP497" s="44">
        <f>IF(AND(MIP[Exc]=0,MIP[Previsto / Realizado]="Realizado"),MIP[Sem],0)</f>
        <v>0</v>
      </c>
      <c r="AQ497" s="29">
        <f>IF(AND(MIP[Exc]=0,MIP[Previsto / Realizado]="Realizado",ISBLANK(MIP[[#This Row],[S.B Sitrack]])=FALSE,ISBLANK(MIP[[#This Row],[C.B Sitrack]])=FALSE),MIP[Sem],0)</f>
        <v>0</v>
      </c>
    </row>
    <row r="498" spans="1:43" s="64" customFormat="1" x14ac:dyDescent="0.25">
      <c r="A498" s="11"/>
      <c r="B498" s="44">
        <f>WEEKNUM(MIP[[#This Row],[Data]])</f>
        <v>36</v>
      </c>
      <c r="C498" s="45">
        <v>42985</v>
      </c>
      <c r="D498" s="45"/>
      <c r="E498" s="35" t="s">
        <v>10</v>
      </c>
      <c r="F498" s="35" t="s">
        <v>2</v>
      </c>
      <c r="G498" s="35"/>
      <c r="H498" s="44">
        <v>2</v>
      </c>
      <c r="I498" s="44">
        <v>7</v>
      </c>
      <c r="J498" s="44">
        <v>1</v>
      </c>
      <c r="K498" s="44">
        <v>1</v>
      </c>
      <c r="L498" s="44">
        <v>0</v>
      </c>
      <c r="M498" s="43">
        <v>0.25555555555555559</v>
      </c>
      <c r="N498" s="43">
        <v>0.28819444444444448</v>
      </c>
      <c r="O498" s="43">
        <v>0.55763888888888891</v>
      </c>
      <c r="P498" s="43">
        <v>0.65833333333333333</v>
      </c>
      <c r="Q498" s="39"/>
      <c r="R498" s="42" t="s">
        <v>191</v>
      </c>
      <c r="S498" s="29">
        <f>MIP[[#This Row],[PT-1]]+MIP[[#This Row],[PT-2]]*2+MIP[[#This Row],[PT-3]]*3+MIP[[#This Row],[PT &gt; 3 Pontos]]</f>
        <v>12</v>
      </c>
      <c r="T49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0.1333333333333333</v>
      </c>
      <c r="U498" s="39">
        <f>IF(MIP[[#This Row],[P.S]]-MIP[[#This Row],[U.P]]&gt;=0,MIP[[#This Row],[P.S]]-MIP[[#This Row],[U.P]]+MIP[[#This Row],[S.B]]-MIP[[#This Row],[P.E]],1+MIP[[#This Row],[P.S]]-MIP[[#This Row],[U.P]]+MIP[[#This Row],[S.B]]-MIP[[#This Row],[P.E]])</f>
        <v>0.1333333333333333</v>
      </c>
      <c r="V498" s="41">
        <f>MIP[[#This Row],[Eficiência]]</f>
        <v>1.2375281680805934</v>
      </c>
      <c r="W49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98" s="39">
        <f>IF(MIP[[#This Row],[P.S]]-MIP[[#This Row],[P.E]]&lt;0,1+MIP[[#This Row],[P.S]]-MIP[[#This Row],[P.E]]-1/24,MIP[[#This Row],[P.S]]-MIP[[#This Row],[P.E]]-1/24)</f>
        <v>0.36111111111111105</v>
      </c>
      <c r="Y498" s="39">
        <f>MIP[[#This Row],[PT-1]]*$S$3+MIP[[#This Row],[PT-2]]*$T$3+MIP[[#This Row],[PT-3]]*$U$3+MIP[[#This Row],[PT &gt; 3 Pontos]]*$V$3</f>
        <v>0.28188141606280182</v>
      </c>
      <c r="Z498" s="39">
        <f>MIP[[#This Row],[HH disponível]]-MIP[[#This Row],[HH AC TOT]]</f>
        <v>0.22777777777777775</v>
      </c>
      <c r="AA498" s="38">
        <f>MIP[[#This Row],[HH Produtivo
Total]]/MIP[[#This Row],[HH Trabalhado]]</f>
        <v>1.2375281680805934</v>
      </c>
      <c r="AB498" s="38">
        <f>MIP[[#This Row],[HH Produtivo
Total]]/MIP[[#This Row],[HH disponível]]</f>
        <v>0.78059469063545128</v>
      </c>
      <c r="AC498" s="38">
        <f>MIP[[#This Row],[HH Trabalhado]]/MIP[[#This Row],[HH disponível]]</f>
        <v>0.63076923076923075</v>
      </c>
      <c r="AD498" s="37" t="str">
        <f>LEFT(MIP[[#This Row],[Equipe]], SEARCH("/",MIP[[#This Row],[Equipe]],1)-1)</f>
        <v xml:space="preserve">JOILSON </v>
      </c>
      <c r="AE498" s="37" t="str">
        <f>RIGHT(MIP[[#This Row],[Equipe]], LEN(MIP[[#This Row],[Equipe]])-SEARCH("/",MIP[[#This Row],[Equipe]],1))</f>
        <v xml:space="preserve"> VALDEI</v>
      </c>
      <c r="AF498" s="44">
        <f>COUNTIFS('[1]Tempo parado'!H:H,"&gt;="&amp;MIP[[#This Row],[S.B Sitrack]],'[1]Tempo parado'!I:I,"&lt;="&amp;MIP[[#This Row],[C.B Sitrack]],'[1]Tempo parado'!B:B,MIP[[#This Row],[Placa]])</f>
        <v>0</v>
      </c>
      <c r="AG498" s="36"/>
      <c r="AH498" s="35"/>
      <c r="AI498" s="34"/>
      <c r="AJ498" s="34"/>
      <c r="AK49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9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98" s="32">
        <f>SUMIFS('[1]Tempo parado'!J:J,'[1]Tempo parado'!H:H,"&gt;="&amp;MIP[[#This Row],[S.B Sitrack]],'[1]Tempo parado'!I:I,"&lt;="&amp;MIP[[#This Row],[C.B Sitrack]],'[1]Tempo parado'!B:B,MIP[[#This Row],[Placa]])</f>
        <v>0</v>
      </c>
      <c r="AN498" s="32" t="str">
        <f>IFERROR(MIP[[#This Row],[Tempo parado]]/(MIP[[#This Row],[C.B Sitrack]]-MIP[[#This Row],[S.B Sitrack]]),"")</f>
        <v/>
      </c>
      <c r="AO498" s="30"/>
      <c r="AP498" s="44">
        <f>IF(AND(MIP[Exc]=0,MIP[Previsto / Realizado]="Realizado"),MIP[Sem],0)</f>
        <v>36</v>
      </c>
      <c r="AQ498" s="29">
        <f>IF(AND(MIP[Exc]=0,MIP[Previsto / Realizado]="Realizado",ISBLANK(MIP[[#This Row],[S.B Sitrack]])=FALSE,ISBLANK(MIP[[#This Row],[C.B Sitrack]])=FALSE),MIP[Sem],0)</f>
        <v>0</v>
      </c>
    </row>
    <row r="499" spans="1:43" s="47" customFormat="1" x14ac:dyDescent="0.25">
      <c r="A499" s="11"/>
      <c r="B499" s="44">
        <f>WEEKNUM(MIP[[#This Row],[Data]])</f>
        <v>36</v>
      </c>
      <c r="C499" s="45">
        <v>42985</v>
      </c>
      <c r="D499" s="45"/>
      <c r="E499" s="35" t="s">
        <v>19</v>
      </c>
      <c r="F499" s="35" t="s">
        <v>5</v>
      </c>
      <c r="G499" s="35"/>
      <c r="H499" s="44">
        <v>2</v>
      </c>
      <c r="I499" s="44">
        <v>0</v>
      </c>
      <c r="J499" s="44">
        <v>0</v>
      </c>
      <c r="K499" s="44">
        <v>0</v>
      </c>
      <c r="L499" s="44">
        <v>0</v>
      </c>
      <c r="M499" s="43">
        <v>0.625</v>
      </c>
      <c r="N499" s="43">
        <v>0.64583333333333337</v>
      </c>
      <c r="O499" s="43">
        <f>1+18/24/60</f>
        <v>1.0125</v>
      </c>
      <c r="P499" s="43">
        <f>1+48/24/60</f>
        <v>1.0333333333333334</v>
      </c>
      <c r="Q499" s="39"/>
      <c r="R499" s="42"/>
      <c r="S499" s="29">
        <f>MIP[[#This Row],[PT-1]]+MIP[[#This Row],[PT-2]]*2+MIP[[#This Row],[PT-3]]*3+MIP[[#This Row],[PT &gt; 3 Pontos]]</f>
        <v>0</v>
      </c>
      <c r="T49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499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499" s="41">
        <f>MIP[[#This Row],[Eficiência]]</f>
        <v>0</v>
      </c>
      <c r="W49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499" s="39">
        <f>IF(MIP[[#This Row],[P.S]]-MIP[[#This Row],[P.E]]&lt;0,1+MIP[[#This Row],[P.S]]-MIP[[#This Row],[P.E]]-1/24,MIP[[#This Row],[P.S]]-MIP[[#This Row],[P.E]]-1/24)</f>
        <v>0.36666666666666675</v>
      </c>
      <c r="Y499" s="39">
        <f>MIP[[#This Row],[PT-1]]*$S$3+MIP[[#This Row],[PT-2]]*$T$3+MIP[[#This Row],[PT-3]]*$U$3+MIP[[#This Row],[PT &gt; 3 Pontos]]*$V$3</f>
        <v>0</v>
      </c>
      <c r="Z499" s="39">
        <f>MIP[[#This Row],[HH disponível]]-MIP[[#This Row],[HH AC TOT]]</f>
        <v>0.3249999999999999</v>
      </c>
      <c r="AA499" s="38">
        <f>MIP[[#This Row],[HH Produtivo
Total]]/MIP[[#This Row],[HH Trabalhado]]</f>
        <v>0</v>
      </c>
      <c r="AB499" s="38">
        <f>MIP[[#This Row],[HH Produtivo
Total]]/MIP[[#This Row],[HH disponível]]</f>
        <v>0</v>
      </c>
      <c r="AC499" s="38">
        <f>MIP[[#This Row],[HH Trabalhado]]/MIP[[#This Row],[HH disponível]]</f>
        <v>0.88636363636363591</v>
      </c>
      <c r="AD499" s="37" t="str">
        <f>LEFT(MIP[[#This Row],[Equipe]], SEARCH("/",MIP[[#This Row],[Equipe]],1)-1)</f>
        <v xml:space="preserve">ADEMÁRIO </v>
      </c>
      <c r="AE499" s="37" t="str">
        <f>RIGHT(MIP[[#This Row],[Equipe]], LEN(MIP[[#This Row],[Equipe]])-SEARCH("/",MIP[[#This Row],[Equipe]],1))</f>
        <v xml:space="preserve"> RONALDO</v>
      </c>
      <c r="AF499" s="44">
        <f>COUNTIFS('[1]Tempo parado'!H:H,"&gt;="&amp;MIP[[#This Row],[S.B Sitrack]],'[1]Tempo parado'!I:I,"&lt;="&amp;MIP[[#This Row],[C.B Sitrack]],'[1]Tempo parado'!B:B,MIP[[#This Row],[Placa]])</f>
        <v>0</v>
      </c>
      <c r="AG499" s="36"/>
      <c r="AH499" s="35"/>
      <c r="AI499" s="34"/>
      <c r="AJ499" s="34"/>
      <c r="AK49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49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499" s="32">
        <f>SUMIFS('[1]Tempo parado'!J:J,'[1]Tempo parado'!H:H,"&gt;="&amp;MIP[[#This Row],[S.B Sitrack]],'[1]Tempo parado'!I:I,"&lt;="&amp;MIP[[#This Row],[C.B Sitrack]],'[1]Tempo parado'!B:B,MIP[[#This Row],[Placa]])</f>
        <v>0</v>
      </c>
      <c r="AN499" s="32" t="str">
        <f>IFERROR(MIP[[#This Row],[Tempo parado]]/(MIP[[#This Row],[C.B Sitrack]]-MIP[[#This Row],[S.B Sitrack]]),"")</f>
        <v/>
      </c>
      <c r="AO499" s="30"/>
      <c r="AP499" s="44">
        <f>IF(AND(MIP[Exc]=0,MIP[Previsto / Realizado]="Realizado"),MIP[Sem],0)</f>
        <v>0</v>
      </c>
      <c r="AQ499" s="29">
        <f>IF(AND(MIP[Exc]=0,MIP[Previsto / Realizado]="Realizado",ISBLANK(MIP[[#This Row],[S.B Sitrack]])=FALSE,ISBLANK(MIP[[#This Row],[C.B Sitrack]])=FALSE),MIP[Sem],0)</f>
        <v>0</v>
      </c>
    </row>
    <row r="500" spans="1:43" s="64" customFormat="1" x14ac:dyDescent="0.25">
      <c r="A500" s="11"/>
      <c r="B500" s="44">
        <f>WEEKNUM(MIP[[#This Row],[Data]])</f>
        <v>36</v>
      </c>
      <c r="C500" s="45">
        <v>42985</v>
      </c>
      <c r="D500" s="45"/>
      <c r="E500" s="35" t="s">
        <v>19</v>
      </c>
      <c r="F500" s="35" t="s">
        <v>2</v>
      </c>
      <c r="G500" s="35"/>
      <c r="H500" s="44">
        <v>2</v>
      </c>
      <c r="I500" s="44">
        <v>0</v>
      </c>
      <c r="J500" s="44">
        <v>1</v>
      </c>
      <c r="K500" s="44">
        <v>1</v>
      </c>
      <c r="L500" s="44">
        <v>4</v>
      </c>
      <c r="M500" s="43">
        <v>0.64652777777777781</v>
      </c>
      <c r="N500" s="43">
        <v>0.69861111111111107</v>
      </c>
      <c r="O500" s="43">
        <f>1+25/24/60</f>
        <v>1.0173611111111112</v>
      </c>
      <c r="P500" s="43">
        <f>1+50/24/60</f>
        <v>1.0347222222222223</v>
      </c>
      <c r="Q500" s="39">
        <v>3.6805555555555557E-2</v>
      </c>
      <c r="R500" s="42" t="s">
        <v>249</v>
      </c>
      <c r="S500" s="29">
        <f>MIP[[#This Row],[PT-1]]+MIP[[#This Row],[PT-2]]*2+MIP[[#This Row],[PT-3]]*3+MIP[[#This Row],[PT &gt; 3 Pontos]]</f>
        <v>9</v>
      </c>
      <c r="T50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0.10624999999999998</v>
      </c>
      <c r="U500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6.944444444444442E-2</v>
      </c>
      <c r="V500" s="41">
        <f>MIP[[#This Row],[Eficiência]]</f>
        <v>0.78114793057068133</v>
      </c>
      <c r="W50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00" s="39">
        <f>IF(MIP[[#This Row],[P.S]]-MIP[[#This Row],[P.E]]&lt;0,1+MIP[[#This Row],[P.S]]-MIP[[#This Row],[P.E]]-1/24,MIP[[#This Row],[P.S]]-MIP[[#This Row],[P.E]]-1/24)</f>
        <v>0.34652777777777782</v>
      </c>
      <c r="Y500" s="39">
        <f>MIP[[#This Row],[PT-1]]*$S$3+MIP[[#This Row],[PT-2]]*$T$3+MIP[[#This Row],[PT-3]]*$U$3+MIP[[#This Row],[PT &gt; 3 Pontos]]*$V$3</f>
        <v>0.1876924888732332</v>
      </c>
      <c r="Z500" s="39">
        <f>MIP[[#This Row],[HH disponível]]-MIP[[#This Row],[HH AC TOT]]</f>
        <v>0.24027777777777784</v>
      </c>
      <c r="AA500" s="38">
        <f>MIP[[#This Row],[HH Produtivo
Total]]/MIP[[#This Row],[HH Trabalhado]]</f>
        <v>0.78114793057068133</v>
      </c>
      <c r="AB500" s="38">
        <f>MIP[[#This Row],[HH Produtivo
Total]]/MIP[[#This Row],[HH disponível]]</f>
        <v>0.5416376432413943</v>
      </c>
      <c r="AC500" s="38">
        <f>MIP[[#This Row],[HH Trabalhado]]/MIP[[#This Row],[HH disponível]]</f>
        <v>0.69338677354709433</v>
      </c>
      <c r="AD500" s="37" t="str">
        <f>LEFT(MIP[[#This Row],[Equipe]], SEARCH("/",MIP[[#This Row],[Equipe]],1)-1)</f>
        <v xml:space="preserve">ADEMÁRIO </v>
      </c>
      <c r="AE500" s="37" t="str">
        <f>RIGHT(MIP[[#This Row],[Equipe]], LEN(MIP[[#This Row],[Equipe]])-SEARCH("/",MIP[[#This Row],[Equipe]],1))</f>
        <v xml:space="preserve"> RONALDO</v>
      </c>
      <c r="AF500" s="44">
        <f>COUNTIFS('[1]Tempo parado'!H:H,"&gt;="&amp;MIP[[#This Row],[S.B Sitrack]],'[1]Tempo parado'!I:I,"&lt;="&amp;MIP[[#This Row],[C.B Sitrack]],'[1]Tempo parado'!B:B,MIP[[#This Row],[Placa]])</f>
        <v>0</v>
      </c>
      <c r="AG500" s="36"/>
      <c r="AH500" s="35"/>
      <c r="AI500" s="34"/>
      <c r="AJ500" s="34"/>
      <c r="AK50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0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00" s="32">
        <f>SUMIFS('[1]Tempo parado'!J:J,'[1]Tempo parado'!H:H,"&gt;="&amp;MIP[[#This Row],[S.B Sitrack]],'[1]Tempo parado'!I:I,"&lt;="&amp;MIP[[#This Row],[C.B Sitrack]],'[1]Tempo parado'!B:B,MIP[[#This Row],[Placa]])</f>
        <v>0</v>
      </c>
      <c r="AN500" s="32" t="str">
        <f>IFERROR(MIP[[#This Row],[Tempo parado]]/(MIP[[#This Row],[C.B Sitrack]]-MIP[[#This Row],[S.B Sitrack]]),"")</f>
        <v/>
      </c>
      <c r="AO500" s="30"/>
      <c r="AP500" s="44">
        <f>IF(AND(MIP[Exc]=0,MIP[Previsto / Realizado]="Realizado"),MIP[Sem],0)</f>
        <v>36</v>
      </c>
      <c r="AQ500" s="29">
        <f>IF(AND(MIP[Exc]=0,MIP[Previsto / Realizado]="Realizado",ISBLANK(MIP[[#This Row],[S.B Sitrack]])=FALSE,ISBLANK(MIP[[#This Row],[C.B Sitrack]])=FALSE),MIP[Sem],0)</f>
        <v>0</v>
      </c>
    </row>
    <row r="501" spans="1:43" s="47" customFormat="1" x14ac:dyDescent="0.25">
      <c r="A501" s="11"/>
      <c r="B501" s="44">
        <f>WEEKNUM(MIP[[#This Row],[Data]])</f>
        <v>36</v>
      </c>
      <c r="C501" s="45">
        <v>42985</v>
      </c>
      <c r="D501" s="45"/>
      <c r="E501" s="35" t="s">
        <v>7</v>
      </c>
      <c r="F501" s="35" t="s">
        <v>5</v>
      </c>
      <c r="G501" s="35"/>
      <c r="H501" s="44">
        <v>2</v>
      </c>
      <c r="I501" s="44">
        <v>1</v>
      </c>
      <c r="J501" s="44">
        <v>0</v>
      </c>
      <c r="K501" s="44">
        <v>0</v>
      </c>
      <c r="L501" s="44">
        <v>0</v>
      </c>
      <c r="M501" s="43">
        <v>0.625</v>
      </c>
      <c r="N501" s="43">
        <v>0.64583333333333337</v>
      </c>
      <c r="O501" s="43">
        <f>1+18/24/60</f>
        <v>1.0125</v>
      </c>
      <c r="P501" s="43">
        <f>1+48/24/60</f>
        <v>1.0333333333333334</v>
      </c>
      <c r="Q501" s="39"/>
      <c r="R501" s="42"/>
      <c r="S501" s="29">
        <f>MIP[[#This Row],[PT-1]]+MIP[[#This Row],[PT-2]]*2+MIP[[#This Row],[PT-3]]*3+MIP[[#This Row],[PT &gt; 3 Pontos]]</f>
        <v>1</v>
      </c>
      <c r="T50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501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501" s="41">
        <f>MIP[[#This Row],[Eficiência]]</f>
        <v>7.7002624489037497E-2</v>
      </c>
      <c r="W50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01" s="39">
        <f>IF(MIP[[#This Row],[P.S]]-MIP[[#This Row],[P.E]]&lt;0,1+MIP[[#This Row],[P.S]]-MIP[[#This Row],[P.E]]-1/24,MIP[[#This Row],[P.S]]-MIP[[#This Row],[P.E]]-1/24)</f>
        <v>0.36666666666666675</v>
      </c>
      <c r="Y501" s="39">
        <f>MIP[[#This Row],[PT-1]]*$S$3+MIP[[#This Row],[PT-2]]*$T$3+MIP[[#This Row],[PT-3]]*$U$3+MIP[[#This Row],[PT &gt; 3 Pontos]]*$V$3</f>
        <v>2.5025852958937181E-2</v>
      </c>
      <c r="Z501" s="39">
        <f>MIP[[#This Row],[HH disponível]]-MIP[[#This Row],[HH AC TOT]]</f>
        <v>0.3249999999999999</v>
      </c>
      <c r="AA501" s="38">
        <f>MIP[[#This Row],[HH Produtivo
Total]]/MIP[[#This Row],[HH Trabalhado]]</f>
        <v>7.7002624489037497E-2</v>
      </c>
      <c r="AB501" s="38">
        <f>MIP[[#This Row],[HH Produtivo
Total]]/MIP[[#This Row],[HH disponível]]</f>
        <v>6.8252326251646844E-2</v>
      </c>
      <c r="AC501" s="38">
        <f>MIP[[#This Row],[HH Trabalhado]]/MIP[[#This Row],[HH disponível]]</f>
        <v>0.88636363636363591</v>
      </c>
      <c r="AD501" s="37" t="str">
        <f>LEFT(MIP[[#This Row],[Equipe]], SEARCH("/",MIP[[#This Row],[Equipe]],1)-1)</f>
        <v xml:space="preserve">ANDERSON </v>
      </c>
      <c r="AE501" s="37" t="str">
        <f>RIGHT(MIP[[#This Row],[Equipe]], LEN(MIP[[#This Row],[Equipe]])-SEARCH("/",MIP[[#This Row],[Equipe]],1))</f>
        <v xml:space="preserve"> MARCO</v>
      </c>
      <c r="AF501" s="44">
        <f>COUNTIFS('[1]Tempo parado'!H:H,"&gt;="&amp;MIP[[#This Row],[S.B Sitrack]],'[1]Tempo parado'!I:I,"&lt;="&amp;MIP[[#This Row],[C.B Sitrack]],'[1]Tempo parado'!B:B,MIP[[#This Row],[Placa]])</f>
        <v>0</v>
      </c>
      <c r="AG501" s="36"/>
      <c r="AH501" s="35"/>
      <c r="AI501" s="34"/>
      <c r="AJ501" s="34"/>
      <c r="AK50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0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01" s="32">
        <f>SUMIFS('[1]Tempo parado'!J:J,'[1]Tempo parado'!H:H,"&gt;="&amp;MIP[[#This Row],[S.B Sitrack]],'[1]Tempo parado'!I:I,"&lt;="&amp;MIP[[#This Row],[C.B Sitrack]],'[1]Tempo parado'!B:B,MIP[[#This Row],[Placa]])</f>
        <v>0</v>
      </c>
      <c r="AN501" s="32" t="str">
        <f>IFERROR(MIP[[#This Row],[Tempo parado]]/(MIP[[#This Row],[C.B Sitrack]]-MIP[[#This Row],[S.B Sitrack]]),"")</f>
        <v/>
      </c>
      <c r="AO501" s="30"/>
      <c r="AP501" s="44">
        <f>IF(AND(MIP[Exc]=0,MIP[Previsto / Realizado]="Realizado"),MIP[Sem],0)</f>
        <v>0</v>
      </c>
      <c r="AQ501" s="29">
        <f>IF(AND(MIP[Exc]=0,MIP[Previsto / Realizado]="Realizado",ISBLANK(MIP[[#This Row],[S.B Sitrack]])=FALSE,ISBLANK(MIP[[#This Row],[C.B Sitrack]])=FALSE),MIP[Sem],0)</f>
        <v>0</v>
      </c>
    </row>
    <row r="502" spans="1:43" s="64" customFormat="1" x14ac:dyDescent="0.25">
      <c r="A502" s="11"/>
      <c r="B502" s="44">
        <f>WEEKNUM(MIP[[#This Row],[Data]])</f>
        <v>36</v>
      </c>
      <c r="C502" s="45">
        <v>42985</v>
      </c>
      <c r="D502" s="45"/>
      <c r="E502" s="35" t="s">
        <v>7</v>
      </c>
      <c r="F502" s="35" t="s">
        <v>2</v>
      </c>
      <c r="G502" s="35"/>
      <c r="H502" s="44">
        <v>2</v>
      </c>
      <c r="I502" s="44">
        <v>3</v>
      </c>
      <c r="J502" s="44">
        <v>3</v>
      </c>
      <c r="K502" s="44">
        <v>0</v>
      </c>
      <c r="L502" s="44">
        <v>0</v>
      </c>
      <c r="M502" s="43">
        <v>0.625</v>
      </c>
      <c r="N502" s="43">
        <v>0.6972222222222223</v>
      </c>
      <c r="O502" s="43">
        <f>1+15/24/60</f>
        <v>1.0104166666666667</v>
      </c>
      <c r="P502" s="43">
        <f>1+48/24/60</f>
        <v>1.0333333333333334</v>
      </c>
      <c r="Q502" s="39"/>
      <c r="R502" s="42" t="s">
        <v>224</v>
      </c>
      <c r="S502" s="29">
        <f>MIP[[#This Row],[PT-1]]+MIP[[#This Row],[PT-2]]*2+MIP[[#This Row],[PT-3]]*3+MIP[[#This Row],[PT &gt; 3 Pontos]]</f>
        <v>9</v>
      </c>
      <c r="T50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9.5138888888888995E-2</v>
      </c>
      <c r="U502" s="39">
        <f>IF(MIP[[#This Row],[P.S]]-MIP[[#This Row],[U.P]]&gt;=0,MIP[[#This Row],[P.S]]-MIP[[#This Row],[U.P]]+MIP[[#This Row],[S.B]]-MIP[[#This Row],[P.E]],1+MIP[[#This Row],[P.S]]-MIP[[#This Row],[U.P]]+MIP[[#This Row],[S.B]]-MIP[[#This Row],[P.E]])</f>
        <v>9.5138888888888995E-2</v>
      </c>
      <c r="V502" s="41">
        <f>MIP[[#This Row],[Eficiência]]</f>
        <v>0.7616305737796063</v>
      </c>
      <c r="W50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02" s="39">
        <f>IF(MIP[[#This Row],[P.S]]-MIP[[#This Row],[P.E]]&lt;0,1+MIP[[#This Row],[P.S]]-MIP[[#This Row],[P.E]]-1/24,MIP[[#This Row],[P.S]]-MIP[[#This Row],[P.E]]-1/24)</f>
        <v>0.36666666666666675</v>
      </c>
      <c r="Y502" s="39">
        <f>MIP[[#This Row],[PT-1]]*$S$3+MIP[[#This Row],[PT-2]]*$T$3+MIP[[#This Row],[PT-3]]*$U$3+MIP[[#This Row],[PT &gt; 3 Pontos]]*$V$3</f>
        <v>0.20680385718599031</v>
      </c>
      <c r="Z502" s="39">
        <f>MIP[[#This Row],[HH disponível]]-MIP[[#This Row],[HH AC TOT]]</f>
        <v>0.27152777777777776</v>
      </c>
      <c r="AA502" s="38">
        <f>MIP[[#This Row],[HH Produtivo
Total]]/MIP[[#This Row],[HH Trabalhado]]</f>
        <v>0.7616305737796063</v>
      </c>
      <c r="AB502" s="38">
        <f>MIP[[#This Row],[HH Produtivo
Total]]/MIP[[#This Row],[HH disponível]]</f>
        <v>0.56401051959815529</v>
      </c>
      <c r="AC502" s="38">
        <f>MIP[[#This Row],[HH Trabalhado]]/MIP[[#This Row],[HH disponível]]</f>
        <v>0.74053030303030276</v>
      </c>
      <c r="AD502" s="37" t="str">
        <f>LEFT(MIP[[#This Row],[Equipe]], SEARCH("/",MIP[[#This Row],[Equipe]],1)-1)</f>
        <v xml:space="preserve">ANDERSON </v>
      </c>
      <c r="AE502" s="37" t="str">
        <f>RIGHT(MIP[[#This Row],[Equipe]], LEN(MIP[[#This Row],[Equipe]])-SEARCH("/",MIP[[#This Row],[Equipe]],1))</f>
        <v xml:space="preserve"> MARCO</v>
      </c>
      <c r="AF502" s="44">
        <f>COUNTIFS('[1]Tempo parado'!H:H,"&gt;="&amp;MIP[[#This Row],[S.B Sitrack]],'[1]Tempo parado'!I:I,"&lt;="&amp;MIP[[#This Row],[C.B Sitrack]],'[1]Tempo parado'!B:B,MIP[[#This Row],[Placa]])</f>
        <v>0</v>
      </c>
      <c r="AG502" s="36"/>
      <c r="AH502" s="35"/>
      <c r="AI502" s="34"/>
      <c r="AJ502" s="34"/>
      <c r="AK50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0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02" s="32">
        <f>SUMIFS('[1]Tempo parado'!J:J,'[1]Tempo parado'!H:H,"&gt;="&amp;MIP[[#This Row],[S.B Sitrack]],'[1]Tempo parado'!I:I,"&lt;="&amp;MIP[[#This Row],[C.B Sitrack]],'[1]Tempo parado'!B:B,MIP[[#This Row],[Placa]])</f>
        <v>0</v>
      </c>
      <c r="AN502" s="32" t="str">
        <f>IFERROR(MIP[[#This Row],[Tempo parado]]/(MIP[[#This Row],[C.B Sitrack]]-MIP[[#This Row],[S.B Sitrack]]),"")</f>
        <v/>
      </c>
      <c r="AO502" s="30"/>
      <c r="AP502" s="44">
        <f>IF(AND(MIP[Exc]=0,MIP[Previsto / Realizado]="Realizado"),MIP[Sem],0)</f>
        <v>36</v>
      </c>
      <c r="AQ502" s="29">
        <f>IF(AND(MIP[Exc]=0,MIP[Previsto / Realizado]="Realizado",ISBLANK(MIP[[#This Row],[S.B Sitrack]])=FALSE,ISBLANK(MIP[[#This Row],[C.B Sitrack]])=FALSE),MIP[Sem],0)</f>
        <v>0</v>
      </c>
    </row>
    <row r="503" spans="1:43" s="47" customFormat="1" x14ac:dyDescent="0.25">
      <c r="A503" s="11"/>
      <c r="B503" s="44">
        <f>WEEKNUM(MIP[[#This Row],[Data]])</f>
        <v>36</v>
      </c>
      <c r="C503" s="45">
        <v>42986</v>
      </c>
      <c r="D503" s="45"/>
      <c r="E503" s="35" t="s">
        <v>10</v>
      </c>
      <c r="F503" s="35" t="s">
        <v>5</v>
      </c>
      <c r="G503" s="35"/>
      <c r="H503" s="44">
        <v>2</v>
      </c>
      <c r="I503" s="44">
        <v>1</v>
      </c>
      <c r="J503" s="44">
        <v>0</v>
      </c>
      <c r="K503" s="44">
        <v>0</v>
      </c>
      <c r="L503" s="44">
        <v>6</v>
      </c>
      <c r="M503" s="43">
        <v>0.25</v>
      </c>
      <c r="N503" s="43">
        <v>0.27083333333333331</v>
      </c>
      <c r="O503" s="43">
        <v>0.63750000000000007</v>
      </c>
      <c r="P503" s="43">
        <f>1+48/24/60</f>
        <v>1.0333333333333334</v>
      </c>
      <c r="Q503" s="39"/>
      <c r="R503" s="42"/>
      <c r="S503" s="29">
        <f>MIP[[#This Row],[PT-1]]+MIP[[#This Row],[PT-2]]*2+MIP[[#This Row],[PT-3]]*3+MIP[[#This Row],[PT &gt; 3 Pontos]]</f>
        <v>7</v>
      </c>
      <c r="T50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0.41666666666666674</v>
      </c>
      <c r="U503" s="39">
        <f>IF(MIP[[#This Row],[P.S]]-MIP[[#This Row],[U.P]]&gt;=0,MIP[[#This Row],[P.S]]-MIP[[#This Row],[U.P]]+MIP[[#This Row],[S.B]]-MIP[[#This Row],[P.E]],1+MIP[[#This Row],[P.S]]-MIP[[#This Row],[U.P]]+MIP[[#This Row],[S.B]]-MIP[[#This Row],[P.E]])</f>
        <v>0.41666666666666674</v>
      </c>
      <c r="V503" s="41">
        <f>MIP[[#This Row],[Eficiência]]</f>
        <v>0.45081205613361419</v>
      </c>
      <c r="W50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03" s="39">
        <f>IF(MIP[[#This Row],[P.S]]-MIP[[#This Row],[P.E]]&lt;0,1+MIP[[#This Row],[P.S]]-MIP[[#This Row],[P.E]]-1/24,MIP[[#This Row],[P.S]]-MIP[[#This Row],[P.E]]-1/24)</f>
        <v>0.74166666666666681</v>
      </c>
      <c r="Y503" s="39">
        <f>MIP[[#This Row],[PT-1]]*$S$3+MIP[[#This Row],[PT-2]]*$T$3+MIP[[#This Row],[PT-3]]*$U$3+MIP[[#This Row],[PT &gt; 3 Pontos]]*$V$3</f>
        <v>0.14651391824342463</v>
      </c>
      <c r="Z503" s="39">
        <f>MIP[[#This Row],[HH disponível]]-MIP[[#This Row],[HH AC TOT]]</f>
        <v>0.32500000000000007</v>
      </c>
      <c r="AA503" s="38">
        <f>MIP[[#This Row],[HH Produtivo
Total]]/MIP[[#This Row],[HH Trabalhado]]</f>
        <v>0.45081205613361419</v>
      </c>
      <c r="AB503" s="38">
        <f>MIP[[#This Row],[HH Produtivo
Total]]/MIP[[#This Row],[HH disponível]]</f>
        <v>0.19754685605855002</v>
      </c>
      <c r="AC503" s="38">
        <f>MIP[[#This Row],[HH Trabalhado]]/MIP[[#This Row],[HH disponível]]</f>
        <v>0.43820224719101125</v>
      </c>
      <c r="AD503" s="37" t="str">
        <f>LEFT(MIP[[#This Row],[Equipe]], SEARCH("/",MIP[[#This Row],[Equipe]],1)-1)</f>
        <v xml:space="preserve">JOILSON </v>
      </c>
      <c r="AE503" s="37" t="str">
        <f>RIGHT(MIP[[#This Row],[Equipe]], LEN(MIP[[#This Row],[Equipe]])-SEARCH("/",MIP[[#This Row],[Equipe]],1))</f>
        <v xml:space="preserve"> VALDEI</v>
      </c>
      <c r="AF503" s="44">
        <f>COUNTIFS('[1]Tempo parado'!H:H,"&gt;="&amp;MIP[[#This Row],[S.B Sitrack]],'[1]Tempo parado'!I:I,"&lt;="&amp;MIP[[#This Row],[C.B Sitrack]],'[1]Tempo parado'!B:B,MIP[[#This Row],[Placa]])</f>
        <v>0</v>
      </c>
      <c r="AG503" s="36"/>
      <c r="AH503" s="35"/>
      <c r="AI503" s="34"/>
      <c r="AJ503" s="34"/>
      <c r="AK50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0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03" s="32">
        <f>SUMIFS('[1]Tempo parado'!J:J,'[1]Tempo parado'!H:H,"&gt;="&amp;MIP[[#This Row],[S.B Sitrack]],'[1]Tempo parado'!I:I,"&lt;="&amp;MIP[[#This Row],[C.B Sitrack]],'[1]Tempo parado'!B:B,MIP[[#This Row],[Placa]])</f>
        <v>0</v>
      </c>
      <c r="AN503" s="32" t="str">
        <f>IFERROR(MIP[[#This Row],[Tempo parado]]/(MIP[[#This Row],[C.B Sitrack]]-MIP[[#This Row],[S.B Sitrack]]),"")</f>
        <v/>
      </c>
      <c r="AO503" s="30"/>
      <c r="AP503" s="44">
        <f>IF(AND(MIP[Exc]=0,MIP[Previsto / Realizado]="Realizado"),MIP[Sem],0)</f>
        <v>0</v>
      </c>
      <c r="AQ503" s="29">
        <f>IF(AND(MIP[Exc]=0,MIP[Previsto / Realizado]="Realizado",ISBLANK(MIP[[#This Row],[S.B Sitrack]])=FALSE,ISBLANK(MIP[[#This Row],[C.B Sitrack]])=FALSE),MIP[Sem],0)</f>
        <v>0</v>
      </c>
    </row>
    <row r="504" spans="1:43" s="64" customFormat="1" x14ac:dyDescent="0.25">
      <c r="A504" s="11"/>
      <c r="B504" s="44">
        <f>WEEKNUM(MIP[[#This Row],[Data]])</f>
        <v>36</v>
      </c>
      <c r="C504" s="45">
        <v>42986</v>
      </c>
      <c r="D504" s="45"/>
      <c r="E504" s="35" t="s">
        <v>10</v>
      </c>
      <c r="F504" s="35" t="s">
        <v>2</v>
      </c>
      <c r="G504" s="35"/>
      <c r="H504" s="44">
        <v>2</v>
      </c>
      <c r="I504" s="44">
        <v>6</v>
      </c>
      <c r="J504" s="44">
        <v>0</v>
      </c>
      <c r="K504" s="44">
        <v>0</v>
      </c>
      <c r="L504" s="44">
        <v>6</v>
      </c>
      <c r="M504" s="43">
        <v>0.24444444444444446</v>
      </c>
      <c r="N504" s="43">
        <v>0.27291666666666664</v>
      </c>
      <c r="O504" s="43">
        <v>0.6020833333333333</v>
      </c>
      <c r="P504" s="43">
        <v>0.65138888888888891</v>
      </c>
      <c r="Q504" s="39"/>
      <c r="R504" s="42"/>
      <c r="S504" s="29">
        <f>MIP[[#This Row],[PT-1]]+MIP[[#This Row],[PT-2]]*2+MIP[[#This Row],[PT-3]]*3+MIP[[#This Row],[PT &gt; 3 Pontos]]</f>
        <v>12</v>
      </c>
      <c r="T50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7.7777777777777779E-2</v>
      </c>
      <c r="U504" s="39">
        <f>IF(MIP[[#This Row],[P.S]]-MIP[[#This Row],[U.P]]&gt;=0,MIP[[#This Row],[P.S]]-MIP[[#This Row],[U.P]]+MIP[[#This Row],[S.B]]-MIP[[#This Row],[P.E]],1+MIP[[#This Row],[P.S]]-MIP[[#This Row],[U.P]]+MIP[[#This Row],[S.B]]-MIP[[#This Row],[P.E]])</f>
        <v>7.7777777777777779E-2</v>
      </c>
      <c r="V504" s="41">
        <f>MIP[[#This Row],[Eficiência]]</f>
        <v>0.94484585404560195</v>
      </c>
      <c r="W50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04" s="39">
        <f>IF(MIP[[#This Row],[P.S]]-MIP[[#This Row],[P.E]]&lt;0,1+MIP[[#This Row],[P.S]]-MIP[[#This Row],[P.E]]-1/24,MIP[[#This Row],[P.S]]-MIP[[#This Row],[P.E]]-1/24)</f>
        <v>0.36527777777777776</v>
      </c>
      <c r="Y504" s="39">
        <f>MIP[[#This Row],[PT-1]]*$S$3+MIP[[#This Row],[PT-2]]*$T$3+MIP[[#This Row],[PT-3]]*$U$3+MIP[[#This Row],[PT &gt; 3 Pontos]]*$V$3</f>
        <v>0.27164318303811053</v>
      </c>
      <c r="Z504" s="39">
        <f>MIP[[#This Row],[HH disponível]]-MIP[[#This Row],[HH AC TOT]]</f>
        <v>0.28749999999999998</v>
      </c>
      <c r="AA504" s="38">
        <f>MIP[[#This Row],[HH Produtivo
Total]]/MIP[[#This Row],[HH Trabalhado]]</f>
        <v>0.94484585404560195</v>
      </c>
      <c r="AB504" s="38">
        <f>MIP[[#This Row],[HH Produtivo
Total]]/MIP[[#This Row],[HH disponível]]</f>
        <v>0.74366194595984636</v>
      </c>
      <c r="AC504" s="38">
        <f>MIP[[#This Row],[HH Trabalhado]]/MIP[[#This Row],[HH disponível]]</f>
        <v>0.78707224334600756</v>
      </c>
      <c r="AD504" s="37" t="str">
        <f>LEFT(MIP[[#This Row],[Equipe]], SEARCH("/",MIP[[#This Row],[Equipe]],1)-1)</f>
        <v xml:space="preserve">JOILSON </v>
      </c>
      <c r="AE504" s="37" t="str">
        <f>RIGHT(MIP[[#This Row],[Equipe]], LEN(MIP[[#This Row],[Equipe]])-SEARCH("/",MIP[[#This Row],[Equipe]],1))</f>
        <v xml:space="preserve"> VALDEI</v>
      </c>
      <c r="AF504" s="44">
        <f>COUNTIFS('[1]Tempo parado'!H:H,"&gt;="&amp;MIP[[#This Row],[S.B Sitrack]],'[1]Tempo parado'!I:I,"&lt;="&amp;MIP[[#This Row],[C.B Sitrack]],'[1]Tempo parado'!B:B,MIP[[#This Row],[Placa]])</f>
        <v>0</v>
      </c>
      <c r="AG504" s="36"/>
      <c r="AH504" s="35"/>
      <c r="AI504" s="34"/>
      <c r="AJ504" s="34"/>
      <c r="AK50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0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04" s="32">
        <f>SUMIFS('[1]Tempo parado'!J:J,'[1]Tempo parado'!H:H,"&gt;="&amp;MIP[[#This Row],[S.B Sitrack]],'[1]Tempo parado'!I:I,"&lt;="&amp;MIP[[#This Row],[C.B Sitrack]],'[1]Tempo parado'!B:B,MIP[[#This Row],[Placa]])</f>
        <v>0</v>
      </c>
      <c r="AN504" s="32" t="str">
        <f>IFERROR(MIP[[#This Row],[Tempo parado]]/(MIP[[#This Row],[C.B Sitrack]]-MIP[[#This Row],[S.B Sitrack]]),"")</f>
        <v/>
      </c>
      <c r="AO504" s="30"/>
      <c r="AP504" s="44">
        <f>IF(AND(MIP[Exc]=0,MIP[Previsto / Realizado]="Realizado"),MIP[Sem],0)</f>
        <v>36</v>
      </c>
      <c r="AQ504" s="29">
        <f>IF(AND(MIP[Exc]=0,MIP[Previsto / Realizado]="Realizado",ISBLANK(MIP[[#This Row],[S.B Sitrack]])=FALSE,ISBLANK(MIP[[#This Row],[C.B Sitrack]])=FALSE),MIP[Sem],0)</f>
        <v>0</v>
      </c>
    </row>
    <row r="505" spans="1:43" s="47" customFormat="1" x14ac:dyDescent="0.25">
      <c r="A505" s="11"/>
      <c r="B505" s="44">
        <f>WEEKNUM(MIP[[#This Row],[Data]])</f>
        <v>36</v>
      </c>
      <c r="C505" s="45">
        <v>42986</v>
      </c>
      <c r="D505" s="45"/>
      <c r="E505" s="35" t="s">
        <v>248</v>
      </c>
      <c r="F505" s="35" t="s">
        <v>5</v>
      </c>
      <c r="G505" s="35"/>
      <c r="H505" s="44">
        <v>2</v>
      </c>
      <c r="I505" s="44">
        <v>0</v>
      </c>
      <c r="J505" s="44">
        <v>0</v>
      </c>
      <c r="K505" s="44">
        <v>0</v>
      </c>
      <c r="L505" s="44">
        <v>0</v>
      </c>
      <c r="M505" s="43">
        <v>0.625</v>
      </c>
      <c r="N505" s="43">
        <v>0.64583333333333337</v>
      </c>
      <c r="O505" s="43">
        <f>1+18/24/60</f>
        <v>1.0125</v>
      </c>
      <c r="P505" s="43">
        <f>1+48/24/60</f>
        <v>1.0333333333333334</v>
      </c>
      <c r="Q505" s="39"/>
      <c r="R505" s="42"/>
      <c r="S505" s="29">
        <f>MIP[[#This Row],[PT-1]]+MIP[[#This Row],[PT-2]]*2+MIP[[#This Row],[PT-3]]*3+MIP[[#This Row],[PT &gt; 3 Pontos]]</f>
        <v>0</v>
      </c>
      <c r="T50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505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505" s="41">
        <f>MIP[[#This Row],[Eficiência]]</f>
        <v>0</v>
      </c>
      <c r="W50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05" s="39">
        <f>IF(MIP[[#This Row],[P.S]]-MIP[[#This Row],[P.E]]&lt;0,1+MIP[[#This Row],[P.S]]-MIP[[#This Row],[P.E]]-1/24,MIP[[#This Row],[P.S]]-MIP[[#This Row],[P.E]]-1/24)</f>
        <v>0.36666666666666675</v>
      </c>
      <c r="Y505" s="39">
        <f>MIP[[#This Row],[PT-1]]*$S$3+MIP[[#This Row],[PT-2]]*$T$3+MIP[[#This Row],[PT-3]]*$U$3+MIP[[#This Row],[PT &gt; 3 Pontos]]*$V$3</f>
        <v>0</v>
      </c>
      <c r="Z505" s="39">
        <f>MIP[[#This Row],[HH disponível]]-MIP[[#This Row],[HH AC TOT]]</f>
        <v>0.3249999999999999</v>
      </c>
      <c r="AA505" s="38">
        <f>MIP[[#This Row],[HH Produtivo
Total]]/MIP[[#This Row],[HH Trabalhado]]</f>
        <v>0</v>
      </c>
      <c r="AB505" s="38">
        <f>MIP[[#This Row],[HH Produtivo
Total]]/MIP[[#This Row],[HH disponível]]</f>
        <v>0</v>
      </c>
      <c r="AC505" s="38">
        <f>MIP[[#This Row],[HH Trabalhado]]/MIP[[#This Row],[HH disponível]]</f>
        <v>0.88636363636363591</v>
      </c>
      <c r="AD505" s="37" t="str">
        <f>LEFT(MIP[[#This Row],[Equipe]], SEARCH("/",MIP[[#This Row],[Equipe]],1)-1)</f>
        <v xml:space="preserve">ANDERSON </v>
      </c>
      <c r="AE505" s="37" t="str">
        <f>RIGHT(MIP[[#This Row],[Equipe]], LEN(MIP[[#This Row],[Equipe]])-SEARCH("/",MIP[[#This Row],[Equipe]],1))</f>
        <v xml:space="preserve"> RONALDO</v>
      </c>
      <c r="AF505" s="44">
        <f>COUNTIFS('[1]Tempo parado'!H:H,"&gt;="&amp;MIP[[#This Row],[S.B Sitrack]],'[1]Tempo parado'!I:I,"&lt;="&amp;MIP[[#This Row],[C.B Sitrack]],'[1]Tempo parado'!B:B,MIP[[#This Row],[Placa]])</f>
        <v>0</v>
      </c>
      <c r="AG505" s="36"/>
      <c r="AH505" s="35"/>
      <c r="AI505" s="34"/>
      <c r="AJ505" s="34"/>
      <c r="AK50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0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05" s="32">
        <f>SUMIFS('[1]Tempo parado'!J:J,'[1]Tempo parado'!H:H,"&gt;="&amp;MIP[[#This Row],[S.B Sitrack]],'[1]Tempo parado'!I:I,"&lt;="&amp;MIP[[#This Row],[C.B Sitrack]],'[1]Tempo parado'!B:B,MIP[[#This Row],[Placa]])</f>
        <v>0</v>
      </c>
      <c r="AN505" s="32" t="str">
        <f>IFERROR(MIP[[#This Row],[Tempo parado]]/(MIP[[#This Row],[C.B Sitrack]]-MIP[[#This Row],[S.B Sitrack]]),"")</f>
        <v/>
      </c>
      <c r="AO505" s="30"/>
      <c r="AP505" s="44">
        <f>IF(AND(MIP[Exc]=0,MIP[Previsto / Realizado]="Realizado"),MIP[Sem],0)</f>
        <v>0</v>
      </c>
      <c r="AQ505" s="29">
        <f>IF(AND(MIP[Exc]=0,MIP[Previsto / Realizado]="Realizado",ISBLANK(MIP[[#This Row],[S.B Sitrack]])=FALSE,ISBLANK(MIP[[#This Row],[C.B Sitrack]])=FALSE),MIP[Sem],0)</f>
        <v>0</v>
      </c>
    </row>
    <row r="506" spans="1:43" s="64" customFormat="1" x14ac:dyDescent="0.25">
      <c r="A506" s="11"/>
      <c r="B506" s="44">
        <f>WEEKNUM(MIP[[#This Row],[Data]])</f>
        <v>36</v>
      </c>
      <c r="C506" s="45">
        <v>42986</v>
      </c>
      <c r="D506" s="45"/>
      <c r="E506" s="35" t="s">
        <v>248</v>
      </c>
      <c r="F506" s="35" t="s">
        <v>2</v>
      </c>
      <c r="G506" s="35"/>
      <c r="H506" s="44">
        <v>2</v>
      </c>
      <c r="I506" s="44">
        <v>9</v>
      </c>
      <c r="J506" s="44">
        <v>0</v>
      </c>
      <c r="K506" s="44">
        <v>0</v>
      </c>
      <c r="L506" s="44">
        <v>0</v>
      </c>
      <c r="M506" s="43">
        <v>0.62986111111111109</v>
      </c>
      <c r="N506" s="43">
        <v>0.66666666666666663</v>
      </c>
      <c r="O506" s="43">
        <f>1+19/24/60</f>
        <v>1.0131944444444445</v>
      </c>
      <c r="P506" s="43">
        <f>1+56/24/60</f>
        <v>1.038888888888889</v>
      </c>
      <c r="Q506" s="39"/>
      <c r="R506" s="42" t="s">
        <v>247</v>
      </c>
      <c r="S506" s="29">
        <f>MIP[[#This Row],[PT-1]]+MIP[[#This Row],[PT-2]]*2+MIP[[#This Row],[PT-3]]*3+MIP[[#This Row],[PT &gt; 3 Pontos]]</f>
        <v>9</v>
      </c>
      <c r="T50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6.25E-2</v>
      </c>
      <c r="U506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6.25E-2</v>
      </c>
      <c r="V506" s="41">
        <f>MIP[[#This Row],[Eficiência]]</f>
        <v>0.73880422402693791</v>
      </c>
      <c r="W50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06" s="39">
        <f>IF(MIP[[#This Row],[P.S]]-MIP[[#This Row],[P.E]]&lt;0,1+MIP[[#This Row],[P.S]]-MIP[[#This Row],[P.E]]-1/24,MIP[[#This Row],[P.S]]-MIP[[#This Row],[P.E]]-1/24)</f>
        <v>0.36736111111111119</v>
      </c>
      <c r="Y506" s="39">
        <f>MIP[[#This Row],[PT-1]]*$S$3+MIP[[#This Row],[PT-2]]*$T$3+MIP[[#This Row],[PT-3]]*$U$3+MIP[[#This Row],[PT &gt; 3 Pontos]]*$V$3</f>
        <v>0.22523267663043461</v>
      </c>
      <c r="Z506" s="39">
        <f>MIP[[#This Row],[HH disponível]]-MIP[[#This Row],[HH AC TOT]]</f>
        <v>0.30486111111111119</v>
      </c>
      <c r="AA506" s="38">
        <f>MIP[[#This Row],[HH Produtivo
Total]]/MIP[[#This Row],[HH Trabalhado]]</f>
        <v>0.73880422402693791</v>
      </c>
      <c r="AB506" s="38">
        <f>MIP[[#This Row],[HH Produtivo
Total]]/MIP[[#This Row],[HH disponível]]</f>
        <v>0.61310974356866876</v>
      </c>
      <c r="AC506" s="38">
        <f>MIP[[#This Row],[HH Trabalhado]]/MIP[[#This Row],[HH disponível]]</f>
        <v>0.8298676748582231</v>
      </c>
      <c r="AD506" s="37" t="str">
        <f>LEFT(MIP[[#This Row],[Equipe]], SEARCH("/",MIP[[#This Row],[Equipe]],1)-1)</f>
        <v xml:space="preserve">ANDERSON </v>
      </c>
      <c r="AE506" s="37" t="str">
        <f>RIGHT(MIP[[#This Row],[Equipe]], LEN(MIP[[#This Row],[Equipe]])-SEARCH("/",MIP[[#This Row],[Equipe]],1))</f>
        <v xml:space="preserve"> RONALDO</v>
      </c>
      <c r="AF506" s="44">
        <f>COUNTIFS('[1]Tempo parado'!H:H,"&gt;="&amp;MIP[[#This Row],[S.B Sitrack]],'[1]Tempo parado'!I:I,"&lt;="&amp;MIP[[#This Row],[C.B Sitrack]],'[1]Tempo parado'!B:B,MIP[[#This Row],[Placa]])</f>
        <v>0</v>
      </c>
      <c r="AG506" s="36"/>
      <c r="AH506" s="35"/>
      <c r="AI506" s="34"/>
      <c r="AJ506" s="34"/>
      <c r="AK50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0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06" s="32">
        <f>SUMIFS('[1]Tempo parado'!J:J,'[1]Tempo parado'!H:H,"&gt;="&amp;MIP[[#This Row],[S.B Sitrack]],'[1]Tempo parado'!I:I,"&lt;="&amp;MIP[[#This Row],[C.B Sitrack]],'[1]Tempo parado'!B:B,MIP[[#This Row],[Placa]])</f>
        <v>0</v>
      </c>
      <c r="AN506" s="32" t="str">
        <f>IFERROR(MIP[[#This Row],[Tempo parado]]/(MIP[[#This Row],[C.B Sitrack]]-MIP[[#This Row],[S.B Sitrack]]),"")</f>
        <v/>
      </c>
      <c r="AO506" s="30"/>
      <c r="AP506" s="44">
        <f>IF(AND(MIP[Exc]=0,MIP[Previsto / Realizado]="Realizado"),MIP[Sem],0)</f>
        <v>36</v>
      </c>
      <c r="AQ506" s="29">
        <f>IF(AND(MIP[Exc]=0,MIP[Previsto / Realizado]="Realizado",ISBLANK(MIP[[#This Row],[S.B Sitrack]])=FALSE,ISBLANK(MIP[[#This Row],[C.B Sitrack]])=FALSE),MIP[Sem],0)</f>
        <v>0</v>
      </c>
    </row>
    <row r="507" spans="1:43" s="47" customFormat="1" x14ac:dyDescent="0.25">
      <c r="A507" s="11"/>
      <c r="B507" s="44">
        <f>WEEKNUM(MIP[[#This Row],[Data]])</f>
        <v>36</v>
      </c>
      <c r="C507" s="45">
        <v>42986</v>
      </c>
      <c r="D507" s="45"/>
      <c r="E507" s="35" t="s">
        <v>3</v>
      </c>
      <c r="F507" s="35" t="s">
        <v>5</v>
      </c>
      <c r="G507" s="35"/>
      <c r="H507" s="44">
        <v>2</v>
      </c>
      <c r="I507" s="44">
        <v>3</v>
      </c>
      <c r="J507" s="44">
        <v>1</v>
      </c>
      <c r="K507" s="44">
        <v>0</v>
      </c>
      <c r="L507" s="44">
        <v>0</v>
      </c>
      <c r="M507" s="43">
        <v>0.625</v>
      </c>
      <c r="N507" s="43">
        <v>0.64583333333333337</v>
      </c>
      <c r="O507" s="43">
        <f>1+18/24/60</f>
        <v>1.0125</v>
      </c>
      <c r="P507" s="43">
        <f>1+48/24/60</f>
        <v>1.0333333333333334</v>
      </c>
      <c r="Q507" s="39"/>
      <c r="R507" s="42"/>
      <c r="S507" s="29">
        <f>MIP[[#This Row],[PT-1]]+MIP[[#This Row],[PT-2]]*2+MIP[[#This Row],[PT-3]]*3+MIP[[#This Row],[PT &gt; 3 Pontos]]</f>
        <v>5</v>
      </c>
      <c r="T50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507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507" s="41">
        <f>MIP[[#This Row],[Eficiência]]</f>
        <v>0.36611176916883437</v>
      </c>
      <c r="W50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07" s="39">
        <f>IF(MIP[[#This Row],[P.S]]-MIP[[#This Row],[P.E]]&lt;0,1+MIP[[#This Row],[P.S]]-MIP[[#This Row],[P.E]]-1/24,MIP[[#This Row],[P.S]]-MIP[[#This Row],[P.E]]-1/24)</f>
        <v>0.36666666666666675</v>
      </c>
      <c r="Y507" s="39">
        <f>MIP[[#This Row],[PT-1]]*$S$3+MIP[[#This Row],[PT-2]]*$T$3+MIP[[#This Row],[PT-3]]*$U$3+MIP[[#This Row],[PT &gt; 3 Pontos]]*$V$3</f>
        <v>0.11898632497987113</v>
      </c>
      <c r="Z507" s="39">
        <f>MIP[[#This Row],[HH disponível]]-MIP[[#This Row],[HH AC TOT]]</f>
        <v>0.3249999999999999</v>
      </c>
      <c r="AA507" s="38">
        <f>MIP[[#This Row],[HH Produtivo
Total]]/MIP[[#This Row],[HH Trabalhado]]</f>
        <v>0.36611176916883437</v>
      </c>
      <c r="AB507" s="38">
        <f>MIP[[#This Row],[HH Produtivo
Total]]/MIP[[#This Row],[HH disponível]]</f>
        <v>0.3245081590360121</v>
      </c>
      <c r="AC507" s="38">
        <f>MIP[[#This Row],[HH Trabalhado]]/MIP[[#This Row],[HH disponível]]</f>
        <v>0.88636363636363591</v>
      </c>
      <c r="AD507" s="37" t="str">
        <f>LEFT(MIP[[#This Row],[Equipe]], SEARCH("/",MIP[[#This Row],[Equipe]],1)-1)</f>
        <v xml:space="preserve">EDILTON </v>
      </c>
      <c r="AE507" s="37" t="str">
        <f>RIGHT(MIP[[#This Row],[Equipe]], LEN(MIP[[#This Row],[Equipe]])-SEARCH("/",MIP[[#This Row],[Equipe]],1))</f>
        <v xml:space="preserve"> GECIVALDO</v>
      </c>
      <c r="AF507" s="44">
        <f>COUNTIFS('[1]Tempo parado'!H:H,"&gt;="&amp;MIP[[#This Row],[S.B Sitrack]],'[1]Tempo parado'!I:I,"&lt;="&amp;MIP[[#This Row],[C.B Sitrack]],'[1]Tempo parado'!B:B,MIP[[#This Row],[Placa]])</f>
        <v>0</v>
      </c>
      <c r="AG507" s="36"/>
      <c r="AH507" s="35"/>
      <c r="AI507" s="34"/>
      <c r="AJ507" s="34"/>
      <c r="AK50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0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07" s="32">
        <f>SUMIFS('[1]Tempo parado'!J:J,'[1]Tempo parado'!H:H,"&gt;="&amp;MIP[[#This Row],[S.B Sitrack]],'[1]Tempo parado'!I:I,"&lt;="&amp;MIP[[#This Row],[C.B Sitrack]],'[1]Tempo parado'!B:B,MIP[[#This Row],[Placa]])</f>
        <v>0</v>
      </c>
      <c r="AN507" s="32" t="str">
        <f>IFERROR(MIP[[#This Row],[Tempo parado]]/(MIP[[#This Row],[C.B Sitrack]]-MIP[[#This Row],[S.B Sitrack]]),"")</f>
        <v/>
      </c>
      <c r="AO507" s="30"/>
      <c r="AP507" s="44">
        <f>IF(AND(MIP[Exc]=0,MIP[Previsto / Realizado]="Realizado"),MIP[Sem],0)</f>
        <v>0</v>
      </c>
      <c r="AQ507" s="29">
        <f>IF(AND(MIP[Exc]=0,MIP[Previsto / Realizado]="Realizado",ISBLANK(MIP[[#This Row],[S.B Sitrack]])=FALSE,ISBLANK(MIP[[#This Row],[C.B Sitrack]])=FALSE),MIP[Sem],0)</f>
        <v>0</v>
      </c>
    </row>
    <row r="508" spans="1:43" s="64" customFormat="1" x14ac:dyDescent="0.25">
      <c r="A508" s="11"/>
      <c r="B508" s="44">
        <f>WEEKNUM(MIP[[#This Row],[Data]])</f>
        <v>36</v>
      </c>
      <c r="C508" s="45">
        <v>42986</v>
      </c>
      <c r="D508" s="45"/>
      <c r="E508" s="35" t="s">
        <v>3</v>
      </c>
      <c r="F508" s="35" t="s">
        <v>2</v>
      </c>
      <c r="G508" s="35"/>
      <c r="H508" s="44">
        <v>2</v>
      </c>
      <c r="I508" s="44">
        <v>12</v>
      </c>
      <c r="J508" s="44">
        <v>1</v>
      </c>
      <c r="K508" s="44">
        <v>0</v>
      </c>
      <c r="L508" s="44">
        <v>0</v>
      </c>
      <c r="M508" s="43">
        <v>0.61527777777777781</v>
      </c>
      <c r="N508" s="43">
        <v>0.66666666666666663</v>
      </c>
      <c r="O508" s="43">
        <v>0.99375000000000002</v>
      </c>
      <c r="P508" s="43">
        <f>1+51/24/60</f>
        <v>1.0354166666666667</v>
      </c>
      <c r="Q508" s="39"/>
      <c r="R508" s="42" t="s">
        <v>246</v>
      </c>
      <c r="S508" s="29">
        <f>MIP[[#This Row],[PT-1]]+MIP[[#This Row],[PT-2]]*2+MIP[[#This Row],[PT-3]]*3+MIP[[#This Row],[PT &gt; 3 Pontos]]</f>
        <v>14</v>
      </c>
      <c r="T50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9.3055555555555447E-2</v>
      </c>
      <c r="U508" s="39">
        <f>IF(MIP[[#This Row],[P.S]]-MIP[[#This Row],[U.P]]&gt;=0,MIP[[#This Row],[P.S]]-MIP[[#This Row],[U.P]]+MIP[[#This Row],[S.B]]-MIP[[#This Row],[P.E]],1+MIP[[#This Row],[P.S]]-MIP[[#This Row],[U.P]]+MIP[[#This Row],[S.B]]-MIP[[#This Row],[P.E]])</f>
        <v>9.3055555555555447E-2</v>
      </c>
      <c r="V508" s="41">
        <f>MIP[[#This Row],[Eficiência]]</f>
        <v>1.2060227793645748</v>
      </c>
      <c r="W50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08" s="39">
        <f>IF(MIP[[#This Row],[P.S]]-MIP[[#This Row],[P.E]]&lt;0,1+MIP[[#This Row],[P.S]]-MIP[[#This Row],[P.E]]-1/24,MIP[[#This Row],[P.S]]-MIP[[#This Row],[P.E]]-1/24)</f>
        <v>0.37847222222222215</v>
      </c>
      <c r="Y508" s="39">
        <f>MIP[[#This Row],[PT-1]]*$S$3+MIP[[#This Row],[PT-2]]*$T$3+MIP[[#This Row],[PT-3]]*$U$3+MIP[[#This Row],[PT &gt; 3 Pontos]]*$V$3</f>
        <v>0.34421900161030577</v>
      </c>
      <c r="Z508" s="39">
        <f>MIP[[#This Row],[HH disponível]]-MIP[[#This Row],[HH AC TOT]]</f>
        <v>0.28541666666666671</v>
      </c>
      <c r="AA508" s="38">
        <f>MIP[[#This Row],[HH Produtivo
Total]]/MIP[[#This Row],[HH Trabalhado]]</f>
        <v>1.2060227793645748</v>
      </c>
      <c r="AB508" s="38">
        <f>MIP[[#This Row],[HH Produtivo
Total]]/MIP[[#This Row],[HH disponível]]</f>
        <v>0.90949607764924845</v>
      </c>
      <c r="AC508" s="38">
        <f>MIP[[#This Row],[HH Trabalhado]]/MIP[[#This Row],[HH disponível]]</f>
        <v>0.75412844036697269</v>
      </c>
      <c r="AD508" s="37" t="str">
        <f>LEFT(MIP[[#This Row],[Equipe]], SEARCH("/",MIP[[#This Row],[Equipe]],1)-1)</f>
        <v xml:space="preserve">EDILTON </v>
      </c>
      <c r="AE508" s="37" t="str">
        <f>RIGHT(MIP[[#This Row],[Equipe]], LEN(MIP[[#This Row],[Equipe]])-SEARCH("/",MIP[[#This Row],[Equipe]],1))</f>
        <v xml:space="preserve"> GECIVALDO</v>
      </c>
      <c r="AF508" s="44">
        <f>COUNTIFS('[1]Tempo parado'!H:H,"&gt;="&amp;MIP[[#This Row],[S.B Sitrack]],'[1]Tempo parado'!I:I,"&lt;="&amp;MIP[[#This Row],[C.B Sitrack]],'[1]Tempo parado'!B:B,MIP[[#This Row],[Placa]])</f>
        <v>0</v>
      </c>
      <c r="AG508" s="36"/>
      <c r="AH508" s="35"/>
      <c r="AI508" s="34"/>
      <c r="AJ508" s="34"/>
      <c r="AK50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0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08" s="32">
        <f>SUMIFS('[1]Tempo parado'!J:J,'[1]Tempo parado'!H:H,"&gt;="&amp;MIP[[#This Row],[S.B Sitrack]],'[1]Tempo parado'!I:I,"&lt;="&amp;MIP[[#This Row],[C.B Sitrack]],'[1]Tempo parado'!B:B,MIP[[#This Row],[Placa]])</f>
        <v>0</v>
      </c>
      <c r="AN508" s="32" t="str">
        <f>IFERROR(MIP[[#This Row],[Tempo parado]]/(MIP[[#This Row],[C.B Sitrack]]-MIP[[#This Row],[S.B Sitrack]]),"")</f>
        <v/>
      </c>
      <c r="AO508" s="30"/>
      <c r="AP508" s="44">
        <f>IF(AND(MIP[Exc]=0,MIP[Previsto / Realizado]="Realizado"),MIP[Sem],0)</f>
        <v>36</v>
      </c>
      <c r="AQ508" s="29">
        <f>IF(AND(MIP[Exc]=0,MIP[Previsto / Realizado]="Realizado",ISBLANK(MIP[[#This Row],[S.B Sitrack]])=FALSE,ISBLANK(MIP[[#This Row],[C.B Sitrack]])=FALSE),MIP[Sem],0)</f>
        <v>0</v>
      </c>
    </row>
    <row r="509" spans="1:43" s="47" customFormat="1" x14ac:dyDescent="0.25">
      <c r="A509" s="11"/>
      <c r="B509" s="44">
        <f>WEEKNUM(MIP[[#This Row],[Data]])</f>
        <v>36</v>
      </c>
      <c r="C509" s="45">
        <v>42987</v>
      </c>
      <c r="D509" s="45"/>
      <c r="E509" s="35" t="s">
        <v>244</v>
      </c>
      <c r="F509" s="35" t="s">
        <v>5</v>
      </c>
      <c r="G509" s="35"/>
      <c r="H509" s="44">
        <v>2</v>
      </c>
      <c r="I509" s="44">
        <v>2</v>
      </c>
      <c r="J509" s="44">
        <v>0</v>
      </c>
      <c r="K509" s="44">
        <v>0</v>
      </c>
      <c r="L509" s="44">
        <v>0</v>
      </c>
      <c r="M509" s="43">
        <v>0.625</v>
      </c>
      <c r="N509" s="43">
        <v>0.64583333333333337</v>
      </c>
      <c r="O509" s="43">
        <f>1+18/24/60</f>
        <v>1.0125</v>
      </c>
      <c r="P509" s="43">
        <f>1+48/24/60</f>
        <v>1.0333333333333334</v>
      </c>
      <c r="Q509" s="39"/>
      <c r="R509" s="42" t="s">
        <v>245</v>
      </c>
      <c r="S509" s="29">
        <f>MIP[[#This Row],[PT-1]]+MIP[[#This Row],[PT-2]]*2+MIP[[#This Row],[PT-3]]*3+MIP[[#This Row],[PT &gt; 3 Pontos]]</f>
        <v>2</v>
      </c>
      <c r="T50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509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509" s="41">
        <f>MIP[[#This Row],[Eficiência]]</f>
        <v>0.15400524897807499</v>
      </c>
      <c r="W50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09" s="39">
        <f>IF(MIP[[#This Row],[P.S]]-MIP[[#This Row],[P.E]]&lt;0,1+MIP[[#This Row],[P.S]]-MIP[[#This Row],[P.E]]-1/24,MIP[[#This Row],[P.S]]-MIP[[#This Row],[P.E]]-1/24)</f>
        <v>0.36666666666666675</v>
      </c>
      <c r="Y509" s="39">
        <f>MIP[[#This Row],[PT-1]]*$S$3+MIP[[#This Row],[PT-2]]*$T$3+MIP[[#This Row],[PT-3]]*$U$3+MIP[[#This Row],[PT &gt; 3 Pontos]]*$V$3</f>
        <v>5.0051705917874362E-2</v>
      </c>
      <c r="Z509" s="39">
        <f>MIP[[#This Row],[HH disponível]]-MIP[[#This Row],[HH AC TOT]]</f>
        <v>0.3249999999999999</v>
      </c>
      <c r="AA509" s="38">
        <f>MIP[[#This Row],[HH Produtivo
Total]]/MIP[[#This Row],[HH Trabalhado]]</f>
        <v>0.15400524897807499</v>
      </c>
      <c r="AB509" s="38">
        <f>MIP[[#This Row],[HH Produtivo
Total]]/MIP[[#This Row],[HH disponível]]</f>
        <v>0.13650465250329369</v>
      </c>
      <c r="AC509" s="38">
        <f>MIP[[#This Row],[HH Trabalhado]]/MIP[[#This Row],[HH disponível]]</f>
        <v>0.88636363636363591</v>
      </c>
      <c r="AD509" s="37" t="str">
        <f>LEFT(MIP[[#This Row],[Equipe]], SEARCH("/",MIP[[#This Row],[Equipe]],1)-1)</f>
        <v xml:space="preserve">EDILTON </v>
      </c>
      <c r="AE509" s="37" t="str">
        <f>RIGHT(MIP[[#This Row],[Equipe]], LEN(MIP[[#This Row],[Equipe]])-SEARCH("/",MIP[[#This Row],[Equipe]],1))</f>
        <v xml:space="preserve"> MARCO</v>
      </c>
      <c r="AF509" s="44">
        <f>COUNTIFS('[1]Tempo parado'!H:H,"&gt;="&amp;MIP[[#This Row],[S.B Sitrack]],'[1]Tempo parado'!I:I,"&lt;="&amp;MIP[[#This Row],[C.B Sitrack]],'[1]Tempo parado'!B:B,MIP[[#This Row],[Placa]])</f>
        <v>0</v>
      </c>
      <c r="AG509" s="36"/>
      <c r="AH509" s="35"/>
      <c r="AI509" s="34"/>
      <c r="AJ509" s="34"/>
      <c r="AK50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0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09" s="32">
        <f>SUMIFS('[1]Tempo parado'!J:J,'[1]Tempo parado'!H:H,"&gt;="&amp;MIP[[#This Row],[S.B Sitrack]],'[1]Tempo parado'!I:I,"&lt;="&amp;MIP[[#This Row],[C.B Sitrack]],'[1]Tempo parado'!B:B,MIP[[#This Row],[Placa]])</f>
        <v>0</v>
      </c>
      <c r="AN509" s="32" t="str">
        <f>IFERROR(MIP[[#This Row],[Tempo parado]]/(MIP[[#This Row],[C.B Sitrack]]-MIP[[#This Row],[S.B Sitrack]]),"")</f>
        <v/>
      </c>
      <c r="AO509" s="30"/>
      <c r="AP509" s="44">
        <f>IF(AND(MIP[Exc]=0,MIP[Previsto / Realizado]="Realizado"),MIP[Sem],0)</f>
        <v>0</v>
      </c>
      <c r="AQ509" s="29">
        <f>IF(AND(MIP[Exc]=0,MIP[Previsto / Realizado]="Realizado",ISBLANK(MIP[[#This Row],[S.B Sitrack]])=FALSE,ISBLANK(MIP[[#This Row],[C.B Sitrack]])=FALSE),MIP[Sem],0)</f>
        <v>0</v>
      </c>
    </row>
    <row r="510" spans="1:43" s="64" customFormat="1" x14ac:dyDescent="0.25">
      <c r="A510" s="11"/>
      <c r="B510" s="44">
        <f>WEEKNUM(MIP[[#This Row],[Data]])</f>
        <v>36</v>
      </c>
      <c r="C510" s="45">
        <v>42987</v>
      </c>
      <c r="D510" s="45"/>
      <c r="E510" s="35" t="s">
        <v>244</v>
      </c>
      <c r="F510" s="35" t="s">
        <v>2</v>
      </c>
      <c r="G510" s="35"/>
      <c r="H510" s="44">
        <v>2</v>
      </c>
      <c r="I510" s="44">
        <v>1</v>
      </c>
      <c r="J510" s="44">
        <v>0</v>
      </c>
      <c r="K510" s="44">
        <v>4</v>
      </c>
      <c r="L510" s="44">
        <v>0</v>
      </c>
      <c r="M510" s="43">
        <v>0.625</v>
      </c>
      <c r="N510" s="43">
        <v>0.67013888888888884</v>
      </c>
      <c r="O510" s="43">
        <f>1+15/24/60</f>
        <v>1.0104166666666667</v>
      </c>
      <c r="P510" s="43">
        <f>1+48/24/60</f>
        <v>1.0333333333333334</v>
      </c>
      <c r="Q510" s="39"/>
      <c r="R510" s="42" t="s">
        <v>11</v>
      </c>
      <c r="S510" s="29">
        <f>MIP[[#This Row],[PT-1]]+MIP[[#This Row],[PT-2]]*2+MIP[[#This Row],[PT-3]]*3+MIP[[#This Row],[PT &gt; 3 Pontos]]</f>
        <v>13</v>
      </c>
      <c r="T51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6.8055555555555536E-2</v>
      </c>
      <c r="U510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6.8055555555555536E-2</v>
      </c>
      <c r="V510" s="41">
        <f>MIP[[#This Row],[Eficiência]]</f>
        <v>0.92492395517357584</v>
      </c>
      <c r="W51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10" s="39">
        <f>IF(MIP[[#This Row],[P.S]]-MIP[[#This Row],[P.E]]&lt;0,1+MIP[[#This Row],[P.S]]-MIP[[#This Row],[P.E]]-1/24,MIP[[#This Row],[P.S]]-MIP[[#This Row],[P.E]]-1/24)</f>
        <v>0.36666666666666675</v>
      </c>
      <c r="Y510" s="39">
        <f>MIP[[#This Row],[PT-1]]*$S$3+MIP[[#This Row],[PT-2]]*$T$3+MIP[[#This Row],[PT-3]]*$U$3+MIP[[#This Row],[PT &gt; 3 Pontos]]*$V$3</f>
        <v>0.27619256994766511</v>
      </c>
      <c r="Z510" s="39">
        <f>MIP[[#This Row],[HH disponível]]-MIP[[#This Row],[HH AC TOT]]</f>
        <v>0.29861111111111122</v>
      </c>
      <c r="AA510" s="38">
        <f>MIP[[#This Row],[HH Produtivo
Total]]/MIP[[#This Row],[HH Trabalhado]]</f>
        <v>0.92492395517357584</v>
      </c>
      <c r="AB510" s="38">
        <f>MIP[[#This Row],[HH Produtivo
Total]]/MIP[[#This Row],[HH disponível]]</f>
        <v>0.75325246349363195</v>
      </c>
      <c r="AC510" s="38">
        <f>MIP[[#This Row],[HH Trabalhado]]/MIP[[#This Row],[HH disponível]]</f>
        <v>0.81439393939393945</v>
      </c>
      <c r="AD510" s="37" t="str">
        <f>LEFT(MIP[[#This Row],[Equipe]], SEARCH("/",MIP[[#This Row],[Equipe]],1)-1)</f>
        <v xml:space="preserve">EDILTON </v>
      </c>
      <c r="AE510" s="37" t="str">
        <f>RIGHT(MIP[[#This Row],[Equipe]], LEN(MIP[[#This Row],[Equipe]])-SEARCH("/",MIP[[#This Row],[Equipe]],1))</f>
        <v xml:space="preserve"> MARCO</v>
      </c>
      <c r="AF510" s="44">
        <f>COUNTIFS('[1]Tempo parado'!H:H,"&gt;="&amp;MIP[[#This Row],[S.B Sitrack]],'[1]Tempo parado'!I:I,"&lt;="&amp;MIP[[#This Row],[C.B Sitrack]],'[1]Tempo parado'!B:B,MIP[[#This Row],[Placa]])</f>
        <v>0</v>
      </c>
      <c r="AG510" s="36"/>
      <c r="AH510" s="35"/>
      <c r="AI510" s="34"/>
      <c r="AJ510" s="34"/>
      <c r="AK51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1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10" s="32">
        <f>SUMIFS('[1]Tempo parado'!J:J,'[1]Tempo parado'!H:H,"&gt;="&amp;MIP[[#This Row],[S.B Sitrack]],'[1]Tempo parado'!I:I,"&lt;="&amp;MIP[[#This Row],[C.B Sitrack]],'[1]Tempo parado'!B:B,MIP[[#This Row],[Placa]])</f>
        <v>0</v>
      </c>
      <c r="AN510" s="32" t="str">
        <f>IFERROR(MIP[[#This Row],[Tempo parado]]/(MIP[[#This Row],[C.B Sitrack]]-MIP[[#This Row],[S.B Sitrack]]),"")</f>
        <v/>
      </c>
      <c r="AO510" s="30"/>
      <c r="AP510" s="44">
        <f>IF(AND(MIP[Exc]=0,MIP[Previsto / Realizado]="Realizado"),MIP[Sem],0)</f>
        <v>36</v>
      </c>
      <c r="AQ510" s="29">
        <f>IF(AND(MIP[Exc]=0,MIP[Previsto / Realizado]="Realizado",ISBLANK(MIP[[#This Row],[S.B Sitrack]])=FALSE,ISBLANK(MIP[[#This Row],[C.B Sitrack]])=FALSE),MIP[Sem],0)</f>
        <v>0</v>
      </c>
    </row>
    <row r="511" spans="1:43" s="47" customFormat="1" x14ac:dyDescent="0.25">
      <c r="A511" s="11"/>
      <c r="B511" s="44">
        <f>WEEKNUM(MIP[[#This Row],[Data]])</f>
        <v>36</v>
      </c>
      <c r="C511" s="45">
        <v>42987</v>
      </c>
      <c r="D511" s="45"/>
      <c r="E511" s="35" t="s">
        <v>136</v>
      </c>
      <c r="F511" s="35" t="s">
        <v>5</v>
      </c>
      <c r="G511" s="35"/>
      <c r="H511" s="44">
        <v>2</v>
      </c>
      <c r="I511" s="44">
        <v>0</v>
      </c>
      <c r="J511" s="44">
        <v>0</v>
      </c>
      <c r="K511" s="44">
        <v>1</v>
      </c>
      <c r="L511" s="44">
        <v>0</v>
      </c>
      <c r="M511" s="43">
        <v>0.625</v>
      </c>
      <c r="N511" s="43">
        <v>0.64583333333333337</v>
      </c>
      <c r="O511" s="43">
        <f>1+18/24/60</f>
        <v>1.0125</v>
      </c>
      <c r="P511" s="43">
        <f>1+48/24/60</f>
        <v>1.0333333333333334</v>
      </c>
      <c r="Q511" s="39"/>
      <c r="R511" s="42" t="s">
        <v>243</v>
      </c>
      <c r="S511" s="29">
        <f>MIP[[#This Row],[PT-1]]+MIP[[#This Row],[PT-2]]*2+MIP[[#This Row],[PT-3]]*3+MIP[[#This Row],[PT &gt; 3 Pontos]]</f>
        <v>3</v>
      </c>
      <c r="T51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511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511" s="41">
        <f>MIP[[#This Row],[Eficiência]]</f>
        <v>0.19320516691440617</v>
      </c>
      <c r="W51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11" s="39">
        <f>IF(MIP[[#This Row],[P.S]]-MIP[[#This Row],[P.E]]&lt;0,1+MIP[[#This Row],[P.S]]-MIP[[#This Row],[P.E]]-1/24,MIP[[#This Row],[P.S]]-MIP[[#This Row],[P.E]]-1/24)</f>
        <v>0.36666666666666675</v>
      </c>
      <c r="Y511" s="39">
        <f>MIP[[#This Row],[PT-1]]*$S$3+MIP[[#This Row],[PT-2]]*$T$3+MIP[[#This Row],[PT-3]]*$U$3+MIP[[#This Row],[PT &gt; 3 Pontos]]*$V$3</f>
        <v>6.2791679247181986E-2</v>
      </c>
      <c r="Z511" s="39">
        <f>MIP[[#This Row],[HH disponível]]-MIP[[#This Row],[HH AC TOT]]</f>
        <v>0.3249999999999999</v>
      </c>
      <c r="AA511" s="38">
        <f>MIP[[#This Row],[HH Produtivo
Total]]/MIP[[#This Row],[HH Trabalhado]]</f>
        <v>0.19320516691440617</v>
      </c>
      <c r="AB511" s="38">
        <f>MIP[[#This Row],[HH Produtivo
Total]]/MIP[[#This Row],[HH disponível]]</f>
        <v>0.17125003431049629</v>
      </c>
      <c r="AC511" s="38">
        <f>MIP[[#This Row],[HH Trabalhado]]/MIP[[#This Row],[HH disponível]]</f>
        <v>0.88636363636363591</v>
      </c>
      <c r="AD511" s="37" t="str">
        <f>LEFT(MIP[[#This Row],[Equipe]], SEARCH("/",MIP[[#This Row],[Equipe]],1)-1)</f>
        <v xml:space="preserve">GECIVALDO </v>
      </c>
      <c r="AE511" s="37" t="str">
        <f>RIGHT(MIP[[#This Row],[Equipe]], LEN(MIP[[#This Row],[Equipe]])-SEARCH("/",MIP[[#This Row],[Equipe]],1))</f>
        <v xml:space="preserve"> RONALDO</v>
      </c>
      <c r="AF511" s="44">
        <f>COUNTIFS('[1]Tempo parado'!H:H,"&gt;="&amp;MIP[[#This Row],[S.B Sitrack]],'[1]Tempo parado'!I:I,"&lt;="&amp;MIP[[#This Row],[C.B Sitrack]],'[1]Tempo parado'!B:B,MIP[[#This Row],[Placa]])</f>
        <v>0</v>
      </c>
      <c r="AG511" s="36"/>
      <c r="AH511" s="35"/>
      <c r="AI511" s="34"/>
      <c r="AJ511" s="34"/>
      <c r="AK51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1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11" s="32">
        <f>SUMIFS('[1]Tempo parado'!J:J,'[1]Tempo parado'!H:H,"&gt;="&amp;MIP[[#This Row],[S.B Sitrack]],'[1]Tempo parado'!I:I,"&lt;="&amp;MIP[[#This Row],[C.B Sitrack]],'[1]Tempo parado'!B:B,MIP[[#This Row],[Placa]])</f>
        <v>0</v>
      </c>
      <c r="AN511" s="32" t="str">
        <f>IFERROR(MIP[[#This Row],[Tempo parado]]/(MIP[[#This Row],[C.B Sitrack]]-MIP[[#This Row],[S.B Sitrack]]),"")</f>
        <v/>
      </c>
      <c r="AO511" s="30"/>
      <c r="AP511" s="44">
        <f>IF(AND(MIP[Exc]=0,MIP[Previsto / Realizado]="Realizado"),MIP[Sem],0)</f>
        <v>0</v>
      </c>
      <c r="AQ511" s="29">
        <f>IF(AND(MIP[Exc]=0,MIP[Previsto / Realizado]="Realizado",ISBLANK(MIP[[#This Row],[S.B Sitrack]])=FALSE,ISBLANK(MIP[[#This Row],[C.B Sitrack]])=FALSE),MIP[Sem],0)</f>
        <v>0</v>
      </c>
    </row>
    <row r="512" spans="1:43" s="64" customFormat="1" x14ac:dyDescent="0.25">
      <c r="A512" s="11"/>
      <c r="B512" s="44">
        <f>WEEKNUM(MIP[[#This Row],[Data]])</f>
        <v>36</v>
      </c>
      <c r="C512" s="45">
        <v>42987</v>
      </c>
      <c r="D512" s="45"/>
      <c r="E512" s="35" t="s">
        <v>136</v>
      </c>
      <c r="F512" s="35" t="s">
        <v>2</v>
      </c>
      <c r="G512" s="35"/>
      <c r="H512" s="44">
        <v>2</v>
      </c>
      <c r="I512" s="44">
        <v>3</v>
      </c>
      <c r="J512" s="44">
        <v>1</v>
      </c>
      <c r="K512" s="44">
        <v>1</v>
      </c>
      <c r="L512" s="44">
        <v>4</v>
      </c>
      <c r="M512" s="43">
        <v>0.62777777777777777</v>
      </c>
      <c r="N512" s="43">
        <v>0.66666666666666663</v>
      </c>
      <c r="O512" s="43">
        <f>1+22/24/60</f>
        <v>1.0152777777777777</v>
      </c>
      <c r="P512" s="43">
        <f>1+44/24/60</f>
        <v>1.0305555555555554</v>
      </c>
      <c r="Q512" s="39">
        <v>6.3888888888888884E-2</v>
      </c>
      <c r="R512" s="42" t="s">
        <v>242</v>
      </c>
      <c r="S512" s="29">
        <f>MIP[[#This Row],[PT-1]]+MIP[[#This Row],[PT-2]]*2+MIP[[#This Row],[PT-3]]*3+MIP[[#This Row],[PT &gt; 3 Pontos]]</f>
        <v>12</v>
      </c>
      <c r="T51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0.11805555555555547</v>
      </c>
      <c r="U512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5.4166666666666585E-2</v>
      </c>
      <c r="V512" s="41">
        <f>MIP[[#This Row],[Eficiência]]</f>
        <v>1.0811110536001842</v>
      </c>
      <c r="W51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12" s="39">
        <f>IF(MIP[[#This Row],[P.S]]-MIP[[#This Row],[P.E]]&lt;0,1+MIP[[#This Row],[P.S]]-MIP[[#This Row],[P.E]]-1/24,MIP[[#This Row],[P.S]]-MIP[[#This Row],[P.E]]-1/24)</f>
        <v>0.36111111111111099</v>
      </c>
      <c r="Y512" s="39">
        <f>MIP[[#This Row],[PT-1]]*$S$3+MIP[[#This Row],[PT-2]]*$T$3+MIP[[#This Row],[PT-3]]*$U$3+MIP[[#This Row],[PT &gt; 3 Pontos]]*$V$3</f>
        <v>0.26277004775004476</v>
      </c>
      <c r="Z512" s="39">
        <f>MIP[[#This Row],[HH disponível]]-MIP[[#This Row],[HH AC TOT]]</f>
        <v>0.24305555555555552</v>
      </c>
      <c r="AA512" s="38">
        <f>MIP[[#This Row],[HH Produtivo
Total]]/MIP[[#This Row],[HH Trabalhado]]</f>
        <v>1.0811110536001842</v>
      </c>
      <c r="AB512" s="38">
        <f>MIP[[#This Row],[HH Produtivo
Total]]/MIP[[#This Row],[HH disponível]]</f>
        <v>0.72767090146166269</v>
      </c>
      <c r="AC512" s="38">
        <f>MIP[[#This Row],[HH Trabalhado]]/MIP[[#This Row],[HH disponível]]</f>
        <v>0.67307692307692324</v>
      </c>
      <c r="AD512" s="37" t="str">
        <f>LEFT(MIP[[#This Row],[Equipe]], SEARCH("/",MIP[[#This Row],[Equipe]],1)-1)</f>
        <v xml:space="preserve">GECIVALDO </v>
      </c>
      <c r="AE512" s="37" t="str">
        <f>RIGHT(MIP[[#This Row],[Equipe]], LEN(MIP[[#This Row],[Equipe]])-SEARCH("/",MIP[[#This Row],[Equipe]],1))</f>
        <v xml:space="preserve"> RONALDO</v>
      </c>
      <c r="AF512" s="44">
        <f>COUNTIFS('[1]Tempo parado'!H:H,"&gt;="&amp;MIP[[#This Row],[S.B Sitrack]],'[1]Tempo parado'!I:I,"&lt;="&amp;MIP[[#This Row],[C.B Sitrack]],'[1]Tempo parado'!B:B,MIP[[#This Row],[Placa]])</f>
        <v>0</v>
      </c>
      <c r="AG512" s="36"/>
      <c r="AH512" s="35"/>
      <c r="AI512" s="34"/>
      <c r="AJ512" s="34"/>
      <c r="AK51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1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12" s="32">
        <f>SUMIFS('[1]Tempo parado'!J:J,'[1]Tempo parado'!H:H,"&gt;="&amp;MIP[[#This Row],[S.B Sitrack]],'[1]Tempo parado'!I:I,"&lt;="&amp;MIP[[#This Row],[C.B Sitrack]],'[1]Tempo parado'!B:B,MIP[[#This Row],[Placa]])</f>
        <v>0</v>
      </c>
      <c r="AN512" s="32" t="str">
        <f>IFERROR(MIP[[#This Row],[Tempo parado]]/(MIP[[#This Row],[C.B Sitrack]]-MIP[[#This Row],[S.B Sitrack]]),"")</f>
        <v/>
      </c>
      <c r="AO512" s="30"/>
      <c r="AP512" s="44">
        <f>IF(AND(MIP[Exc]=0,MIP[Previsto / Realizado]="Realizado"),MIP[Sem],0)</f>
        <v>36</v>
      </c>
      <c r="AQ512" s="29">
        <f>IF(AND(MIP[Exc]=0,MIP[Previsto / Realizado]="Realizado",ISBLANK(MIP[[#This Row],[S.B Sitrack]])=FALSE,ISBLANK(MIP[[#This Row],[C.B Sitrack]])=FALSE),MIP[Sem],0)</f>
        <v>0</v>
      </c>
    </row>
    <row r="513" spans="1:43" s="47" customFormat="1" x14ac:dyDescent="0.25">
      <c r="A513" s="11"/>
      <c r="B513" s="44">
        <f>WEEKNUM(MIP[[#This Row],[Data]])</f>
        <v>37</v>
      </c>
      <c r="C513" s="45">
        <v>42988</v>
      </c>
      <c r="D513" s="45"/>
      <c r="E513" s="35" t="s">
        <v>3</v>
      </c>
      <c r="F513" s="35" t="s">
        <v>5</v>
      </c>
      <c r="G513" s="35"/>
      <c r="H513" s="44">
        <v>2</v>
      </c>
      <c r="I513" s="44">
        <v>0</v>
      </c>
      <c r="J513" s="44">
        <v>0</v>
      </c>
      <c r="K513" s="44">
        <v>0</v>
      </c>
      <c r="L513" s="44">
        <v>0</v>
      </c>
      <c r="M513" s="43">
        <v>0.625</v>
      </c>
      <c r="N513" s="43">
        <v>0.64583333333333337</v>
      </c>
      <c r="O513" s="43">
        <f>1+18/24/60</f>
        <v>1.0125</v>
      </c>
      <c r="P513" s="43">
        <f>1+48/24/60</f>
        <v>1.0333333333333334</v>
      </c>
      <c r="Q513" s="39"/>
      <c r="R513" s="42" t="s">
        <v>201</v>
      </c>
      <c r="S513" s="29">
        <f>MIP[[#This Row],[PT-1]]+MIP[[#This Row],[PT-2]]*2+MIP[[#This Row],[PT-3]]*3+MIP[[#This Row],[PT &gt; 3 Pontos]]</f>
        <v>0</v>
      </c>
      <c r="T51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513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513" s="41">
        <f>MIP[[#This Row],[Eficiência]]</f>
        <v>0</v>
      </c>
      <c r="W51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13" s="39">
        <f>IF(MIP[[#This Row],[P.S]]-MIP[[#This Row],[P.E]]&lt;0,1+MIP[[#This Row],[P.S]]-MIP[[#This Row],[P.E]]-1/24,MIP[[#This Row],[P.S]]-MIP[[#This Row],[P.E]]-1/24)</f>
        <v>0.36666666666666675</v>
      </c>
      <c r="Y513" s="39">
        <f>MIP[[#This Row],[PT-1]]*$S$3+MIP[[#This Row],[PT-2]]*$T$3+MIP[[#This Row],[PT-3]]*$U$3+MIP[[#This Row],[PT &gt; 3 Pontos]]*$V$3</f>
        <v>0</v>
      </c>
      <c r="Z513" s="39">
        <f>MIP[[#This Row],[HH disponível]]-MIP[[#This Row],[HH AC TOT]]</f>
        <v>0.3249999999999999</v>
      </c>
      <c r="AA513" s="38">
        <f>MIP[[#This Row],[HH Produtivo
Total]]/MIP[[#This Row],[HH Trabalhado]]</f>
        <v>0</v>
      </c>
      <c r="AB513" s="38">
        <f>MIP[[#This Row],[HH Produtivo
Total]]/MIP[[#This Row],[HH disponível]]</f>
        <v>0</v>
      </c>
      <c r="AC513" s="38">
        <f>MIP[[#This Row],[HH Trabalhado]]/MIP[[#This Row],[HH disponível]]</f>
        <v>0.88636363636363591</v>
      </c>
      <c r="AD513" s="37" t="str">
        <f>LEFT(MIP[[#This Row],[Equipe]], SEARCH("/",MIP[[#This Row],[Equipe]],1)-1)</f>
        <v xml:space="preserve">EDILTON </v>
      </c>
      <c r="AE513" s="37" t="str">
        <f>RIGHT(MIP[[#This Row],[Equipe]], LEN(MIP[[#This Row],[Equipe]])-SEARCH("/",MIP[[#This Row],[Equipe]],1))</f>
        <v xml:space="preserve"> GECIVALDO</v>
      </c>
      <c r="AF513" s="44">
        <f>COUNTIFS('[1]Tempo parado'!H:H,"&gt;="&amp;MIP[[#This Row],[S.B Sitrack]],'[1]Tempo parado'!I:I,"&lt;="&amp;MIP[[#This Row],[C.B Sitrack]],'[1]Tempo parado'!B:B,MIP[[#This Row],[Placa]])</f>
        <v>0</v>
      </c>
      <c r="AG513" s="36"/>
      <c r="AH513" s="35"/>
      <c r="AI513" s="34"/>
      <c r="AJ513" s="34"/>
      <c r="AK51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1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13" s="32">
        <f>SUMIFS('[1]Tempo parado'!J:J,'[1]Tempo parado'!H:H,"&gt;="&amp;MIP[[#This Row],[S.B Sitrack]],'[1]Tempo parado'!I:I,"&lt;="&amp;MIP[[#This Row],[C.B Sitrack]],'[1]Tempo parado'!B:B,MIP[[#This Row],[Placa]])</f>
        <v>0</v>
      </c>
      <c r="AN513" s="32" t="str">
        <f>IFERROR(MIP[[#This Row],[Tempo parado]]/(MIP[[#This Row],[C.B Sitrack]]-MIP[[#This Row],[S.B Sitrack]]),"")</f>
        <v/>
      </c>
      <c r="AO513" s="30"/>
      <c r="AP513" s="44">
        <f>IF(AND(MIP[Exc]=0,MIP[Previsto / Realizado]="Realizado"),MIP[Sem],0)</f>
        <v>0</v>
      </c>
      <c r="AQ513" s="29">
        <f>IF(AND(MIP[Exc]=0,MIP[Previsto / Realizado]="Realizado",ISBLANK(MIP[[#This Row],[S.B Sitrack]])=FALSE,ISBLANK(MIP[[#This Row],[C.B Sitrack]])=FALSE),MIP[Sem],0)</f>
        <v>0</v>
      </c>
    </row>
    <row r="514" spans="1:43" s="64" customFormat="1" x14ac:dyDescent="0.25">
      <c r="A514" s="11"/>
      <c r="B514" s="44">
        <f>WEEKNUM(MIP[[#This Row],[Data]])</f>
        <v>37</v>
      </c>
      <c r="C514" s="45">
        <v>42988</v>
      </c>
      <c r="D514" s="45"/>
      <c r="E514" s="35" t="s">
        <v>3</v>
      </c>
      <c r="F514" s="35" t="s">
        <v>2</v>
      </c>
      <c r="G514" s="35"/>
      <c r="H514" s="44">
        <v>2</v>
      </c>
      <c r="I514" s="44">
        <v>2</v>
      </c>
      <c r="J514" s="44">
        <v>4</v>
      </c>
      <c r="K514" s="44">
        <v>1</v>
      </c>
      <c r="L514" s="44">
        <v>0</v>
      </c>
      <c r="M514" s="43">
        <v>0.61736111111111114</v>
      </c>
      <c r="N514" s="43">
        <v>0.64583333333333337</v>
      </c>
      <c r="O514" s="43">
        <f>1+42/24/60</f>
        <v>1.0291666666666666</v>
      </c>
      <c r="P514" s="43">
        <f>1+48/24/60</f>
        <v>1.0333333333333334</v>
      </c>
      <c r="Q514" s="39"/>
      <c r="R514" s="42" t="s">
        <v>144</v>
      </c>
      <c r="S514" s="29">
        <f>MIP[[#This Row],[PT-1]]+MIP[[#This Row],[PT-2]]*2+MIP[[#This Row],[PT-3]]*3+MIP[[#This Row],[PT &gt; 3 Pontos]]</f>
        <v>13</v>
      </c>
      <c r="T51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3.2638888888889106E-2</v>
      </c>
      <c r="U514" s="39">
        <f>IF(MIP[[#This Row],[P.S]]-MIP[[#This Row],[U.P]]&gt;=0,MIP[[#This Row],[P.S]]-MIP[[#This Row],[U.P]]+MIP[[#This Row],[S.B]]-MIP[[#This Row],[P.E]],1+MIP[[#This Row],[P.S]]-MIP[[#This Row],[U.P]]+MIP[[#This Row],[S.B]]-MIP[[#This Row],[P.E]])</f>
        <v>3.2638888888889106E-2</v>
      </c>
      <c r="V514" s="41">
        <f>MIP[[#This Row],[Eficiência]]</f>
        <v>0.84432716949452147</v>
      </c>
      <c r="W51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14" s="39">
        <f>IF(MIP[[#This Row],[P.S]]-MIP[[#This Row],[P.E]]&lt;0,1+MIP[[#This Row],[P.S]]-MIP[[#This Row],[P.E]]-1/24,MIP[[#This Row],[P.S]]-MIP[[#This Row],[P.E]]-1/24)</f>
        <v>0.37430555555555561</v>
      </c>
      <c r="Y514" s="39">
        <f>MIP[[#This Row],[PT-1]]*$S$3+MIP[[#This Row],[PT-2]]*$T$3+MIP[[#This Row],[PT-3]]*$U$3+MIP[[#This Row],[PT &gt; 3 Pontos]]*$V$3</f>
        <v>0.28847844957729468</v>
      </c>
      <c r="Z514" s="39">
        <f>MIP[[#This Row],[HH disponível]]-MIP[[#This Row],[HH AC TOT]]</f>
        <v>0.34166666666666651</v>
      </c>
      <c r="AA514" s="38">
        <f>MIP[[#This Row],[HH Produtivo
Total]]/MIP[[#This Row],[HH Trabalhado]]</f>
        <v>0.84432716949452147</v>
      </c>
      <c r="AB514" s="38">
        <f>MIP[[#This Row],[HH Produtivo
Total]]/MIP[[#This Row],[HH disponível]]</f>
        <v>0.77070309349036048</v>
      </c>
      <c r="AC514" s="38">
        <f>MIP[[#This Row],[HH Trabalhado]]/MIP[[#This Row],[HH disponível]]</f>
        <v>0.91280148423005514</v>
      </c>
      <c r="AD514" s="37" t="str">
        <f>LEFT(MIP[[#This Row],[Equipe]], SEARCH("/",MIP[[#This Row],[Equipe]],1)-1)</f>
        <v xml:space="preserve">EDILTON </v>
      </c>
      <c r="AE514" s="37" t="str">
        <f>RIGHT(MIP[[#This Row],[Equipe]], LEN(MIP[[#This Row],[Equipe]])-SEARCH("/",MIP[[#This Row],[Equipe]],1))</f>
        <v xml:space="preserve"> GECIVALDO</v>
      </c>
      <c r="AF514" s="44">
        <f>COUNTIFS('[1]Tempo parado'!H:H,"&gt;="&amp;MIP[[#This Row],[S.B Sitrack]],'[1]Tempo parado'!I:I,"&lt;="&amp;MIP[[#This Row],[C.B Sitrack]],'[1]Tempo parado'!B:B,MIP[[#This Row],[Placa]])</f>
        <v>0</v>
      </c>
      <c r="AG514" s="36"/>
      <c r="AH514" s="35"/>
      <c r="AI514" s="34"/>
      <c r="AJ514" s="34"/>
      <c r="AK51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1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14" s="32">
        <f>SUMIFS('[1]Tempo parado'!J:J,'[1]Tempo parado'!H:H,"&gt;="&amp;MIP[[#This Row],[S.B Sitrack]],'[1]Tempo parado'!I:I,"&lt;="&amp;MIP[[#This Row],[C.B Sitrack]],'[1]Tempo parado'!B:B,MIP[[#This Row],[Placa]])</f>
        <v>0</v>
      </c>
      <c r="AN514" s="32" t="str">
        <f>IFERROR(MIP[[#This Row],[Tempo parado]]/(MIP[[#This Row],[C.B Sitrack]]-MIP[[#This Row],[S.B Sitrack]]),"")</f>
        <v/>
      </c>
      <c r="AO514" s="30"/>
      <c r="AP514" s="44">
        <f>IF(AND(MIP[Exc]=0,MIP[Previsto / Realizado]="Realizado"),MIP[Sem],0)</f>
        <v>37</v>
      </c>
      <c r="AQ514" s="29">
        <f>IF(AND(MIP[Exc]=0,MIP[Previsto / Realizado]="Realizado",ISBLANK(MIP[[#This Row],[S.B Sitrack]])=FALSE,ISBLANK(MIP[[#This Row],[C.B Sitrack]])=FALSE),MIP[Sem],0)</f>
        <v>0</v>
      </c>
    </row>
    <row r="515" spans="1:43" s="47" customFormat="1" x14ac:dyDescent="0.25">
      <c r="A515" s="11"/>
      <c r="B515" s="44">
        <f>WEEKNUM(MIP[[#This Row],[Data]])</f>
        <v>37</v>
      </c>
      <c r="C515" s="45">
        <v>42988</v>
      </c>
      <c r="D515" s="45"/>
      <c r="E515" s="35" t="s">
        <v>7</v>
      </c>
      <c r="F515" s="35" t="s">
        <v>5</v>
      </c>
      <c r="G515" s="35"/>
      <c r="H515" s="44">
        <v>2</v>
      </c>
      <c r="I515" s="44">
        <v>0</v>
      </c>
      <c r="J515" s="44">
        <v>0</v>
      </c>
      <c r="K515" s="44">
        <v>0</v>
      </c>
      <c r="L515" s="44">
        <v>0</v>
      </c>
      <c r="M515" s="43">
        <v>0.625</v>
      </c>
      <c r="N515" s="43">
        <v>0.64583333333333337</v>
      </c>
      <c r="O515" s="43">
        <f>1+18/24/60</f>
        <v>1.0125</v>
      </c>
      <c r="P515" s="43">
        <f>1+48/24/60</f>
        <v>1.0333333333333334</v>
      </c>
      <c r="Q515" s="39"/>
      <c r="R515" s="42" t="s">
        <v>201</v>
      </c>
      <c r="S515" s="29">
        <f>MIP[[#This Row],[PT-1]]+MIP[[#This Row],[PT-2]]*2+MIP[[#This Row],[PT-3]]*3+MIP[[#This Row],[PT &gt; 3 Pontos]]</f>
        <v>0</v>
      </c>
      <c r="T51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515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515" s="41">
        <f>MIP[[#This Row],[Eficiência]]</f>
        <v>0</v>
      </c>
      <c r="W51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15" s="39">
        <f>IF(MIP[[#This Row],[P.S]]-MIP[[#This Row],[P.E]]&lt;0,1+MIP[[#This Row],[P.S]]-MIP[[#This Row],[P.E]]-1/24,MIP[[#This Row],[P.S]]-MIP[[#This Row],[P.E]]-1/24)</f>
        <v>0.36666666666666675</v>
      </c>
      <c r="Y515" s="39">
        <f>MIP[[#This Row],[PT-1]]*$S$3+MIP[[#This Row],[PT-2]]*$T$3+MIP[[#This Row],[PT-3]]*$U$3+MIP[[#This Row],[PT &gt; 3 Pontos]]*$V$3</f>
        <v>0</v>
      </c>
      <c r="Z515" s="39">
        <f>MIP[[#This Row],[HH disponível]]-MIP[[#This Row],[HH AC TOT]]</f>
        <v>0.3249999999999999</v>
      </c>
      <c r="AA515" s="38">
        <f>MIP[[#This Row],[HH Produtivo
Total]]/MIP[[#This Row],[HH Trabalhado]]</f>
        <v>0</v>
      </c>
      <c r="AB515" s="38">
        <f>MIP[[#This Row],[HH Produtivo
Total]]/MIP[[#This Row],[HH disponível]]</f>
        <v>0</v>
      </c>
      <c r="AC515" s="38">
        <f>MIP[[#This Row],[HH Trabalhado]]/MIP[[#This Row],[HH disponível]]</f>
        <v>0.88636363636363591</v>
      </c>
      <c r="AD515" s="37" t="str">
        <f>LEFT(MIP[[#This Row],[Equipe]], SEARCH("/",MIP[[#This Row],[Equipe]],1)-1)</f>
        <v xml:space="preserve">ANDERSON </v>
      </c>
      <c r="AE515" s="37" t="str">
        <f>RIGHT(MIP[[#This Row],[Equipe]], LEN(MIP[[#This Row],[Equipe]])-SEARCH("/",MIP[[#This Row],[Equipe]],1))</f>
        <v xml:space="preserve"> MARCO</v>
      </c>
      <c r="AF515" s="44">
        <f>COUNTIFS('[1]Tempo parado'!H:H,"&gt;="&amp;MIP[[#This Row],[S.B Sitrack]],'[1]Tempo parado'!I:I,"&lt;="&amp;MIP[[#This Row],[C.B Sitrack]],'[1]Tempo parado'!B:B,MIP[[#This Row],[Placa]])</f>
        <v>0</v>
      </c>
      <c r="AG515" s="36"/>
      <c r="AH515" s="35"/>
      <c r="AI515" s="34"/>
      <c r="AJ515" s="34"/>
      <c r="AK51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1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15" s="32">
        <f>SUMIFS('[1]Tempo parado'!J:J,'[1]Tempo parado'!H:H,"&gt;="&amp;MIP[[#This Row],[S.B Sitrack]],'[1]Tempo parado'!I:I,"&lt;="&amp;MIP[[#This Row],[C.B Sitrack]],'[1]Tempo parado'!B:B,MIP[[#This Row],[Placa]])</f>
        <v>0</v>
      </c>
      <c r="AN515" s="32" t="str">
        <f>IFERROR(MIP[[#This Row],[Tempo parado]]/(MIP[[#This Row],[C.B Sitrack]]-MIP[[#This Row],[S.B Sitrack]]),"")</f>
        <v/>
      </c>
      <c r="AO515" s="30"/>
      <c r="AP515" s="44">
        <f>IF(AND(MIP[Exc]=0,MIP[Previsto / Realizado]="Realizado"),MIP[Sem],0)</f>
        <v>0</v>
      </c>
      <c r="AQ515" s="29">
        <f>IF(AND(MIP[Exc]=0,MIP[Previsto / Realizado]="Realizado",ISBLANK(MIP[[#This Row],[S.B Sitrack]])=FALSE,ISBLANK(MIP[[#This Row],[C.B Sitrack]])=FALSE),MIP[Sem],0)</f>
        <v>0</v>
      </c>
    </row>
    <row r="516" spans="1:43" s="64" customFormat="1" x14ac:dyDescent="0.25">
      <c r="A516" s="11"/>
      <c r="B516" s="44">
        <f>WEEKNUM(MIP[[#This Row],[Data]])</f>
        <v>37</v>
      </c>
      <c r="C516" s="45">
        <v>42988</v>
      </c>
      <c r="D516" s="45"/>
      <c r="E516" s="35" t="s">
        <v>7</v>
      </c>
      <c r="F516" s="35" t="s">
        <v>2</v>
      </c>
      <c r="G516" s="35"/>
      <c r="H516" s="44">
        <v>2</v>
      </c>
      <c r="I516" s="44">
        <v>5</v>
      </c>
      <c r="J516" s="44">
        <v>3</v>
      </c>
      <c r="K516" s="44">
        <v>0</v>
      </c>
      <c r="L516" s="44">
        <v>5</v>
      </c>
      <c r="M516" s="43">
        <v>0.62847222222222221</v>
      </c>
      <c r="N516" s="43">
        <v>0.63888888888888895</v>
      </c>
      <c r="O516" s="43">
        <f>1+30/24/60</f>
        <v>1.0208333333333333</v>
      </c>
      <c r="P516" s="43">
        <f>1+48/24/60</f>
        <v>1.0333333333333334</v>
      </c>
      <c r="Q516" s="39"/>
      <c r="R516" s="42" t="s">
        <v>186</v>
      </c>
      <c r="S516" s="29">
        <f>MIP[[#This Row],[PT-1]]+MIP[[#This Row],[PT-2]]*2+MIP[[#This Row],[PT-3]]*3+MIP[[#This Row],[PT &gt; 3 Pontos]]</f>
        <v>16</v>
      </c>
      <c r="T51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2.2916666666666918E-2</v>
      </c>
      <c r="U516" s="39">
        <f>IF(MIP[[#This Row],[P.S]]-MIP[[#This Row],[U.P]]&gt;=0,MIP[[#This Row],[P.S]]-MIP[[#This Row],[U.P]]+MIP[[#This Row],[S.B]]-MIP[[#This Row],[P.E]],1+MIP[[#This Row],[P.S]]-MIP[[#This Row],[U.P]]+MIP[[#This Row],[S.B]]-MIP[[#This Row],[P.E]])</f>
        <v>2.2916666666666918E-2</v>
      </c>
      <c r="V516" s="41">
        <f>MIP[[#This Row],[Eficiência]]</f>
        <v>1.0523626310427556</v>
      </c>
      <c r="W51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16" s="39">
        <f>IF(MIP[[#This Row],[P.S]]-MIP[[#This Row],[P.E]]&lt;0,1+MIP[[#This Row],[P.S]]-MIP[[#This Row],[P.E]]-1/24,MIP[[#This Row],[P.S]]-MIP[[#This Row],[P.E]]-1/24)</f>
        <v>0.36319444444444454</v>
      </c>
      <c r="Y516" s="39">
        <f>MIP[[#This Row],[PT-1]]*$S$3+MIP[[#This Row],[PT-2]]*$T$3+MIP[[#This Row],[PT-3]]*$U$3+MIP[[#This Row],[PT &gt; 3 Pontos]]*$V$3</f>
        <v>0.35809561750760421</v>
      </c>
      <c r="Z516" s="39">
        <f>MIP[[#This Row],[HH disponível]]-MIP[[#This Row],[HH AC TOT]]</f>
        <v>0.34027777777777762</v>
      </c>
      <c r="AA516" s="38">
        <f>MIP[[#This Row],[HH Produtivo
Total]]/MIP[[#This Row],[HH Trabalhado]]</f>
        <v>1.0523626310427556</v>
      </c>
      <c r="AB516" s="38">
        <f>MIP[[#This Row],[HH Produtivo
Total]]/MIP[[#This Row],[HH disponível]]</f>
        <v>0.98596116483929241</v>
      </c>
      <c r="AC516" s="38">
        <f>MIP[[#This Row],[HH Trabalhado]]/MIP[[#This Row],[HH disponível]]</f>
        <v>0.93690248565965517</v>
      </c>
      <c r="AD516" s="37" t="str">
        <f>LEFT(MIP[[#This Row],[Equipe]], SEARCH("/",MIP[[#This Row],[Equipe]],1)-1)</f>
        <v xml:space="preserve">ANDERSON </v>
      </c>
      <c r="AE516" s="37" t="str">
        <f>RIGHT(MIP[[#This Row],[Equipe]], LEN(MIP[[#This Row],[Equipe]])-SEARCH("/",MIP[[#This Row],[Equipe]],1))</f>
        <v xml:space="preserve"> MARCO</v>
      </c>
      <c r="AF516" s="44">
        <f>COUNTIFS('[1]Tempo parado'!H:H,"&gt;="&amp;MIP[[#This Row],[S.B Sitrack]],'[1]Tempo parado'!I:I,"&lt;="&amp;MIP[[#This Row],[C.B Sitrack]],'[1]Tempo parado'!B:B,MIP[[#This Row],[Placa]])</f>
        <v>0</v>
      </c>
      <c r="AG516" s="36"/>
      <c r="AH516" s="35"/>
      <c r="AI516" s="34"/>
      <c r="AJ516" s="34"/>
      <c r="AK51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1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16" s="32">
        <f>SUMIFS('[1]Tempo parado'!J:J,'[1]Tempo parado'!H:H,"&gt;="&amp;MIP[[#This Row],[S.B Sitrack]],'[1]Tempo parado'!I:I,"&lt;="&amp;MIP[[#This Row],[C.B Sitrack]],'[1]Tempo parado'!B:B,MIP[[#This Row],[Placa]])</f>
        <v>0</v>
      </c>
      <c r="AN516" s="32" t="str">
        <f>IFERROR(MIP[[#This Row],[Tempo parado]]/(MIP[[#This Row],[C.B Sitrack]]-MIP[[#This Row],[S.B Sitrack]]),"")</f>
        <v/>
      </c>
      <c r="AO516" s="30"/>
      <c r="AP516" s="44">
        <f>IF(AND(MIP[Exc]=0,MIP[Previsto / Realizado]="Realizado"),MIP[Sem],0)</f>
        <v>37</v>
      </c>
      <c r="AQ516" s="29">
        <f>IF(AND(MIP[Exc]=0,MIP[Previsto / Realizado]="Realizado",ISBLANK(MIP[[#This Row],[S.B Sitrack]])=FALSE,ISBLANK(MIP[[#This Row],[C.B Sitrack]])=FALSE),MIP[Sem],0)</f>
        <v>0</v>
      </c>
    </row>
    <row r="517" spans="1:43" s="47" customFormat="1" x14ac:dyDescent="0.25">
      <c r="A517" s="11"/>
      <c r="B517" s="44">
        <f>WEEKNUM(MIP[[#This Row],[Data]])</f>
        <v>37</v>
      </c>
      <c r="C517" s="45">
        <v>42989</v>
      </c>
      <c r="D517" s="45"/>
      <c r="E517" s="35" t="s">
        <v>7</v>
      </c>
      <c r="F517" s="35" t="s">
        <v>5</v>
      </c>
      <c r="G517" s="35"/>
      <c r="H517" s="44">
        <v>2</v>
      </c>
      <c r="I517" s="44">
        <v>2</v>
      </c>
      <c r="J517" s="44">
        <v>3</v>
      </c>
      <c r="K517" s="44">
        <v>2</v>
      </c>
      <c r="L517" s="44">
        <v>0</v>
      </c>
      <c r="M517" s="43">
        <v>0.625</v>
      </c>
      <c r="N517" s="43">
        <v>0.64583333333333337</v>
      </c>
      <c r="O517" s="43">
        <f>1+18/24/60</f>
        <v>1.0125</v>
      </c>
      <c r="P517" s="43">
        <f>1+48/24/60</f>
        <v>1.0333333333333334</v>
      </c>
      <c r="Q517" s="39"/>
      <c r="R517" s="42"/>
      <c r="S517" s="29">
        <f>MIP[[#This Row],[PT-1]]+MIP[[#This Row],[PT-2]]*2+MIP[[#This Row],[PT-3]]*3+MIP[[#This Row],[PT &gt; 3 Pontos]]</f>
        <v>14</v>
      </c>
      <c r="T51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517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517" s="41">
        <f>MIP[[#This Row],[Eficiência]]</f>
        <v>0.94572726991205291</v>
      </c>
      <c r="W51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17" s="39">
        <f>IF(MIP[[#This Row],[P.S]]-MIP[[#This Row],[P.E]]&lt;0,1+MIP[[#This Row],[P.S]]-MIP[[#This Row],[P.E]]-1/24,MIP[[#This Row],[P.S]]-MIP[[#This Row],[P.E]]-1/24)</f>
        <v>0.36666666666666675</v>
      </c>
      <c r="Y517" s="39">
        <f>MIP[[#This Row],[PT-1]]*$S$3+MIP[[#This Row],[PT-2]]*$T$3+MIP[[#This Row],[PT-3]]*$U$3+MIP[[#This Row],[PT &gt; 3 Pontos]]*$V$3</f>
        <v>0.30736136272141712</v>
      </c>
      <c r="Z517" s="39">
        <f>MIP[[#This Row],[HH disponível]]-MIP[[#This Row],[HH AC TOT]]</f>
        <v>0.3249999999999999</v>
      </c>
      <c r="AA517" s="38">
        <f>MIP[[#This Row],[HH Produtivo
Total]]/MIP[[#This Row],[HH Trabalhado]]</f>
        <v>0.94572726991205291</v>
      </c>
      <c r="AB517" s="38">
        <f>MIP[[#This Row],[HH Produtivo
Total]]/MIP[[#This Row],[HH disponível]]</f>
        <v>0.83825826196750108</v>
      </c>
      <c r="AC517" s="38">
        <f>MIP[[#This Row],[HH Trabalhado]]/MIP[[#This Row],[HH disponível]]</f>
        <v>0.88636363636363591</v>
      </c>
      <c r="AD517" s="37" t="str">
        <f>LEFT(MIP[[#This Row],[Equipe]], SEARCH("/",MIP[[#This Row],[Equipe]],1)-1)</f>
        <v xml:space="preserve">ANDERSON </v>
      </c>
      <c r="AE517" s="37" t="str">
        <f>RIGHT(MIP[[#This Row],[Equipe]], LEN(MIP[[#This Row],[Equipe]])-SEARCH("/",MIP[[#This Row],[Equipe]],1))</f>
        <v xml:space="preserve"> MARCO</v>
      </c>
      <c r="AF517" s="44">
        <f>COUNTIFS('[1]Tempo parado'!H:H,"&gt;="&amp;MIP[[#This Row],[S.B Sitrack]],'[1]Tempo parado'!I:I,"&lt;="&amp;MIP[[#This Row],[C.B Sitrack]],'[1]Tempo parado'!B:B,MIP[[#This Row],[Placa]])</f>
        <v>0</v>
      </c>
      <c r="AG517" s="36"/>
      <c r="AH517" s="35"/>
      <c r="AI517" s="34"/>
      <c r="AJ517" s="34"/>
      <c r="AK51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1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17" s="32">
        <f>SUMIFS('[1]Tempo parado'!J:J,'[1]Tempo parado'!H:H,"&gt;="&amp;MIP[[#This Row],[S.B Sitrack]],'[1]Tempo parado'!I:I,"&lt;="&amp;MIP[[#This Row],[C.B Sitrack]],'[1]Tempo parado'!B:B,MIP[[#This Row],[Placa]])</f>
        <v>0</v>
      </c>
      <c r="AN517" s="32" t="str">
        <f>IFERROR(MIP[[#This Row],[Tempo parado]]/(MIP[[#This Row],[C.B Sitrack]]-MIP[[#This Row],[S.B Sitrack]]),"")</f>
        <v/>
      </c>
      <c r="AO517" s="30"/>
      <c r="AP517" s="44">
        <f>IF(AND(MIP[Exc]=0,MIP[Previsto / Realizado]="Realizado"),MIP[Sem],0)</f>
        <v>0</v>
      </c>
      <c r="AQ517" s="29">
        <f>IF(AND(MIP[Exc]=0,MIP[Previsto / Realizado]="Realizado",ISBLANK(MIP[[#This Row],[S.B Sitrack]])=FALSE,ISBLANK(MIP[[#This Row],[C.B Sitrack]])=FALSE),MIP[Sem],0)</f>
        <v>0</v>
      </c>
    </row>
    <row r="518" spans="1:43" s="64" customFormat="1" x14ac:dyDescent="0.25">
      <c r="A518" s="11"/>
      <c r="B518" s="44">
        <f>WEEKNUM(MIP[[#This Row],[Data]])</f>
        <v>37</v>
      </c>
      <c r="C518" s="45">
        <v>42989</v>
      </c>
      <c r="D518" s="45"/>
      <c r="E518" s="35" t="s">
        <v>7</v>
      </c>
      <c r="F518" s="35" t="s">
        <v>2</v>
      </c>
      <c r="G518" s="35"/>
      <c r="H518" s="44">
        <v>2</v>
      </c>
      <c r="I518" s="44">
        <v>3</v>
      </c>
      <c r="J518" s="44">
        <v>3</v>
      </c>
      <c r="K518" s="44">
        <v>2</v>
      </c>
      <c r="L518" s="44">
        <v>0</v>
      </c>
      <c r="M518" s="43">
        <v>0.6333333333333333</v>
      </c>
      <c r="N518" s="43">
        <v>0.65972222222222221</v>
      </c>
      <c r="O518" s="43">
        <v>1.0201388888888889</v>
      </c>
      <c r="P518" s="43">
        <v>1.0333333333333334</v>
      </c>
      <c r="Q518" s="39"/>
      <c r="R518" s="42"/>
      <c r="S518" s="29">
        <f>MIP[[#This Row],[PT-1]]+MIP[[#This Row],[PT-2]]*2+MIP[[#This Row],[PT-3]]*3+MIP[[#This Row],[PT &gt; 3 Pontos]]</f>
        <v>15</v>
      </c>
      <c r="T51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3.9583333333333415E-2</v>
      </c>
      <c r="U518" s="39">
        <f>IF(MIP[[#This Row],[P.S]]-MIP[[#This Row],[U.P]]&gt;=0,MIP[[#This Row],[P.S]]-MIP[[#This Row],[U.P]]+MIP[[#This Row],[S.B]]-MIP[[#This Row],[P.E]],1+MIP[[#This Row],[P.S]]-MIP[[#This Row],[U.P]]+MIP[[#This Row],[S.B]]-MIP[[#This Row],[P.E]])</f>
        <v>3.9583333333333415E-2</v>
      </c>
      <c r="V518" s="41">
        <f>MIP[[#This Row],[Eficiência]]</f>
        <v>1.0427834217422878</v>
      </c>
      <c r="W51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18" s="39">
        <f>IF(MIP[[#This Row],[P.S]]-MIP[[#This Row],[P.E]]&lt;0,1+MIP[[#This Row],[P.S]]-MIP[[#This Row],[P.E]]-1/24,MIP[[#This Row],[P.S]]-MIP[[#This Row],[P.E]]-1/24)</f>
        <v>0.35833333333333345</v>
      </c>
      <c r="Y518" s="39">
        <f>MIP[[#This Row],[PT-1]]*$S$3+MIP[[#This Row],[PT-2]]*$T$3+MIP[[#This Row],[PT-3]]*$U$3+MIP[[#This Row],[PT &gt; 3 Pontos]]*$V$3</f>
        <v>0.33238721568035429</v>
      </c>
      <c r="Z518" s="39">
        <f>MIP[[#This Row],[HH disponível]]-MIP[[#This Row],[HH AC TOT]]</f>
        <v>0.31875000000000003</v>
      </c>
      <c r="AA518" s="38">
        <f>MIP[[#This Row],[HH Produtivo
Total]]/MIP[[#This Row],[HH Trabalhado]]</f>
        <v>1.0427834217422878</v>
      </c>
      <c r="AB518" s="38">
        <f>MIP[[#This Row],[HH Produtivo
Total]]/MIP[[#This Row],[HH disponível]]</f>
        <v>0.9275922298056396</v>
      </c>
      <c r="AC518" s="38">
        <f>MIP[[#This Row],[HH Trabalhado]]/MIP[[#This Row],[HH disponível]]</f>
        <v>0.88953488372093004</v>
      </c>
      <c r="AD518" s="37" t="str">
        <f>LEFT(MIP[[#This Row],[Equipe]], SEARCH("/",MIP[[#This Row],[Equipe]],1)-1)</f>
        <v xml:space="preserve">ANDERSON </v>
      </c>
      <c r="AE518" s="37" t="str">
        <f>RIGHT(MIP[[#This Row],[Equipe]], LEN(MIP[[#This Row],[Equipe]])-SEARCH("/",MIP[[#This Row],[Equipe]],1))</f>
        <v xml:space="preserve"> MARCO</v>
      </c>
      <c r="AF518" s="44">
        <f>COUNTIFS('[1]Tempo parado'!H:H,"&gt;="&amp;MIP[[#This Row],[S.B Sitrack]],'[1]Tempo parado'!I:I,"&lt;="&amp;MIP[[#This Row],[C.B Sitrack]],'[1]Tempo parado'!B:B,MIP[[#This Row],[Placa]])</f>
        <v>0</v>
      </c>
      <c r="AG518" s="36"/>
      <c r="AH518" s="35"/>
      <c r="AI518" s="34"/>
      <c r="AJ518" s="34"/>
      <c r="AK51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1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18" s="32">
        <f>SUMIFS('[1]Tempo parado'!J:J,'[1]Tempo parado'!H:H,"&gt;="&amp;MIP[[#This Row],[S.B Sitrack]],'[1]Tempo parado'!I:I,"&lt;="&amp;MIP[[#This Row],[C.B Sitrack]],'[1]Tempo parado'!B:B,MIP[[#This Row],[Placa]])</f>
        <v>0</v>
      </c>
      <c r="AN518" s="32" t="str">
        <f>IFERROR(MIP[[#This Row],[Tempo parado]]/(MIP[[#This Row],[C.B Sitrack]]-MIP[[#This Row],[S.B Sitrack]]),"")</f>
        <v/>
      </c>
      <c r="AO518" s="30"/>
      <c r="AP518" s="44">
        <f>IF(AND(MIP[Exc]=0,MIP[Previsto / Realizado]="Realizado"),MIP[Sem],0)</f>
        <v>37</v>
      </c>
      <c r="AQ518" s="29">
        <f>IF(AND(MIP[Exc]=0,MIP[Previsto / Realizado]="Realizado",ISBLANK(MIP[[#This Row],[S.B Sitrack]])=FALSE,ISBLANK(MIP[[#This Row],[C.B Sitrack]])=FALSE),MIP[Sem],0)</f>
        <v>0</v>
      </c>
    </row>
    <row r="519" spans="1:43" x14ac:dyDescent="0.25">
      <c r="B519" s="44">
        <f>WEEKNUM(MIP[[#This Row],[Data]])</f>
        <v>37</v>
      </c>
      <c r="C519" s="45">
        <v>42990</v>
      </c>
      <c r="D519" s="45"/>
      <c r="E519" s="35" t="s">
        <v>3</v>
      </c>
      <c r="F519" s="35" t="s">
        <v>5</v>
      </c>
      <c r="G519" s="35"/>
      <c r="H519" s="44">
        <v>2</v>
      </c>
      <c r="I519" s="44">
        <v>6</v>
      </c>
      <c r="J519" s="44">
        <v>2</v>
      </c>
      <c r="K519" s="44">
        <v>1</v>
      </c>
      <c r="L519" s="44">
        <v>4</v>
      </c>
      <c r="M519" s="43">
        <v>0.625</v>
      </c>
      <c r="N519" s="43">
        <v>0.64583333333333337</v>
      </c>
      <c r="O519" s="43">
        <f>1+18/24/60</f>
        <v>1.0125</v>
      </c>
      <c r="P519" s="43">
        <f>1+48/24/60</f>
        <v>1.0333333333333334</v>
      </c>
      <c r="Q519" s="39"/>
      <c r="R519" s="42"/>
      <c r="S519" s="29">
        <f>MIP[[#This Row],[PT-1]]+MIP[[#This Row],[PT-2]]*2+MIP[[#This Row],[PT-3]]*3+MIP[[#This Row],[PT &gt; 3 Pontos]]</f>
        <v>17</v>
      </c>
      <c r="T51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519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519" s="41">
        <f>MIP[[#This Row],[Eficiência]]</f>
        <v>1.1746349930151263</v>
      </c>
      <c r="W51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19" s="39">
        <f>IF(MIP[[#This Row],[P.S]]-MIP[[#This Row],[P.E]]&lt;0,1+MIP[[#This Row],[P.S]]-MIP[[#This Row],[P.E]]-1/24,MIP[[#This Row],[P.S]]-MIP[[#This Row],[P.E]]-1/24)</f>
        <v>0.36666666666666675</v>
      </c>
      <c r="Y519" s="39">
        <f>MIP[[#This Row],[PT-1]]*$S$3+MIP[[#This Row],[PT-2]]*$T$3+MIP[[#This Row],[PT-3]]*$U$3+MIP[[#This Row],[PT &gt; 3 Pontos]]*$V$3</f>
        <v>0.38175637272991592</v>
      </c>
      <c r="Z519" s="39">
        <f>MIP[[#This Row],[HH disponível]]-MIP[[#This Row],[HH AC TOT]]</f>
        <v>0.3249999999999999</v>
      </c>
      <c r="AA519" s="38">
        <f>MIP[[#This Row],[HH Produtivo
Total]]/MIP[[#This Row],[HH Trabalhado]]</f>
        <v>1.1746349930151263</v>
      </c>
      <c r="AB519" s="38">
        <f>MIP[[#This Row],[HH Produtivo
Total]]/MIP[[#This Row],[HH disponível]]</f>
        <v>1.0411537438088614</v>
      </c>
      <c r="AC519" s="38">
        <f>MIP[[#This Row],[HH Trabalhado]]/MIP[[#This Row],[HH disponível]]</f>
        <v>0.88636363636363591</v>
      </c>
      <c r="AD519" s="37" t="str">
        <f>LEFT(MIP[[#This Row],[Equipe]], SEARCH("/",MIP[[#This Row],[Equipe]],1)-1)</f>
        <v xml:space="preserve">EDILTON </v>
      </c>
      <c r="AE519" s="37" t="str">
        <f>RIGHT(MIP[[#This Row],[Equipe]], LEN(MIP[[#This Row],[Equipe]])-SEARCH("/",MIP[[#This Row],[Equipe]],1))</f>
        <v xml:space="preserve"> GECIVALDO</v>
      </c>
      <c r="AF519" s="44">
        <f>COUNTIFS('[1]Tempo parado'!H:H,"&gt;="&amp;MIP[[#This Row],[S.B Sitrack]],'[1]Tempo parado'!I:I,"&lt;="&amp;MIP[[#This Row],[C.B Sitrack]],'[1]Tempo parado'!B:B,MIP[[#This Row],[Placa]])</f>
        <v>0</v>
      </c>
      <c r="AG519" s="36"/>
      <c r="AH519" s="35"/>
      <c r="AI519" s="34"/>
      <c r="AJ519" s="34"/>
      <c r="AK51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1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19" s="32">
        <f>SUMIFS('[1]Tempo parado'!J:J,'[1]Tempo parado'!H:H,"&gt;="&amp;MIP[[#This Row],[S.B Sitrack]],'[1]Tempo parado'!I:I,"&lt;="&amp;MIP[[#This Row],[C.B Sitrack]],'[1]Tempo parado'!B:B,MIP[[#This Row],[Placa]])</f>
        <v>0</v>
      </c>
      <c r="AN519" s="32" t="str">
        <f>IFERROR(MIP[[#This Row],[Tempo parado]]/(MIP[[#This Row],[C.B Sitrack]]-MIP[[#This Row],[S.B Sitrack]]),"")</f>
        <v/>
      </c>
      <c r="AO519" s="30"/>
      <c r="AP519" s="44">
        <f>IF(AND(MIP[Exc]=0,MIP[Previsto / Realizado]="Realizado"),MIP[Sem],0)</f>
        <v>0</v>
      </c>
      <c r="AQ519" s="29">
        <f>IF(AND(MIP[Exc]=0,MIP[Previsto / Realizado]="Realizado",ISBLANK(MIP[[#This Row],[S.B Sitrack]])=FALSE,ISBLANK(MIP[[#This Row],[C.B Sitrack]])=FALSE),MIP[Sem],0)</f>
        <v>0</v>
      </c>
    </row>
    <row r="520" spans="1:43" x14ac:dyDescent="0.25">
      <c r="B520" s="44">
        <f>WEEKNUM(MIP[[#This Row],[Data]])</f>
        <v>37</v>
      </c>
      <c r="C520" s="45">
        <v>42990</v>
      </c>
      <c r="D520" s="45"/>
      <c r="E520" s="35" t="s">
        <v>3</v>
      </c>
      <c r="F520" s="35" t="s">
        <v>2</v>
      </c>
      <c r="G520" s="35"/>
      <c r="H520" s="44">
        <v>2</v>
      </c>
      <c r="I520" s="44">
        <v>5</v>
      </c>
      <c r="J520" s="44">
        <v>2</v>
      </c>
      <c r="K520" s="44">
        <v>1</v>
      </c>
      <c r="L520" s="44">
        <v>4</v>
      </c>
      <c r="M520" s="43">
        <v>0.63055555555555554</v>
      </c>
      <c r="N520" s="43">
        <v>0.65625</v>
      </c>
      <c r="O520" s="43">
        <f>1+35/24/60</f>
        <v>1.0243055555555556</v>
      </c>
      <c r="P520" s="43">
        <f>1+42/24/60</f>
        <v>1.0291666666666666</v>
      </c>
      <c r="Q520" s="39"/>
      <c r="R520" s="42"/>
      <c r="S520" s="29">
        <f>MIP[[#This Row],[PT-1]]+MIP[[#This Row],[PT-2]]*2+MIP[[#This Row],[PT-3]]*3+MIP[[#This Row],[PT &gt; 3 Pontos]]</f>
        <v>16</v>
      </c>
      <c r="T52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3.0555555555555447E-2</v>
      </c>
      <c r="U520" s="39">
        <f>IF(MIP[[#This Row],[P.S]]-MIP[[#This Row],[U.P]]&gt;=0,MIP[[#This Row],[P.S]]-MIP[[#This Row],[U.P]]+MIP[[#This Row],[S.B]]-MIP[[#This Row],[P.E]],1+MIP[[#This Row],[P.S]]-MIP[[#This Row],[U.P]]+MIP[[#This Row],[S.B]]-MIP[[#This Row],[P.E]])</f>
        <v>3.0555555555555447E-2</v>
      </c>
      <c r="V520" s="41">
        <f>MIP[[#This Row],[Eficiência]]</f>
        <v>1.0929615924898071</v>
      </c>
      <c r="W52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20" s="39">
        <f>IF(MIP[[#This Row],[P.S]]-MIP[[#This Row],[P.E]]&lt;0,1+MIP[[#This Row],[P.S]]-MIP[[#This Row],[P.E]]-1/24,MIP[[#This Row],[P.S]]-MIP[[#This Row],[P.E]]-1/24)</f>
        <v>0.35694444444444434</v>
      </c>
      <c r="Y520" s="39">
        <f>MIP[[#This Row],[PT-1]]*$S$3+MIP[[#This Row],[PT-2]]*$T$3+MIP[[#This Row],[PT-3]]*$U$3+MIP[[#This Row],[PT &gt; 3 Pontos]]*$V$3</f>
        <v>0.35673051977097869</v>
      </c>
      <c r="Z520" s="39">
        <f>MIP[[#This Row],[HH disponível]]-MIP[[#This Row],[HH AC TOT]]</f>
        <v>0.3263888888888889</v>
      </c>
      <c r="AA520" s="38">
        <f>MIP[[#This Row],[HH Produtivo
Total]]/MIP[[#This Row],[HH Trabalhado]]</f>
        <v>1.0929615924898071</v>
      </c>
      <c r="AB520" s="38">
        <f>MIP[[#This Row],[HH Produtivo
Total]]/MIP[[#This Row],[HH disponível]]</f>
        <v>0.99940067795760601</v>
      </c>
      <c r="AC520" s="38">
        <f>MIP[[#This Row],[HH Trabalhado]]/MIP[[#This Row],[HH disponível]]</f>
        <v>0.91439688715953338</v>
      </c>
      <c r="AD520" s="37" t="str">
        <f>LEFT(MIP[[#This Row],[Equipe]], SEARCH("/",MIP[[#This Row],[Equipe]],1)-1)</f>
        <v xml:space="preserve">EDILTON </v>
      </c>
      <c r="AE520" s="37" t="str">
        <f>RIGHT(MIP[[#This Row],[Equipe]], LEN(MIP[[#This Row],[Equipe]])-SEARCH("/",MIP[[#This Row],[Equipe]],1))</f>
        <v xml:space="preserve"> GECIVALDO</v>
      </c>
      <c r="AF520" s="44">
        <f>COUNTIFS('[1]Tempo parado'!H:H,"&gt;="&amp;MIP[[#This Row],[S.B Sitrack]],'[1]Tempo parado'!I:I,"&lt;="&amp;MIP[[#This Row],[C.B Sitrack]],'[1]Tempo parado'!B:B,MIP[[#This Row],[Placa]])</f>
        <v>0</v>
      </c>
      <c r="AG520" s="36"/>
      <c r="AH520" s="35"/>
      <c r="AI520" s="34"/>
      <c r="AJ520" s="34"/>
      <c r="AK52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2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20" s="32">
        <f>SUMIFS('[1]Tempo parado'!J:J,'[1]Tempo parado'!H:H,"&gt;="&amp;MIP[[#This Row],[S.B Sitrack]],'[1]Tempo parado'!I:I,"&lt;="&amp;MIP[[#This Row],[C.B Sitrack]],'[1]Tempo parado'!B:B,MIP[[#This Row],[Placa]])</f>
        <v>0</v>
      </c>
      <c r="AN520" s="32" t="str">
        <f>IFERROR(MIP[[#This Row],[Tempo parado]]/(MIP[[#This Row],[C.B Sitrack]]-MIP[[#This Row],[S.B Sitrack]]),"")</f>
        <v/>
      </c>
      <c r="AO520" s="30"/>
      <c r="AP520" s="44">
        <f>IF(AND(MIP[Exc]=0,MIP[Previsto / Realizado]="Realizado"),MIP[Sem],0)</f>
        <v>37</v>
      </c>
      <c r="AQ520" s="29">
        <f>IF(AND(MIP[Exc]=0,MIP[Previsto / Realizado]="Realizado",ISBLANK(MIP[[#This Row],[S.B Sitrack]])=FALSE,ISBLANK(MIP[[#This Row],[C.B Sitrack]])=FALSE),MIP[Sem],0)</f>
        <v>0</v>
      </c>
    </row>
    <row r="521" spans="1:43" x14ac:dyDescent="0.25">
      <c r="B521" s="44">
        <f>WEEKNUM(MIP[[#This Row],[Data]])</f>
        <v>37</v>
      </c>
      <c r="C521" s="45">
        <v>42990</v>
      </c>
      <c r="D521" s="45"/>
      <c r="E521" s="35" t="s">
        <v>19</v>
      </c>
      <c r="F521" s="35" t="s">
        <v>5</v>
      </c>
      <c r="G521" s="35"/>
      <c r="H521" s="44">
        <v>2</v>
      </c>
      <c r="I521" s="44">
        <v>5</v>
      </c>
      <c r="J521" s="44">
        <v>1</v>
      </c>
      <c r="K521" s="44">
        <v>1</v>
      </c>
      <c r="L521" s="44">
        <v>0</v>
      </c>
      <c r="M521" s="43">
        <v>0.625</v>
      </c>
      <c r="N521" s="43">
        <v>0.64583333333333337</v>
      </c>
      <c r="O521" s="43">
        <f>1+18/24/60</f>
        <v>1.0125</v>
      </c>
      <c r="P521" s="43">
        <f>1+48/24/60</f>
        <v>1.0333333333333334</v>
      </c>
      <c r="Q521" s="39"/>
      <c r="R521" s="42" t="s">
        <v>241</v>
      </c>
      <c r="S521" s="29">
        <f>MIP[[#This Row],[PT-1]]+MIP[[#This Row],[PT-2]]*2+MIP[[#This Row],[PT-3]]*3+MIP[[#This Row],[PT &gt; 3 Pontos]]</f>
        <v>10</v>
      </c>
      <c r="T52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521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521" s="41">
        <f>MIP[[#This Row],[Eficiência]]</f>
        <v>0.71332218506131551</v>
      </c>
      <c r="W52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21" s="39">
        <f>IF(MIP[[#This Row],[P.S]]-MIP[[#This Row],[P.E]]&lt;0,1+MIP[[#This Row],[P.S]]-MIP[[#This Row],[P.E]]-1/24,MIP[[#This Row],[P.S]]-MIP[[#This Row],[P.E]]-1/24)</f>
        <v>0.36666666666666675</v>
      </c>
      <c r="Y521" s="39">
        <f>MIP[[#This Row],[PT-1]]*$S$3+MIP[[#This Row],[PT-2]]*$T$3+MIP[[#This Row],[PT-3]]*$U$3+MIP[[#This Row],[PT &gt; 3 Pontos]]*$V$3</f>
        <v>0.23182971014492745</v>
      </c>
      <c r="Z521" s="39">
        <f>MIP[[#This Row],[HH disponível]]-MIP[[#This Row],[HH AC TOT]]</f>
        <v>0.3249999999999999</v>
      </c>
      <c r="AA521" s="38">
        <f>MIP[[#This Row],[HH Produtivo
Total]]/MIP[[#This Row],[HH Trabalhado]]</f>
        <v>0.71332218506131551</v>
      </c>
      <c r="AB521" s="38">
        <f>MIP[[#This Row],[HH Produtivo
Total]]/MIP[[#This Row],[HH disponível]]</f>
        <v>0.63226284584980197</v>
      </c>
      <c r="AC521" s="38">
        <f>MIP[[#This Row],[HH Trabalhado]]/MIP[[#This Row],[HH disponível]]</f>
        <v>0.88636363636363591</v>
      </c>
      <c r="AD521" s="37" t="str">
        <f>LEFT(MIP[[#This Row],[Equipe]], SEARCH("/",MIP[[#This Row],[Equipe]],1)-1)</f>
        <v xml:space="preserve">ADEMÁRIO </v>
      </c>
      <c r="AE521" s="37" t="str">
        <f>RIGHT(MIP[[#This Row],[Equipe]], LEN(MIP[[#This Row],[Equipe]])-SEARCH("/",MIP[[#This Row],[Equipe]],1))</f>
        <v xml:space="preserve"> RONALDO</v>
      </c>
      <c r="AF521" s="44">
        <f>COUNTIFS('[1]Tempo parado'!H:H,"&gt;="&amp;MIP[[#This Row],[S.B Sitrack]],'[1]Tempo parado'!I:I,"&lt;="&amp;MIP[[#This Row],[C.B Sitrack]],'[1]Tempo parado'!B:B,MIP[[#This Row],[Placa]])</f>
        <v>0</v>
      </c>
      <c r="AG521" s="36"/>
      <c r="AH521" s="35"/>
      <c r="AI521" s="34"/>
      <c r="AJ521" s="34"/>
      <c r="AK52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2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21" s="32">
        <f>SUMIFS('[1]Tempo parado'!J:J,'[1]Tempo parado'!H:H,"&gt;="&amp;MIP[[#This Row],[S.B Sitrack]],'[1]Tempo parado'!I:I,"&lt;="&amp;MIP[[#This Row],[C.B Sitrack]],'[1]Tempo parado'!B:B,MIP[[#This Row],[Placa]])</f>
        <v>0</v>
      </c>
      <c r="AN521" s="32" t="str">
        <f>IFERROR(MIP[[#This Row],[Tempo parado]]/(MIP[[#This Row],[C.B Sitrack]]-MIP[[#This Row],[S.B Sitrack]]),"")</f>
        <v/>
      </c>
      <c r="AO521" s="30"/>
      <c r="AP521" s="44">
        <f>IF(AND(MIP[Exc]=0,MIP[Previsto / Realizado]="Realizado"),MIP[Sem],0)</f>
        <v>0</v>
      </c>
      <c r="AQ521" s="29">
        <f>IF(AND(MIP[Exc]=0,MIP[Previsto / Realizado]="Realizado",ISBLANK(MIP[[#This Row],[S.B Sitrack]])=FALSE,ISBLANK(MIP[[#This Row],[C.B Sitrack]])=FALSE),MIP[Sem],0)</f>
        <v>0</v>
      </c>
    </row>
    <row r="522" spans="1:43" x14ac:dyDescent="0.25">
      <c r="B522" s="44">
        <f>WEEKNUM(MIP[[#This Row],[Data]])</f>
        <v>37</v>
      </c>
      <c r="C522" s="45">
        <v>42990</v>
      </c>
      <c r="D522" s="45"/>
      <c r="E522" s="35" t="s">
        <v>19</v>
      </c>
      <c r="F522" s="35" t="s">
        <v>2</v>
      </c>
      <c r="G522" s="35"/>
      <c r="H522" s="44">
        <v>2</v>
      </c>
      <c r="I522" s="44">
        <v>5</v>
      </c>
      <c r="J522" s="44">
        <v>1</v>
      </c>
      <c r="K522" s="44">
        <v>0</v>
      </c>
      <c r="L522" s="44">
        <v>0</v>
      </c>
      <c r="M522" s="43">
        <v>0.64097222222222217</v>
      </c>
      <c r="N522" s="43">
        <v>0.67013888888888884</v>
      </c>
      <c r="O522" s="43">
        <f>1+26/24/60</f>
        <v>1.0180555555555555</v>
      </c>
      <c r="P522" s="43">
        <f>1+59/24/60</f>
        <v>1.0409722222222222</v>
      </c>
      <c r="Q522" s="39">
        <v>0.11388888888888889</v>
      </c>
      <c r="R522" s="42" t="s">
        <v>240</v>
      </c>
      <c r="S522" s="29">
        <f>MIP[[#This Row],[PT-1]]+MIP[[#This Row],[PT-2]]*2+MIP[[#This Row],[PT-3]]*3+MIP[[#This Row],[PT &gt; 3 Pontos]]</f>
        <v>7</v>
      </c>
      <c r="T52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0.16597222222222224</v>
      </c>
      <c r="U522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5.208333333333337E-2</v>
      </c>
      <c r="V522" s="41">
        <f>MIP[[#This Row],[Eficiência]]</f>
        <v>0.878753662428713</v>
      </c>
      <c r="W52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22" s="39">
        <f>IF(MIP[[#This Row],[P.S]]-MIP[[#This Row],[P.E]]&lt;0,1+MIP[[#This Row],[P.S]]-MIP[[#This Row],[P.E]]-1/24,MIP[[#This Row],[P.S]]-MIP[[#This Row],[P.E]]-1/24)</f>
        <v>0.35833333333333334</v>
      </c>
      <c r="Y522" s="39">
        <f>MIP[[#This Row],[PT-1]]*$S$3+MIP[[#This Row],[PT-2]]*$T$3+MIP[[#This Row],[PT-3]]*$U$3+MIP[[#This Row],[PT &gt; 3 Pontos]]*$V$3</f>
        <v>0.16903803089774547</v>
      </c>
      <c r="Z522" s="39">
        <f>MIP[[#This Row],[HH disponível]]-MIP[[#This Row],[HH AC TOT]]</f>
        <v>0.19236111111111109</v>
      </c>
      <c r="AA522" s="38">
        <f>MIP[[#This Row],[HH Produtivo
Total]]/MIP[[#This Row],[HH Trabalhado]]</f>
        <v>0.878753662428713</v>
      </c>
      <c r="AB522" s="38">
        <f>MIP[[#This Row],[HH Produtivo
Total]]/MIP[[#This Row],[HH disponível]]</f>
        <v>0.47173403971463851</v>
      </c>
      <c r="AC522" s="38">
        <f>MIP[[#This Row],[HH Trabalhado]]/MIP[[#This Row],[HH disponível]]</f>
        <v>0.53682170542635654</v>
      </c>
      <c r="AD522" s="37" t="str">
        <f>LEFT(MIP[[#This Row],[Equipe]], SEARCH("/",MIP[[#This Row],[Equipe]],1)-1)</f>
        <v xml:space="preserve">ADEMÁRIO </v>
      </c>
      <c r="AE522" s="37" t="str">
        <f>RIGHT(MIP[[#This Row],[Equipe]], LEN(MIP[[#This Row],[Equipe]])-SEARCH("/",MIP[[#This Row],[Equipe]],1))</f>
        <v xml:space="preserve"> RONALDO</v>
      </c>
      <c r="AF522" s="44">
        <f>COUNTIFS('[1]Tempo parado'!H:H,"&gt;="&amp;MIP[[#This Row],[S.B Sitrack]],'[1]Tempo parado'!I:I,"&lt;="&amp;MIP[[#This Row],[C.B Sitrack]],'[1]Tempo parado'!B:B,MIP[[#This Row],[Placa]])</f>
        <v>0</v>
      </c>
      <c r="AG522" s="36"/>
      <c r="AH522" s="35"/>
      <c r="AI522" s="34"/>
      <c r="AJ522" s="34"/>
      <c r="AK52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2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22" s="32">
        <f>SUMIFS('[1]Tempo parado'!J:J,'[1]Tempo parado'!H:H,"&gt;="&amp;MIP[[#This Row],[S.B Sitrack]],'[1]Tempo parado'!I:I,"&lt;="&amp;MIP[[#This Row],[C.B Sitrack]],'[1]Tempo parado'!B:B,MIP[[#This Row],[Placa]])</f>
        <v>0</v>
      </c>
      <c r="AN522" s="32" t="str">
        <f>IFERROR(MIP[[#This Row],[Tempo parado]]/(MIP[[#This Row],[C.B Sitrack]]-MIP[[#This Row],[S.B Sitrack]]),"")</f>
        <v/>
      </c>
      <c r="AO522" s="30"/>
      <c r="AP522" s="44">
        <f>IF(AND(MIP[Exc]=0,MIP[Previsto / Realizado]="Realizado"),MIP[Sem],0)</f>
        <v>37</v>
      </c>
      <c r="AQ522" s="29">
        <f>IF(AND(MIP[Exc]=0,MIP[Previsto / Realizado]="Realizado",ISBLANK(MIP[[#This Row],[S.B Sitrack]])=FALSE,ISBLANK(MIP[[#This Row],[C.B Sitrack]])=FALSE),MIP[Sem],0)</f>
        <v>0</v>
      </c>
    </row>
    <row r="523" spans="1:43" x14ac:dyDescent="0.25">
      <c r="B523" s="44">
        <f>WEEKNUM(MIP[[#This Row],[Data]])</f>
        <v>37</v>
      </c>
      <c r="C523" s="45">
        <v>42991</v>
      </c>
      <c r="D523" s="45"/>
      <c r="E523" s="35" t="s">
        <v>3</v>
      </c>
      <c r="F523" s="35" t="s">
        <v>5</v>
      </c>
      <c r="G523" s="35"/>
      <c r="H523" s="44">
        <v>2</v>
      </c>
      <c r="I523" s="44">
        <v>5</v>
      </c>
      <c r="J523" s="44">
        <v>2</v>
      </c>
      <c r="K523" s="44">
        <v>1</v>
      </c>
      <c r="L523" s="44">
        <v>0</v>
      </c>
      <c r="M523" s="43">
        <v>0.625</v>
      </c>
      <c r="N523" s="43">
        <v>0.64583333333333337</v>
      </c>
      <c r="O523" s="43">
        <f>1+18/24/60</f>
        <v>1.0125</v>
      </c>
      <c r="P523" s="43">
        <f>1+48/24/60</f>
        <v>1.0333333333333334</v>
      </c>
      <c r="Q523" s="39"/>
      <c r="R523" s="42" t="s">
        <v>4</v>
      </c>
      <c r="S523" s="29">
        <f>MIP[[#This Row],[PT-1]]+MIP[[#This Row],[PT-2]]*2+MIP[[#This Row],[PT-3]]*3+MIP[[#This Row],[PT &gt; 3 Pontos]]</f>
        <v>12</v>
      </c>
      <c r="T52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523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523" s="41">
        <f>MIP[[#This Row],[Eficiência]]</f>
        <v>0.84842608076303727</v>
      </c>
      <c r="W52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23" s="39">
        <f>IF(MIP[[#This Row],[P.S]]-MIP[[#This Row],[P.E]]&lt;0,1+MIP[[#This Row],[P.S]]-MIP[[#This Row],[P.E]]-1/24,MIP[[#This Row],[P.S]]-MIP[[#This Row],[P.E]]-1/24)</f>
        <v>0.36666666666666675</v>
      </c>
      <c r="Y523" s="39">
        <f>MIP[[#This Row],[PT-1]]*$S$3+MIP[[#This Row],[PT-2]]*$T$3+MIP[[#This Row],[PT-3]]*$U$3+MIP[[#This Row],[PT &gt; 3 Pontos]]*$V$3</f>
        <v>0.27573847624798703</v>
      </c>
      <c r="Z523" s="39">
        <f>MIP[[#This Row],[HH disponível]]-MIP[[#This Row],[HH AC TOT]]</f>
        <v>0.3249999999999999</v>
      </c>
      <c r="AA523" s="38">
        <f>MIP[[#This Row],[HH Produtivo
Total]]/MIP[[#This Row],[HH Trabalhado]]</f>
        <v>0.84842608076303727</v>
      </c>
      <c r="AB523" s="38">
        <f>MIP[[#This Row],[HH Produtivo
Total]]/MIP[[#This Row],[HH disponível]]</f>
        <v>0.75201402613087354</v>
      </c>
      <c r="AC523" s="38">
        <f>MIP[[#This Row],[HH Trabalhado]]/MIP[[#This Row],[HH disponível]]</f>
        <v>0.88636363636363591</v>
      </c>
      <c r="AD523" s="37" t="str">
        <f>LEFT(MIP[[#This Row],[Equipe]], SEARCH("/",MIP[[#This Row],[Equipe]],1)-1)</f>
        <v xml:space="preserve">EDILTON </v>
      </c>
      <c r="AE523" s="37" t="str">
        <f>RIGHT(MIP[[#This Row],[Equipe]], LEN(MIP[[#This Row],[Equipe]])-SEARCH("/",MIP[[#This Row],[Equipe]],1))</f>
        <v xml:space="preserve"> GECIVALDO</v>
      </c>
      <c r="AF523" s="44">
        <f>COUNTIFS('[1]Tempo parado'!H:H,"&gt;="&amp;MIP[[#This Row],[S.B Sitrack]],'[1]Tempo parado'!I:I,"&lt;="&amp;MIP[[#This Row],[C.B Sitrack]],'[1]Tempo parado'!B:B,MIP[[#This Row],[Placa]])</f>
        <v>0</v>
      </c>
      <c r="AG523" s="36"/>
      <c r="AH523" s="35"/>
      <c r="AI523" s="34"/>
      <c r="AJ523" s="34"/>
      <c r="AK52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2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23" s="32">
        <f>SUMIFS('[1]Tempo parado'!J:J,'[1]Tempo parado'!H:H,"&gt;="&amp;MIP[[#This Row],[S.B Sitrack]],'[1]Tempo parado'!I:I,"&lt;="&amp;MIP[[#This Row],[C.B Sitrack]],'[1]Tempo parado'!B:B,MIP[[#This Row],[Placa]])</f>
        <v>0</v>
      </c>
      <c r="AN523" s="32" t="str">
        <f>IFERROR(MIP[[#This Row],[Tempo parado]]/(MIP[[#This Row],[C.B Sitrack]]-MIP[[#This Row],[S.B Sitrack]]),"")</f>
        <v/>
      </c>
      <c r="AO523" s="30"/>
      <c r="AP523" s="44">
        <f>IF(AND(MIP[Exc]=0,MIP[Previsto / Realizado]="Realizado"),MIP[Sem],0)</f>
        <v>0</v>
      </c>
      <c r="AQ523" s="29">
        <f>IF(AND(MIP[Exc]=0,MIP[Previsto / Realizado]="Realizado",ISBLANK(MIP[[#This Row],[S.B Sitrack]])=FALSE,ISBLANK(MIP[[#This Row],[C.B Sitrack]])=FALSE),MIP[Sem],0)</f>
        <v>0</v>
      </c>
    </row>
    <row r="524" spans="1:43" x14ac:dyDescent="0.25">
      <c r="B524" s="44">
        <f>WEEKNUM(MIP[[#This Row],[Data]])</f>
        <v>37</v>
      </c>
      <c r="C524" s="45">
        <v>42991</v>
      </c>
      <c r="D524" s="45"/>
      <c r="E524" s="35" t="s">
        <v>3</v>
      </c>
      <c r="F524" s="35" t="s">
        <v>2</v>
      </c>
      <c r="G524" s="35"/>
      <c r="H524" s="44">
        <v>2</v>
      </c>
      <c r="I524" s="44">
        <v>7</v>
      </c>
      <c r="J524" s="44">
        <v>2</v>
      </c>
      <c r="K524" s="44">
        <v>1</v>
      </c>
      <c r="L524" s="44">
        <v>0</v>
      </c>
      <c r="M524" s="43">
        <v>0.6069444444444444</v>
      </c>
      <c r="N524" s="43">
        <v>0.65625</v>
      </c>
      <c r="O524" s="43">
        <v>0.98333333333333339</v>
      </c>
      <c r="P524" s="43">
        <v>0.99444444444444446</v>
      </c>
      <c r="Q524" s="39"/>
      <c r="R524" s="42"/>
      <c r="S524" s="29">
        <f>MIP[[#This Row],[PT-1]]+MIP[[#This Row],[PT-2]]*2+MIP[[#This Row],[PT-3]]*3+MIP[[#This Row],[PT &gt; 3 Pontos]]</f>
        <v>14</v>
      </c>
      <c r="T52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6.0416666666666674E-2</v>
      </c>
      <c r="U524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6.0416666666666674E-2</v>
      </c>
      <c r="V524" s="41">
        <f>MIP[[#This Row],[Eficiência]]</f>
        <v>1.1414546528438938</v>
      </c>
      <c r="W52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24" s="39">
        <f>IF(MIP[[#This Row],[P.S]]-MIP[[#This Row],[P.E]]&lt;0,1+MIP[[#This Row],[P.S]]-MIP[[#This Row],[P.E]]-1/24,MIP[[#This Row],[P.S]]-MIP[[#This Row],[P.E]]-1/24)</f>
        <v>0.34583333333333338</v>
      </c>
      <c r="Y524" s="39">
        <f>MIP[[#This Row],[PT-1]]*$S$3+MIP[[#This Row],[PT-2]]*$T$3+MIP[[#This Row],[PT-3]]*$U$3+MIP[[#This Row],[PT &gt; 3 Pontos]]*$V$3</f>
        <v>0.32579018216586142</v>
      </c>
      <c r="Z524" s="39">
        <f>MIP[[#This Row],[HH disponível]]-MIP[[#This Row],[HH AC TOT]]</f>
        <v>0.28541666666666671</v>
      </c>
      <c r="AA524" s="38">
        <f>MIP[[#This Row],[HH Produtivo
Total]]/MIP[[#This Row],[HH Trabalhado]]</f>
        <v>1.1414546528438938</v>
      </c>
      <c r="AB524" s="38">
        <f>MIP[[#This Row],[HH Produtivo
Total]]/MIP[[#This Row],[HH disponível]]</f>
        <v>0.94204390023863527</v>
      </c>
      <c r="AC524" s="38">
        <f>MIP[[#This Row],[HH Trabalhado]]/MIP[[#This Row],[HH disponível]]</f>
        <v>0.82530120481927716</v>
      </c>
      <c r="AD524" s="37" t="str">
        <f>LEFT(MIP[[#This Row],[Equipe]], SEARCH("/",MIP[[#This Row],[Equipe]],1)-1)</f>
        <v xml:space="preserve">EDILTON </v>
      </c>
      <c r="AE524" s="37" t="str">
        <f>RIGHT(MIP[[#This Row],[Equipe]], LEN(MIP[[#This Row],[Equipe]])-SEARCH("/",MIP[[#This Row],[Equipe]],1))</f>
        <v xml:space="preserve"> GECIVALDO</v>
      </c>
      <c r="AF524" s="44">
        <f>COUNTIFS('[1]Tempo parado'!H:H,"&gt;="&amp;MIP[[#This Row],[S.B Sitrack]],'[1]Tempo parado'!I:I,"&lt;="&amp;MIP[[#This Row],[C.B Sitrack]],'[1]Tempo parado'!B:B,MIP[[#This Row],[Placa]])</f>
        <v>0</v>
      </c>
      <c r="AG524" s="36"/>
      <c r="AH524" s="35"/>
      <c r="AI524" s="34"/>
      <c r="AJ524" s="34"/>
      <c r="AK52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2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24" s="32">
        <f>SUMIFS('[1]Tempo parado'!J:J,'[1]Tempo parado'!H:H,"&gt;="&amp;MIP[[#This Row],[S.B Sitrack]],'[1]Tempo parado'!I:I,"&lt;="&amp;MIP[[#This Row],[C.B Sitrack]],'[1]Tempo parado'!B:B,MIP[[#This Row],[Placa]])</f>
        <v>0</v>
      </c>
      <c r="AN524" s="32" t="str">
        <f>IFERROR(MIP[[#This Row],[Tempo parado]]/(MIP[[#This Row],[C.B Sitrack]]-MIP[[#This Row],[S.B Sitrack]]),"")</f>
        <v/>
      </c>
      <c r="AO524" s="30"/>
      <c r="AP524" s="44">
        <f>IF(AND(MIP[Exc]=0,MIP[Previsto / Realizado]="Realizado"),MIP[Sem],0)</f>
        <v>37</v>
      </c>
      <c r="AQ524" s="29">
        <f>IF(AND(MIP[Exc]=0,MIP[Previsto / Realizado]="Realizado",ISBLANK(MIP[[#This Row],[S.B Sitrack]])=FALSE,ISBLANK(MIP[[#This Row],[C.B Sitrack]])=FALSE),MIP[Sem],0)</f>
        <v>0</v>
      </c>
    </row>
    <row r="525" spans="1:43" x14ac:dyDescent="0.25">
      <c r="B525" s="44">
        <f>WEEKNUM(MIP[[#This Row],[Data]])</f>
        <v>37</v>
      </c>
      <c r="C525" s="45">
        <v>42991</v>
      </c>
      <c r="D525" s="45"/>
      <c r="E525" s="35" t="s">
        <v>19</v>
      </c>
      <c r="F525" s="35" t="s">
        <v>5</v>
      </c>
      <c r="G525" s="35"/>
      <c r="H525" s="44">
        <v>2</v>
      </c>
      <c r="I525" s="44">
        <v>2</v>
      </c>
      <c r="J525" s="44">
        <v>4</v>
      </c>
      <c r="K525" s="44">
        <v>1</v>
      </c>
      <c r="L525" s="44">
        <v>0</v>
      </c>
      <c r="M525" s="43">
        <v>0.61875000000000002</v>
      </c>
      <c r="N525" s="43">
        <v>0.64583333333333337</v>
      </c>
      <c r="O525" s="43">
        <f>1+18/24/60</f>
        <v>1.0125</v>
      </c>
      <c r="P525" s="43">
        <f>1+48/24/60</f>
        <v>1.0333333333333334</v>
      </c>
      <c r="Q525" s="39"/>
      <c r="R525" s="42"/>
      <c r="S525" s="29">
        <f>MIP[[#This Row],[PT-1]]+MIP[[#This Row],[PT-2]]*2+MIP[[#This Row],[PT-3]]*3+MIP[[#This Row],[PT &gt; 3 Pontos]]</f>
        <v>13</v>
      </c>
      <c r="T52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4.7916666666666829E-2</v>
      </c>
      <c r="U525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4.7916666666666829E-2</v>
      </c>
      <c r="V525" s="41">
        <f>MIP[[#This Row],[Eficiência]]</f>
        <v>0.88762599869936853</v>
      </c>
      <c r="W52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25" s="39">
        <f>IF(MIP[[#This Row],[P.S]]-MIP[[#This Row],[P.E]]&lt;0,1+MIP[[#This Row],[P.S]]-MIP[[#This Row],[P.E]]-1/24,MIP[[#This Row],[P.S]]-MIP[[#This Row],[P.E]]-1/24)</f>
        <v>0.37291666666666673</v>
      </c>
      <c r="Y525" s="39">
        <f>MIP[[#This Row],[PT-1]]*$S$3+MIP[[#This Row],[PT-2]]*$T$3+MIP[[#This Row],[PT-3]]*$U$3+MIP[[#This Row],[PT &gt; 3 Pontos]]*$V$3</f>
        <v>0.28847844957729468</v>
      </c>
      <c r="Z525" s="39">
        <f>MIP[[#This Row],[HH disponível]]-MIP[[#This Row],[HH AC TOT]]</f>
        <v>0.3249999999999999</v>
      </c>
      <c r="AA525" s="38">
        <f>MIP[[#This Row],[HH Produtivo
Total]]/MIP[[#This Row],[HH Trabalhado]]</f>
        <v>0.88762599869936853</v>
      </c>
      <c r="AB525" s="38">
        <f>MIP[[#This Row],[HH Produtivo
Total]]/MIP[[#This Row],[HH disponível]]</f>
        <v>0.77357349607319237</v>
      </c>
      <c r="AC525" s="38">
        <f>MIP[[#This Row],[HH Trabalhado]]/MIP[[#This Row],[HH disponível]]</f>
        <v>0.87150837988826779</v>
      </c>
      <c r="AD525" s="37" t="str">
        <f>LEFT(MIP[[#This Row],[Equipe]], SEARCH("/",MIP[[#This Row],[Equipe]],1)-1)</f>
        <v xml:space="preserve">ADEMÁRIO </v>
      </c>
      <c r="AE525" s="37" t="str">
        <f>RIGHT(MIP[[#This Row],[Equipe]], LEN(MIP[[#This Row],[Equipe]])-SEARCH("/",MIP[[#This Row],[Equipe]],1))</f>
        <v xml:space="preserve"> RONALDO</v>
      </c>
      <c r="AF525" s="44">
        <f>COUNTIFS('[1]Tempo parado'!H:H,"&gt;="&amp;MIP[[#This Row],[S.B Sitrack]],'[1]Tempo parado'!I:I,"&lt;="&amp;MIP[[#This Row],[C.B Sitrack]],'[1]Tempo parado'!B:B,MIP[[#This Row],[Placa]])</f>
        <v>0</v>
      </c>
      <c r="AG525" s="36"/>
      <c r="AH525" s="35"/>
      <c r="AI525" s="34"/>
      <c r="AJ525" s="34"/>
      <c r="AK52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2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25" s="32">
        <f>SUMIFS('[1]Tempo parado'!J:J,'[1]Tempo parado'!H:H,"&gt;="&amp;MIP[[#This Row],[S.B Sitrack]],'[1]Tempo parado'!I:I,"&lt;="&amp;MIP[[#This Row],[C.B Sitrack]],'[1]Tempo parado'!B:B,MIP[[#This Row],[Placa]])</f>
        <v>0</v>
      </c>
      <c r="AN525" s="32" t="str">
        <f>IFERROR(MIP[[#This Row],[Tempo parado]]/(MIP[[#This Row],[C.B Sitrack]]-MIP[[#This Row],[S.B Sitrack]]),"")</f>
        <v/>
      </c>
      <c r="AO525" s="30"/>
      <c r="AP525" s="44">
        <f>IF(AND(MIP[Exc]=0,MIP[Previsto / Realizado]="Realizado"),MIP[Sem],0)</f>
        <v>0</v>
      </c>
      <c r="AQ525" s="29">
        <f>IF(AND(MIP[Exc]=0,MIP[Previsto / Realizado]="Realizado",ISBLANK(MIP[[#This Row],[S.B Sitrack]])=FALSE,ISBLANK(MIP[[#This Row],[C.B Sitrack]])=FALSE),MIP[Sem],0)</f>
        <v>0</v>
      </c>
    </row>
    <row r="526" spans="1:43" x14ac:dyDescent="0.25">
      <c r="B526" s="44">
        <f>WEEKNUM(MIP[[#This Row],[Data]])</f>
        <v>37</v>
      </c>
      <c r="C526" s="45">
        <v>42991</v>
      </c>
      <c r="D526" s="45"/>
      <c r="E526" s="35" t="s">
        <v>19</v>
      </c>
      <c r="F526" s="35" t="s">
        <v>2</v>
      </c>
      <c r="G526" s="35"/>
      <c r="H526" s="44">
        <v>2</v>
      </c>
      <c r="I526" s="44">
        <v>2</v>
      </c>
      <c r="J526" s="44">
        <v>3</v>
      </c>
      <c r="K526" s="44">
        <v>0</v>
      </c>
      <c r="L526" s="44"/>
      <c r="M526" s="43">
        <v>0.61875000000000002</v>
      </c>
      <c r="N526" s="43">
        <v>0.66666666666666663</v>
      </c>
      <c r="O526" s="43">
        <f>1+10/24/60</f>
        <v>1.0069444444444444</v>
      </c>
      <c r="P526" s="43">
        <f>1+50/24/60</f>
        <v>1.0347222222222223</v>
      </c>
      <c r="Q526" s="39">
        <v>2.9166666666666664E-2</v>
      </c>
      <c r="R526" s="42" t="s">
        <v>239</v>
      </c>
      <c r="S526" s="29">
        <f>MIP[[#This Row],[PT-1]]+MIP[[#This Row],[PT-2]]*2+MIP[[#This Row],[PT-3]]*3+MIP[[#This Row],[PT &gt; 3 Pontos]]</f>
        <v>8</v>
      </c>
      <c r="T52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0.10486111111111117</v>
      </c>
      <c r="U526" s="39">
        <f>IF(MIP[[#This Row],[P.S]]-MIP[[#This Row],[U.P]]&gt;=0,MIP[[#This Row],[P.S]]-MIP[[#This Row],[U.P]]+MIP[[#This Row],[S.B]]-MIP[[#This Row],[P.E]],1+MIP[[#This Row],[P.S]]-MIP[[#This Row],[U.P]]+MIP[[#This Row],[S.B]]-MIP[[#This Row],[P.E]])</f>
        <v>7.5694444444444509E-2</v>
      </c>
      <c r="V526" s="41">
        <f>MIP[[#This Row],[Eficiência]]</f>
        <v>0.67464001568803222</v>
      </c>
      <c r="W52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26" s="39">
        <f>IF(MIP[[#This Row],[P.S]]-MIP[[#This Row],[P.E]]&lt;0,1+MIP[[#This Row],[P.S]]-MIP[[#This Row],[P.E]]-1/24,MIP[[#This Row],[P.S]]-MIP[[#This Row],[P.E]]-1/24)</f>
        <v>0.37430555555555561</v>
      </c>
      <c r="Y526" s="39">
        <f>MIP[[#This Row],[PT-1]]*$S$3+MIP[[#This Row],[PT-2]]*$T$3+MIP[[#This Row],[PT-3]]*$U$3+MIP[[#This Row],[PT &gt; 3 Pontos]]*$V$3</f>
        <v>0.18177800422705312</v>
      </c>
      <c r="Z526" s="39">
        <f>MIP[[#This Row],[HH disponível]]-MIP[[#This Row],[HH AC TOT]]</f>
        <v>0.26944444444444443</v>
      </c>
      <c r="AA526" s="38">
        <f>MIP[[#This Row],[HH Produtivo
Total]]/MIP[[#This Row],[HH Trabalhado]]</f>
        <v>0.67464001568803222</v>
      </c>
      <c r="AB526" s="38">
        <f>MIP[[#This Row],[HH Produtivo
Total]]/MIP[[#This Row],[HH disponível]]</f>
        <v>0.48564067919657966</v>
      </c>
      <c r="AC526" s="38">
        <f>MIP[[#This Row],[HH Trabalhado]]/MIP[[#This Row],[HH disponível]]</f>
        <v>0.71985157699443403</v>
      </c>
      <c r="AD526" s="37" t="str">
        <f>LEFT(MIP[[#This Row],[Equipe]], SEARCH("/",MIP[[#This Row],[Equipe]],1)-1)</f>
        <v xml:space="preserve">ADEMÁRIO </v>
      </c>
      <c r="AE526" s="37" t="str">
        <f>RIGHT(MIP[[#This Row],[Equipe]], LEN(MIP[[#This Row],[Equipe]])-SEARCH("/",MIP[[#This Row],[Equipe]],1))</f>
        <v xml:space="preserve"> RONALDO</v>
      </c>
      <c r="AF526" s="44">
        <f>COUNTIFS('[1]Tempo parado'!H:H,"&gt;="&amp;MIP[[#This Row],[S.B Sitrack]],'[1]Tempo parado'!I:I,"&lt;="&amp;MIP[[#This Row],[C.B Sitrack]],'[1]Tempo parado'!B:B,MIP[[#This Row],[Placa]])</f>
        <v>0</v>
      </c>
      <c r="AG526" s="36"/>
      <c r="AH526" s="35"/>
      <c r="AI526" s="34"/>
      <c r="AJ526" s="34"/>
      <c r="AK52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2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26" s="32">
        <f>SUMIFS('[1]Tempo parado'!J:J,'[1]Tempo parado'!H:H,"&gt;="&amp;MIP[[#This Row],[S.B Sitrack]],'[1]Tempo parado'!I:I,"&lt;="&amp;MIP[[#This Row],[C.B Sitrack]],'[1]Tempo parado'!B:B,MIP[[#This Row],[Placa]])</f>
        <v>0</v>
      </c>
      <c r="AN526" s="32" t="str">
        <f>IFERROR(MIP[[#This Row],[Tempo parado]]/(MIP[[#This Row],[C.B Sitrack]]-MIP[[#This Row],[S.B Sitrack]]),"")</f>
        <v/>
      </c>
      <c r="AO526" s="30"/>
      <c r="AP526" s="44">
        <f>IF(AND(MIP[Exc]=0,MIP[Previsto / Realizado]="Realizado"),MIP[Sem],0)</f>
        <v>37</v>
      </c>
      <c r="AQ526" s="29">
        <f>IF(AND(MIP[Exc]=0,MIP[Previsto / Realizado]="Realizado",ISBLANK(MIP[[#This Row],[S.B Sitrack]])=FALSE,ISBLANK(MIP[[#This Row],[C.B Sitrack]])=FALSE),MIP[Sem],0)</f>
        <v>0</v>
      </c>
    </row>
    <row r="527" spans="1:43" x14ac:dyDescent="0.25">
      <c r="B527" s="44">
        <f>WEEKNUM(MIP[[#This Row],[Data]])</f>
        <v>37</v>
      </c>
      <c r="C527" s="45">
        <v>42991</v>
      </c>
      <c r="D527" s="45"/>
      <c r="E527" s="35" t="s">
        <v>7</v>
      </c>
      <c r="F527" s="35" t="s">
        <v>5</v>
      </c>
      <c r="G527" s="35"/>
      <c r="H527" s="44">
        <v>2</v>
      </c>
      <c r="I527" s="44">
        <v>1</v>
      </c>
      <c r="J527" s="44">
        <v>0</v>
      </c>
      <c r="K527" s="44">
        <v>0</v>
      </c>
      <c r="L527" s="44">
        <v>0</v>
      </c>
      <c r="M527" s="43">
        <v>0.25625000000000003</v>
      </c>
      <c r="N527" s="43">
        <v>0.64583333333333337</v>
      </c>
      <c r="O527" s="43">
        <f>1+18/24/60</f>
        <v>1.0125</v>
      </c>
      <c r="P527" s="43">
        <f>1+48/24/60</f>
        <v>1.0333333333333334</v>
      </c>
      <c r="Q527" s="39"/>
      <c r="R527" s="42" t="s">
        <v>238</v>
      </c>
      <c r="S527" s="29">
        <f>MIP[[#This Row],[PT-1]]+MIP[[#This Row],[PT-2]]*2+MIP[[#This Row],[PT-3]]*3+MIP[[#This Row],[PT &gt; 3 Pontos]]</f>
        <v>1</v>
      </c>
      <c r="T52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0.41041666666666682</v>
      </c>
      <c r="U527" s="39">
        <f>IF(MIP[[#This Row],[P.S]]-MIP[[#This Row],[U.P]]&gt;=0,MIP[[#This Row],[P.S]]-MIP[[#This Row],[U.P]]+MIP[[#This Row],[S.B]]-MIP[[#This Row],[P.E]],1+MIP[[#This Row],[P.S]]-MIP[[#This Row],[U.P]]+MIP[[#This Row],[S.B]]-MIP[[#This Row],[P.E]])</f>
        <v>0.41041666666666682</v>
      </c>
      <c r="V527" s="41">
        <f>MIP[[#This Row],[Eficiência]]</f>
        <v>7.7002624489037497E-2</v>
      </c>
      <c r="W52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27" s="39">
        <f>IF(MIP[[#This Row],[P.S]]-MIP[[#This Row],[P.E]]&lt;0,1+MIP[[#This Row],[P.S]]-MIP[[#This Row],[P.E]]-1/24,MIP[[#This Row],[P.S]]-MIP[[#This Row],[P.E]]-1/24)</f>
        <v>0.73541666666666672</v>
      </c>
      <c r="Y527" s="39">
        <f>MIP[[#This Row],[PT-1]]*$S$3+MIP[[#This Row],[PT-2]]*$T$3+MIP[[#This Row],[PT-3]]*$U$3+MIP[[#This Row],[PT &gt; 3 Pontos]]*$V$3</f>
        <v>2.5025852958937181E-2</v>
      </c>
      <c r="Z527" s="39">
        <f>MIP[[#This Row],[HH disponível]]-MIP[[#This Row],[HH AC TOT]]</f>
        <v>0.3249999999999999</v>
      </c>
      <c r="AA527" s="38">
        <f>MIP[[#This Row],[HH Produtivo
Total]]/MIP[[#This Row],[HH Trabalhado]]</f>
        <v>7.7002624489037497E-2</v>
      </c>
      <c r="AB527" s="38">
        <f>MIP[[#This Row],[HH Produtivo
Total]]/MIP[[#This Row],[HH disponível]]</f>
        <v>3.402948844274744E-2</v>
      </c>
      <c r="AC527" s="38">
        <f>MIP[[#This Row],[HH Trabalhado]]/MIP[[#This Row],[HH disponível]]</f>
        <v>0.44192634560906496</v>
      </c>
      <c r="AD527" s="37" t="str">
        <f>LEFT(MIP[[#This Row],[Equipe]], SEARCH("/",MIP[[#This Row],[Equipe]],1)-1)</f>
        <v xml:space="preserve">ANDERSON </v>
      </c>
      <c r="AE527" s="37" t="str">
        <f>RIGHT(MIP[[#This Row],[Equipe]], LEN(MIP[[#This Row],[Equipe]])-SEARCH("/",MIP[[#This Row],[Equipe]],1))</f>
        <v xml:space="preserve"> MARCO</v>
      </c>
      <c r="AF527" s="44">
        <f>COUNTIFS('[1]Tempo parado'!H:H,"&gt;="&amp;MIP[[#This Row],[S.B Sitrack]],'[1]Tempo parado'!I:I,"&lt;="&amp;MIP[[#This Row],[C.B Sitrack]],'[1]Tempo parado'!B:B,MIP[[#This Row],[Placa]])</f>
        <v>0</v>
      </c>
      <c r="AG527" s="36"/>
      <c r="AH527" s="35"/>
      <c r="AI527" s="34"/>
      <c r="AJ527" s="34"/>
      <c r="AK52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2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27" s="32">
        <f>SUMIFS('[1]Tempo parado'!J:J,'[1]Tempo parado'!H:H,"&gt;="&amp;MIP[[#This Row],[S.B Sitrack]],'[1]Tempo parado'!I:I,"&lt;="&amp;MIP[[#This Row],[C.B Sitrack]],'[1]Tempo parado'!B:B,MIP[[#This Row],[Placa]])</f>
        <v>0</v>
      </c>
      <c r="AN527" s="32" t="str">
        <f>IFERROR(MIP[[#This Row],[Tempo parado]]/(MIP[[#This Row],[C.B Sitrack]]-MIP[[#This Row],[S.B Sitrack]]),"")</f>
        <v/>
      </c>
      <c r="AO527" s="30"/>
      <c r="AP527" s="44">
        <f>IF(AND(MIP[Exc]=0,MIP[Previsto / Realizado]="Realizado"),MIP[Sem],0)</f>
        <v>0</v>
      </c>
      <c r="AQ527" s="29">
        <f>IF(AND(MIP[Exc]=0,MIP[Previsto / Realizado]="Realizado",ISBLANK(MIP[[#This Row],[S.B Sitrack]])=FALSE,ISBLANK(MIP[[#This Row],[C.B Sitrack]])=FALSE),MIP[Sem],0)</f>
        <v>0</v>
      </c>
    </row>
    <row r="528" spans="1:43" x14ac:dyDescent="0.25">
      <c r="B528" s="44">
        <f>WEEKNUM(MIP[[#This Row],[Data]])</f>
        <v>37</v>
      </c>
      <c r="C528" s="45">
        <v>42991</v>
      </c>
      <c r="D528" s="45"/>
      <c r="E528" s="35" t="s">
        <v>7</v>
      </c>
      <c r="F528" s="35" t="s">
        <v>2</v>
      </c>
      <c r="G528" s="35"/>
      <c r="H528" s="44">
        <v>2</v>
      </c>
      <c r="I528" s="44">
        <v>4</v>
      </c>
      <c r="J528" s="44">
        <v>2</v>
      </c>
      <c r="K528" s="44">
        <v>2</v>
      </c>
      <c r="L528" s="44">
        <v>0</v>
      </c>
      <c r="M528" s="43">
        <v>0.62152777777777779</v>
      </c>
      <c r="N528" s="43">
        <v>0.65625</v>
      </c>
      <c r="O528" s="43">
        <f>1+10/24/60</f>
        <v>1.0069444444444444</v>
      </c>
      <c r="P528" s="43">
        <f>1+49/24/60</f>
        <v>1.0340277777777778</v>
      </c>
      <c r="Q528" s="39">
        <v>4.8611111111111112E-3</v>
      </c>
      <c r="R528" s="42" t="s">
        <v>237</v>
      </c>
      <c r="S528" s="29">
        <f>MIP[[#This Row],[PT-1]]+MIP[[#This Row],[PT-2]]*2+MIP[[#This Row],[PT-3]]*3+MIP[[#This Row],[PT &gt; 3 Pontos]]</f>
        <v>14</v>
      </c>
      <c r="T52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6.6666666666666666E-2</v>
      </c>
      <c r="U528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6.1805555555555558E-2</v>
      </c>
      <c r="V528" s="41">
        <f>MIP[[#This Row],[Eficiência]]</f>
        <v>1.0306990768314472</v>
      </c>
      <c r="W52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28" s="39">
        <f>IF(MIP[[#This Row],[P.S]]-MIP[[#This Row],[P.E]]&lt;0,1+MIP[[#This Row],[P.S]]-MIP[[#This Row],[P.E]]-1/24,MIP[[#This Row],[P.S]]-MIP[[#This Row],[P.E]]-1/24)</f>
        <v>0.37083333333333329</v>
      </c>
      <c r="Y528" s="39">
        <f>MIP[[#This Row],[PT-1]]*$S$3+MIP[[#This Row],[PT-2]]*$T$3+MIP[[#This Row],[PT-3]]*$U$3+MIP[[#This Row],[PT &gt; 3 Pontos]]*$V$3</f>
        <v>0.31350430253623185</v>
      </c>
      <c r="Z528" s="39">
        <f>MIP[[#This Row],[HH disponível]]-MIP[[#This Row],[HH AC TOT]]</f>
        <v>0.30416666666666664</v>
      </c>
      <c r="AA528" s="38">
        <f>MIP[[#This Row],[HH Produtivo
Total]]/MIP[[#This Row],[HH Trabalhado]]</f>
        <v>1.0306990768314472</v>
      </c>
      <c r="AB528" s="38">
        <f>MIP[[#This Row],[HH Produtivo
Total]]/MIP[[#This Row],[HH disponível]]</f>
        <v>0.84540486077186128</v>
      </c>
      <c r="AC528" s="38">
        <f>MIP[[#This Row],[HH Trabalhado]]/MIP[[#This Row],[HH disponível]]</f>
        <v>0.8202247191011236</v>
      </c>
      <c r="AD528" s="37" t="str">
        <f>LEFT(MIP[[#This Row],[Equipe]], SEARCH("/",MIP[[#This Row],[Equipe]],1)-1)</f>
        <v xml:space="preserve">ANDERSON </v>
      </c>
      <c r="AE528" s="37" t="str">
        <f>RIGHT(MIP[[#This Row],[Equipe]], LEN(MIP[[#This Row],[Equipe]])-SEARCH("/",MIP[[#This Row],[Equipe]],1))</f>
        <v xml:space="preserve"> MARCO</v>
      </c>
      <c r="AF528" s="44">
        <f>COUNTIFS('[1]Tempo parado'!H:H,"&gt;="&amp;MIP[[#This Row],[S.B Sitrack]],'[1]Tempo parado'!I:I,"&lt;="&amp;MIP[[#This Row],[C.B Sitrack]],'[1]Tempo parado'!B:B,MIP[[#This Row],[Placa]])</f>
        <v>0</v>
      </c>
      <c r="AG528" s="36"/>
      <c r="AH528" s="35"/>
      <c r="AI528" s="34"/>
      <c r="AJ528" s="34"/>
      <c r="AK52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2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28" s="32">
        <f>SUMIFS('[1]Tempo parado'!J:J,'[1]Tempo parado'!H:H,"&gt;="&amp;MIP[[#This Row],[S.B Sitrack]],'[1]Tempo parado'!I:I,"&lt;="&amp;MIP[[#This Row],[C.B Sitrack]],'[1]Tempo parado'!B:B,MIP[[#This Row],[Placa]])</f>
        <v>0</v>
      </c>
      <c r="AN528" s="32" t="str">
        <f>IFERROR(MIP[[#This Row],[Tempo parado]]/(MIP[[#This Row],[C.B Sitrack]]-MIP[[#This Row],[S.B Sitrack]]),"")</f>
        <v/>
      </c>
      <c r="AO528" s="30"/>
      <c r="AP528" s="44">
        <f>IF(AND(MIP[Exc]=0,MIP[Previsto / Realizado]="Realizado"),MIP[Sem],0)</f>
        <v>37</v>
      </c>
      <c r="AQ528" s="29">
        <f>IF(AND(MIP[Exc]=0,MIP[Previsto / Realizado]="Realizado",ISBLANK(MIP[[#This Row],[S.B Sitrack]])=FALSE,ISBLANK(MIP[[#This Row],[C.B Sitrack]])=FALSE),MIP[Sem],0)</f>
        <v>0</v>
      </c>
    </row>
    <row r="529" spans="2:43" x14ac:dyDescent="0.25">
      <c r="B529" s="44">
        <f>WEEKNUM(MIP[[#This Row],[Data]])</f>
        <v>37</v>
      </c>
      <c r="C529" s="45">
        <v>42992</v>
      </c>
      <c r="D529" s="45"/>
      <c r="E529" s="35" t="s">
        <v>33</v>
      </c>
      <c r="F529" s="35" t="s">
        <v>5</v>
      </c>
      <c r="G529" s="35"/>
      <c r="H529" s="44">
        <v>2</v>
      </c>
      <c r="I529" s="44">
        <v>4</v>
      </c>
      <c r="J529" s="44">
        <v>1</v>
      </c>
      <c r="K529" s="44">
        <v>0</v>
      </c>
      <c r="L529" s="44">
        <v>4</v>
      </c>
      <c r="M529" s="43">
        <v>0.25</v>
      </c>
      <c r="N529" s="43">
        <v>0.27083333333333331</v>
      </c>
      <c r="O529" s="43">
        <v>0.63750000000000007</v>
      </c>
      <c r="P529" s="43">
        <v>0.65833333333333333</v>
      </c>
      <c r="Q529" s="39"/>
      <c r="R529" s="42" t="s">
        <v>236</v>
      </c>
      <c r="S529" s="29">
        <f>MIP[[#This Row],[PT-1]]+MIP[[#This Row],[PT-2]]*2+MIP[[#This Row],[PT-3]]*3+MIP[[#This Row],[PT &gt; 3 Pontos]]</f>
        <v>10</v>
      </c>
      <c r="T52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529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529" s="41">
        <f>MIP[[#This Row],[Eficiência]]</f>
        <v>0.69232068142092273</v>
      </c>
      <c r="W52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29" s="39">
        <f>IF(MIP[[#This Row],[P.S]]-MIP[[#This Row],[P.E]]&lt;0,1+MIP[[#This Row],[P.S]]-MIP[[#This Row],[P.E]]-1/24,MIP[[#This Row],[P.S]]-MIP[[#This Row],[P.E]]-1/24)</f>
        <v>0.36666666666666664</v>
      </c>
      <c r="Y529" s="39">
        <f>MIP[[#This Row],[PT-1]]*$S$3+MIP[[#This Row],[PT-2]]*$T$3+MIP[[#This Row],[PT-3]]*$U$3+MIP[[#This Row],[PT &gt; 3 Pontos]]*$V$3</f>
        <v>0.22500422146179994</v>
      </c>
      <c r="Z529" s="39">
        <f>MIP[[#This Row],[HH disponível]]-MIP[[#This Row],[HH AC TOT]]</f>
        <v>0.32500000000000007</v>
      </c>
      <c r="AA529" s="38">
        <f>MIP[[#This Row],[HH Produtivo
Total]]/MIP[[#This Row],[HH Trabalhado]]</f>
        <v>0.69232068142092273</v>
      </c>
      <c r="AB529" s="38">
        <f>MIP[[#This Row],[HH Produtivo
Total]]/MIP[[#This Row],[HH disponível]]</f>
        <v>0.6136478767139999</v>
      </c>
      <c r="AC529" s="38">
        <f>MIP[[#This Row],[HH Trabalhado]]/MIP[[#This Row],[HH disponível]]</f>
        <v>0.88636363636363658</v>
      </c>
      <c r="AD529" s="37" t="str">
        <f>LEFT(MIP[[#This Row],[Equipe]], SEARCH("/",MIP[[#This Row],[Equipe]],1)-1)</f>
        <v xml:space="preserve">JOILSON </v>
      </c>
      <c r="AE529" s="37" t="str">
        <f>RIGHT(MIP[[#This Row],[Equipe]], LEN(MIP[[#This Row],[Equipe]])-SEARCH("/",MIP[[#This Row],[Equipe]],1))</f>
        <v xml:space="preserve"> HERVAL</v>
      </c>
      <c r="AF529" s="44">
        <f>COUNTIFS('[1]Tempo parado'!H:H,"&gt;="&amp;MIP[[#This Row],[S.B Sitrack]],'[1]Tempo parado'!I:I,"&lt;="&amp;MIP[[#This Row],[C.B Sitrack]],'[1]Tempo parado'!B:B,MIP[[#This Row],[Placa]])</f>
        <v>0</v>
      </c>
      <c r="AG529" s="36"/>
      <c r="AH529" s="35"/>
      <c r="AI529" s="34"/>
      <c r="AJ529" s="34"/>
      <c r="AK52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2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29" s="32">
        <f>SUMIFS('[1]Tempo parado'!J:J,'[1]Tempo parado'!H:H,"&gt;="&amp;MIP[[#This Row],[S.B Sitrack]],'[1]Tempo parado'!I:I,"&lt;="&amp;MIP[[#This Row],[C.B Sitrack]],'[1]Tempo parado'!B:B,MIP[[#This Row],[Placa]])</f>
        <v>0</v>
      </c>
      <c r="AN529" s="32" t="str">
        <f>IFERROR(MIP[[#This Row],[Tempo parado]]/(MIP[[#This Row],[C.B Sitrack]]-MIP[[#This Row],[S.B Sitrack]]),"")</f>
        <v/>
      </c>
      <c r="AO529" s="30"/>
      <c r="AP529" s="44">
        <f>IF(AND(MIP[Exc]=0,MIP[Previsto / Realizado]="Realizado"),MIP[Sem],0)</f>
        <v>0</v>
      </c>
      <c r="AQ529" s="29">
        <f>IF(AND(MIP[Exc]=0,MIP[Previsto / Realizado]="Realizado",ISBLANK(MIP[[#This Row],[S.B Sitrack]])=FALSE,ISBLANK(MIP[[#This Row],[C.B Sitrack]])=FALSE),MIP[Sem],0)</f>
        <v>0</v>
      </c>
    </row>
    <row r="530" spans="2:43" x14ac:dyDescent="0.25">
      <c r="B530" s="44">
        <f>WEEKNUM(MIP[[#This Row],[Data]])</f>
        <v>37</v>
      </c>
      <c r="C530" s="45">
        <v>42992</v>
      </c>
      <c r="D530" s="45"/>
      <c r="E530" s="35" t="s">
        <v>33</v>
      </c>
      <c r="F530" s="35" t="s">
        <v>2</v>
      </c>
      <c r="G530" s="35"/>
      <c r="H530" s="44">
        <v>2</v>
      </c>
      <c r="I530" s="44">
        <v>6</v>
      </c>
      <c r="J530" s="44">
        <v>1</v>
      </c>
      <c r="K530" s="44">
        <v>0</v>
      </c>
      <c r="L530" s="44">
        <v>4</v>
      </c>
      <c r="M530" s="43">
        <v>0.25625000000000003</v>
      </c>
      <c r="N530" s="43">
        <v>0.28472222222222221</v>
      </c>
      <c r="O530" s="43">
        <v>0.67222222222222217</v>
      </c>
      <c r="P530" s="43">
        <v>0.7284722222222223</v>
      </c>
      <c r="Q530" s="39"/>
      <c r="R530" s="42" t="s">
        <v>235</v>
      </c>
      <c r="S530" s="29">
        <f>MIP[[#This Row],[PT-1]]+MIP[[#This Row],[PT-2]]*2+MIP[[#This Row],[PT-3]]*3+MIP[[#This Row],[PT &gt; 3 Pontos]]</f>
        <v>12</v>
      </c>
      <c r="T53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8.472222222222231E-2</v>
      </c>
      <c r="U530" s="39">
        <f>IF(MIP[[#This Row],[P.S]]-MIP[[#This Row],[U.P]]&gt;=0,MIP[[#This Row],[P.S]]-MIP[[#This Row],[U.P]]+MIP[[#This Row],[S.B]]-MIP[[#This Row],[P.E]],1+MIP[[#This Row],[P.S]]-MIP[[#This Row],[U.P]]+MIP[[#This Row],[S.B]]-MIP[[#This Row],[P.E]])</f>
        <v>8.472222222222231E-2</v>
      </c>
      <c r="V530" s="41">
        <f>MIP[[#This Row],[Eficiência]]</f>
        <v>0.79534244061592585</v>
      </c>
      <c r="W53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30" s="39">
        <f>IF(MIP[[#This Row],[P.S]]-MIP[[#This Row],[P.E]]&lt;0,1+MIP[[#This Row],[P.S]]-MIP[[#This Row],[P.E]]-1/24,MIP[[#This Row],[P.S]]-MIP[[#This Row],[P.E]]-1/24)</f>
        <v>0.43055555555555558</v>
      </c>
      <c r="Y530" s="39">
        <f>MIP[[#This Row],[PT-1]]*$S$3+MIP[[#This Row],[PT-2]]*$T$3+MIP[[#This Row],[PT-3]]*$U$3+MIP[[#This Row],[PT &gt; 3 Pontos]]*$V$3</f>
        <v>0.27505592737967433</v>
      </c>
      <c r="Z530" s="39">
        <f>MIP[[#This Row],[HH disponível]]-MIP[[#This Row],[HH AC TOT]]</f>
        <v>0.34583333333333327</v>
      </c>
      <c r="AA530" s="38">
        <f>MIP[[#This Row],[HH Produtivo
Total]]/MIP[[#This Row],[HH Trabalhado]]</f>
        <v>0.79534244061592585</v>
      </c>
      <c r="AB530" s="38">
        <f>MIP[[#This Row],[HH Produtivo
Total]]/MIP[[#This Row],[HH disponível]]</f>
        <v>0.63883957326892093</v>
      </c>
      <c r="AC530" s="38">
        <f>MIP[[#This Row],[HH Trabalhado]]/MIP[[#This Row],[HH disponível]]</f>
        <v>0.80322580645161268</v>
      </c>
      <c r="AD530" s="37" t="str">
        <f>LEFT(MIP[[#This Row],[Equipe]], SEARCH("/",MIP[[#This Row],[Equipe]],1)-1)</f>
        <v xml:space="preserve">JOILSON </v>
      </c>
      <c r="AE530" s="37" t="str">
        <f>RIGHT(MIP[[#This Row],[Equipe]], LEN(MIP[[#This Row],[Equipe]])-SEARCH("/",MIP[[#This Row],[Equipe]],1))</f>
        <v xml:space="preserve"> HERVAL</v>
      </c>
      <c r="AF530" s="44">
        <f>COUNTIFS('[1]Tempo parado'!H:H,"&gt;="&amp;MIP[[#This Row],[S.B Sitrack]],'[1]Tempo parado'!I:I,"&lt;="&amp;MIP[[#This Row],[C.B Sitrack]],'[1]Tempo parado'!B:B,MIP[[#This Row],[Placa]])</f>
        <v>0</v>
      </c>
      <c r="AG530" s="36"/>
      <c r="AH530" s="35"/>
      <c r="AI530" s="34"/>
      <c r="AJ530" s="34"/>
      <c r="AK53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3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30" s="32">
        <f>SUMIFS('[1]Tempo parado'!J:J,'[1]Tempo parado'!H:H,"&gt;="&amp;MIP[[#This Row],[S.B Sitrack]],'[1]Tempo parado'!I:I,"&lt;="&amp;MIP[[#This Row],[C.B Sitrack]],'[1]Tempo parado'!B:B,MIP[[#This Row],[Placa]])</f>
        <v>0</v>
      </c>
      <c r="AN530" s="32" t="str">
        <f>IFERROR(MIP[[#This Row],[Tempo parado]]/(MIP[[#This Row],[C.B Sitrack]]-MIP[[#This Row],[S.B Sitrack]]),"")</f>
        <v/>
      </c>
      <c r="AO530" s="30"/>
      <c r="AP530" s="44">
        <f>IF(AND(MIP[Exc]=0,MIP[Previsto / Realizado]="Realizado"),MIP[Sem],0)</f>
        <v>37</v>
      </c>
      <c r="AQ530" s="29">
        <f>IF(AND(MIP[Exc]=0,MIP[Previsto / Realizado]="Realizado",ISBLANK(MIP[[#This Row],[S.B Sitrack]])=FALSE,ISBLANK(MIP[[#This Row],[C.B Sitrack]])=FALSE),MIP[Sem],0)</f>
        <v>0</v>
      </c>
    </row>
    <row r="531" spans="2:43" x14ac:dyDescent="0.25">
      <c r="B531" s="44">
        <f>WEEKNUM(MIP[[#This Row],[Data]])</f>
        <v>37</v>
      </c>
      <c r="C531" s="45">
        <v>42992</v>
      </c>
      <c r="D531" s="45"/>
      <c r="E531" s="35" t="s">
        <v>3</v>
      </c>
      <c r="F531" s="35" t="s">
        <v>5</v>
      </c>
      <c r="G531" s="35"/>
      <c r="H531" s="44">
        <v>2</v>
      </c>
      <c r="I531" s="44">
        <v>3</v>
      </c>
      <c r="J531" s="44">
        <v>2</v>
      </c>
      <c r="K531" s="44">
        <v>0</v>
      </c>
      <c r="L531" s="44">
        <v>4</v>
      </c>
      <c r="M531" s="43">
        <v>0.62222222222222223</v>
      </c>
      <c r="N531" s="43">
        <v>0.64583333333333337</v>
      </c>
      <c r="O531" s="43">
        <f>1+18/24/60</f>
        <v>1.0125</v>
      </c>
      <c r="P531" s="43">
        <f>1+48/24/60</f>
        <v>1.0333333333333334</v>
      </c>
      <c r="Q531" s="39"/>
      <c r="R531" s="42"/>
      <c r="S531" s="29">
        <f>MIP[[#This Row],[PT-1]]+MIP[[#This Row],[PT-2]]*2+MIP[[#This Row],[PT-3]]*3+MIP[[#This Row],[PT &gt; 3 Pontos]]</f>
        <v>11</v>
      </c>
      <c r="T53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4.444444444444462E-2</v>
      </c>
      <c r="U531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4.444444444444462E-2</v>
      </c>
      <c r="V531" s="41">
        <f>MIP[[#This Row],[Eficiência]]</f>
        <v>0.75042195263360745</v>
      </c>
      <c r="W53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31" s="39">
        <f>IF(MIP[[#This Row],[P.S]]-MIP[[#This Row],[P.E]]&lt;0,1+MIP[[#This Row],[P.S]]-MIP[[#This Row],[P.E]]-1/24,MIP[[#This Row],[P.S]]-MIP[[#This Row],[P.E]]-1/24)</f>
        <v>0.36944444444444452</v>
      </c>
      <c r="Y531" s="39">
        <f>MIP[[#This Row],[PT-1]]*$S$3+MIP[[#This Row],[PT-2]]*$T$3+MIP[[#This Row],[PT-3]]*$U$3+MIP[[#This Row],[PT &gt; 3 Pontos]]*$V$3</f>
        <v>0.24388713460592235</v>
      </c>
      <c r="Z531" s="39">
        <f>MIP[[#This Row],[HH disponível]]-MIP[[#This Row],[HH AC TOT]]</f>
        <v>0.3249999999999999</v>
      </c>
      <c r="AA531" s="38">
        <f>MIP[[#This Row],[HH Produtivo
Total]]/MIP[[#This Row],[HH Trabalhado]]</f>
        <v>0.75042195263360745</v>
      </c>
      <c r="AB531" s="38">
        <f>MIP[[#This Row],[HH Produtivo
Total]]/MIP[[#This Row],[HH disponível]]</f>
        <v>0.66014562750475203</v>
      </c>
      <c r="AC531" s="38">
        <f>MIP[[#This Row],[HH Trabalhado]]/MIP[[#This Row],[HH disponível]]</f>
        <v>0.87969924812030031</v>
      </c>
      <c r="AD531" s="37" t="str">
        <f>LEFT(MIP[[#This Row],[Equipe]], SEARCH("/",MIP[[#This Row],[Equipe]],1)-1)</f>
        <v xml:space="preserve">EDILTON </v>
      </c>
      <c r="AE531" s="37" t="str">
        <f>RIGHT(MIP[[#This Row],[Equipe]], LEN(MIP[[#This Row],[Equipe]])-SEARCH("/",MIP[[#This Row],[Equipe]],1))</f>
        <v xml:space="preserve"> GECIVALDO</v>
      </c>
      <c r="AF531" s="44">
        <f>COUNTIFS('[1]Tempo parado'!H:H,"&gt;="&amp;MIP[[#This Row],[S.B Sitrack]],'[1]Tempo parado'!I:I,"&lt;="&amp;MIP[[#This Row],[C.B Sitrack]],'[1]Tempo parado'!B:B,MIP[[#This Row],[Placa]])</f>
        <v>0</v>
      </c>
      <c r="AG531" s="36"/>
      <c r="AH531" s="35"/>
      <c r="AI531" s="34"/>
      <c r="AJ531" s="34"/>
      <c r="AK53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3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31" s="32">
        <f>SUMIFS('[1]Tempo parado'!J:J,'[1]Tempo parado'!H:H,"&gt;="&amp;MIP[[#This Row],[S.B Sitrack]],'[1]Tempo parado'!I:I,"&lt;="&amp;MIP[[#This Row],[C.B Sitrack]],'[1]Tempo parado'!B:B,MIP[[#This Row],[Placa]])</f>
        <v>0</v>
      </c>
      <c r="AN531" s="32" t="str">
        <f>IFERROR(MIP[[#This Row],[Tempo parado]]/(MIP[[#This Row],[C.B Sitrack]]-MIP[[#This Row],[S.B Sitrack]]),"")</f>
        <v/>
      </c>
      <c r="AO531" s="30"/>
      <c r="AP531" s="44">
        <f>IF(AND(MIP[Exc]=0,MIP[Previsto / Realizado]="Realizado"),MIP[Sem],0)</f>
        <v>0</v>
      </c>
      <c r="AQ531" s="29">
        <f>IF(AND(MIP[Exc]=0,MIP[Previsto / Realizado]="Realizado",ISBLANK(MIP[[#This Row],[S.B Sitrack]])=FALSE,ISBLANK(MIP[[#This Row],[C.B Sitrack]])=FALSE),MIP[Sem],0)</f>
        <v>0</v>
      </c>
    </row>
    <row r="532" spans="2:43" x14ac:dyDescent="0.25">
      <c r="B532" s="44">
        <f>WEEKNUM(MIP[[#This Row],[Data]])</f>
        <v>37</v>
      </c>
      <c r="C532" s="45">
        <v>42992</v>
      </c>
      <c r="D532" s="45"/>
      <c r="E532" s="35" t="s">
        <v>3</v>
      </c>
      <c r="F532" s="35" t="s">
        <v>2</v>
      </c>
      <c r="G532" s="35"/>
      <c r="H532" s="44">
        <v>2</v>
      </c>
      <c r="I532" s="44">
        <v>4</v>
      </c>
      <c r="J532" s="44">
        <v>1</v>
      </c>
      <c r="K532" s="44">
        <v>0</v>
      </c>
      <c r="L532" s="44">
        <v>6</v>
      </c>
      <c r="M532" s="43">
        <v>0.6166666666666667</v>
      </c>
      <c r="N532" s="43">
        <v>0.67361111111111116</v>
      </c>
      <c r="O532" s="43">
        <v>0.99791666666666667</v>
      </c>
      <c r="P532" s="43">
        <f>1+55/24/60</f>
        <v>1.0381944444444444</v>
      </c>
      <c r="Q532" s="39"/>
      <c r="R532" s="42" t="s">
        <v>88</v>
      </c>
      <c r="S532" s="29">
        <f>MIP[[#This Row],[PT-1]]+MIP[[#This Row],[PT-2]]*2+MIP[[#This Row],[PT-3]]*3+MIP[[#This Row],[PT &gt; 3 Pontos]]</f>
        <v>12</v>
      </c>
      <c r="T53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9.722222222222221E-2</v>
      </c>
      <c r="U532" s="39">
        <f>IF(MIP[[#This Row],[P.S]]-MIP[[#This Row],[U.P]]&gt;=0,MIP[[#This Row],[P.S]]-MIP[[#This Row],[U.P]]+MIP[[#This Row],[S.B]]-MIP[[#This Row],[P.E]],1+MIP[[#This Row],[P.S]]-MIP[[#This Row],[U.P]]+MIP[[#This Row],[S.B]]-MIP[[#This Row],[P.E]])</f>
        <v>9.722222222222221E-2</v>
      </c>
      <c r="V532" s="41">
        <f>MIP[[#This Row],[Eficiência]]</f>
        <v>0.93936203990551825</v>
      </c>
      <c r="W53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32" s="39">
        <f>IF(MIP[[#This Row],[P.S]]-MIP[[#This Row],[P.E]]&lt;0,1+MIP[[#This Row],[P.S]]-MIP[[#This Row],[P.E]]-1/24,MIP[[#This Row],[P.S]]-MIP[[#This Row],[P.E]]-1/24)</f>
        <v>0.37986111111111104</v>
      </c>
      <c r="Y532" s="39">
        <f>MIP[[#This Row],[PT-1]]*$S$3+MIP[[#This Row],[PT-2]]*$T$3+MIP[[#This Row],[PT-3]]*$U$3+MIP[[#This Row],[PT &gt; 3 Pontos]]*$V$3</f>
        <v>0.26550024322329574</v>
      </c>
      <c r="Z532" s="39">
        <f>MIP[[#This Row],[HH disponível]]-MIP[[#This Row],[HH AC TOT]]</f>
        <v>0.28263888888888883</v>
      </c>
      <c r="AA532" s="38">
        <f>MIP[[#This Row],[HH Produtivo
Total]]/MIP[[#This Row],[HH Trabalhado]]</f>
        <v>0.93936203990551825</v>
      </c>
      <c r="AB532" s="38">
        <f>MIP[[#This Row],[HH Produtivo
Total]]/MIP[[#This Row],[HH disponível]]</f>
        <v>0.69894031122768907</v>
      </c>
      <c r="AC532" s="38">
        <f>MIP[[#This Row],[HH Trabalhado]]/MIP[[#This Row],[HH disponível]]</f>
        <v>0.74405850091407677</v>
      </c>
      <c r="AD532" s="37" t="str">
        <f>LEFT(MIP[[#This Row],[Equipe]], SEARCH("/",MIP[[#This Row],[Equipe]],1)-1)</f>
        <v xml:space="preserve">EDILTON </v>
      </c>
      <c r="AE532" s="37" t="str">
        <f>RIGHT(MIP[[#This Row],[Equipe]], LEN(MIP[[#This Row],[Equipe]])-SEARCH("/",MIP[[#This Row],[Equipe]],1))</f>
        <v xml:space="preserve"> GECIVALDO</v>
      </c>
      <c r="AF532" s="44">
        <f>COUNTIFS('[1]Tempo parado'!H:H,"&gt;="&amp;MIP[[#This Row],[S.B Sitrack]],'[1]Tempo parado'!I:I,"&lt;="&amp;MIP[[#This Row],[C.B Sitrack]],'[1]Tempo parado'!B:B,MIP[[#This Row],[Placa]])</f>
        <v>0</v>
      </c>
      <c r="AG532" s="36"/>
      <c r="AH532" s="35"/>
      <c r="AI532" s="34"/>
      <c r="AJ532" s="34"/>
      <c r="AK53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3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32" s="32">
        <f>SUMIFS('[1]Tempo parado'!J:J,'[1]Tempo parado'!H:H,"&gt;="&amp;MIP[[#This Row],[S.B Sitrack]],'[1]Tempo parado'!I:I,"&lt;="&amp;MIP[[#This Row],[C.B Sitrack]],'[1]Tempo parado'!B:B,MIP[[#This Row],[Placa]])</f>
        <v>0</v>
      </c>
      <c r="AN532" s="32" t="str">
        <f>IFERROR(MIP[[#This Row],[Tempo parado]]/(MIP[[#This Row],[C.B Sitrack]]-MIP[[#This Row],[S.B Sitrack]]),"")</f>
        <v/>
      </c>
      <c r="AO532" s="30"/>
      <c r="AP532" s="44">
        <f>IF(AND(MIP[Exc]=0,MIP[Previsto / Realizado]="Realizado"),MIP[Sem],0)</f>
        <v>37</v>
      </c>
      <c r="AQ532" s="29">
        <f>IF(AND(MIP[Exc]=0,MIP[Previsto / Realizado]="Realizado",ISBLANK(MIP[[#This Row],[S.B Sitrack]])=FALSE,ISBLANK(MIP[[#This Row],[C.B Sitrack]])=FALSE),MIP[Sem],0)</f>
        <v>0</v>
      </c>
    </row>
    <row r="533" spans="2:43" x14ac:dyDescent="0.25">
      <c r="B533" s="44">
        <f>WEEKNUM(MIP[[#This Row],[Data]])</f>
        <v>37</v>
      </c>
      <c r="C533" s="45">
        <v>42992</v>
      </c>
      <c r="D533" s="45"/>
      <c r="E533" s="35" t="s">
        <v>7</v>
      </c>
      <c r="F533" s="35" t="s">
        <v>5</v>
      </c>
      <c r="G533" s="35"/>
      <c r="H533" s="44">
        <v>2</v>
      </c>
      <c r="I533" s="44">
        <v>0</v>
      </c>
      <c r="J533" s="44">
        <v>1</v>
      </c>
      <c r="K533" s="44">
        <v>2</v>
      </c>
      <c r="L533" s="44">
        <v>0</v>
      </c>
      <c r="M533" s="43">
        <v>0.6381944444444444</v>
      </c>
      <c r="N533" s="43">
        <v>0.64583333333333337</v>
      </c>
      <c r="O533" s="43">
        <f>1+18/24/60</f>
        <v>1.0125</v>
      </c>
      <c r="P533" s="43">
        <f>1+48/24/60</f>
        <v>1.0333333333333334</v>
      </c>
      <c r="Q533" s="39"/>
      <c r="R533" s="42"/>
      <c r="S533" s="29">
        <f>MIP[[#This Row],[PT-1]]+MIP[[#This Row],[PT-2]]*2+MIP[[#This Row],[PT-3]]*3+MIP[[#This Row],[PT &gt; 3 Pontos]]</f>
        <v>8</v>
      </c>
      <c r="T53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2.8472222222222454E-2</v>
      </c>
      <c r="U533" s="39">
        <f>IF(MIP[[#This Row],[P.S]]-MIP[[#This Row],[U.P]]&gt;=0,MIP[[#This Row],[P.S]]-MIP[[#This Row],[U.P]]+MIP[[#This Row],[S.B]]-MIP[[#This Row],[P.E]],1+MIP[[#This Row],[P.S]]-MIP[[#This Row],[U.P]]+MIP[[#This Row],[S.B]]-MIP[[#This Row],[P.E]])</f>
        <v>2.8472222222222454E-2</v>
      </c>
      <c r="V533" s="41">
        <f>MIP[[#This Row],[Eficiência]]</f>
        <v>0.52151422953053417</v>
      </c>
      <c r="W53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33" s="39">
        <f>IF(MIP[[#This Row],[P.S]]-MIP[[#This Row],[P.E]]&lt;0,1+MIP[[#This Row],[P.S]]-MIP[[#This Row],[P.E]]-1/24,MIP[[#This Row],[P.S]]-MIP[[#This Row],[P.E]]-1/24)</f>
        <v>0.35347222222222235</v>
      </c>
      <c r="Y533" s="39">
        <f>MIP[[#This Row],[PT-1]]*$S$3+MIP[[#This Row],[PT-2]]*$T$3+MIP[[#This Row],[PT-3]]*$U$3+MIP[[#This Row],[PT &gt; 3 Pontos]]*$V$3</f>
        <v>0.16949212459742355</v>
      </c>
      <c r="Z533" s="39">
        <f>MIP[[#This Row],[HH disponível]]-MIP[[#This Row],[HH AC TOT]]</f>
        <v>0.3249999999999999</v>
      </c>
      <c r="AA533" s="38">
        <f>MIP[[#This Row],[HH Produtivo
Total]]/MIP[[#This Row],[HH Trabalhado]]</f>
        <v>0.52151422953053417</v>
      </c>
      <c r="AB533" s="38">
        <f>MIP[[#This Row],[HH Produtivo
Total]]/MIP[[#This Row],[HH disponível]]</f>
        <v>0.47950620711255365</v>
      </c>
      <c r="AC533" s="38">
        <f>MIP[[#This Row],[HH Trabalhado]]/MIP[[#This Row],[HH disponível]]</f>
        <v>0.91944990176817232</v>
      </c>
      <c r="AD533" s="37" t="str">
        <f>LEFT(MIP[[#This Row],[Equipe]], SEARCH("/",MIP[[#This Row],[Equipe]],1)-1)</f>
        <v xml:space="preserve">ANDERSON </v>
      </c>
      <c r="AE533" s="37" t="str">
        <f>RIGHT(MIP[[#This Row],[Equipe]], LEN(MIP[[#This Row],[Equipe]])-SEARCH("/",MIP[[#This Row],[Equipe]],1))</f>
        <v xml:space="preserve"> MARCO</v>
      </c>
      <c r="AF533" s="44">
        <f>COUNTIFS('[1]Tempo parado'!H:H,"&gt;="&amp;MIP[[#This Row],[S.B Sitrack]],'[1]Tempo parado'!I:I,"&lt;="&amp;MIP[[#This Row],[C.B Sitrack]],'[1]Tempo parado'!B:B,MIP[[#This Row],[Placa]])</f>
        <v>0</v>
      </c>
      <c r="AG533" s="36"/>
      <c r="AH533" s="35"/>
      <c r="AI533" s="34"/>
      <c r="AJ533" s="34"/>
      <c r="AK53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3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33" s="32">
        <f>SUMIFS('[1]Tempo parado'!J:J,'[1]Tempo parado'!H:H,"&gt;="&amp;MIP[[#This Row],[S.B Sitrack]],'[1]Tempo parado'!I:I,"&lt;="&amp;MIP[[#This Row],[C.B Sitrack]],'[1]Tempo parado'!B:B,MIP[[#This Row],[Placa]])</f>
        <v>0</v>
      </c>
      <c r="AN533" s="32" t="str">
        <f>IFERROR(MIP[[#This Row],[Tempo parado]]/(MIP[[#This Row],[C.B Sitrack]]-MIP[[#This Row],[S.B Sitrack]]),"")</f>
        <v/>
      </c>
      <c r="AO533" s="30"/>
      <c r="AP533" s="44">
        <f>IF(AND(MIP[Exc]=0,MIP[Previsto / Realizado]="Realizado"),MIP[Sem],0)</f>
        <v>0</v>
      </c>
      <c r="AQ533" s="29">
        <f>IF(AND(MIP[Exc]=0,MIP[Previsto / Realizado]="Realizado",ISBLANK(MIP[[#This Row],[S.B Sitrack]])=FALSE,ISBLANK(MIP[[#This Row],[C.B Sitrack]])=FALSE),MIP[Sem],0)</f>
        <v>0</v>
      </c>
    </row>
    <row r="534" spans="2:43" x14ac:dyDescent="0.25">
      <c r="B534" s="44">
        <f>WEEKNUM(MIP[[#This Row],[Data]])</f>
        <v>37</v>
      </c>
      <c r="C534" s="45">
        <v>42992</v>
      </c>
      <c r="D534" s="45"/>
      <c r="E534" s="35" t="s">
        <v>7</v>
      </c>
      <c r="F534" s="35" t="s">
        <v>2</v>
      </c>
      <c r="G534" s="35"/>
      <c r="H534" s="44">
        <v>2</v>
      </c>
      <c r="I534" s="44">
        <v>2</v>
      </c>
      <c r="J534" s="44">
        <v>2</v>
      </c>
      <c r="K534" s="44">
        <v>1</v>
      </c>
      <c r="L534" s="44">
        <v>0</v>
      </c>
      <c r="M534" s="43">
        <v>0.625</v>
      </c>
      <c r="N534" s="43">
        <v>0.65416666666666667</v>
      </c>
      <c r="O534" s="43">
        <f>1+58/24/60</f>
        <v>1.0402777777777779</v>
      </c>
      <c r="P534" s="43">
        <f>1+94/24/60</f>
        <v>1.0652777777777778</v>
      </c>
      <c r="Q534" s="39">
        <v>0.11666666666666665</v>
      </c>
      <c r="R534" s="42" t="s">
        <v>234</v>
      </c>
      <c r="S534" s="29">
        <f>MIP[[#This Row],[PT-1]]+MIP[[#This Row],[PT-2]]*2+MIP[[#This Row],[PT-3]]*3+MIP[[#This Row],[PT &gt; 3 Pontos]]</f>
        <v>9</v>
      </c>
      <c r="T53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0.17083333333333323</v>
      </c>
      <c r="U534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5.4166666666666585E-2</v>
      </c>
      <c r="V534" s="41">
        <f>MIP[[#This Row],[Eficiência]]</f>
        <v>0.88095036894662393</v>
      </c>
      <c r="W53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34" s="39">
        <f>IF(MIP[[#This Row],[P.S]]-MIP[[#This Row],[P.E]]&lt;0,1+MIP[[#This Row],[P.S]]-MIP[[#This Row],[P.E]]-1/24,MIP[[#This Row],[P.S]]-MIP[[#This Row],[P.E]]-1/24)</f>
        <v>0.39861111111111108</v>
      </c>
      <c r="Y534" s="39">
        <f>MIP[[#This Row],[PT-1]]*$S$3+MIP[[#This Row],[PT-2]]*$T$3+MIP[[#This Row],[PT-3]]*$U$3+MIP[[#This Row],[PT &gt; 3 Pontos]]*$V$3</f>
        <v>0.20066091737117553</v>
      </c>
      <c r="Z534" s="39">
        <f>MIP[[#This Row],[HH disponível]]-MIP[[#This Row],[HH AC TOT]]</f>
        <v>0.22777777777777786</v>
      </c>
      <c r="AA534" s="38">
        <f>MIP[[#This Row],[HH Produtivo
Total]]/MIP[[#This Row],[HH Trabalhado]]</f>
        <v>0.88095036894662393</v>
      </c>
      <c r="AB534" s="38">
        <f>MIP[[#This Row],[HH Produtivo
Total]]/MIP[[#This Row],[HH disponível]]</f>
        <v>0.50340021082664244</v>
      </c>
      <c r="AC534" s="38">
        <f>MIP[[#This Row],[HH Trabalhado]]/MIP[[#This Row],[HH disponível]]</f>
        <v>0.57142857142857162</v>
      </c>
      <c r="AD534" s="37" t="str">
        <f>LEFT(MIP[[#This Row],[Equipe]], SEARCH("/",MIP[[#This Row],[Equipe]],1)-1)</f>
        <v xml:space="preserve">ANDERSON </v>
      </c>
      <c r="AE534" s="37" t="str">
        <f>RIGHT(MIP[[#This Row],[Equipe]], LEN(MIP[[#This Row],[Equipe]])-SEARCH("/",MIP[[#This Row],[Equipe]],1))</f>
        <v xml:space="preserve"> MARCO</v>
      </c>
      <c r="AF534" s="44">
        <f>COUNTIFS('[1]Tempo parado'!H:H,"&gt;="&amp;MIP[[#This Row],[S.B Sitrack]],'[1]Tempo parado'!I:I,"&lt;="&amp;MIP[[#This Row],[C.B Sitrack]],'[1]Tempo parado'!B:B,MIP[[#This Row],[Placa]])</f>
        <v>0</v>
      </c>
      <c r="AG534" s="36"/>
      <c r="AH534" s="35"/>
      <c r="AI534" s="34"/>
      <c r="AJ534" s="34"/>
      <c r="AK53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3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34" s="32">
        <f>SUMIFS('[1]Tempo parado'!J:J,'[1]Tempo parado'!H:H,"&gt;="&amp;MIP[[#This Row],[S.B Sitrack]],'[1]Tempo parado'!I:I,"&lt;="&amp;MIP[[#This Row],[C.B Sitrack]],'[1]Tempo parado'!B:B,MIP[[#This Row],[Placa]])</f>
        <v>0</v>
      </c>
      <c r="AN534" s="32" t="str">
        <f>IFERROR(MIP[[#This Row],[Tempo parado]]/(MIP[[#This Row],[C.B Sitrack]]-MIP[[#This Row],[S.B Sitrack]]),"")</f>
        <v/>
      </c>
      <c r="AO534" s="30"/>
      <c r="AP534" s="44">
        <f>IF(AND(MIP[Exc]=0,MIP[Previsto / Realizado]="Realizado"),MIP[Sem],0)</f>
        <v>37</v>
      </c>
      <c r="AQ534" s="29">
        <f>IF(AND(MIP[Exc]=0,MIP[Previsto / Realizado]="Realizado",ISBLANK(MIP[[#This Row],[S.B Sitrack]])=FALSE,ISBLANK(MIP[[#This Row],[C.B Sitrack]])=FALSE),MIP[Sem],0)</f>
        <v>0</v>
      </c>
    </row>
    <row r="535" spans="2:43" x14ac:dyDescent="0.25">
      <c r="B535" s="44">
        <f>WEEKNUM(MIP[[#This Row],[Data]])</f>
        <v>37</v>
      </c>
      <c r="C535" s="45">
        <v>42993</v>
      </c>
      <c r="D535" s="45"/>
      <c r="E535" s="35" t="s">
        <v>33</v>
      </c>
      <c r="F535" s="35" t="s">
        <v>5</v>
      </c>
      <c r="G535" s="35"/>
      <c r="H535" s="44">
        <v>2</v>
      </c>
      <c r="I535" s="44">
        <v>9</v>
      </c>
      <c r="J535" s="44">
        <v>1</v>
      </c>
      <c r="K535" s="44">
        <v>0</v>
      </c>
      <c r="L535" s="44">
        <v>0</v>
      </c>
      <c r="M535" s="43">
        <v>0.25</v>
      </c>
      <c r="N535" s="43">
        <v>0.27083333333333331</v>
      </c>
      <c r="O535" s="43">
        <v>0.63750000000000007</v>
      </c>
      <c r="P535" s="43">
        <v>0.65833333333333333</v>
      </c>
      <c r="Q535" s="39"/>
      <c r="R535" s="42"/>
      <c r="S535" s="29">
        <f>MIP[[#This Row],[PT-1]]+MIP[[#This Row],[PT-2]]*2+MIP[[#This Row],[PT-3]]*3+MIP[[#This Row],[PT &gt; 3 Pontos]]</f>
        <v>11</v>
      </c>
      <c r="T53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535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535" s="41">
        <f>MIP[[#This Row],[Eficiência]]</f>
        <v>0.82812751610305901</v>
      </c>
      <c r="W53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35" s="39">
        <f>IF(MIP[[#This Row],[P.S]]-MIP[[#This Row],[P.E]]&lt;0,1+MIP[[#This Row],[P.S]]-MIP[[#This Row],[P.E]]-1/24,MIP[[#This Row],[P.S]]-MIP[[#This Row],[P.E]]-1/24)</f>
        <v>0.36666666666666664</v>
      </c>
      <c r="Y535" s="39">
        <f>MIP[[#This Row],[PT-1]]*$S$3+MIP[[#This Row],[PT-2]]*$T$3+MIP[[#This Row],[PT-3]]*$U$3+MIP[[#This Row],[PT &gt; 3 Pontos]]*$V$3</f>
        <v>0.26914144273349422</v>
      </c>
      <c r="Z535" s="39">
        <f>MIP[[#This Row],[HH disponível]]-MIP[[#This Row],[HH AC TOT]]</f>
        <v>0.32500000000000007</v>
      </c>
      <c r="AA535" s="38">
        <f>MIP[[#This Row],[HH Produtivo
Total]]/MIP[[#This Row],[HH Trabalhado]]</f>
        <v>0.82812751610305901</v>
      </c>
      <c r="AB535" s="38">
        <f>MIP[[#This Row],[HH Produtivo
Total]]/MIP[[#This Row],[HH disponível]]</f>
        <v>0.73402211654589333</v>
      </c>
      <c r="AC535" s="38">
        <f>MIP[[#This Row],[HH Trabalhado]]/MIP[[#This Row],[HH disponível]]</f>
        <v>0.88636363636363658</v>
      </c>
      <c r="AD535" s="37" t="str">
        <f>LEFT(MIP[[#This Row],[Equipe]], SEARCH("/",MIP[[#This Row],[Equipe]],1)-1)</f>
        <v xml:space="preserve">JOILSON </v>
      </c>
      <c r="AE535" s="37" t="str">
        <f>RIGHT(MIP[[#This Row],[Equipe]], LEN(MIP[[#This Row],[Equipe]])-SEARCH("/",MIP[[#This Row],[Equipe]],1))</f>
        <v xml:space="preserve"> HERVAL</v>
      </c>
      <c r="AF535" s="44">
        <f>COUNTIFS('[1]Tempo parado'!H:H,"&gt;="&amp;MIP[[#This Row],[S.B Sitrack]],'[1]Tempo parado'!I:I,"&lt;="&amp;MIP[[#This Row],[C.B Sitrack]],'[1]Tempo parado'!B:B,MIP[[#This Row],[Placa]])</f>
        <v>0</v>
      </c>
      <c r="AG535" s="36"/>
      <c r="AH535" s="35"/>
      <c r="AI535" s="34"/>
      <c r="AJ535" s="34"/>
      <c r="AK53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3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35" s="32">
        <f>SUMIFS('[1]Tempo parado'!J:J,'[1]Tempo parado'!H:H,"&gt;="&amp;MIP[[#This Row],[S.B Sitrack]],'[1]Tempo parado'!I:I,"&lt;="&amp;MIP[[#This Row],[C.B Sitrack]],'[1]Tempo parado'!B:B,MIP[[#This Row],[Placa]])</f>
        <v>0</v>
      </c>
      <c r="AN535" s="32" t="str">
        <f>IFERROR(MIP[[#This Row],[Tempo parado]]/(MIP[[#This Row],[C.B Sitrack]]-MIP[[#This Row],[S.B Sitrack]]),"")</f>
        <v/>
      </c>
      <c r="AO535" s="30"/>
      <c r="AP535" s="44">
        <f>IF(AND(MIP[Exc]=0,MIP[Previsto / Realizado]="Realizado"),MIP[Sem],0)</f>
        <v>0</v>
      </c>
      <c r="AQ535" s="29">
        <f>IF(AND(MIP[Exc]=0,MIP[Previsto / Realizado]="Realizado",ISBLANK(MIP[[#This Row],[S.B Sitrack]])=FALSE,ISBLANK(MIP[[#This Row],[C.B Sitrack]])=FALSE),MIP[Sem],0)</f>
        <v>0</v>
      </c>
    </row>
    <row r="536" spans="2:43" x14ac:dyDescent="0.25">
      <c r="B536" s="44">
        <f>WEEKNUM(MIP[[#This Row],[Data]])</f>
        <v>37</v>
      </c>
      <c r="C536" s="45">
        <v>42993</v>
      </c>
      <c r="D536" s="45"/>
      <c r="E536" s="35" t="s">
        <v>3</v>
      </c>
      <c r="F536" s="35" t="s">
        <v>5</v>
      </c>
      <c r="G536" s="35"/>
      <c r="H536" s="44">
        <v>2</v>
      </c>
      <c r="I536" s="44">
        <v>3</v>
      </c>
      <c r="J536" s="44">
        <v>2</v>
      </c>
      <c r="K536" s="44">
        <v>0</v>
      </c>
      <c r="L536" s="44">
        <v>6</v>
      </c>
      <c r="M536" s="43">
        <v>0.625</v>
      </c>
      <c r="N536" s="43">
        <v>0.64583333333333337</v>
      </c>
      <c r="O536" s="43">
        <f>1+18/24/60</f>
        <v>1.0125</v>
      </c>
      <c r="P536" s="43">
        <f>1+48/24/60</f>
        <v>1.0333333333333334</v>
      </c>
      <c r="Q536" s="39"/>
      <c r="R536" s="42"/>
      <c r="S536" s="29">
        <f>MIP[[#This Row],[PT-1]]+MIP[[#This Row],[PT-2]]*2+MIP[[#This Row],[PT-3]]*3+MIP[[#This Row],[PT &gt; 3 Pontos]]</f>
        <v>13</v>
      </c>
      <c r="T53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536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536" s="41">
        <f>MIP[[#This Row],[Eficiência]]</f>
        <v>0.87502509651513316</v>
      </c>
      <c r="W53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36" s="39">
        <f>IF(MIP[[#This Row],[P.S]]-MIP[[#This Row],[P.E]]&lt;0,1+MIP[[#This Row],[P.S]]-MIP[[#This Row],[P.E]]-1/24,MIP[[#This Row],[P.S]]-MIP[[#This Row],[P.E]]-1/24)</f>
        <v>0.36666666666666675</v>
      </c>
      <c r="Y536" s="39">
        <f>MIP[[#This Row],[PT-1]]*$S$3+MIP[[#This Row],[PT-2]]*$T$3+MIP[[#This Row],[PT-3]]*$U$3+MIP[[#This Row],[PT &gt; 3 Pontos]]*$V$3</f>
        <v>0.28438315636741818</v>
      </c>
      <c r="Z536" s="39">
        <f>MIP[[#This Row],[HH disponível]]-MIP[[#This Row],[HH AC TOT]]</f>
        <v>0.3249999999999999</v>
      </c>
      <c r="AA536" s="38">
        <f>MIP[[#This Row],[HH Produtivo
Total]]/MIP[[#This Row],[HH Trabalhado]]</f>
        <v>0.87502509651513316</v>
      </c>
      <c r="AB536" s="38">
        <f>MIP[[#This Row],[HH Produtivo
Total]]/MIP[[#This Row],[HH disponível]]</f>
        <v>0.77559042645659482</v>
      </c>
      <c r="AC536" s="38">
        <f>MIP[[#This Row],[HH Trabalhado]]/MIP[[#This Row],[HH disponível]]</f>
        <v>0.88636363636363591</v>
      </c>
      <c r="AD536" s="37" t="str">
        <f>LEFT(MIP[[#This Row],[Equipe]], SEARCH("/",MIP[[#This Row],[Equipe]],1)-1)</f>
        <v xml:space="preserve">EDILTON </v>
      </c>
      <c r="AE536" s="37" t="str">
        <f>RIGHT(MIP[[#This Row],[Equipe]], LEN(MIP[[#This Row],[Equipe]])-SEARCH("/",MIP[[#This Row],[Equipe]],1))</f>
        <v xml:space="preserve"> GECIVALDO</v>
      </c>
      <c r="AF536" s="44">
        <f>COUNTIFS('[1]Tempo parado'!H:H,"&gt;="&amp;MIP[[#This Row],[S.B Sitrack]],'[1]Tempo parado'!I:I,"&lt;="&amp;MIP[[#This Row],[C.B Sitrack]],'[1]Tempo parado'!B:B,MIP[[#This Row],[Placa]])</f>
        <v>0</v>
      </c>
      <c r="AG536" s="36"/>
      <c r="AH536" s="35"/>
      <c r="AI536" s="34"/>
      <c r="AJ536" s="34"/>
      <c r="AK53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3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36" s="32">
        <f>SUMIFS('[1]Tempo parado'!J:J,'[1]Tempo parado'!H:H,"&gt;="&amp;MIP[[#This Row],[S.B Sitrack]],'[1]Tempo parado'!I:I,"&lt;="&amp;MIP[[#This Row],[C.B Sitrack]],'[1]Tempo parado'!B:B,MIP[[#This Row],[Placa]])</f>
        <v>0</v>
      </c>
      <c r="AN536" s="32" t="str">
        <f>IFERROR(MIP[[#This Row],[Tempo parado]]/(MIP[[#This Row],[C.B Sitrack]]-MIP[[#This Row],[S.B Sitrack]]),"")</f>
        <v/>
      </c>
      <c r="AO536" s="30"/>
      <c r="AP536" s="44">
        <f>IF(AND(MIP[Exc]=0,MIP[Previsto / Realizado]="Realizado"),MIP[Sem],0)</f>
        <v>0</v>
      </c>
      <c r="AQ536" s="29">
        <f>IF(AND(MIP[Exc]=0,MIP[Previsto / Realizado]="Realizado",ISBLANK(MIP[[#This Row],[S.B Sitrack]])=FALSE,ISBLANK(MIP[[#This Row],[C.B Sitrack]])=FALSE),MIP[Sem],0)</f>
        <v>0</v>
      </c>
    </row>
    <row r="537" spans="2:43" x14ac:dyDescent="0.25">
      <c r="B537" s="44">
        <f>WEEKNUM(MIP[[#This Row],[Data]])</f>
        <v>37</v>
      </c>
      <c r="C537" s="45">
        <v>42993</v>
      </c>
      <c r="D537" s="45"/>
      <c r="E537" s="35" t="s">
        <v>3</v>
      </c>
      <c r="F537" s="35" t="s">
        <v>2</v>
      </c>
      <c r="G537" s="35"/>
      <c r="H537" s="44">
        <v>2</v>
      </c>
      <c r="I537" s="44">
        <v>4</v>
      </c>
      <c r="J537" s="44">
        <v>2</v>
      </c>
      <c r="K537" s="44">
        <v>0</v>
      </c>
      <c r="L537" s="44">
        <v>6</v>
      </c>
      <c r="M537" s="43">
        <v>0.62222222222222223</v>
      </c>
      <c r="N537" s="43">
        <v>0.65277777777777779</v>
      </c>
      <c r="O537" s="43">
        <v>0.99930555555555556</v>
      </c>
      <c r="P537" s="43">
        <f>1+54/24/60</f>
        <v>1.0375000000000001</v>
      </c>
      <c r="Q537" s="39"/>
      <c r="R537" s="42"/>
      <c r="S537" s="29">
        <f>MIP[[#This Row],[PT-1]]+MIP[[#This Row],[PT-2]]*2+MIP[[#This Row],[PT-3]]*3+MIP[[#This Row],[PT &gt; 3 Pontos]]</f>
        <v>14</v>
      </c>
      <c r="T53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6.8750000000000089E-2</v>
      </c>
      <c r="U537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6.8750000000000089E-2</v>
      </c>
      <c r="V537" s="41">
        <f>MIP[[#This Row],[Eficiência]]</f>
        <v>1.0149179349201634</v>
      </c>
      <c r="W53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37" s="39">
        <f>IF(MIP[[#This Row],[P.S]]-MIP[[#This Row],[P.E]]&lt;0,1+MIP[[#This Row],[P.S]]-MIP[[#This Row],[P.E]]-1/24,MIP[[#This Row],[P.S]]-MIP[[#This Row],[P.E]]-1/24)</f>
        <v>0.37361111111111117</v>
      </c>
      <c r="Y537" s="39">
        <f>MIP[[#This Row],[PT-1]]*$S$3+MIP[[#This Row],[PT-2]]*$T$3+MIP[[#This Row],[PT-3]]*$U$3+MIP[[#This Row],[PT &gt; 3 Pontos]]*$V$3</f>
        <v>0.30940900932635534</v>
      </c>
      <c r="Z537" s="39">
        <f>MIP[[#This Row],[HH disponível]]-MIP[[#This Row],[HH AC TOT]]</f>
        <v>0.30486111111111108</v>
      </c>
      <c r="AA537" s="38">
        <f>MIP[[#This Row],[HH Produtivo
Total]]/MIP[[#This Row],[HH Trabalhado]]</f>
        <v>1.0149179349201634</v>
      </c>
      <c r="AB537" s="38">
        <f>MIP[[#This Row],[HH Produtivo
Total]]/MIP[[#This Row],[HH disponível]]</f>
        <v>0.82815794317834879</v>
      </c>
      <c r="AC537" s="38">
        <f>MIP[[#This Row],[HH Trabalhado]]/MIP[[#This Row],[HH disponível]]</f>
        <v>0.81598513011152396</v>
      </c>
      <c r="AD537" s="37" t="str">
        <f>LEFT(MIP[[#This Row],[Equipe]], SEARCH("/",MIP[[#This Row],[Equipe]],1)-1)</f>
        <v xml:space="preserve">EDILTON </v>
      </c>
      <c r="AE537" s="37" t="str">
        <f>RIGHT(MIP[[#This Row],[Equipe]], LEN(MIP[[#This Row],[Equipe]])-SEARCH("/",MIP[[#This Row],[Equipe]],1))</f>
        <v xml:space="preserve"> GECIVALDO</v>
      </c>
      <c r="AF537" s="44">
        <f>COUNTIFS('[1]Tempo parado'!H:H,"&gt;="&amp;MIP[[#This Row],[S.B Sitrack]],'[1]Tempo parado'!I:I,"&lt;="&amp;MIP[[#This Row],[C.B Sitrack]],'[1]Tempo parado'!B:B,MIP[[#This Row],[Placa]])</f>
        <v>0</v>
      </c>
      <c r="AG537" s="36"/>
      <c r="AH537" s="35"/>
      <c r="AI537" s="34"/>
      <c r="AJ537" s="34"/>
      <c r="AK53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3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37" s="32">
        <f>SUMIFS('[1]Tempo parado'!J:J,'[1]Tempo parado'!H:H,"&gt;="&amp;MIP[[#This Row],[S.B Sitrack]],'[1]Tempo parado'!I:I,"&lt;="&amp;MIP[[#This Row],[C.B Sitrack]],'[1]Tempo parado'!B:B,MIP[[#This Row],[Placa]])</f>
        <v>0</v>
      </c>
      <c r="AN537" s="32" t="str">
        <f>IFERROR(MIP[[#This Row],[Tempo parado]]/(MIP[[#This Row],[C.B Sitrack]]-MIP[[#This Row],[S.B Sitrack]]),"")</f>
        <v/>
      </c>
      <c r="AO537" s="30"/>
      <c r="AP537" s="44">
        <f>IF(AND(MIP[Exc]=0,MIP[Previsto / Realizado]="Realizado"),MIP[Sem],0)</f>
        <v>37</v>
      </c>
      <c r="AQ537" s="29">
        <f>IF(AND(MIP[Exc]=0,MIP[Previsto / Realizado]="Realizado",ISBLANK(MIP[[#This Row],[S.B Sitrack]])=FALSE,ISBLANK(MIP[[#This Row],[C.B Sitrack]])=FALSE),MIP[Sem],0)</f>
        <v>0</v>
      </c>
    </row>
    <row r="538" spans="2:43" x14ac:dyDescent="0.25">
      <c r="B538" s="44">
        <f>WEEKNUM(MIP[[#This Row],[Data]])</f>
        <v>37</v>
      </c>
      <c r="C538" s="45">
        <v>42993</v>
      </c>
      <c r="D538" s="45"/>
      <c r="E538" s="35" t="s">
        <v>7</v>
      </c>
      <c r="F538" s="35" t="s">
        <v>5</v>
      </c>
      <c r="G538" s="35"/>
      <c r="H538" s="44">
        <v>2</v>
      </c>
      <c r="I538" s="44">
        <v>1</v>
      </c>
      <c r="J538" s="44">
        <v>0</v>
      </c>
      <c r="K538" s="44">
        <v>1</v>
      </c>
      <c r="L538" s="44">
        <v>0</v>
      </c>
      <c r="M538" s="43">
        <v>0.625</v>
      </c>
      <c r="N538" s="43">
        <v>0.64583333333333337</v>
      </c>
      <c r="O538" s="43">
        <f>1+18/24/60</f>
        <v>1.0125</v>
      </c>
      <c r="P538" s="43">
        <f>1+48/24/60</f>
        <v>1.0333333333333334</v>
      </c>
      <c r="Q538" s="39"/>
      <c r="R538" s="42"/>
      <c r="S538" s="29">
        <f>MIP[[#This Row],[PT-1]]+MIP[[#This Row],[PT-2]]*2+MIP[[#This Row],[PT-3]]*3+MIP[[#This Row],[PT &gt; 3 Pontos]]</f>
        <v>4</v>
      </c>
      <c r="T53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538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538" s="41">
        <f>MIP[[#This Row],[Eficiência]]</f>
        <v>0.2702077914034437</v>
      </c>
      <c r="W53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38" s="39">
        <f>IF(MIP[[#This Row],[P.S]]-MIP[[#This Row],[P.E]]&lt;0,1+MIP[[#This Row],[P.S]]-MIP[[#This Row],[P.E]]-1/24,MIP[[#This Row],[P.S]]-MIP[[#This Row],[P.E]]-1/24)</f>
        <v>0.36666666666666675</v>
      </c>
      <c r="Y538" s="39">
        <f>MIP[[#This Row],[PT-1]]*$S$3+MIP[[#This Row],[PT-2]]*$T$3+MIP[[#This Row],[PT-3]]*$U$3+MIP[[#This Row],[PT &gt; 3 Pontos]]*$V$3</f>
        <v>8.7817532206119167E-2</v>
      </c>
      <c r="Z538" s="39">
        <f>MIP[[#This Row],[HH disponível]]-MIP[[#This Row],[HH AC TOT]]</f>
        <v>0.3249999999999999</v>
      </c>
      <c r="AA538" s="38">
        <f>MIP[[#This Row],[HH Produtivo
Total]]/MIP[[#This Row],[HH Trabalhado]]</f>
        <v>0.2702077914034437</v>
      </c>
      <c r="AB538" s="38">
        <f>MIP[[#This Row],[HH Produtivo
Total]]/MIP[[#This Row],[HH disponível]]</f>
        <v>0.23950236056214314</v>
      </c>
      <c r="AC538" s="38">
        <f>MIP[[#This Row],[HH Trabalhado]]/MIP[[#This Row],[HH disponível]]</f>
        <v>0.88636363636363591</v>
      </c>
      <c r="AD538" s="37" t="str">
        <f>LEFT(MIP[[#This Row],[Equipe]], SEARCH("/",MIP[[#This Row],[Equipe]],1)-1)</f>
        <v xml:space="preserve">ANDERSON </v>
      </c>
      <c r="AE538" s="37" t="str">
        <f>RIGHT(MIP[[#This Row],[Equipe]], LEN(MIP[[#This Row],[Equipe]])-SEARCH("/",MIP[[#This Row],[Equipe]],1))</f>
        <v xml:space="preserve"> MARCO</v>
      </c>
      <c r="AF538" s="44">
        <f>COUNTIFS('[1]Tempo parado'!H:H,"&gt;="&amp;MIP[[#This Row],[S.B Sitrack]],'[1]Tempo parado'!I:I,"&lt;="&amp;MIP[[#This Row],[C.B Sitrack]],'[1]Tempo parado'!B:B,MIP[[#This Row],[Placa]])</f>
        <v>0</v>
      </c>
      <c r="AG538" s="36"/>
      <c r="AH538" s="35"/>
      <c r="AI538" s="34"/>
      <c r="AJ538" s="34"/>
      <c r="AK53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3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38" s="32">
        <f>SUMIFS('[1]Tempo parado'!J:J,'[1]Tempo parado'!H:H,"&gt;="&amp;MIP[[#This Row],[S.B Sitrack]],'[1]Tempo parado'!I:I,"&lt;="&amp;MIP[[#This Row],[C.B Sitrack]],'[1]Tempo parado'!B:B,MIP[[#This Row],[Placa]])</f>
        <v>0</v>
      </c>
      <c r="AN538" s="32" t="str">
        <f>IFERROR(MIP[[#This Row],[Tempo parado]]/(MIP[[#This Row],[C.B Sitrack]]-MIP[[#This Row],[S.B Sitrack]]),"")</f>
        <v/>
      </c>
      <c r="AO538" s="30"/>
      <c r="AP538" s="44">
        <f>IF(AND(MIP[Exc]=0,MIP[Previsto / Realizado]="Realizado"),MIP[Sem],0)</f>
        <v>0</v>
      </c>
      <c r="AQ538" s="29">
        <f>IF(AND(MIP[Exc]=0,MIP[Previsto / Realizado]="Realizado",ISBLANK(MIP[[#This Row],[S.B Sitrack]])=FALSE,ISBLANK(MIP[[#This Row],[C.B Sitrack]])=FALSE),MIP[Sem],0)</f>
        <v>0</v>
      </c>
    </row>
    <row r="539" spans="2:43" x14ac:dyDescent="0.25">
      <c r="B539" s="44">
        <f>WEEKNUM(MIP[[#This Row],[Data]])</f>
        <v>37</v>
      </c>
      <c r="C539" s="45">
        <v>42993</v>
      </c>
      <c r="D539" s="45"/>
      <c r="E539" s="35" t="s">
        <v>7</v>
      </c>
      <c r="F539" s="35" t="s">
        <v>2</v>
      </c>
      <c r="G539" s="35"/>
      <c r="H539" s="44">
        <v>2</v>
      </c>
      <c r="I539" s="44">
        <v>3</v>
      </c>
      <c r="J539" s="44">
        <v>0</v>
      </c>
      <c r="K539" s="44">
        <v>1</v>
      </c>
      <c r="L539" s="44">
        <v>0</v>
      </c>
      <c r="M539" s="43">
        <v>0.62569444444444444</v>
      </c>
      <c r="N539" s="43">
        <v>0.67013888888888884</v>
      </c>
      <c r="O539" s="43">
        <f>1+15/24/60</f>
        <v>1.0104166666666667</v>
      </c>
      <c r="P539" s="43">
        <f>1+54/24/60</f>
        <v>1.0375000000000001</v>
      </c>
      <c r="Q539" s="39"/>
      <c r="R539" s="42"/>
      <c r="S539" s="29">
        <f>MIP[[#This Row],[PT-1]]+MIP[[#This Row],[PT-2]]*2+MIP[[#This Row],[PT-3]]*3+MIP[[#This Row],[PT &gt; 3 Pontos]]</f>
        <v>6</v>
      </c>
      <c r="T53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7.1527777777777746E-2</v>
      </c>
      <c r="U539" s="39">
        <f>IF(MIP[[#This Row],[P.S]]-MIP[[#This Row],[U.P]]&gt;=0,MIP[[#This Row],[P.S]]-MIP[[#This Row],[U.P]]+MIP[[#This Row],[S.B]]-MIP[[#This Row],[P.E]],1+MIP[[#This Row],[P.S]]-MIP[[#This Row],[U.P]]+MIP[[#This Row],[S.B]]-MIP[[#This Row],[P.E]])</f>
        <v>7.1527777777777746E-2</v>
      </c>
      <c r="V539" s="41">
        <f>MIP[[#This Row],[Eficiência]]</f>
        <v>0.46170163464779218</v>
      </c>
      <c r="W53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39" s="39">
        <f>IF(MIP[[#This Row],[P.S]]-MIP[[#This Row],[P.E]]&lt;0,1+MIP[[#This Row],[P.S]]-MIP[[#This Row],[P.E]]-1/24,MIP[[#This Row],[P.S]]-MIP[[#This Row],[P.E]]-1/24)</f>
        <v>0.37013888888888896</v>
      </c>
      <c r="Y539" s="39">
        <f>MIP[[#This Row],[PT-1]]*$S$3+MIP[[#This Row],[PT-2]]*$T$3+MIP[[#This Row],[PT-3]]*$U$3+MIP[[#This Row],[PT &gt; 3 Pontos]]*$V$3</f>
        <v>0.13786923812399354</v>
      </c>
      <c r="Z539" s="39">
        <f>MIP[[#This Row],[HH disponível]]-MIP[[#This Row],[HH AC TOT]]</f>
        <v>0.29861111111111122</v>
      </c>
      <c r="AA539" s="38">
        <f>MIP[[#This Row],[HH Produtivo
Total]]/MIP[[#This Row],[HH Trabalhado]]</f>
        <v>0.46170163464779218</v>
      </c>
      <c r="AB539" s="38">
        <f>MIP[[#This Row],[HH Produtivo
Total]]/MIP[[#This Row],[HH disponível]]</f>
        <v>0.37247974277401624</v>
      </c>
      <c r="AC539" s="38">
        <f>MIP[[#This Row],[HH Trabalhado]]/MIP[[#This Row],[HH disponível]]</f>
        <v>0.80675422138836783</v>
      </c>
      <c r="AD539" s="37" t="str">
        <f>LEFT(MIP[[#This Row],[Equipe]], SEARCH("/",MIP[[#This Row],[Equipe]],1)-1)</f>
        <v xml:space="preserve">ANDERSON </v>
      </c>
      <c r="AE539" s="37" t="str">
        <f>RIGHT(MIP[[#This Row],[Equipe]], LEN(MIP[[#This Row],[Equipe]])-SEARCH("/",MIP[[#This Row],[Equipe]],1))</f>
        <v xml:space="preserve"> MARCO</v>
      </c>
      <c r="AF539" s="44">
        <f>COUNTIFS('[1]Tempo parado'!H:H,"&gt;="&amp;MIP[[#This Row],[S.B Sitrack]],'[1]Tempo parado'!I:I,"&lt;="&amp;MIP[[#This Row],[C.B Sitrack]],'[1]Tempo parado'!B:B,MIP[[#This Row],[Placa]])</f>
        <v>0</v>
      </c>
      <c r="AG539" s="36"/>
      <c r="AH539" s="35"/>
      <c r="AI539" s="34"/>
      <c r="AJ539" s="34"/>
      <c r="AK53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3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39" s="32">
        <f>SUMIFS('[1]Tempo parado'!J:J,'[1]Tempo parado'!H:H,"&gt;="&amp;MIP[[#This Row],[S.B Sitrack]],'[1]Tempo parado'!I:I,"&lt;="&amp;MIP[[#This Row],[C.B Sitrack]],'[1]Tempo parado'!B:B,MIP[[#This Row],[Placa]])</f>
        <v>0</v>
      </c>
      <c r="AN539" s="32" t="str">
        <f>IFERROR(MIP[[#This Row],[Tempo parado]]/(MIP[[#This Row],[C.B Sitrack]]-MIP[[#This Row],[S.B Sitrack]]),"")</f>
        <v/>
      </c>
      <c r="AO539" s="30"/>
      <c r="AP539" s="44">
        <f>IF(AND(MIP[Exc]=0,MIP[Previsto / Realizado]="Realizado"),MIP[Sem],0)</f>
        <v>37</v>
      </c>
      <c r="AQ539" s="29">
        <f>IF(AND(MIP[Exc]=0,MIP[Previsto / Realizado]="Realizado",ISBLANK(MIP[[#This Row],[S.B Sitrack]])=FALSE,ISBLANK(MIP[[#This Row],[C.B Sitrack]])=FALSE),MIP[Sem],0)</f>
        <v>0</v>
      </c>
    </row>
    <row r="540" spans="2:43" x14ac:dyDescent="0.25">
      <c r="B540" s="44">
        <f>WEEKNUM(MIP[[#This Row],[Data]])</f>
        <v>37</v>
      </c>
      <c r="C540" s="45">
        <v>42993</v>
      </c>
      <c r="D540" s="45"/>
      <c r="E540" s="35" t="s">
        <v>19</v>
      </c>
      <c r="F540" s="35" t="s">
        <v>5</v>
      </c>
      <c r="G540" s="35"/>
      <c r="H540" s="44">
        <v>2</v>
      </c>
      <c r="I540" s="44">
        <v>3</v>
      </c>
      <c r="J540" s="44">
        <v>2</v>
      </c>
      <c r="K540" s="44">
        <v>0</v>
      </c>
      <c r="L540" s="44">
        <v>4</v>
      </c>
      <c r="M540" s="43">
        <v>0.625</v>
      </c>
      <c r="N540" s="43">
        <v>0.64583333333333337</v>
      </c>
      <c r="O540" s="43">
        <f>1+18/24/60</f>
        <v>1.0125</v>
      </c>
      <c r="P540" s="43">
        <f>1+48/24/60</f>
        <v>1.0333333333333334</v>
      </c>
      <c r="Q540" s="39"/>
      <c r="R540" s="42"/>
      <c r="S540" s="29">
        <f>MIP[[#This Row],[PT-1]]+MIP[[#This Row],[PT-2]]*2+MIP[[#This Row],[PT-3]]*3+MIP[[#This Row],[PT &gt; 3 Pontos]]</f>
        <v>11</v>
      </c>
      <c r="T54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540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540" s="41">
        <f>MIP[[#This Row],[Eficiência]]</f>
        <v>0.75042195263360745</v>
      </c>
      <c r="W54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40" s="39">
        <f>IF(MIP[[#This Row],[P.S]]-MIP[[#This Row],[P.E]]&lt;0,1+MIP[[#This Row],[P.S]]-MIP[[#This Row],[P.E]]-1/24,MIP[[#This Row],[P.S]]-MIP[[#This Row],[P.E]]-1/24)</f>
        <v>0.36666666666666675</v>
      </c>
      <c r="Y540" s="39">
        <f>MIP[[#This Row],[PT-1]]*$S$3+MIP[[#This Row],[PT-2]]*$T$3+MIP[[#This Row],[PT-3]]*$U$3+MIP[[#This Row],[PT &gt; 3 Pontos]]*$V$3</f>
        <v>0.24388713460592235</v>
      </c>
      <c r="Z540" s="39">
        <f>MIP[[#This Row],[HH disponível]]-MIP[[#This Row],[HH AC TOT]]</f>
        <v>0.3249999999999999</v>
      </c>
      <c r="AA540" s="38">
        <f>MIP[[#This Row],[HH Produtivo
Total]]/MIP[[#This Row],[HH Trabalhado]]</f>
        <v>0.75042195263360745</v>
      </c>
      <c r="AB540" s="38">
        <f>MIP[[#This Row],[HH Produtivo
Total]]/MIP[[#This Row],[HH disponível]]</f>
        <v>0.66514673074342445</v>
      </c>
      <c r="AC540" s="38">
        <f>MIP[[#This Row],[HH Trabalhado]]/MIP[[#This Row],[HH disponível]]</f>
        <v>0.88636363636363591</v>
      </c>
      <c r="AD540" s="37" t="str">
        <f>LEFT(MIP[[#This Row],[Equipe]], SEARCH("/",MIP[[#This Row],[Equipe]],1)-1)</f>
        <v xml:space="preserve">ADEMÁRIO </v>
      </c>
      <c r="AE540" s="37" t="str">
        <f>RIGHT(MIP[[#This Row],[Equipe]], LEN(MIP[[#This Row],[Equipe]])-SEARCH("/",MIP[[#This Row],[Equipe]],1))</f>
        <v xml:space="preserve"> RONALDO</v>
      </c>
      <c r="AF540" s="44">
        <f>COUNTIFS('[1]Tempo parado'!H:H,"&gt;="&amp;MIP[[#This Row],[S.B Sitrack]],'[1]Tempo parado'!I:I,"&lt;="&amp;MIP[[#This Row],[C.B Sitrack]],'[1]Tempo parado'!B:B,MIP[[#This Row],[Placa]])</f>
        <v>0</v>
      </c>
      <c r="AG540" s="36"/>
      <c r="AH540" s="35"/>
      <c r="AI540" s="34"/>
      <c r="AJ540" s="34"/>
      <c r="AK54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4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40" s="32">
        <f>SUMIFS('[1]Tempo parado'!J:J,'[1]Tempo parado'!H:H,"&gt;="&amp;MIP[[#This Row],[S.B Sitrack]],'[1]Tempo parado'!I:I,"&lt;="&amp;MIP[[#This Row],[C.B Sitrack]],'[1]Tempo parado'!B:B,MIP[[#This Row],[Placa]])</f>
        <v>0</v>
      </c>
      <c r="AN540" s="32" t="str">
        <f>IFERROR(MIP[[#This Row],[Tempo parado]]/(MIP[[#This Row],[C.B Sitrack]]-MIP[[#This Row],[S.B Sitrack]]),"")</f>
        <v/>
      </c>
      <c r="AO540" s="30"/>
      <c r="AP540" s="44">
        <f>IF(AND(MIP[Exc]=0,MIP[Previsto / Realizado]="Realizado"),MIP[Sem],0)</f>
        <v>0</v>
      </c>
      <c r="AQ540" s="29">
        <f>IF(AND(MIP[Exc]=0,MIP[Previsto / Realizado]="Realizado",ISBLANK(MIP[[#This Row],[S.B Sitrack]])=FALSE,ISBLANK(MIP[[#This Row],[C.B Sitrack]])=FALSE),MIP[Sem],0)</f>
        <v>0</v>
      </c>
    </row>
    <row r="541" spans="2:43" x14ac:dyDescent="0.25">
      <c r="B541" s="44">
        <f>WEEKNUM(MIP[[#This Row],[Data]])</f>
        <v>37</v>
      </c>
      <c r="C541" s="45">
        <v>42993</v>
      </c>
      <c r="D541" s="45"/>
      <c r="E541" s="35" t="s">
        <v>19</v>
      </c>
      <c r="F541" s="35" t="s">
        <v>2</v>
      </c>
      <c r="G541" s="35"/>
      <c r="H541" s="44">
        <v>2</v>
      </c>
      <c r="I541" s="44">
        <v>3</v>
      </c>
      <c r="J541" s="44">
        <v>1</v>
      </c>
      <c r="K541" s="44">
        <v>0</v>
      </c>
      <c r="L541" s="44">
        <v>4</v>
      </c>
      <c r="M541" s="43">
        <v>0.6381944444444444</v>
      </c>
      <c r="N541" s="43">
        <v>0.70138888888888884</v>
      </c>
      <c r="O541" s="43">
        <v>0.99930555555555556</v>
      </c>
      <c r="P541" s="43">
        <f>1+57/24/60</f>
        <v>1.0395833333333333</v>
      </c>
      <c r="Q541" s="39"/>
      <c r="R541" s="42"/>
      <c r="S541" s="29">
        <f>MIP[[#This Row],[PT-1]]+MIP[[#This Row],[PT-2]]*2+MIP[[#This Row],[PT-3]]*3+MIP[[#This Row],[PT &gt; 3 Pontos]]</f>
        <v>9</v>
      </c>
      <c r="T54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0.10347222222222219</v>
      </c>
      <c r="U541" s="39">
        <f>IF(MIP[[#This Row],[P.S]]-MIP[[#This Row],[U.P]]&gt;=0,MIP[[#This Row],[P.S]]-MIP[[#This Row],[U.P]]+MIP[[#This Row],[S.B]]-MIP[[#This Row],[P.E]],1+MIP[[#This Row],[P.S]]-MIP[[#This Row],[U.P]]+MIP[[#This Row],[S.B]]-MIP[[#This Row],[P.E]])</f>
        <v>0.10347222222222219</v>
      </c>
      <c r="V541" s="41">
        <f>MIP[[#This Row],[Eficiência]]</f>
        <v>0.7804033892794644</v>
      </c>
      <c r="W54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41" s="39">
        <f>IF(MIP[[#This Row],[P.S]]-MIP[[#This Row],[P.E]]&lt;0,1+MIP[[#This Row],[P.S]]-MIP[[#This Row],[P.E]]-1/24,MIP[[#This Row],[P.S]]-MIP[[#This Row],[P.E]]-1/24)</f>
        <v>0.35972222222222222</v>
      </c>
      <c r="Y541" s="39">
        <f>MIP[[#This Row],[PT-1]]*$S$3+MIP[[#This Row],[PT-2]]*$T$3+MIP[[#This Row],[PT-3]]*$U$3+MIP[[#This Row],[PT &gt; 3 Pontos]]*$V$3</f>
        <v>0.19997836850286277</v>
      </c>
      <c r="Z541" s="39">
        <f>MIP[[#This Row],[HH disponível]]-MIP[[#This Row],[HH AC TOT]]</f>
        <v>0.25625000000000003</v>
      </c>
      <c r="AA541" s="38">
        <f>MIP[[#This Row],[HH Produtivo
Total]]/MIP[[#This Row],[HH Trabalhado]]</f>
        <v>0.7804033892794644</v>
      </c>
      <c r="AB541" s="38">
        <f>MIP[[#This Row],[HH Produtivo
Total]]/MIP[[#This Row],[HH disponível]]</f>
        <v>0.55592442209290038</v>
      </c>
      <c r="AC541" s="38">
        <f>MIP[[#This Row],[HH Trabalhado]]/MIP[[#This Row],[HH disponível]]</f>
        <v>0.71235521235521249</v>
      </c>
      <c r="AD541" s="37" t="str">
        <f>LEFT(MIP[[#This Row],[Equipe]], SEARCH("/",MIP[[#This Row],[Equipe]],1)-1)</f>
        <v xml:space="preserve">ADEMÁRIO </v>
      </c>
      <c r="AE541" s="37" t="str">
        <f>RIGHT(MIP[[#This Row],[Equipe]], LEN(MIP[[#This Row],[Equipe]])-SEARCH("/",MIP[[#This Row],[Equipe]],1))</f>
        <v xml:space="preserve"> RONALDO</v>
      </c>
      <c r="AF541" s="44">
        <f>COUNTIFS('[1]Tempo parado'!H:H,"&gt;="&amp;MIP[[#This Row],[S.B Sitrack]],'[1]Tempo parado'!I:I,"&lt;="&amp;MIP[[#This Row],[C.B Sitrack]],'[1]Tempo parado'!B:B,MIP[[#This Row],[Placa]])</f>
        <v>0</v>
      </c>
      <c r="AG541" s="36"/>
      <c r="AH541" s="35"/>
      <c r="AI541" s="34"/>
      <c r="AJ541" s="34"/>
      <c r="AK54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4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41" s="32">
        <f>SUMIFS('[1]Tempo parado'!J:J,'[1]Tempo parado'!H:H,"&gt;="&amp;MIP[[#This Row],[S.B Sitrack]],'[1]Tempo parado'!I:I,"&lt;="&amp;MIP[[#This Row],[C.B Sitrack]],'[1]Tempo parado'!B:B,MIP[[#This Row],[Placa]])</f>
        <v>0</v>
      </c>
      <c r="AN541" s="32" t="str">
        <f>IFERROR(MIP[[#This Row],[Tempo parado]]/(MIP[[#This Row],[C.B Sitrack]]-MIP[[#This Row],[S.B Sitrack]]),"")</f>
        <v/>
      </c>
      <c r="AO541" s="30"/>
      <c r="AP541" s="44">
        <f>IF(AND(MIP[Exc]=0,MIP[Previsto / Realizado]="Realizado"),MIP[Sem],0)</f>
        <v>37</v>
      </c>
      <c r="AQ541" s="29">
        <f>IF(AND(MIP[Exc]=0,MIP[Previsto / Realizado]="Realizado",ISBLANK(MIP[[#This Row],[S.B Sitrack]])=FALSE,ISBLANK(MIP[[#This Row],[C.B Sitrack]])=FALSE),MIP[Sem],0)</f>
        <v>0</v>
      </c>
    </row>
    <row r="542" spans="2:43" x14ac:dyDescent="0.25">
      <c r="B542" s="44">
        <f>WEEKNUM(MIP[[#This Row],[Data]])</f>
        <v>37</v>
      </c>
      <c r="C542" s="45">
        <v>42994</v>
      </c>
      <c r="D542" s="45"/>
      <c r="E542" s="35" t="s">
        <v>33</v>
      </c>
      <c r="F542" s="35" t="s">
        <v>5</v>
      </c>
      <c r="G542" s="35"/>
      <c r="H542" s="44">
        <v>2</v>
      </c>
      <c r="I542" s="44">
        <v>2</v>
      </c>
      <c r="J542" s="44">
        <v>1</v>
      </c>
      <c r="K542" s="44">
        <v>1</v>
      </c>
      <c r="L542" s="44">
        <v>0</v>
      </c>
      <c r="M542" s="43">
        <v>0.25</v>
      </c>
      <c r="N542" s="43">
        <v>0.27083333333333331</v>
      </c>
      <c r="O542" s="43">
        <v>0.63750000000000007</v>
      </c>
      <c r="P542" s="43">
        <v>0.65833333333333333</v>
      </c>
      <c r="Q542" s="39"/>
      <c r="R542" s="42"/>
      <c r="S542" s="29">
        <f>MIP[[#This Row],[PT-1]]+MIP[[#This Row],[PT-2]]*2+MIP[[#This Row],[PT-3]]*3+MIP[[#This Row],[PT &gt; 3 Pontos]]</f>
        <v>7</v>
      </c>
      <c r="T54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542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542" s="41">
        <f>MIP[[#This Row],[Eficiência]]</f>
        <v>0.48231431159420274</v>
      </c>
      <c r="W54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42" s="39">
        <f>IF(MIP[[#This Row],[P.S]]-MIP[[#This Row],[P.E]]&lt;0,1+MIP[[#This Row],[P.S]]-MIP[[#This Row],[P.E]]-1/24,MIP[[#This Row],[P.S]]-MIP[[#This Row],[P.E]]-1/24)</f>
        <v>0.36666666666666664</v>
      </c>
      <c r="Y542" s="39">
        <f>MIP[[#This Row],[PT-1]]*$S$3+MIP[[#This Row],[PT-2]]*$T$3+MIP[[#This Row],[PT-3]]*$U$3+MIP[[#This Row],[PT &gt; 3 Pontos]]*$V$3</f>
        <v>0.15675215126811592</v>
      </c>
      <c r="Z542" s="39">
        <f>MIP[[#This Row],[HH disponível]]-MIP[[#This Row],[HH AC TOT]]</f>
        <v>0.32500000000000007</v>
      </c>
      <c r="AA542" s="38">
        <f>MIP[[#This Row],[HH Produtivo
Total]]/MIP[[#This Row],[HH Trabalhado]]</f>
        <v>0.48231431159420274</v>
      </c>
      <c r="AB542" s="38">
        <f>MIP[[#This Row],[HH Produtivo
Total]]/MIP[[#This Row],[HH disponível]]</f>
        <v>0.42750586709486166</v>
      </c>
      <c r="AC542" s="38">
        <f>MIP[[#This Row],[HH Trabalhado]]/MIP[[#This Row],[HH disponível]]</f>
        <v>0.88636363636363658</v>
      </c>
      <c r="AD542" s="37" t="str">
        <f>LEFT(MIP[[#This Row],[Equipe]], SEARCH("/",MIP[[#This Row],[Equipe]],1)-1)</f>
        <v xml:space="preserve">JOILSON </v>
      </c>
      <c r="AE542" s="37" t="str">
        <f>RIGHT(MIP[[#This Row],[Equipe]], LEN(MIP[[#This Row],[Equipe]])-SEARCH("/",MIP[[#This Row],[Equipe]],1))</f>
        <v xml:space="preserve"> HERVAL</v>
      </c>
      <c r="AF542" s="44">
        <f>COUNTIFS('[1]Tempo parado'!H:H,"&gt;="&amp;MIP[[#This Row],[S.B Sitrack]],'[1]Tempo parado'!I:I,"&lt;="&amp;MIP[[#This Row],[C.B Sitrack]],'[1]Tempo parado'!B:B,MIP[[#This Row],[Placa]])</f>
        <v>0</v>
      </c>
      <c r="AG542" s="36"/>
      <c r="AH542" s="35"/>
      <c r="AI542" s="34"/>
      <c r="AJ542" s="34"/>
      <c r="AK54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4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42" s="32">
        <f>SUMIFS('[1]Tempo parado'!J:J,'[1]Tempo parado'!H:H,"&gt;="&amp;MIP[[#This Row],[S.B Sitrack]],'[1]Tempo parado'!I:I,"&lt;="&amp;MIP[[#This Row],[C.B Sitrack]],'[1]Tempo parado'!B:B,MIP[[#This Row],[Placa]])</f>
        <v>0</v>
      </c>
      <c r="AN542" s="32" t="str">
        <f>IFERROR(MIP[[#This Row],[Tempo parado]]/(MIP[[#This Row],[C.B Sitrack]]-MIP[[#This Row],[S.B Sitrack]]),"")</f>
        <v/>
      </c>
      <c r="AO542" s="30"/>
      <c r="AP542" s="44">
        <f>IF(AND(MIP[Exc]=0,MIP[Previsto / Realizado]="Realizado"),MIP[Sem],0)</f>
        <v>0</v>
      </c>
      <c r="AQ542" s="29">
        <f>IF(AND(MIP[Exc]=0,MIP[Previsto / Realizado]="Realizado",ISBLANK(MIP[[#This Row],[S.B Sitrack]])=FALSE,ISBLANK(MIP[[#This Row],[C.B Sitrack]])=FALSE),MIP[Sem],0)</f>
        <v>0</v>
      </c>
    </row>
    <row r="543" spans="2:43" x14ac:dyDescent="0.25">
      <c r="B543" s="44">
        <f>WEEKNUM(MIP[[#This Row],[Data]])</f>
        <v>37</v>
      </c>
      <c r="C543" s="45">
        <v>42994</v>
      </c>
      <c r="D543" s="45"/>
      <c r="E543" s="35" t="s">
        <v>33</v>
      </c>
      <c r="F543" s="35" t="s">
        <v>2</v>
      </c>
      <c r="G543" s="35"/>
      <c r="H543" s="44">
        <v>2</v>
      </c>
      <c r="I543" s="44">
        <v>3</v>
      </c>
      <c r="J543" s="44">
        <v>1</v>
      </c>
      <c r="K543" s="44">
        <v>1</v>
      </c>
      <c r="L543" s="44">
        <v>0</v>
      </c>
      <c r="M543" s="43">
        <v>0.25833333333333336</v>
      </c>
      <c r="N543" s="43">
        <v>0.27777777777777779</v>
      </c>
      <c r="O543" s="43">
        <v>0.65277777777777779</v>
      </c>
      <c r="P543" s="43">
        <v>0.67361111111111116</v>
      </c>
      <c r="Q543" s="39"/>
      <c r="R543" s="42"/>
      <c r="S543" s="29">
        <f>MIP[[#This Row],[PT-1]]+MIP[[#This Row],[PT-2]]*2+MIP[[#This Row],[PT-3]]*3+MIP[[#This Row],[PT &gt; 3 Pontos]]</f>
        <v>8</v>
      </c>
      <c r="T54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4.0277777777777801E-2</v>
      </c>
      <c r="U543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4.0277777777777801E-2</v>
      </c>
      <c r="V543" s="41">
        <f>MIP[[#This Row],[Eficiência]]</f>
        <v>0.54533401268115944</v>
      </c>
      <c r="W54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43" s="39">
        <f>IF(MIP[[#This Row],[P.S]]-MIP[[#This Row],[P.E]]&lt;0,1+MIP[[#This Row],[P.S]]-MIP[[#This Row],[P.E]]-1/24,MIP[[#This Row],[P.S]]-MIP[[#This Row],[P.E]]-1/24)</f>
        <v>0.37361111111111112</v>
      </c>
      <c r="Y543" s="39">
        <f>MIP[[#This Row],[PT-1]]*$S$3+MIP[[#This Row],[PT-2]]*$T$3+MIP[[#This Row],[PT-3]]*$U$3+MIP[[#This Row],[PT &gt; 3 Pontos]]*$V$3</f>
        <v>0.18177800422705312</v>
      </c>
      <c r="Z543" s="39">
        <f>MIP[[#This Row],[HH disponível]]-MIP[[#This Row],[HH AC TOT]]</f>
        <v>0.33333333333333331</v>
      </c>
      <c r="AA543" s="38">
        <f>MIP[[#This Row],[HH Produtivo
Total]]/MIP[[#This Row],[HH Trabalhado]]</f>
        <v>0.54533401268115944</v>
      </c>
      <c r="AB543" s="38">
        <f>MIP[[#This Row],[HH Produtivo
Total]]/MIP[[#This Row],[HH disponível]]</f>
        <v>0.48654335703895257</v>
      </c>
      <c r="AC543" s="38">
        <f>MIP[[#This Row],[HH Trabalhado]]/MIP[[#This Row],[HH disponível]]</f>
        <v>0.89219330855018586</v>
      </c>
      <c r="AD543" s="37" t="str">
        <f>LEFT(MIP[[#This Row],[Equipe]], SEARCH("/",MIP[[#This Row],[Equipe]],1)-1)</f>
        <v xml:space="preserve">JOILSON </v>
      </c>
      <c r="AE543" s="37" t="str">
        <f>RIGHT(MIP[[#This Row],[Equipe]], LEN(MIP[[#This Row],[Equipe]])-SEARCH("/",MIP[[#This Row],[Equipe]],1))</f>
        <v xml:space="preserve"> HERVAL</v>
      </c>
      <c r="AF543" s="44">
        <f>COUNTIFS('[1]Tempo parado'!H:H,"&gt;="&amp;MIP[[#This Row],[S.B Sitrack]],'[1]Tempo parado'!I:I,"&lt;="&amp;MIP[[#This Row],[C.B Sitrack]],'[1]Tempo parado'!B:B,MIP[[#This Row],[Placa]])</f>
        <v>0</v>
      </c>
      <c r="AG543" s="36"/>
      <c r="AH543" s="35"/>
      <c r="AI543" s="34"/>
      <c r="AJ543" s="34"/>
      <c r="AK54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4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43" s="32">
        <f>SUMIFS('[1]Tempo parado'!J:J,'[1]Tempo parado'!H:H,"&gt;="&amp;MIP[[#This Row],[S.B Sitrack]],'[1]Tempo parado'!I:I,"&lt;="&amp;MIP[[#This Row],[C.B Sitrack]],'[1]Tempo parado'!B:B,MIP[[#This Row],[Placa]])</f>
        <v>0</v>
      </c>
      <c r="AN543" s="32" t="str">
        <f>IFERROR(MIP[[#This Row],[Tempo parado]]/(MIP[[#This Row],[C.B Sitrack]]-MIP[[#This Row],[S.B Sitrack]]),"")</f>
        <v/>
      </c>
      <c r="AO543" s="30"/>
      <c r="AP543" s="44">
        <f>IF(AND(MIP[Exc]=0,MIP[Previsto / Realizado]="Realizado"),MIP[Sem],0)</f>
        <v>37</v>
      </c>
      <c r="AQ543" s="29">
        <f>IF(AND(MIP[Exc]=0,MIP[Previsto / Realizado]="Realizado",ISBLANK(MIP[[#This Row],[S.B Sitrack]])=FALSE,ISBLANK(MIP[[#This Row],[C.B Sitrack]])=FALSE),MIP[Sem],0)</f>
        <v>0</v>
      </c>
    </row>
    <row r="544" spans="2:43" x14ac:dyDescent="0.25">
      <c r="B544" s="44">
        <f>WEEKNUM(MIP[[#This Row],[Data]])</f>
        <v>37</v>
      </c>
      <c r="C544" s="45">
        <v>42994</v>
      </c>
      <c r="D544" s="45"/>
      <c r="E544" s="35" t="s">
        <v>19</v>
      </c>
      <c r="F544" s="35" t="s">
        <v>5</v>
      </c>
      <c r="G544" s="35"/>
      <c r="H544" s="44">
        <v>2</v>
      </c>
      <c r="I544" s="44">
        <v>2</v>
      </c>
      <c r="J544" s="44">
        <v>3</v>
      </c>
      <c r="K544" s="44">
        <v>0</v>
      </c>
      <c r="L544" s="44">
        <v>0</v>
      </c>
      <c r="M544" s="43">
        <v>0.625</v>
      </c>
      <c r="N544" s="43">
        <v>0.64583333333333337</v>
      </c>
      <c r="O544" s="43">
        <f>1+18/24/60</f>
        <v>1.0125</v>
      </c>
      <c r="P544" s="43">
        <f>1+48/24/60</f>
        <v>1.0333333333333334</v>
      </c>
      <c r="Q544" s="39"/>
      <c r="R544" s="42"/>
      <c r="S544" s="29">
        <f>MIP[[#This Row],[PT-1]]+MIP[[#This Row],[PT-2]]*2+MIP[[#This Row],[PT-3]]*3+MIP[[#This Row],[PT &gt; 3 Pontos]]</f>
        <v>8</v>
      </c>
      <c r="T54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544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544" s="41">
        <f>MIP[[#This Row],[Eficiência]]</f>
        <v>0.55931693608324051</v>
      </c>
      <c r="W54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44" s="39">
        <f>IF(MIP[[#This Row],[P.S]]-MIP[[#This Row],[P.E]]&lt;0,1+MIP[[#This Row],[P.S]]-MIP[[#This Row],[P.E]]-1/24,MIP[[#This Row],[P.S]]-MIP[[#This Row],[P.E]]-1/24)</f>
        <v>0.36666666666666675</v>
      </c>
      <c r="Y544" s="39">
        <f>MIP[[#This Row],[PT-1]]*$S$3+MIP[[#This Row],[PT-2]]*$T$3+MIP[[#This Row],[PT-3]]*$U$3+MIP[[#This Row],[PT &gt; 3 Pontos]]*$V$3</f>
        <v>0.18177800422705312</v>
      </c>
      <c r="Z544" s="39">
        <f>MIP[[#This Row],[HH disponível]]-MIP[[#This Row],[HH AC TOT]]</f>
        <v>0.3249999999999999</v>
      </c>
      <c r="AA544" s="38">
        <f>MIP[[#This Row],[HH Produtivo
Total]]/MIP[[#This Row],[HH Trabalhado]]</f>
        <v>0.55931693608324051</v>
      </c>
      <c r="AB544" s="38">
        <f>MIP[[#This Row],[HH Produtivo
Total]]/MIP[[#This Row],[HH disponível]]</f>
        <v>0.49575819334650839</v>
      </c>
      <c r="AC544" s="38">
        <f>MIP[[#This Row],[HH Trabalhado]]/MIP[[#This Row],[HH disponível]]</f>
        <v>0.88636363636363591</v>
      </c>
      <c r="AD544" s="37" t="str">
        <f>LEFT(MIP[[#This Row],[Equipe]], SEARCH("/",MIP[[#This Row],[Equipe]],1)-1)</f>
        <v xml:space="preserve">ADEMÁRIO </v>
      </c>
      <c r="AE544" s="37" t="str">
        <f>RIGHT(MIP[[#This Row],[Equipe]], LEN(MIP[[#This Row],[Equipe]])-SEARCH("/",MIP[[#This Row],[Equipe]],1))</f>
        <v xml:space="preserve"> RONALDO</v>
      </c>
      <c r="AF544" s="44">
        <f>COUNTIFS('[1]Tempo parado'!H:H,"&gt;="&amp;MIP[[#This Row],[S.B Sitrack]],'[1]Tempo parado'!I:I,"&lt;="&amp;MIP[[#This Row],[C.B Sitrack]],'[1]Tempo parado'!B:B,MIP[[#This Row],[Placa]])</f>
        <v>0</v>
      </c>
      <c r="AG544" s="36"/>
      <c r="AH544" s="35"/>
      <c r="AI544" s="34"/>
      <c r="AJ544" s="34"/>
      <c r="AK54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4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44" s="32">
        <f>SUMIFS('[1]Tempo parado'!J:J,'[1]Tempo parado'!H:H,"&gt;="&amp;MIP[[#This Row],[S.B Sitrack]],'[1]Tempo parado'!I:I,"&lt;="&amp;MIP[[#This Row],[C.B Sitrack]],'[1]Tempo parado'!B:B,MIP[[#This Row],[Placa]])</f>
        <v>0</v>
      </c>
      <c r="AN544" s="32" t="str">
        <f>IFERROR(MIP[[#This Row],[Tempo parado]]/(MIP[[#This Row],[C.B Sitrack]]-MIP[[#This Row],[S.B Sitrack]]),"")</f>
        <v/>
      </c>
      <c r="AO544" s="30"/>
      <c r="AP544" s="44">
        <f>IF(AND(MIP[Exc]=0,MIP[Previsto / Realizado]="Realizado"),MIP[Sem],0)</f>
        <v>0</v>
      </c>
      <c r="AQ544" s="29">
        <f>IF(AND(MIP[Exc]=0,MIP[Previsto / Realizado]="Realizado",ISBLANK(MIP[[#This Row],[S.B Sitrack]])=FALSE,ISBLANK(MIP[[#This Row],[C.B Sitrack]])=FALSE),MIP[Sem],0)</f>
        <v>0</v>
      </c>
    </row>
    <row r="545" spans="2:43" x14ac:dyDescent="0.25">
      <c r="B545" s="44">
        <f>WEEKNUM(MIP[[#This Row],[Data]])</f>
        <v>37</v>
      </c>
      <c r="C545" s="45">
        <v>42994</v>
      </c>
      <c r="D545" s="45"/>
      <c r="E545" s="35" t="s">
        <v>19</v>
      </c>
      <c r="F545" s="35" t="s">
        <v>2</v>
      </c>
      <c r="G545" s="35"/>
      <c r="H545" s="44">
        <v>2</v>
      </c>
      <c r="I545" s="44">
        <v>4</v>
      </c>
      <c r="J545" s="44">
        <v>2</v>
      </c>
      <c r="K545" s="44">
        <v>0</v>
      </c>
      <c r="L545" s="44">
        <v>0</v>
      </c>
      <c r="M545" s="43">
        <v>0.64444444444444449</v>
      </c>
      <c r="N545" s="43">
        <v>0.67708333333333337</v>
      </c>
      <c r="O545" s="43">
        <f>1+12/24/60</f>
        <v>1.0083333333333333</v>
      </c>
      <c r="P545" s="43">
        <f>1+53/24/60</f>
        <v>1.0368055555555555</v>
      </c>
      <c r="Q545" s="39"/>
      <c r="R545" s="42"/>
      <c r="S545" s="29">
        <f>MIP[[#This Row],[PT-1]]+MIP[[#This Row],[PT-2]]*2+MIP[[#This Row],[PT-3]]*3+MIP[[#This Row],[PT &gt; 3 Pontos]]</f>
        <v>8</v>
      </c>
      <c r="T54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6.1111111111111116E-2</v>
      </c>
      <c r="U545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6.1111111111111116E-2</v>
      </c>
      <c r="V545" s="41">
        <f>MIP[[#This Row],[Eficiência]]</f>
        <v>0.64893563410141442</v>
      </c>
      <c r="W54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45" s="39">
        <f>IF(MIP[[#This Row],[P.S]]-MIP[[#This Row],[P.E]]&lt;0,1+MIP[[#This Row],[P.S]]-MIP[[#This Row],[P.E]]-1/24,MIP[[#This Row],[P.S]]-MIP[[#This Row],[P.E]]-1/24)</f>
        <v>0.35069444444444436</v>
      </c>
      <c r="Y545" s="39">
        <f>MIP[[#This Row],[PT-1]]*$S$3+MIP[[#This Row],[PT-2]]*$T$3+MIP[[#This Row],[PT-3]]*$U$3+MIP[[#This Row],[PT &gt; 3 Pontos]]*$V$3</f>
        <v>0.18792094404186788</v>
      </c>
      <c r="Z545" s="39">
        <f>MIP[[#This Row],[HH disponível]]-MIP[[#This Row],[HH AC TOT]]</f>
        <v>0.28958333333333325</v>
      </c>
      <c r="AA545" s="38">
        <f>MIP[[#This Row],[HH Produtivo
Total]]/MIP[[#This Row],[HH Trabalhado]]</f>
        <v>0.64893563410141442</v>
      </c>
      <c r="AB545" s="38">
        <f>MIP[[#This Row],[HH Produtivo
Total]]/MIP[[#This Row],[HH disponível]]</f>
        <v>0.53585378103027681</v>
      </c>
      <c r="AC545" s="38">
        <f>MIP[[#This Row],[HH Trabalhado]]/MIP[[#This Row],[HH disponível]]</f>
        <v>0.8257425742574257</v>
      </c>
      <c r="AD545" s="37" t="str">
        <f>LEFT(MIP[[#This Row],[Equipe]], SEARCH("/",MIP[[#This Row],[Equipe]],1)-1)</f>
        <v xml:space="preserve">ADEMÁRIO </v>
      </c>
      <c r="AE545" s="37" t="str">
        <f>RIGHT(MIP[[#This Row],[Equipe]], LEN(MIP[[#This Row],[Equipe]])-SEARCH("/",MIP[[#This Row],[Equipe]],1))</f>
        <v xml:space="preserve"> RONALDO</v>
      </c>
      <c r="AF545" s="44">
        <f>COUNTIFS('[1]Tempo parado'!H:H,"&gt;="&amp;MIP[[#This Row],[S.B Sitrack]],'[1]Tempo parado'!I:I,"&lt;="&amp;MIP[[#This Row],[C.B Sitrack]],'[1]Tempo parado'!B:B,MIP[[#This Row],[Placa]])</f>
        <v>0</v>
      </c>
      <c r="AG545" s="36"/>
      <c r="AH545" s="35"/>
      <c r="AI545" s="34"/>
      <c r="AJ545" s="34"/>
      <c r="AK54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4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45" s="32">
        <f>SUMIFS('[1]Tempo parado'!J:J,'[1]Tempo parado'!H:H,"&gt;="&amp;MIP[[#This Row],[S.B Sitrack]],'[1]Tempo parado'!I:I,"&lt;="&amp;MIP[[#This Row],[C.B Sitrack]],'[1]Tempo parado'!B:B,MIP[[#This Row],[Placa]])</f>
        <v>0</v>
      </c>
      <c r="AN545" s="32" t="str">
        <f>IFERROR(MIP[[#This Row],[Tempo parado]]/(MIP[[#This Row],[C.B Sitrack]]-MIP[[#This Row],[S.B Sitrack]]),"")</f>
        <v/>
      </c>
      <c r="AO545" s="30"/>
      <c r="AP545" s="44">
        <f>IF(AND(MIP[Exc]=0,MIP[Previsto / Realizado]="Realizado"),MIP[Sem],0)</f>
        <v>37</v>
      </c>
      <c r="AQ545" s="29">
        <f>IF(AND(MIP[Exc]=0,MIP[Previsto / Realizado]="Realizado",ISBLANK(MIP[[#This Row],[S.B Sitrack]])=FALSE,ISBLANK(MIP[[#This Row],[C.B Sitrack]])=FALSE),MIP[Sem],0)</f>
        <v>0</v>
      </c>
    </row>
    <row r="546" spans="2:43" x14ac:dyDescent="0.25">
      <c r="B546" s="44">
        <f>WEEKNUM(MIP[[#This Row],[Data]])</f>
        <v>38</v>
      </c>
      <c r="C546" s="45">
        <v>42995</v>
      </c>
      <c r="D546" s="45"/>
      <c r="E546" s="35" t="s">
        <v>33</v>
      </c>
      <c r="F546" s="35" t="s">
        <v>5</v>
      </c>
      <c r="G546" s="35"/>
      <c r="H546" s="44">
        <v>2</v>
      </c>
      <c r="I546" s="44">
        <v>0</v>
      </c>
      <c r="J546" s="44">
        <v>0</v>
      </c>
      <c r="K546" s="44">
        <v>0</v>
      </c>
      <c r="L546" s="44">
        <v>4</v>
      </c>
      <c r="M546" s="43">
        <v>0.25</v>
      </c>
      <c r="N546" s="43">
        <v>0.27083333333333331</v>
      </c>
      <c r="O546" s="43">
        <v>0.63750000000000007</v>
      </c>
      <c r="P546" s="43">
        <v>0.65833333333333333</v>
      </c>
      <c r="Q546" s="39"/>
      <c r="R546" s="42"/>
      <c r="S546" s="29">
        <f>MIP[[#This Row],[PT-1]]+MIP[[#This Row],[PT-2]]*2+MIP[[#This Row],[PT-3]]*3+MIP[[#This Row],[PT &gt; 3 Pontos]]</f>
        <v>4</v>
      </c>
      <c r="T54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546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546" s="41">
        <f>MIP[[#This Row],[Eficiência]]</f>
        <v>0.24920628776305115</v>
      </c>
      <c r="W54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46" s="39">
        <f>IF(MIP[[#This Row],[P.S]]-MIP[[#This Row],[P.E]]&lt;0,1+MIP[[#This Row],[P.S]]-MIP[[#This Row],[P.E]]-1/24,MIP[[#This Row],[P.S]]-MIP[[#This Row],[P.E]]-1/24)</f>
        <v>0.36666666666666664</v>
      </c>
      <c r="Y546" s="39">
        <f>MIP[[#This Row],[PT-1]]*$S$3+MIP[[#This Row],[PT-2]]*$T$3+MIP[[#This Row],[PT-3]]*$U$3+MIP[[#This Row],[PT &gt; 3 Pontos]]*$V$3</f>
        <v>8.0992043522991636E-2</v>
      </c>
      <c r="Z546" s="39">
        <f>MIP[[#This Row],[HH disponível]]-MIP[[#This Row],[HH AC TOT]]</f>
        <v>0.32500000000000007</v>
      </c>
      <c r="AA546" s="38">
        <f>MIP[[#This Row],[HH Produtivo
Total]]/MIP[[#This Row],[HH Trabalhado]]</f>
        <v>0.24920628776305115</v>
      </c>
      <c r="AB546" s="38">
        <f>MIP[[#This Row],[HH Produtivo
Total]]/MIP[[#This Row],[HH disponível]]</f>
        <v>0.22088739142634084</v>
      </c>
      <c r="AC546" s="38">
        <f>MIP[[#This Row],[HH Trabalhado]]/MIP[[#This Row],[HH disponível]]</f>
        <v>0.88636363636363658</v>
      </c>
      <c r="AD546" s="37" t="str">
        <f>LEFT(MIP[[#This Row],[Equipe]], SEARCH("/",MIP[[#This Row],[Equipe]],1)-1)</f>
        <v xml:space="preserve">JOILSON </v>
      </c>
      <c r="AE546" s="37" t="str">
        <f>RIGHT(MIP[[#This Row],[Equipe]], LEN(MIP[[#This Row],[Equipe]])-SEARCH("/",MIP[[#This Row],[Equipe]],1))</f>
        <v xml:space="preserve"> HERVAL</v>
      </c>
      <c r="AF546" s="44">
        <f>COUNTIFS('[1]Tempo parado'!H:H,"&gt;="&amp;MIP[[#This Row],[S.B Sitrack]],'[1]Tempo parado'!I:I,"&lt;="&amp;MIP[[#This Row],[C.B Sitrack]],'[1]Tempo parado'!B:B,MIP[[#This Row],[Placa]])</f>
        <v>0</v>
      </c>
      <c r="AG546" s="36"/>
      <c r="AH546" s="35"/>
      <c r="AI546" s="34"/>
      <c r="AJ546" s="34"/>
      <c r="AK54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4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46" s="32">
        <f>SUMIFS('[1]Tempo parado'!J:J,'[1]Tempo parado'!H:H,"&gt;="&amp;MIP[[#This Row],[S.B Sitrack]],'[1]Tempo parado'!I:I,"&lt;="&amp;MIP[[#This Row],[C.B Sitrack]],'[1]Tempo parado'!B:B,MIP[[#This Row],[Placa]])</f>
        <v>0</v>
      </c>
      <c r="AN546" s="32" t="str">
        <f>IFERROR(MIP[[#This Row],[Tempo parado]]/(MIP[[#This Row],[C.B Sitrack]]-MIP[[#This Row],[S.B Sitrack]]),"")</f>
        <v/>
      </c>
      <c r="AO546" s="30"/>
      <c r="AP546" s="44">
        <f>IF(AND(MIP[Exc]=0,MIP[Previsto / Realizado]="Realizado"),MIP[Sem],0)</f>
        <v>0</v>
      </c>
      <c r="AQ546" s="29">
        <f>IF(AND(MIP[Exc]=0,MIP[Previsto / Realizado]="Realizado",ISBLANK(MIP[[#This Row],[S.B Sitrack]])=FALSE,ISBLANK(MIP[[#This Row],[C.B Sitrack]])=FALSE),MIP[Sem],0)</f>
        <v>0</v>
      </c>
    </row>
    <row r="547" spans="2:43" x14ac:dyDescent="0.25">
      <c r="B547" s="44">
        <f>WEEKNUM(MIP[[#This Row],[Data]])</f>
        <v>38</v>
      </c>
      <c r="C547" s="45">
        <v>42995</v>
      </c>
      <c r="D547" s="45"/>
      <c r="E547" s="35" t="s">
        <v>33</v>
      </c>
      <c r="F547" s="35" t="s">
        <v>2</v>
      </c>
      <c r="G547" s="35"/>
      <c r="H547" s="44">
        <v>2</v>
      </c>
      <c r="I547" s="44">
        <v>0</v>
      </c>
      <c r="J547" s="44">
        <v>0</v>
      </c>
      <c r="K547" s="44">
        <v>0</v>
      </c>
      <c r="L547" s="44">
        <v>4</v>
      </c>
      <c r="M547" s="43">
        <v>0.25347222222222221</v>
      </c>
      <c r="N547" s="43">
        <v>0.27569444444444446</v>
      </c>
      <c r="O547" s="43">
        <v>0.58819444444444446</v>
      </c>
      <c r="P547" s="43">
        <v>0.66875000000000007</v>
      </c>
      <c r="Q547" s="39"/>
      <c r="R547" s="42"/>
      <c r="S547" s="29">
        <f>MIP[[#This Row],[PT-1]]+MIP[[#This Row],[PT-2]]*2+MIP[[#This Row],[PT-3]]*3+MIP[[#This Row],[PT &gt; 3 Pontos]]</f>
        <v>4</v>
      </c>
      <c r="T54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0.10277777777777786</v>
      </c>
      <c r="U547" s="39">
        <f>IF(MIP[[#This Row],[P.S]]-MIP[[#This Row],[U.P]]&gt;=0,MIP[[#This Row],[P.S]]-MIP[[#This Row],[U.P]]+MIP[[#This Row],[S.B]]-MIP[[#This Row],[P.E]],1+MIP[[#This Row],[P.S]]-MIP[[#This Row],[U.P]]+MIP[[#This Row],[S.B]]-MIP[[#This Row],[P.E]])</f>
        <v>0.10277777777777786</v>
      </c>
      <c r="V547" s="41">
        <f>MIP[[#This Row],[Eficiência]]</f>
        <v>0.29904754531566147</v>
      </c>
      <c r="W54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47" s="39">
        <f>IF(MIP[[#This Row],[P.S]]-MIP[[#This Row],[P.E]]&lt;0,1+MIP[[#This Row],[P.S]]-MIP[[#This Row],[P.E]]-1/24,MIP[[#This Row],[P.S]]-MIP[[#This Row],[P.E]]-1/24)</f>
        <v>0.37361111111111117</v>
      </c>
      <c r="Y547" s="39">
        <f>MIP[[#This Row],[PT-1]]*$S$3+MIP[[#This Row],[PT-2]]*$T$3+MIP[[#This Row],[PT-3]]*$U$3+MIP[[#This Row],[PT &gt; 3 Pontos]]*$V$3</f>
        <v>8.0992043522991636E-2</v>
      </c>
      <c r="Z547" s="39">
        <f>MIP[[#This Row],[HH disponível]]-MIP[[#This Row],[HH AC TOT]]</f>
        <v>0.27083333333333331</v>
      </c>
      <c r="AA547" s="38">
        <f>MIP[[#This Row],[HH Produtivo
Total]]/MIP[[#This Row],[HH Trabalhado]]</f>
        <v>0.29904754531566147</v>
      </c>
      <c r="AB547" s="38">
        <f>MIP[[#This Row],[HH Produtivo
Total]]/MIP[[#This Row],[HH disponível]]</f>
        <v>0.21678167783105565</v>
      </c>
      <c r="AC547" s="38">
        <f>MIP[[#This Row],[HH Trabalhado]]/MIP[[#This Row],[HH disponível]]</f>
        <v>0.7249070631970258</v>
      </c>
      <c r="AD547" s="37" t="str">
        <f>LEFT(MIP[[#This Row],[Equipe]], SEARCH("/",MIP[[#This Row],[Equipe]],1)-1)</f>
        <v xml:space="preserve">JOILSON </v>
      </c>
      <c r="AE547" s="37" t="str">
        <f>RIGHT(MIP[[#This Row],[Equipe]], LEN(MIP[[#This Row],[Equipe]])-SEARCH("/",MIP[[#This Row],[Equipe]],1))</f>
        <v xml:space="preserve"> HERVAL</v>
      </c>
      <c r="AF547" s="44">
        <f>COUNTIFS('[1]Tempo parado'!H:H,"&gt;="&amp;MIP[[#This Row],[S.B Sitrack]],'[1]Tempo parado'!I:I,"&lt;="&amp;MIP[[#This Row],[C.B Sitrack]],'[1]Tempo parado'!B:B,MIP[[#This Row],[Placa]])</f>
        <v>0</v>
      </c>
      <c r="AG547" s="36"/>
      <c r="AH547" s="35"/>
      <c r="AI547" s="34"/>
      <c r="AJ547" s="34"/>
      <c r="AK54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4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47" s="32">
        <f>SUMIFS('[1]Tempo parado'!J:J,'[1]Tempo parado'!H:H,"&gt;="&amp;MIP[[#This Row],[S.B Sitrack]],'[1]Tempo parado'!I:I,"&lt;="&amp;MIP[[#This Row],[C.B Sitrack]],'[1]Tempo parado'!B:B,MIP[[#This Row],[Placa]])</f>
        <v>0</v>
      </c>
      <c r="AN547" s="32" t="str">
        <f>IFERROR(MIP[[#This Row],[Tempo parado]]/(MIP[[#This Row],[C.B Sitrack]]-MIP[[#This Row],[S.B Sitrack]]),"")</f>
        <v/>
      </c>
      <c r="AO547" s="30"/>
      <c r="AP547" s="44">
        <f>IF(AND(MIP[Exc]=0,MIP[Previsto / Realizado]="Realizado"),MIP[Sem],0)</f>
        <v>38</v>
      </c>
      <c r="AQ547" s="29">
        <f>IF(AND(MIP[Exc]=0,MIP[Previsto / Realizado]="Realizado",ISBLANK(MIP[[#This Row],[S.B Sitrack]])=FALSE,ISBLANK(MIP[[#This Row],[C.B Sitrack]])=FALSE),MIP[Sem],0)</f>
        <v>0</v>
      </c>
    </row>
    <row r="548" spans="2:43" x14ac:dyDescent="0.25">
      <c r="B548" s="44">
        <f>WEEKNUM(MIP[[#This Row],[Data]])</f>
        <v>38</v>
      </c>
      <c r="C548" s="45">
        <v>42995</v>
      </c>
      <c r="D548" s="45"/>
      <c r="E548" s="35" t="s">
        <v>19</v>
      </c>
      <c r="F548" s="35" t="s">
        <v>5</v>
      </c>
      <c r="G548" s="35"/>
      <c r="H548" s="44">
        <v>2</v>
      </c>
      <c r="I548" s="44">
        <v>0</v>
      </c>
      <c r="J548" s="44">
        <v>0</v>
      </c>
      <c r="K548" s="44">
        <v>0</v>
      </c>
      <c r="L548" s="44">
        <v>0</v>
      </c>
      <c r="M548" s="43">
        <v>0.625</v>
      </c>
      <c r="N548" s="43">
        <v>0.64583333333333337</v>
      </c>
      <c r="O548" s="43">
        <f>1+18/24/60</f>
        <v>1.0125</v>
      </c>
      <c r="P548" s="43">
        <f>1+48/24/60</f>
        <v>1.0333333333333334</v>
      </c>
      <c r="Q548" s="39"/>
      <c r="R548" s="42"/>
      <c r="S548" s="29">
        <f>MIP[[#This Row],[PT-1]]+MIP[[#This Row],[PT-2]]*2+MIP[[#This Row],[PT-3]]*3+MIP[[#This Row],[PT &gt; 3 Pontos]]</f>
        <v>0</v>
      </c>
      <c r="T54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548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548" s="41">
        <f>MIP[[#This Row],[Eficiência]]</f>
        <v>0</v>
      </c>
      <c r="W54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48" s="39">
        <f>IF(MIP[[#This Row],[P.S]]-MIP[[#This Row],[P.E]]&lt;0,1+MIP[[#This Row],[P.S]]-MIP[[#This Row],[P.E]]-1/24,MIP[[#This Row],[P.S]]-MIP[[#This Row],[P.E]]-1/24)</f>
        <v>0.36666666666666675</v>
      </c>
      <c r="Y548" s="39">
        <f>MIP[[#This Row],[PT-1]]*$S$3+MIP[[#This Row],[PT-2]]*$T$3+MIP[[#This Row],[PT-3]]*$U$3+MIP[[#This Row],[PT &gt; 3 Pontos]]*$V$3</f>
        <v>0</v>
      </c>
      <c r="Z548" s="39">
        <f>MIP[[#This Row],[HH disponível]]-MIP[[#This Row],[HH AC TOT]]</f>
        <v>0.3249999999999999</v>
      </c>
      <c r="AA548" s="38">
        <f>MIP[[#This Row],[HH Produtivo
Total]]/MIP[[#This Row],[HH Trabalhado]]</f>
        <v>0</v>
      </c>
      <c r="AB548" s="38">
        <f>MIP[[#This Row],[HH Produtivo
Total]]/MIP[[#This Row],[HH disponível]]</f>
        <v>0</v>
      </c>
      <c r="AC548" s="38">
        <f>MIP[[#This Row],[HH Trabalhado]]/MIP[[#This Row],[HH disponível]]</f>
        <v>0.88636363636363591</v>
      </c>
      <c r="AD548" s="37" t="str">
        <f>LEFT(MIP[[#This Row],[Equipe]], SEARCH("/",MIP[[#This Row],[Equipe]],1)-1)</f>
        <v xml:space="preserve">ADEMÁRIO </v>
      </c>
      <c r="AE548" s="37" t="str">
        <f>RIGHT(MIP[[#This Row],[Equipe]], LEN(MIP[[#This Row],[Equipe]])-SEARCH("/",MIP[[#This Row],[Equipe]],1))</f>
        <v xml:space="preserve"> RONALDO</v>
      </c>
      <c r="AF548" s="44">
        <f>COUNTIFS('[1]Tempo parado'!H:H,"&gt;="&amp;MIP[[#This Row],[S.B Sitrack]],'[1]Tempo parado'!I:I,"&lt;="&amp;MIP[[#This Row],[C.B Sitrack]],'[1]Tempo parado'!B:B,MIP[[#This Row],[Placa]])</f>
        <v>0</v>
      </c>
      <c r="AG548" s="36"/>
      <c r="AH548" s="35"/>
      <c r="AI548" s="34"/>
      <c r="AJ548" s="34"/>
      <c r="AK54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4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48" s="32">
        <f>SUMIFS('[1]Tempo parado'!J:J,'[1]Tempo parado'!H:H,"&gt;="&amp;MIP[[#This Row],[S.B Sitrack]],'[1]Tempo parado'!I:I,"&lt;="&amp;MIP[[#This Row],[C.B Sitrack]],'[1]Tempo parado'!B:B,MIP[[#This Row],[Placa]])</f>
        <v>0</v>
      </c>
      <c r="AN548" s="32" t="str">
        <f>IFERROR(MIP[[#This Row],[Tempo parado]]/(MIP[[#This Row],[C.B Sitrack]]-MIP[[#This Row],[S.B Sitrack]]),"")</f>
        <v/>
      </c>
      <c r="AO548" s="30"/>
      <c r="AP548" s="44">
        <f>IF(AND(MIP[Exc]=0,MIP[Previsto / Realizado]="Realizado"),MIP[Sem],0)</f>
        <v>0</v>
      </c>
      <c r="AQ548" s="29">
        <f>IF(AND(MIP[Exc]=0,MIP[Previsto / Realizado]="Realizado",ISBLANK(MIP[[#This Row],[S.B Sitrack]])=FALSE,ISBLANK(MIP[[#This Row],[C.B Sitrack]])=FALSE),MIP[Sem],0)</f>
        <v>0</v>
      </c>
    </row>
    <row r="549" spans="2:43" x14ac:dyDescent="0.25">
      <c r="B549" s="44">
        <f>WEEKNUM(MIP[[#This Row],[Data]])</f>
        <v>38</v>
      </c>
      <c r="C549" s="45">
        <v>42995</v>
      </c>
      <c r="D549" s="45"/>
      <c r="E549" s="35" t="s">
        <v>19</v>
      </c>
      <c r="F549" s="35" t="s">
        <v>2</v>
      </c>
      <c r="G549" s="35"/>
      <c r="H549" s="44">
        <v>2</v>
      </c>
      <c r="I549" s="44">
        <v>1</v>
      </c>
      <c r="J549" s="44">
        <v>1</v>
      </c>
      <c r="K549" s="44">
        <v>0</v>
      </c>
      <c r="L549" s="44">
        <v>7</v>
      </c>
      <c r="M549" s="43">
        <v>0.64652777777777781</v>
      </c>
      <c r="N549" s="43">
        <v>0.66666666666666663</v>
      </c>
      <c r="O549" s="43">
        <f>1+10/24/60</f>
        <v>1.0069444444444444</v>
      </c>
      <c r="P549" s="43">
        <f>1+60/24/60</f>
        <v>1.0416666666666667</v>
      </c>
      <c r="Q549" s="39"/>
      <c r="R549" s="42"/>
      <c r="S549" s="29">
        <f>MIP[[#This Row],[PT-1]]+MIP[[#This Row],[PT-2]]*2+MIP[[#This Row],[PT-3]]*3+MIP[[#This Row],[PT &gt; 3 Pontos]]</f>
        <v>10</v>
      </c>
      <c r="T54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5.4861111111111138E-2</v>
      </c>
      <c r="U549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5.4861111111111138E-2</v>
      </c>
      <c r="V549" s="41">
        <f>MIP[[#This Row],[Eficiência]]</f>
        <v>0.70550186308654483</v>
      </c>
      <c r="W54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49" s="39">
        <f>IF(MIP[[#This Row],[P.S]]-MIP[[#This Row],[P.E]]&lt;0,1+MIP[[#This Row],[P.S]]-MIP[[#This Row],[P.E]]-1/24,MIP[[#This Row],[P.S]]-MIP[[#This Row],[P.E]]-1/24)</f>
        <v>0.35347222222222224</v>
      </c>
      <c r="Y549" s="39">
        <f>MIP[[#This Row],[PT-1]]*$S$3+MIP[[#This Row],[PT-2]]*$T$3+MIP[[#This Row],[PT-3]]*$U$3+MIP[[#This Row],[PT &gt; 3 Pontos]]*$V$3</f>
        <v>0.21067069522723214</v>
      </c>
      <c r="Z549" s="39">
        <f>MIP[[#This Row],[HH disponível]]-MIP[[#This Row],[HH AC TOT]]</f>
        <v>0.2986111111111111</v>
      </c>
      <c r="AA549" s="38">
        <f>MIP[[#This Row],[HH Produtivo
Total]]/MIP[[#This Row],[HH Trabalhado]]</f>
        <v>0.70550186308654483</v>
      </c>
      <c r="AB549" s="38">
        <f>MIP[[#This Row],[HH Produtivo
Total]]/MIP[[#This Row],[HH disponível]]</f>
        <v>0.59600353856034238</v>
      </c>
      <c r="AC549" s="38">
        <f>MIP[[#This Row],[HH Trabalhado]]/MIP[[#This Row],[HH disponível]]</f>
        <v>0.84479371316306473</v>
      </c>
      <c r="AD549" s="37" t="str">
        <f>LEFT(MIP[[#This Row],[Equipe]], SEARCH("/",MIP[[#This Row],[Equipe]],1)-1)</f>
        <v xml:space="preserve">ADEMÁRIO </v>
      </c>
      <c r="AE549" s="37" t="str">
        <f>RIGHT(MIP[[#This Row],[Equipe]], LEN(MIP[[#This Row],[Equipe]])-SEARCH("/",MIP[[#This Row],[Equipe]],1))</f>
        <v xml:space="preserve"> RONALDO</v>
      </c>
      <c r="AF549" s="44">
        <f>COUNTIFS('[1]Tempo parado'!H:H,"&gt;="&amp;MIP[[#This Row],[S.B Sitrack]],'[1]Tempo parado'!I:I,"&lt;="&amp;MIP[[#This Row],[C.B Sitrack]],'[1]Tempo parado'!B:B,MIP[[#This Row],[Placa]])</f>
        <v>0</v>
      </c>
      <c r="AG549" s="36"/>
      <c r="AH549" s="35"/>
      <c r="AI549" s="34"/>
      <c r="AJ549" s="34"/>
      <c r="AK54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4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49" s="32">
        <f>SUMIFS('[1]Tempo parado'!J:J,'[1]Tempo parado'!H:H,"&gt;="&amp;MIP[[#This Row],[S.B Sitrack]],'[1]Tempo parado'!I:I,"&lt;="&amp;MIP[[#This Row],[C.B Sitrack]],'[1]Tempo parado'!B:B,MIP[[#This Row],[Placa]])</f>
        <v>0</v>
      </c>
      <c r="AN549" s="32" t="str">
        <f>IFERROR(MIP[[#This Row],[Tempo parado]]/(MIP[[#This Row],[C.B Sitrack]]-MIP[[#This Row],[S.B Sitrack]]),"")</f>
        <v/>
      </c>
      <c r="AO549" s="30"/>
      <c r="AP549" s="44">
        <f>IF(AND(MIP[Exc]=0,MIP[Previsto / Realizado]="Realizado"),MIP[Sem],0)</f>
        <v>38</v>
      </c>
      <c r="AQ549" s="29">
        <f>IF(AND(MIP[Exc]=0,MIP[Previsto / Realizado]="Realizado",ISBLANK(MIP[[#This Row],[S.B Sitrack]])=FALSE,ISBLANK(MIP[[#This Row],[C.B Sitrack]])=FALSE),MIP[Sem],0)</f>
        <v>0</v>
      </c>
    </row>
    <row r="550" spans="2:43" x14ac:dyDescent="0.25">
      <c r="B550" s="44">
        <f>WEEKNUM(MIP[[#This Row],[Data]])</f>
        <v>38</v>
      </c>
      <c r="C550" s="45">
        <v>42996</v>
      </c>
      <c r="D550" s="45"/>
      <c r="E550" s="35" t="s">
        <v>3</v>
      </c>
      <c r="F550" s="35" t="s">
        <v>5</v>
      </c>
      <c r="G550" s="35"/>
      <c r="H550" s="44">
        <v>2</v>
      </c>
      <c r="I550" s="44">
        <v>3</v>
      </c>
      <c r="J550" s="44">
        <v>1</v>
      </c>
      <c r="K550" s="44">
        <v>0</v>
      </c>
      <c r="L550" s="44">
        <v>4</v>
      </c>
      <c r="M550" s="43">
        <v>0.625</v>
      </c>
      <c r="N550" s="43">
        <v>0.64583333333333337</v>
      </c>
      <c r="O550" s="43">
        <f>1+18/24/60</f>
        <v>1.0125</v>
      </c>
      <c r="P550" s="43">
        <f>1+48/24/60</f>
        <v>1.0333333333333334</v>
      </c>
      <c r="Q550" s="39"/>
      <c r="R550" s="42"/>
      <c r="S550" s="29">
        <f>MIP[[#This Row],[PT-1]]+MIP[[#This Row],[PT-2]]*2+MIP[[#This Row],[PT-3]]*3+MIP[[#This Row],[PT &gt; 3 Pontos]]</f>
        <v>9</v>
      </c>
      <c r="T55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550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550" s="41">
        <f>MIP[[#This Row],[Eficiência]]</f>
        <v>0.61531805693188568</v>
      </c>
      <c r="W55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50" s="39">
        <f>IF(MIP[[#This Row],[P.S]]-MIP[[#This Row],[P.E]]&lt;0,1+MIP[[#This Row],[P.S]]-MIP[[#This Row],[P.E]]-1/24,MIP[[#This Row],[P.S]]-MIP[[#This Row],[P.E]]-1/24)</f>
        <v>0.36666666666666675</v>
      </c>
      <c r="Y550" s="39">
        <f>MIP[[#This Row],[PT-1]]*$S$3+MIP[[#This Row],[PT-2]]*$T$3+MIP[[#This Row],[PT-3]]*$U$3+MIP[[#This Row],[PT &gt; 3 Pontos]]*$V$3</f>
        <v>0.19997836850286277</v>
      </c>
      <c r="Z550" s="39">
        <f>MIP[[#This Row],[HH disponível]]-MIP[[#This Row],[HH AC TOT]]</f>
        <v>0.3249999999999999</v>
      </c>
      <c r="AA550" s="38">
        <f>MIP[[#This Row],[HH Produtivo
Total]]/MIP[[#This Row],[HH Trabalhado]]</f>
        <v>0.61531805693188568</v>
      </c>
      <c r="AB550" s="38">
        <f>MIP[[#This Row],[HH Produtivo
Total]]/MIP[[#This Row],[HH disponível]]</f>
        <v>0.54539555046235288</v>
      </c>
      <c r="AC550" s="38">
        <f>MIP[[#This Row],[HH Trabalhado]]/MIP[[#This Row],[HH disponível]]</f>
        <v>0.88636363636363591</v>
      </c>
      <c r="AD550" s="37" t="str">
        <f>LEFT(MIP[[#This Row],[Equipe]], SEARCH("/",MIP[[#This Row],[Equipe]],1)-1)</f>
        <v xml:space="preserve">EDILTON </v>
      </c>
      <c r="AE550" s="37" t="str">
        <f>RIGHT(MIP[[#This Row],[Equipe]], LEN(MIP[[#This Row],[Equipe]])-SEARCH("/",MIP[[#This Row],[Equipe]],1))</f>
        <v xml:space="preserve"> GECIVALDO</v>
      </c>
      <c r="AF550" s="44">
        <f>COUNTIFS('[1]Tempo parado'!H:H,"&gt;="&amp;MIP[[#This Row],[S.B Sitrack]],'[1]Tempo parado'!I:I,"&lt;="&amp;MIP[[#This Row],[C.B Sitrack]],'[1]Tempo parado'!B:B,MIP[[#This Row],[Placa]])</f>
        <v>0</v>
      </c>
      <c r="AG550" s="36"/>
      <c r="AH550" s="35"/>
      <c r="AI550" s="34"/>
      <c r="AJ550" s="34"/>
      <c r="AK55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5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50" s="32">
        <f>SUMIFS('[1]Tempo parado'!J:J,'[1]Tempo parado'!H:H,"&gt;="&amp;MIP[[#This Row],[S.B Sitrack]],'[1]Tempo parado'!I:I,"&lt;="&amp;MIP[[#This Row],[C.B Sitrack]],'[1]Tempo parado'!B:B,MIP[[#This Row],[Placa]])</f>
        <v>0</v>
      </c>
      <c r="AN550" s="32" t="str">
        <f>IFERROR(MIP[[#This Row],[Tempo parado]]/(MIP[[#This Row],[C.B Sitrack]]-MIP[[#This Row],[S.B Sitrack]]),"")</f>
        <v/>
      </c>
      <c r="AO550" s="30"/>
      <c r="AP550" s="44">
        <f>IF(AND(MIP[Exc]=0,MIP[Previsto / Realizado]="Realizado"),MIP[Sem],0)</f>
        <v>0</v>
      </c>
      <c r="AQ550" s="29">
        <f>IF(AND(MIP[Exc]=0,MIP[Previsto / Realizado]="Realizado",ISBLANK(MIP[[#This Row],[S.B Sitrack]])=FALSE,ISBLANK(MIP[[#This Row],[C.B Sitrack]])=FALSE),MIP[Sem],0)</f>
        <v>0</v>
      </c>
    </row>
    <row r="551" spans="2:43" x14ac:dyDescent="0.25">
      <c r="B551" s="44">
        <f>WEEKNUM(MIP[[#This Row],[Data]])</f>
        <v>38</v>
      </c>
      <c r="C551" s="45">
        <v>42996</v>
      </c>
      <c r="D551" s="45"/>
      <c r="E551" s="35" t="s">
        <v>3</v>
      </c>
      <c r="F551" s="35" t="s">
        <v>2</v>
      </c>
      <c r="G551" s="35"/>
      <c r="H551" s="44">
        <v>2</v>
      </c>
      <c r="I551" s="44">
        <v>4</v>
      </c>
      <c r="J551" s="44">
        <v>3</v>
      </c>
      <c r="K551" s="44">
        <v>0</v>
      </c>
      <c r="L551" s="44">
        <v>4</v>
      </c>
      <c r="M551" s="43">
        <v>0.6166666666666667</v>
      </c>
      <c r="N551" s="43">
        <v>0.67986111111111114</v>
      </c>
      <c r="O551" s="43">
        <v>0.99444444444444446</v>
      </c>
      <c r="P551" s="43">
        <f>1+48/24/60</f>
        <v>1.0333333333333334</v>
      </c>
      <c r="Q551" s="39"/>
      <c r="R551" s="42"/>
      <c r="S551" s="29">
        <f>MIP[[#This Row],[PT-1]]+MIP[[#This Row],[PT-2]]*2+MIP[[#This Row],[PT-3]]*3+MIP[[#This Row],[PT &gt; 3 Pontos]]</f>
        <v>14</v>
      </c>
      <c r="T55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0.10208333333333341</v>
      </c>
      <c r="U551" s="39">
        <f>IF(MIP[[#This Row],[P.S]]-MIP[[#This Row],[U.P]]&gt;=0,MIP[[#This Row],[P.S]]-MIP[[#This Row],[U.P]]+MIP[[#This Row],[S.B]]-MIP[[#This Row],[P.E]],1+MIP[[#This Row],[P.S]]-MIP[[#This Row],[U.P]]+MIP[[#This Row],[S.B]]-MIP[[#This Row],[P.E]])</f>
        <v>0.10208333333333341</v>
      </c>
      <c r="V551" s="41">
        <f>MIP[[#This Row],[Eficiência]]</f>
        <v>1.146217112676345</v>
      </c>
      <c r="W55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51" s="39">
        <f>IF(MIP[[#This Row],[P.S]]-MIP[[#This Row],[P.E]]&lt;0,1+MIP[[#This Row],[P.S]]-MIP[[#This Row],[P.E]]-1/24,MIP[[#This Row],[P.S]]-MIP[[#This Row],[P.E]]-1/24)</f>
        <v>0.37500000000000006</v>
      </c>
      <c r="Y551" s="39">
        <f>MIP[[#This Row],[PT-1]]*$S$3+MIP[[#This Row],[PT-2]]*$T$3+MIP[[#This Row],[PT-3]]*$U$3+MIP[[#This Row],[PT &gt; 3 Pontos]]*$V$3</f>
        <v>0.31282175366791909</v>
      </c>
      <c r="Z551" s="39">
        <f>MIP[[#This Row],[HH disponível]]-MIP[[#This Row],[HH AC TOT]]</f>
        <v>0.27291666666666664</v>
      </c>
      <c r="AA551" s="38">
        <f>MIP[[#This Row],[HH Produtivo
Total]]/MIP[[#This Row],[HH Trabalhado]]</f>
        <v>1.146217112676345</v>
      </c>
      <c r="AB551" s="38">
        <f>MIP[[#This Row],[HH Produtivo
Total]]/MIP[[#This Row],[HH disponível]]</f>
        <v>0.83419134311445076</v>
      </c>
      <c r="AC551" s="38">
        <f>MIP[[#This Row],[HH Trabalhado]]/MIP[[#This Row],[HH disponível]]</f>
        <v>0.72777777777777763</v>
      </c>
      <c r="AD551" s="37" t="str">
        <f>LEFT(MIP[[#This Row],[Equipe]], SEARCH("/",MIP[[#This Row],[Equipe]],1)-1)</f>
        <v xml:space="preserve">EDILTON </v>
      </c>
      <c r="AE551" s="37" t="str">
        <f>RIGHT(MIP[[#This Row],[Equipe]], LEN(MIP[[#This Row],[Equipe]])-SEARCH("/",MIP[[#This Row],[Equipe]],1))</f>
        <v xml:space="preserve"> GECIVALDO</v>
      </c>
      <c r="AF551" s="44">
        <f>COUNTIFS('[1]Tempo parado'!H:H,"&gt;="&amp;MIP[[#This Row],[S.B Sitrack]],'[1]Tempo parado'!I:I,"&lt;="&amp;MIP[[#This Row],[C.B Sitrack]],'[1]Tempo parado'!B:B,MIP[[#This Row],[Placa]])</f>
        <v>0</v>
      </c>
      <c r="AG551" s="36"/>
      <c r="AH551" s="35"/>
      <c r="AI551" s="34"/>
      <c r="AJ551" s="34"/>
      <c r="AK55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5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51" s="32">
        <f>SUMIFS('[1]Tempo parado'!J:J,'[1]Tempo parado'!H:H,"&gt;="&amp;MIP[[#This Row],[S.B Sitrack]],'[1]Tempo parado'!I:I,"&lt;="&amp;MIP[[#This Row],[C.B Sitrack]],'[1]Tempo parado'!B:B,MIP[[#This Row],[Placa]])</f>
        <v>0</v>
      </c>
      <c r="AN551" s="32" t="str">
        <f>IFERROR(MIP[[#This Row],[Tempo parado]]/(MIP[[#This Row],[C.B Sitrack]]-MIP[[#This Row],[S.B Sitrack]]),"")</f>
        <v/>
      </c>
      <c r="AO551" s="30"/>
      <c r="AP551" s="44">
        <f>IF(AND(MIP[Exc]=0,MIP[Previsto / Realizado]="Realizado"),MIP[Sem],0)</f>
        <v>38</v>
      </c>
      <c r="AQ551" s="29">
        <f>IF(AND(MIP[Exc]=0,MIP[Previsto / Realizado]="Realizado",ISBLANK(MIP[[#This Row],[S.B Sitrack]])=FALSE,ISBLANK(MIP[[#This Row],[C.B Sitrack]])=FALSE),MIP[Sem],0)</f>
        <v>0</v>
      </c>
    </row>
    <row r="552" spans="2:43" x14ac:dyDescent="0.25">
      <c r="B552" s="44">
        <f>WEEKNUM(MIP[[#This Row],[Data]])</f>
        <v>38</v>
      </c>
      <c r="C552" s="45">
        <v>42996</v>
      </c>
      <c r="D552" s="45"/>
      <c r="E552" s="35" t="s">
        <v>7</v>
      </c>
      <c r="F552" s="35" t="s">
        <v>5</v>
      </c>
      <c r="G552" s="35"/>
      <c r="H552" s="44">
        <v>2</v>
      </c>
      <c r="I552" s="44">
        <v>3</v>
      </c>
      <c r="J552" s="44">
        <v>1</v>
      </c>
      <c r="K552" s="44">
        <v>0</v>
      </c>
      <c r="L552" s="44">
        <v>5</v>
      </c>
      <c r="M552" s="43">
        <v>0.625</v>
      </c>
      <c r="N552" s="43">
        <v>0.64583333333333337</v>
      </c>
      <c r="O552" s="43">
        <f>1+18/24/60</f>
        <v>1.0125</v>
      </c>
      <c r="P552" s="43">
        <f>1+48/24/60</f>
        <v>1.0333333333333334</v>
      </c>
      <c r="Q552" s="39"/>
      <c r="R552" s="42"/>
      <c r="S552" s="29">
        <f>MIP[[#This Row],[PT-1]]+MIP[[#This Row],[PT-2]]*2+MIP[[#This Row],[PT-3]]*3+MIP[[#This Row],[PT &gt; 3 Pontos]]</f>
        <v>10</v>
      </c>
      <c r="T55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552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552" s="41">
        <f>MIP[[#This Row],[Eficiência]]</f>
        <v>0.67761962887264837</v>
      </c>
      <c r="W55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52" s="39">
        <f>IF(MIP[[#This Row],[P.S]]-MIP[[#This Row],[P.E]]&lt;0,1+MIP[[#This Row],[P.S]]-MIP[[#This Row],[P.E]]-1/24,MIP[[#This Row],[P.S]]-MIP[[#This Row],[P.E]]-1/24)</f>
        <v>0.36666666666666675</v>
      </c>
      <c r="Y552" s="39">
        <f>MIP[[#This Row],[PT-1]]*$S$3+MIP[[#This Row],[PT-2]]*$T$3+MIP[[#This Row],[PT-3]]*$U$3+MIP[[#This Row],[PT &gt; 3 Pontos]]*$V$3</f>
        <v>0.22022637938361067</v>
      </c>
      <c r="Z552" s="39">
        <f>MIP[[#This Row],[HH disponível]]-MIP[[#This Row],[HH AC TOT]]</f>
        <v>0.3249999999999999</v>
      </c>
      <c r="AA552" s="38">
        <f>MIP[[#This Row],[HH Produtivo
Total]]/MIP[[#This Row],[HH Trabalhado]]</f>
        <v>0.67761962887264837</v>
      </c>
      <c r="AB552" s="38">
        <f>MIP[[#This Row],[HH Produtivo
Total]]/MIP[[#This Row],[HH disponível]]</f>
        <v>0.60061739831893801</v>
      </c>
      <c r="AC552" s="38">
        <f>MIP[[#This Row],[HH Trabalhado]]/MIP[[#This Row],[HH disponível]]</f>
        <v>0.88636363636363591</v>
      </c>
      <c r="AD552" s="37" t="str">
        <f>LEFT(MIP[[#This Row],[Equipe]], SEARCH("/",MIP[[#This Row],[Equipe]],1)-1)</f>
        <v xml:space="preserve">ANDERSON </v>
      </c>
      <c r="AE552" s="37" t="str">
        <f>RIGHT(MIP[[#This Row],[Equipe]], LEN(MIP[[#This Row],[Equipe]])-SEARCH("/",MIP[[#This Row],[Equipe]],1))</f>
        <v xml:space="preserve"> MARCO</v>
      </c>
      <c r="AF552" s="44">
        <f>COUNTIFS('[1]Tempo parado'!H:H,"&gt;="&amp;MIP[[#This Row],[S.B Sitrack]],'[1]Tempo parado'!I:I,"&lt;="&amp;MIP[[#This Row],[C.B Sitrack]],'[1]Tempo parado'!B:B,MIP[[#This Row],[Placa]])</f>
        <v>0</v>
      </c>
      <c r="AG552" s="36"/>
      <c r="AH552" s="35"/>
      <c r="AI552" s="34"/>
      <c r="AJ552" s="34"/>
      <c r="AK55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5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52" s="32">
        <f>SUMIFS('[1]Tempo parado'!J:J,'[1]Tempo parado'!H:H,"&gt;="&amp;MIP[[#This Row],[S.B Sitrack]],'[1]Tempo parado'!I:I,"&lt;="&amp;MIP[[#This Row],[C.B Sitrack]],'[1]Tempo parado'!B:B,MIP[[#This Row],[Placa]])</f>
        <v>0</v>
      </c>
      <c r="AN552" s="32" t="str">
        <f>IFERROR(MIP[[#This Row],[Tempo parado]]/(MIP[[#This Row],[C.B Sitrack]]-MIP[[#This Row],[S.B Sitrack]]),"")</f>
        <v/>
      </c>
      <c r="AO552" s="30"/>
      <c r="AP552" s="44">
        <f>IF(AND(MIP[Exc]=0,MIP[Previsto / Realizado]="Realizado"),MIP[Sem],0)</f>
        <v>0</v>
      </c>
      <c r="AQ552" s="29">
        <f>IF(AND(MIP[Exc]=0,MIP[Previsto / Realizado]="Realizado",ISBLANK(MIP[[#This Row],[S.B Sitrack]])=FALSE,ISBLANK(MIP[[#This Row],[C.B Sitrack]])=FALSE),MIP[Sem],0)</f>
        <v>0</v>
      </c>
    </row>
    <row r="553" spans="2:43" x14ac:dyDescent="0.25">
      <c r="B553" s="44">
        <f>WEEKNUM(MIP[[#This Row],[Data]])</f>
        <v>38</v>
      </c>
      <c r="C553" s="45">
        <v>42996</v>
      </c>
      <c r="D553" s="45"/>
      <c r="E553" s="35" t="s">
        <v>7</v>
      </c>
      <c r="F553" s="35" t="s">
        <v>2</v>
      </c>
      <c r="G553" s="35"/>
      <c r="H553" s="44">
        <v>2</v>
      </c>
      <c r="I553" s="44">
        <v>10</v>
      </c>
      <c r="J553" s="44">
        <v>2</v>
      </c>
      <c r="K553" s="44">
        <v>0</v>
      </c>
      <c r="L553" s="44">
        <v>5</v>
      </c>
      <c r="M553" s="43">
        <v>0.62083333333333335</v>
      </c>
      <c r="N553" s="43">
        <v>0.66805555555555562</v>
      </c>
      <c r="O553" s="43">
        <f>1+25/24/60</f>
        <v>1.0173611111111112</v>
      </c>
      <c r="P553" s="43">
        <f>1+48/24/60</f>
        <v>1.0333333333333334</v>
      </c>
      <c r="Q553" s="39"/>
      <c r="R553" s="42"/>
      <c r="S553" s="29">
        <f>MIP[[#This Row],[PT-1]]+MIP[[#This Row],[PT-2]]*2+MIP[[#This Row],[PT-3]]*3+MIP[[#This Row],[PT &gt; 3 Pontos]]</f>
        <v>19</v>
      </c>
      <c r="T55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6.3194444444444553E-2</v>
      </c>
      <c r="U553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6.3194444444444553E-2</v>
      </c>
      <c r="V553" s="41">
        <f>MIP[[#This Row],[Eficiência]]</f>
        <v>1.4280252987063025</v>
      </c>
      <c r="W55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53" s="39">
        <f>IF(MIP[[#This Row],[P.S]]-MIP[[#This Row],[P.E]]&lt;0,1+MIP[[#This Row],[P.S]]-MIP[[#This Row],[P.E]]-1/24,MIP[[#This Row],[P.S]]-MIP[[#This Row],[P.E]]-1/24)</f>
        <v>0.3708333333333334</v>
      </c>
      <c r="Y553" s="39">
        <f>MIP[[#This Row],[PT-1]]*$S$3+MIP[[#This Row],[PT-2]]*$T$3+MIP[[#This Row],[PT-3]]*$U$3+MIP[[#This Row],[PT &gt; 3 Pontos]]*$V$3</f>
        <v>0.4393161161992305</v>
      </c>
      <c r="Z553" s="39">
        <f>MIP[[#This Row],[HH disponível]]-MIP[[#This Row],[HH AC TOT]]</f>
        <v>0.30763888888888885</v>
      </c>
      <c r="AA553" s="38">
        <f>MIP[[#This Row],[HH Produtivo
Total]]/MIP[[#This Row],[HH Trabalhado]]</f>
        <v>1.4280252987063025</v>
      </c>
      <c r="AB553" s="38">
        <f>MIP[[#This Row],[HH Produtivo
Total]]/MIP[[#This Row],[HH disponível]]</f>
        <v>1.1846726728968011</v>
      </c>
      <c r="AC553" s="38">
        <f>MIP[[#This Row],[HH Trabalhado]]/MIP[[#This Row],[HH disponível]]</f>
        <v>0.8295880149812731</v>
      </c>
      <c r="AD553" s="37" t="str">
        <f>LEFT(MIP[[#This Row],[Equipe]], SEARCH("/",MIP[[#This Row],[Equipe]],1)-1)</f>
        <v xml:space="preserve">ANDERSON </v>
      </c>
      <c r="AE553" s="37" t="str">
        <f>RIGHT(MIP[[#This Row],[Equipe]], LEN(MIP[[#This Row],[Equipe]])-SEARCH("/",MIP[[#This Row],[Equipe]],1))</f>
        <v xml:space="preserve"> MARCO</v>
      </c>
      <c r="AF553" s="44">
        <f>COUNTIFS('[1]Tempo parado'!H:H,"&gt;="&amp;MIP[[#This Row],[S.B Sitrack]],'[1]Tempo parado'!I:I,"&lt;="&amp;MIP[[#This Row],[C.B Sitrack]],'[1]Tempo parado'!B:B,MIP[[#This Row],[Placa]])</f>
        <v>0</v>
      </c>
      <c r="AG553" s="36"/>
      <c r="AH553" s="35"/>
      <c r="AI553" s="34"/>
      <c r="AJ553" s="34"/>
      <c r="AK55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5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53" s="32">
        <f>SUMIFS('[1]Tempo parado'!J:J,'[1]Tempo parado'!H:H,"&gt;="&amp;MIP[[#This Row],[S.B Sitrack]],'[1]Tempo parado'!I:I,"&lt;="&amp;MIP[[#This Row],[C.B Sitrack]],'[1]Tempo parado'!B:B,MIP[[#This Row],[Placa]])</f>
        <v>0</v>
      </c>
      <c r="AN553" s="32" t="str">
        <f>IFERROR(MIP[[#This Row],[Tempo parado]]/(MIP[[#This Row],[C.B Sitrack]]-MIP[[#This Row],[S.B Sitrack]]),"")</f>
        <v/>
      </c>
      <c r="AO553" s="30"/>
      <c r="AP553" s="44">
        <f>IF(AND(MIP[Exc]=0,MIP[Previsto / Realizado]="Realizado"),MIP[Sem],0)</f>
        <v>38</v>
      </c>
      <c r="AQ553" s="29">
        <f>IF(AND(MIP[Exc]=0,MIP[Previsto / Realizado]="Realizado",ISBLANK(MIP[[#This Row],[S.B Sitrack]])=FALSE,ISBLANK(MIP[[#This Row],[C.B Sitrack]])=FALSE),MIP[Sem],0)</f>
        <v>0</v>
      </c>
    </row>
    <row r="554" spans="2:43" x14ac:dyDescent="0.25">
      <c r="B554" s="44">
        <f>WEEKNUM(MIP[[#This Row],[Data]])</f>
        <v>38</v>
      </c>
      <c r="C554" s="45">
        <v>42996</v>
      </c>
      <c r="D554" s="45"/>
      <c r="E554" s="35" t="s">
        <v>19</v>
      </c>
      <c r="F554" s="35" t="s">
        <v>5</v>
      </c>
      <c r="G554" s="35"/>
      <c r="H554" s="44">
        <v>2</v>
      </c>
      <c r="I554" s="44">
        <v>0</v>
      </c>
      <c r="J554" s="44">
        <v>0</v>
      </c>
      <c r="K554" s="44">
        <v>0</v>
      </c>
      <c r="L554" s="44">
        <v>0</v>
      </c>
      <c r="M554" s="43">
        <v>0.625</v>
      </c>
      <c r="N554" s="43">
        <v>0.64583333333333337</v>
      </c>
      <c r="O554" s="43">
        <f>1+18/24/60</f>
        <v>1.0125</v>
      </c>
      <c r="P554" s="43">
        <f>1+48/24/60</f>
        <v>1.0333333333333334</v>
      </c>
      <c r="Q554" s="39"/>
      <c r="R554" s="42"/>
      <c r="S554" s="29">
        <f>MIP[[#This Row],[PT-1]]+MIP[[#This Row],[PT-2]]*2+MIP[[#This Row],[PT-3]]*3+MIP[[#This Row],[PT &gt; 3 Pontos]]</f>
        <v>0</v>
      </c>
      <c r="T55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554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554" s="41">
        <f>MIP[[#This Row],[Eficiência]]</f>
        <v>0</v>
      </c>
      <c r="W55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54" s="39">
        <f>IF(MIP[[#This Row],[P.S]]-MIP[[#This Row],[P.E]]&lt;0,1+MIP[[#This Row],[P.S]]-MIP[[#This Row],[P.E]]-1/24,MIP[[#This Row],[P.S]]-MIP[[#This Row],[P.E]]-1/24)</f>
        <v>0.36666666666666675</v>
      </c>
      <c r="Y554" s="39">
        <f>MIP[[#This Row],[PT-1]]*$S$3+MIP[[#This Row],[PT-2]]*$T$3+MIP[[#This Row],[PT-3]]*$U$3+MIP[[#This Row],[PT &gt; 3 Pontos]]*$V$3</f>
        <v>0</v>
      </c>
      <c r="Z554" s="39">
        <f>MIP[[#This Row],[HH disponível]]-MIP[[#This Row],[HH AC TOT]]</f>
        <v>0.3249999999999999</v>
      </c>
      <c r="AA554" s="38">
        <f>MIP[[#This Row],[HH Produtivo
Total]]/MIP[[#This Row],[HH Trabalhado]]</f>
        <v>0</v>
      </c>
      <c r="AB554" s="38">
        <f>MIP[[#This Row],[HH Produtivo
Total]]/MIP[[#This Row],[HH disponível]]</f>
        <v>0</v>
      </c>
      <c r="AC554" s="38">
        <f>MIP[[#This Row],[HH Trabalhado]]/MIP[[#This Row],[HH disponível]]</f>
        <v>0.88636363636363591</v>
      </c>
      <c r="AD554" s="37" t="str">
        <f>LEFT(MIP[[#This Row],[Equipe]], SEARCH("/",MIP[[#This Row],[Equipe]],1)-1)</f>
        <v xml:space="preserve">ADEMÁRIO </v>
      </c>
      <c r="AE554" s="37" t="str">
        <f>RIGHT(MIP[[#This Row],[Equipe]], LEN(MIP[[#This Row],[Equipe]])-SEARCH("/",MIP[[#This Row],[Equipe]],1))</f>
        <v xml:space="preserve"> RONALDO</v>
      </c>
      <c r="AF554" s="44">
        <f>COUNTIFS('[1]Tempo parado'!H:H,"&gt;="&amp;MIP[[#This Row],[S.B Sitrack]],'[1]Tempo parado'!I:I,"&lt;="&amp;MIP[[#This Row],[C.B Sitrack]],'[1]Tempo parado'!B:B,MIP[[#This Row],[Placa]])</f>
        <v>0</v>
      </c>
      <c r="AG554" s="36"/>
      <c r="AH554" s="35"/>
      <c r="AI554" s="34"/>
      <c r="AJ554" s="34"/>
      <c r="AK55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5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54" s="32">
        <f>SUMIFS('[1]Tempo parado'!J:J,'[1]Tempo parado'!H:H,"&gt;="&amp;MIP[[#This Row],[S.B Sitrack]],'[1]Tempo parado'!I:I,"&lt;="&amp;MIP[[#This Row],[C.B Sitrack]],'[1]Tempo parado'!B:B,MIP[[#This Row],[Placa]])</f>
        <v>0</v>
      </c>
      <c r="AN554" s="32" t="str">
        <f>IFERROR(MIP[[#This Row],[Tempo parado]]/(MIP[[#This Row],[C.B Sitrack]]-MIP[[#This Row],[S.B Sitrack]]),"")</f>
        <v/>
      </c>
      <c r="AO554" s="30"/>
      <c r="AP554" s="44">
        <f>IF(AND(MIP[Exc]=0,MIP[Previsto / Realizado]="Realizado"),MIP[Sem],0)</f>
        <v>0</v>
      </c>
      <c r="AQ554" s="29">
        <f>IF(AND(MIP[Exc]=0,MIP[Previsto / Realizado]="Realizado",ISBLANK(MIP[[#This Row],[S.B Sitrack]])=FALSE,ISBLANK(MIP[[#This Row],[C.B Sitrack]])=FALSE),MIP[Sem],0)</f>
        <v>0</v>
      </c>
    </row>
    <row r="555" spans="2:43" x14ac:dyDescent="0.25">
      <c r="B555" s="44">
        <f>WEEKNUM(MIP[[#This Row],[Data]])</f>
        <v>38</v>
      </c>
      <c r="C555" s="45">
        <v>42996</v>
      </c>
      <c r="D555" s="45"/>
      <c r="E555" s="35" t="s">
        <v>19</v>
      </c>
      <c r="F555" s="35" t="s">
        <v>2</v>
      </c>
      <c r="G555" s="35"/>
      <c r="H555" s="44">
        <v>2</v>
      </c>
      <c r="I555" s="44">
        <v>0</v>
      </c>
      <c r="J555" s="44">
        <v>0</v>
      </c>
      <c r="K555" s="44">
        <v>0</v>
      </c>
      <c r="L555" s="44">
        <v>17</v>
      </c>
      <c r="M555" s="43">
        <v>0.64374999999999993</v>
      </c>
      <c r="N555" s="43">
        <v>0.66666666666666663</v>
      </c>
      <c r="O555" s="43">
        <f>1+32/24/60</f>
        <v>1.0222222222222221</v>
      </c>
      <c r="P555" s="43">
        <f>1+64/24/60</f>
        <v>1.0444444444444445</v>
      </c>
      <c r="Q555" s="39"/>
      <c r="R555" s="42"/>
      <c r="S555" s="29">
        <f>MIP[[#This Row],[PT-1]]+MIP[[#This Row],[PT-2]]*2+MIP[[#This Row],[PT-3]]*3+MIP[[#This Row],[PT &gt; 3 Pontos]]</f>
        <v>17</v>
      </c>
      <c r="T55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4.5138888888889062E-2</v>
      </c>
      <c r="U555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4.5138888888889062E-2</v>
      </c>
      <c r="V555" s="41">
        <f>MIP[[#This Row],[Eficiência]]</f>
        <v>1.0966179344263471</v>
      </c>
      <c r="W55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55" s="39">
        <f>IF(MIP[[#This Row],[P.S]]-MIP[[#This Row],[P.E]]&lt;0,1+MIP[[#This Row],[P.S]]-MIP[[#This Row],[P.E]]-1/24,MIP[[#This Row],[P.S]]-MIP[[#This Row],[P.E]]-1/24)</f>
        <v>0.35902777777777789</v>
      </c>
      <c r="Y555" s="39">
        <f>MIP[[#This Row],[PT-1]]*$S$3+MIP[[#This Row],[PT-2]]*$T$3+MIP[[#This Row],[PT-3]]*$U$3+MIP[[#This Row],[PT &gt; 3 Pontos]]*$V$3</f>
        <v>0.34421618497271445</v>
      </c>
      <c r="Z555" s="39">
        <f>MIP[[#This Row],[HH disponível]]-MIP[[#This Row],[HH AC TOT]]</f>
        <v>0.31388888888888883</v>
      </c>
      <c r="AA555" s="38">
        <f>MIP[[#This Row],[HH Produtivo
Total]]/MIP[[#This Row],[HH Trabalhado]]</f>
        <v>1.0966179344263471</v>
      </c>
      <c r="AB555" s="38">
        <f>MIP[[#This Row],[HH Produtivo
Total]]/MIP[[#This Row],[HH disponível]]</f>
        <v>0.9587452734249684</v>
      </c>
      <c r="AC555" s="38">
        <f>MIP[[#This Row],[HH Trabalhado]]/MIP[[#This Row],[HH disponível]]</f>
        <v>0.87427466150870359</v>
      </c>
      <c r="AD555" s="37" t="str">
        <f>LEFT(MIP[[#This Row],[Equipe]], SEARCH("/",MIP[[#This Row],[Equipe]],1)-1)</f>
        <v xml:space="preserve">ADEMÁRIO </v>
      </c>
      <c r="AE555" s="37" t="str">
        <f>RIGHT(MIP[[#This Row],[Equipe]], LEN(MIP[[#This Row],[Equipe]])-SEARCH("/",MIP[[#This Row],[Equipe]],1))</f>
        <v xml:space="preserve"> RONALDO</v>
      </c>
      <c r="AF555" s="44">
        <f>COUNTIFS('[1]Tempo parado'!H:H,"&gt;="&amp;MIP[[#This Row],[S.B Sitrack]],'[1]Tempo parado'!I:I,"&lt;="&amp;MIP[[#This Row],[C.B Sitrack]],'[1]Tempo parado'!B:B,MIP[[#This Row],[Placa]])</f>
        <v>0</v>
      </c>
      <c r="AG555" s="36"/>
      <c r="AH555" s="35"/>
      <c r="AI555" s="34"/>
      <c r="AJ555" s="34"/>
      <c r="AK55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5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55" s="32">
        <f>SUMIFS('[1]Tempo parado'!J:J,'[1]Tempo parado'!H:H,"&gt;="&amp;MIP[[#This Row],[S.B Sitrack]],'[1]Tempo parado'!I:I,"&lt;="&amp;MIP[[#This Row],[C.B Sitrack]],'[1]Tempo parado'!B:B,MIP[[#This Row],[Placa]])</f>
        <v>0</v>
      </c>
      <c r="AN555" s="32" t="str">
        <f>IFERROR(MIP[[#This Row],[Tempo parado]]/(MIP[[#This Row],[C.B Sitrack]]-MIP[[#This Row],[S.B Sitrack]]),"")</f>
        <v/>
      </c>
      <c r="AO555" s="30"/>
      <c r="AP555" s="44">
        <f>IF(AND(MIP[Exc]=0,MIP[Previsto / Realizado]="Realizado"),MIP[Sem],0)</f>
        <v>38</v>
      </c>
      <c r="AQ555" s="29">
        <f>IF(AND(MIP[Exc]=0,MIP[Previsto / Realizado]="Realizado",ISBLANK(MIP[[#This Row],[S.B Sitrack]])=FALSE,ISBLANK(MIP[[#This Row],[C.B Sitrack]])=FALSE),MIP[Sem],0)</f>
        <v>0</v>
      </c>
    </row>
    <row r="556" spans="2:43" x14ac:dyDescent="0.25">
      <c r="B556" s="44">
        <f>WEEKNUM(MIP[[#This Row],[Data]])</f>
        <v>38</v>
      </c>
      <c r="C556" s="45">
        <v>42997</v>
      </c>
      <c r="D556" s="45"/>
      <c r="E556" s="35" t="s">
        <v>33</v>
      </c>
      <c r="F556" s="35" t="s">
        <v>5</v>
      </c>
      <c r="G556" s="35"/>
      <c r="H556" s="44">
        <v>2</v>
      </c>
      <c r="I556" s="44">
        <v>3</v>
      </c>
      <c r="J556" s="44">
        <v>1</v>
      </c>
      <c r="K556" s="44">
        <v>0</v>
      </c>
      <c r="L556" s="44">
        <v>0</v>
      </c>
      <c r="M556" s="43">
        <v>0.25</v>
      </c>
      <c r="N556" s="43">
        <v>0.27083333333333331</v>
      </c>
      <c r="O556" s="43">
        <v>0.63750000000000007</v>
      </c>
      <c r="P556" s="43">
        <v>0.65833333333333333</v>
      </c>
      <c r="Q556" s="39"/>
      <c r="R556" s="42" t="s">
        <v>233</v>
      </c>
      <c r="S556" s="29">
        <f>MIP[[#This Row],[PT-1]]+MIP[[#This Row],[PT-2]]*2+MIP[[#This Row],[PT-3]]*3+MIP[[#This Row],[PT &gt; 3 Pontos]]</f>
        <v>5</v>
      </c>
      <c r="T55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556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556" s="41">
        <f>MIP[[#This Row],[Eficiência]]</f>
        <v>0.3661117691688342</v>
      </c>
      <c r="W55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56" s="39">
        <f>IF(MIP[[#This Row],[P.S]]-MIP[[#This Row],[P.E]]&lt;0,1+MIP[[#This Row],[P.S]]-MIP[[#This Row],[P.E]]-1/24,MIP[[#This Row],[P.S]]-MIP[[#This Row],[P.E]]-1/24)</f>
        <v>0.36666666666666664</v>
      </c>
      <c r="Y556" s="39">
        <f>MIP[[#This Row],[PT-1]]*$S$3+MIP[[#This Row],[PT-2]]*$T$3+MIP[[#This Row],[PT-3]]*$U$3+MIP[[#This Row],[PT &gt; 3 Pontos]]*$V$3</f>
        <v>0.11898632497987113</v>
      </c>
      <c r="Z556" s="39">
        <f>MIP[[#This Row],[HH disponível]]-MIP[[#This Row],[HH AC TOT]]</f>
        <v>0.32500000000000007</v>
      </c>
      <c r="AA556" s="38">
        <f>MIP[[#This Row],[HH Produtivo
Total]]/MIP[[#This Row],[HH Trabalhado]]</f>
        <v>0.3661117691688342</v>
      </c>
      <c r="AB556" s="38">
        <f>MIP[[#This Row],[HH Produtivo
Total]]/MIP[[#This Row],[HH disponível]]</f>
        <v>0.32450815903601221</v>
      </c>
      <c r="AC556" s="38">
        <f>MIP[[#This Row],[HH Trabalhado]]/MIP[[#This Row],[HH disponível]]</f>
        <v>0.88636363636363658</v>
      </c>
      <c r="AD556" s="37" t="str">
        <f>LEFT(MIP[[#This Row],[Equipe]], SEARCH("/",MIP[[#This Row],[Equipe]],1)-1)</f>
        <v xml:space="preserve">JOILSON </v>
      </c>
      <c r="AE556" s="37" t="str">
        <f>RIGHT(MIP[[#This Row],[Equipe]], LEN(MIP[[#This Row],[Equipe]])-SEARCH("/",MIP[[#This Row],[Equipe]],1))</f>
        <v xml:space="preserve"> HERVAL</v>
      </c>
      <c r="AF556" s="44">
        <f>COUNTIFS('[1]Tempo parado'!H:H,"&gt;="&amp;MIP[[#This Row],[S.B Sitrack]],'[1]Tempo parado'!I:I,"&lt;="&amp;MIP[[#This Row],[C.B Sitrack]],'[1]Tempo parado'!B:B,MIP[[#This Row],[Placa]])</f>
        <v>0</v>
      </c>
      <c r="AG556" s="36"/>
      <c r="AH556" s="35"/>
      <c r="AI556" s="34"/>
      <c r="AJ556" s="34"/>
      <c r="AK55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5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56" s="32">
        <f>SUMIFS('[1]Tempo parado'!J:J,'[1]Tempo parado'!H:H,"&gt;="&amp;MIP[[#This Row],[S.B Sitrack]],'[1]Tempo parado'!I:I,"&lt;="&amp;MIP[[#This Row],[C.B Sitrack]],'[1]Tempo parado'!B:B,MIP[[#This Row],[Placa]])</f>
        <v>0</v>
      </c>
      <c r="AN556" s="32" t="str">
        <f>IFERROR(MIP[[#This Row],[Tempo parado]]/(MIP[[#This Row],[C.B Sitrack]]-MIP[[#This Row],[S.B Sitrack]]),"")</f>
        <v/>
      </c>
      <c r="AO556" s="30"/>
      <c r="AP556" s="44">
        <f>IF(AND(MIP[Exc]=0,MIP[Previsto / Realizado]="Realizado"),MIP[Sem],0)</f>
        <v>0</v>
      </c>
      <c r="AQ556" s="29">
        <f>IF(AND(MIP[Exc]=0,MIP[Previsto / Realizado]="Realizado",ISBLANK(MIP[[#This Row],[S.B Sitrack]])=FALSE,ISBLANK(MIP[[#This Row],[C.B Sitrack]])=FALSE),MIP[Sem],0)</f>
        <v>0</v>
      </c>
    </row>
    <row r="557" spans="2:43" x14ac:dyDescent="0.25">
      <c r="B557" s="44">
        <f>WEEKNUM(MIP[[#This Row],[Data]])</f>
        <v>38</v>
      </c>
      <c r="C557" s="45">
        <v>42997</v>
      </c>
      <c r="D557" s="45"/>
      <c r="E557" s="35" t="s">
        <v>33</v>
      </c>
      <c r="F557" s="35" t="s">
        <v>2</v>
      </c>
      <c r="G557" s="35"/>
      <c r="H557" s="44">
        <v>2</v>
      </c>
      <c r="I557" s="44">
        <v>3</v>
      </c>
      <c r="J557" s="44">
        <v>0</v>
      </c>
      <c r="K557" s="44">
        <v>0</v>
      </c>
      <c r="L557" s="44">
        <v>0</v>
      </c>
      <c r="M557" s="43">
        <v>0.26041666666666669</v>
      </c>
      <c r="N557" s="43">
        <v>0.28819444444444448</v>
      </c>
      <c r="O557" s="43">
        <v>0.59166666666666667</v>
      </c>
      <c r="P557" s="43">
        <v>0.66249999999999998</v>
      </c>
      <c r="Q557" s="39">
        <v>6.6666666666666666E-2</v>
      </c>
      <c r="R557" s="42" t="s">
        <v>232</v>
      </c>
      <c r="S557" s="29">
        <f>MIP[[#This Row],[PT-1]]+MIP[[#This Row],[PT-2]]*2+MIP[[#This Row],[PT-3]]*3+MIP[[#This Row],[PT &gt; 3 Pontos]]</f>
        <v>3</v>
      </c>
      <c r="T55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0.16527777777777775</v>
      </c>
      <c r="U557" s="39">
        <f>IF(MIP[[#This Row],[P.S]]-MIP[[#This Row],[U.P]]&gt;=0,MIP[[#This Row],[P.S]]-MIP[[#This Row],[U.P]]+MIP[[#This Row],[S.B]]-MIP[[#This Row],[P.E]],1+MIP[[#This Row],[P.S]]-MIP[[#This Row],[U.P]]+MIP[[#This Row],[S.B]]-MIP[[#This Row],[P.E]])</f>
        <v>9.8611111111111094E-2</v>
      </c>
      <c r="V557" s="41">
        <f>MIP[[#This Row],[Eficiência]]</f>
        <v>0.38473909175305565</v>
      </c>
      <c r="W55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57" s="39">
        <f>IF(MIP[[#This Row],[P.S]]-MIP[[#This Row],[P.E]]&lt;0,1+MIP[[#This Row],[P.S]]-MIP[[#This Row],[P.E]]-1/24,MIP[[#This Row],[P.S]]-MIP[[#This Row],[P.E]]-1/24)</f>
        <v>0.36041666666666661</v>
      </c>
      <c r="Y557" s="39">
        <f>MIP[[#This Row],[PT-1]]*$S$3+MIP[[#This Row],[PT-2]]*$T$3+MIP[[#This Row],[PT-3]]*$U$3+MIP[[#This Row],[PT &gt; 3 Pontos]]*$V$3</f>
        <v>7.5077558876811543E-2</v>
      </c>
      <c r="Z557" s="39">
        <f>MIP[[#This Row],[HH disponível]]-MIP[[#This Row],[HH AC TOT]]</f>
        <v>0.19513888888888886</v>
      </c>
      <c r="AA557" s="38">
        <f>MIP[[#This Row],[HH Produtivo
Total]]/MIP[[#This Row],[HH Trabalhado]]</f>
        <v>0.38473909175305565</v>
      </c>
      <c r="AB557" s="38">
        <f>MIP[[#This Row],[HH Produtivo
Total]]/MIP[[#This Row],[HH disponível]]</f>
        <v>0.20830767780849449</v>
      </c>
      <c r="AC557" s="38">
        <f>MIP[[#This Row],[HH Trabalhado]]/MIP[[#This Row],[HH disponível]]</f>
        <v>0.54142581888246633</v>
      </c>
      <c r="AD557" s="37" t="str">
        <f>LEFT(MIP[[#This Row],[Equipe]], SEARCH("/",MIP[[#This Row],[Equipe]],1)-1)</f>
        <v xml:space="preserve">JOILSON </v>
      </c>
      <c r="AE557" s="37" t="str">
        <f>RIGHT(MIP[[#This Row],[Equipe]], LEN(MIP[[#This Row],[Equipe]])-SEARCH("/",MIP[[#This Row],[Equipe]],1))</f>
        <v xml:space="preserve"> HERVAL</v>
      </c>
      <c r="AF557" s="44">
        <f>COUNTIFS('[1]Tempo parado'!H:H,"&gt;="&amp;MIP[[#This Row],[S.B Sitrack]],'[1]Tempo parado'!I:I,"&lt;="&amp;MIP[[#This Row],[C.B Sitrack]],'[1]Tempo parado'!B:B,MIP[[#This Row],[Placa]])</f>
        <v>0</v>
      </c>
      <c r="AG557" s="36"/>
      <c r="AH557" s="35"/>
      <c r="AI557" s="34"/>
      <c r="AJ557" s="34"/>
      <c r="AK55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5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57" s="32">
        <f>SUMIFS('[1]Tempo parado'!J:J,'[1]Tempo parado'!H:H,"&gt;="&amp;MIP[[#This Row],[S.B Sitrack]],'[1]Tempo parado'!I:I,"&lt;="&amp;MIP[[#This Row],[C.B Sitrack]],'[1]Tempo parado'!B:B,MIP[[#This Row],[Placa]])</f>
        <v>0</v>
      </c>
      <c r="AN557" s="32" t="str">
        <f>IFERROR(MIP[[#This Row],[Tempo parado]]/(MIP[[#This Row],[C.B Sitrack]]-MIP[[#This Row],[S.B Sitrack]]),"")</f>
        <v/>
      </c>
      <c r="AO557" s="30"/>
      <c r="AP557" s="44">
        <f>IF(AND(MIP[Exc]=0,MIP[Previsto / Realizado]="Realizado"),MIP[Sem],0)</f>
        <v>38</v>
      </c>
      <c r="AQ557" s="29">
        <f>IF(AND(MIP[Exc]=0,MIP[Previsto / Realizado]="Realizado",ISBLANK(MIP[[#This Row],[S.B Sitrack]])=FALSE,ISBLANK(MIP[[#This Row],[C.B Sitrack]])=FALSE),MIP[Sem],0)</f>
        <v>0</v>
      </c>
    </row>
    <row r="558" spans="2:43" x14ac:dyDescent="0.25">
      <c r="B558" s="44">
        <f>WEEKNUM(MIP[[#This Row],[Data]])</f>
        <v>38</v>
      </c>
      <c r="C558" s="45">
        <v>42997</v>
      </c>
      <c r="D558" s="45"/>
      <c r="E558" s="35" t="s">
        <v>3</v>
      </c>
      <c r="F558" s="35" t="s">
        <v>5</v>
      </c>
      <c r="G558" s="35"/>
      <c r="H558" s="44">
        <v>2</v>
      </c>
      <c r="I558" s="44">
        <v>7</v>
      </c>
      <c r="J558" s="44">
        <v>2</v>
      </c>
      <c r="K558" s="44">
        <v>1</v>
      </c>
      <c r="L558" s="44">
        <v>0</v>
      </c>
      <c r="M558" s="43">
        <v>0.625</v>
      </c>
      <c r="N558" s="43">
        <v>0.64583333333333337</v>
      </c>
      <c r="O558" s="43">
        <f>1+18/24/60</f>
        <v>1.0125</v>
      </c>
      <c r="P558" s="43">
        <f>1+48/24/60</f>
        <v>1.0333333333333334</v>
      </c>
      <c r="Q558" s="39"/>
      <c r="R558" s="42" t="s">
        <v>36</v>
      </c>
      <c r="S558" s="29">
        <f>MIP[[#This Row],[PT-1]]+MIP[[#This Row],[PT-2]]*2+MIP[[#This Row],[PT-3]]*3+MIP[[#This Row],[PT &gt; 3 Pontos]]</f>
        <v>14</v>
      </c>
      <c r="T55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558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558" s="41">
        <f>MIP[[#This Row],[Eficiência]]</f>
        <v>1.0024313297411123</v>
      </c>
      <c r="W55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58" s="39">
        <f>IF(MIP[[#This Row],[P.S]]-MIP[[#This Row],[P.E]]&lt;0,1+MIP[[#This Row],[P.S]]-MIP[[#This Row],[P.E]]-1/24,MIP[[#This Row],[P.S]]-MIP[[#This Row],[P.E]]-1/24)</f>
        <v>0.36666666666666675</v>
      </c>
      <c r="Y558" s="39">
        <f>MIP[[#This Row],[PT-1]]*$S$3+MIP[[#This Row],[PT-2]]*$T$3+MIP[[#This Row],[PT-3]]*$U$3+MIP[[#This Row],[PT &gt; 3 Pontos]]*$V$3</f>
        <v>0.32579018216586142</v>
      </c>
      <c r="Z558" s="39">
        <f>MIP[[#This Row],[HH disponível]]-MIP[[#This Row],[HH AC TOT]]</f>
        <v>0.3249999999999999</v>
      </c>
      <c r="AA558" s="38">
        <f>MIP[[#This Row],[HH Produtivo
Total]]/MIP[[#This Row],[HH Trabalhado]]</f>
        <v>1.0024313297411123</v>
      </c>
      <c r="AB558" s="38">
        <f>MIP[[#This Row],[HH Produtivo
Total]]/MIP[[#This Row],[HH disponível]]</f>
        <v>0.88851867863416734</v>
      </c>
      <c r="AC558" s="38">
        <f>MIP[[#This Row],[HH Trabalhado]]/MIP[[#This Row],[HH disponível]]</f>
        <v>0.88636363636363591</v>
      </c>
      <c r="AD558" s="37" t="str">
        <f>LEFT(MIP[[#This Row],[Equipe]], SEARCH("/",MIP[[#This Row],[Equipe]],1)-1)</f>
        <v xml:space="preserve">EDILTON </v>
      </c>
      <c r="AE558" s="37" t="str">
        <f>RIGHT(MIP[[#This Row],[Equipe]], LEN(MIP[[#This Row],[Equipe]])-SEARCH("/",MIP[[#This Row],[Equipe]],1))</f>
        <v xml:space="preserve"> GECIVALDO</v>
      </c>
      <c r="AF558" s="44">
        <f>COUNTIFS('[1]Tempo parado'!H:H,"&gt;="&amp;MIP[[#This Row],[S.B Sitrack]],'[1]Tempo parado'!I:I,"&lt;="&amp;MIP[[#This Row],[C.B Sitrack]],'[1]Tempo parado'!B:B,MIP[[#This Row],[Placa]])</f>
        <v>0</v>
      </c>
      <c r="AG558" s="36"/>
      <c r="AH558" s="35"/>
      <c r="AI558" s="34"/>
      <c r="AJ558" s="34"/>
      <c r="AK55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5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58" s="32">
        <f>SUMIFS('[1]Tempo parado'!J:J,'[1]Tempo parado'!H:H,"&gt;="&amp;MIP[[#This Row],[S.B Sitrack]],'[1]Tempo parado'!I:I,"&lt;="&amp;MIP[[#This Row],[C.B Sitrack]],'[1]Tempo parado'!B:B,MIP[[#This Row],[Placa]])</f>
        <v>0</v>
      </c>
      <c r="AN558" s="32" t="str">
        <f>IFERROR(MIP[[#This Row],[Tempo parado]]/(MIP[[#This Row],[C.B Sitrack]]-MIP[[#This Row],[S.B Sitrack]]),"")</f>
        <v/>
      </c>
      <c r="AO558" s="30"/>
      <c r="AP558" s="44">
        <f>IF(AND(MIP[Exc]=0,MIP[Previsto / Realizado]="Realizado"),MIP[Sem],0)</f>
        <v>0</v>
      </c>
      <c r="AQ558" s="29">
        <f>IF(AND(MIP[Exc]=0,MIP[Previsto / Realizado]="Realizado",ISBLANK(MIP[[#This Row],[S.B Sitrack]])=FALSE,ISBLANK(MIP[[#This Row],[C.B Sitrack]])=FALSE),MIP[Sem],0)</f>
        <v>0</v>
      </c>
    </row>
    <row r="559" spans="2:43" x14ac:dyDescent="0.25">
      <c r="B559" s="44">
        <f>WEEKNUM(MIP[[#This Row],[Data]])</f>
        <v>38</v>
      </c>
      <c r="C559" s="45">
        <v>42997</v>
      </c>
      <c r="D559" s="45"/>
      <c r="E559" s="35" t="s">
        <v>3</v>
      </c>
      <c r="F559" s="35" t="s">
        <v>2</v>
      </c>
      <c r="G559" s="35"/>
      <c r="H559" s="44">
        <v>2</v>
      </c>
      <c r="I559" s="44">
        <v>7</v>
      </c>
      <c r="J559" s="44">
        <v>2</v>
      </c>
      <c r="K559" s="44">
        <v>1</v>
      </c>
      <c r="L559" s="44">
        <v>0</v>
      </c>
      <c r="M559" s="43">
        <v>0.62430555555555556</v>
      </c>
      <c r="N559" s="43">
        <v>0.66319444444444442</v>
      </c>
      <c r="O559" s="43">
        <f>1+17/24/60</f>
        <v>1.0118055555555556</v>
      </c>
      <c r="P559" s="43">
        <f>1+44/24/60</f>
        <v>1.0305555555555554</v>
      </c>
      <c r="Q559" s="39"/>
      <c r="R559" s="42"/>
      <c r="S559" s="29">
        <f>MIP[[#This Row],[PT-1]]+MIP[[#This Row],[PT-2]]*2+MIP[[#This Row],[PT-3]]*3+MIP[[#This Row],[PT &gt; 3 Pontos]]</f>
        <v>14</v>
      </c>
      <c r="T55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5.7638888888888684E-2</v>
      </c>
      <c r="U559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5.7638888888888684E-2</v>
      </c>
      <c r="V559" s="41">
        <f>MIP[[#This Row],[Eficiência]]</f>
        <v>1.0613978785494125</v>
      </c>
      <c r="W55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59" s="39">
        <f>IF(MIP[[#This Row],[P.S]]-MIP[[#This Row],[P.E]]&lt;0,1+MIP[[#This Row],[P.S]]-MIP[[#This Row],[P.E]]-1/24,MIP[[#This Row],[P.S]]-MIP[[#This Row],[P.E]]-1/24)</f>
        <v>0.3645833333333332</v>
      </c>
      <c r="Y559" s="39">
        <f>MIP[[#This Row],[PT-1]]*$S$3+MIP[[#This Row],[PT-2]]*$T$3+MIP[[#This Row],[PT-3]]*$U$3+MIP[[#This Row],[PT &gt; 3 Pontos]]*$V$3</f>
        <v>0.32579018216586142</v>
      </c>
      <c r="Z559" s="39">
        <f>MIP[[#This Row],[HH disponível]]-MIP[[#This Row],[HH AC TOT]]</f>
        <v>0.30694444444444452</v>
      </c>
      <c r="AA559" s="38">
        <f>MIP[[#This Row],[HH Produtivo
Total]]/MIP[[#This Row],[HH Trabalhado]]</f>
        <v>1.0613978785494125</v>
      </c>
      <c r="AB559" s="38">
        <f>MIP[[#This Row],[HH Produtivo
Total]]/MIP[[#This Row],[HH disponível]]</f>
        <v>0.89359592822636302</v>
      </c>
      <c r="AC559" s="38">
        <f>MIP[[#This Row],[HH Trabalhado]]/MIP[[#This Row],[HH disponível]]</f>
        <v>0.84190476190476238</v>
      </c>
      <c r="AD559" s="37" t="str">
        <f>LEFT(MIP[[#This Row],[Equipe]], SEARCH("/",MIP[[#This Row],[Equipe]],1)-1)</f>
        <v xml:space="preserve">EDILTON </v>
      </c>
      <c r="AE559" s="37" t="str">
        <f>RIGHT(MIP[[#This Row],[Equipe]], LEN(MIP[[#This Row],[Equipe]])-SEARCH("/",MIP[[#This Row],[Equipe]],1))</f>
        <v xml:space="preserve"> GECIVALDO</v>
      </c>
      <c r="AF559" s="44">
        <f>COUNTIFS('[1]Tempo parado'!H:H,"&gt;="&amp;MIP[[#This Row],[S.B Sitrack]],'[1]Tempo parado'!I:I,"&lt;="&amp;MIP[[#This Row],[C.B Sitrack]],'[1]Tempo parado'!B:B,MIP[[#This Row],[Placa]])</f>
        <v>0</v>
      </c>
      <c r="AG559" s="36"/>
      <c r="AH559" s="35"/>
      <c r="AI559" s="34"/>
      <c r="AJ559" s="34"/>
      <c r="AK55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5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59" s="32">
        <f>SUMIFS('[1]Tempo parado'!J:J,'[1]Tempo parado'!H:H,"&gt;="&amp;MIP[[#This Row],[S.B Sitrack]],'[1]Tempo parado'!I:I,"&lt;="&amp;MIP[[#This Row],[C.B Sitrack]],'[1]Tempo parado'!B:B,MIP[[#This Row],[Placa]])</f>
        <v>0</v>
      </c>
      <c r="AN559" s="32" t="str">
        <f>IFERROR(MIP[[#This Row],[Tempo parado]]/(MIP[[#This Row],[C.B Sitrack]]-MIP[[#This Row],[S.B Sitrack]]),"")</f>
        <v/>
      </c>
      <c r="AO559" s="30"/>
      <c r="AP559" s="44">
        <f>IF(AND(MIP[Exc]=0,MIP[Previsto / Realizado]="Realizado"),MIP[Sem],0)</f>
        <v>38</v>
      </c>
      <c r="AQ559" s="29">
        <f>IF(AND(MIP[Exc]=0,MIP[Previsto / Realizado]="Realizado",ISBLANK(MIP[[#This Row],[S.B Sitrack]])=FALSE,ISBLANK(MIP[[#This Row],[C.B Sitrack]])=FALSE),MIP[Sem],0)</f>
        <v>0</v>
      </c>
    </row>
    <row r="560" spans="2:43" x14ac:dyDescent="0.25">
      <c r="B560" s="44">
        <f>WEEKNUM(MIP[[#This Row],[Data]])</f>
        <v>38</v>
      </c>
      <c r="C560" s="45">
        <v>42997</v>
      </c>
      <c r="D560" s="45"/>
      <c r="E560" s="35" t="s">
        <v>7</v>
      </c>
      <c r="F560" s="35" t="s">
        <v>5</v>
      </c>
      <c r="G560" s="35"/>
      <c r="H560" s="44">
        <v>2</v>
      </c>
      <c r="I560" s="44">
        <v>1</v>
      </c>
      <c r="J560" s="44">
        <v>3</v>
      </c>
      <c r="K560" s="44">
        <v>0</v>
      </c>
      <c r="L560" s="44">
        <v>4</v>
      </c>
      <c r="M560" s="43">
        <v>0.625</v>
      </c>
      <c r="N560" s="43">
        <v>0.64583333333333337</v>
      </c>
      <c r="O560" s="43">
        <f>1+18/24/60</f>
        <v>1.0125</v>
      </c>
      <c r="P560" s="43">
        <f>1+48/24/60</f>
        <v>1.0333333333333334</v>
      </c>
      <c r="Q560" s="39"/>
      <c r="R560" s="42" t="s">
        <v>36</v>
      </c>
      <c r="S560" s="29">
        <f>MIP[[#This Row],[PT-1]]+MIP[[#This Row],[PT-2]]*2+MIP[[#This Row],[PT-3]]*3+MIP[[#This Row],[PT &gt; 3 Pontos]]</f>
        <v>11</v>
      </c>
      <c r="T56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560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560" s="41">
        <f>MIP[[#This Row],[Eficiência]]</f>
        <v>0.73152059935725422</v>
      </c>
      <c r="W56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60" s="39">
        <f>IF(MIP[[#This Row],[P.S]]-MIP[[#This Row],[P.E]]&lt;0,1+MIP[[#This Row],[P.S]]-MIP[[#This Row],[P.E]]-1/24,MIP[[#This Row],[P.S]]-MIP[[#This Row],[P.E]]-1/24)</f>
        <v>0.36666666666666675</v>
      </c>
      <c r="Y560" s="39">
        <f>MIP[[#This Row],[PT-1]]*$S$3+MIP[[#This Row],[PT-2]]*$T$3+MIP[[#This Row],[PT-3]]*$U$3+MIP[[#This Row],[PT &gt; 3 Pontos]]*$V$3</f>
        <v>0.23774419479110756</v>
      </c>
      <c r="Z560" s="39">
        <f>MIP[[#This Row],[HH disponível]]-MIP[[#This Row],[HH AC TOT]]</f>
        <v>0.3249999999999999</v>
      </c>
      <c r="AA560" s="38">
        <f>MIP[[#This Row],[HH Produtivo
Total]]/MIP[[#This Row],[HH Trabalhado]]</f>
        <v>0.73152059935725422</v>
      </c>
      <c r="AB560" s="38">
        <f>MIP[[#This Row],[HH Produtivo
Total]]/MIP[[#This Row],[HH disponível]]</f>
        <v>0.64839325852120233</v>
      </c>
      <c r="AC560" s="38">
        <f>MIP[[#This Row],[HH Trabalhado]]/MIP[[#This Row],[HH disponível]]</f>
        <v>0.88636363636363591</v>
      </c>
      <c r="AD560" s="37" t="str">
        <f>LEFT(MIP[[#This Row],[Equipe]], SEARCH("/",MIP[[#This Row],[Equipe]],1)-1)</f>
        <v xml:space="preserve">ANDERSON </v>
      </c>
      <c r="AE560" s="37" t="str">
        <f>RIGHT(MIP[[#This Row],[Equipe]], LEN(MIP[[#This Row],[Equipe]])-SEARCH("/",MIP[[#This Row],[Equipe]],1))</f>
        <v xml:space="preserve"> MARCO</v>
      </c>
      <c r="AF560" s="44">
        <f>COUNTIFS('[1]Tempo parado'!H:H,"&gt;="&amp;MIP[[#This Row],[S.B Sitrack]],'[1]Tempo parado'!I:I,"&lt;="&amp;MIP[[#This Row],[C.B Sitrack]],'[1]Tempo parado'!B:B,MIP[[#This Row],[Placa]])</f>
        <v>0</v>
      </c>
      <c r="AG560" s="36"/>
      <c r="AH560" s="35"/>
      <c r="AI560" s="34"/>
      <c r="AJ560" s="34"/>
      <c r="AK56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6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60" s="32">
        <f>SUMIFS('[1]Tempo parado'!J:J,'[1]Tempo parado'!H:H,"&gt;="&amp;MIP[[#This Row],[S.B Sitrack]],'[1]Tempo parado'!I:I,"&lt;="&amp;MIP[[#This Row],[C.B Sitrack]],'[1]Tempo parado'!B:B,MIP[[#This Row],[Placa]])</f>
        <v>0</v>
      </c>
      <c r="AN560" s="32" t="str">
        <f>IFERROR(MIP[[#This Row],[Tempo parado]]/(MIP[[#This Row],[C.B Sitrack]]-MIP[[#This Row],[S.B Sitrack]]),"")</f>
        <v/>
      </c>
      <c r="AO560" s="30"/>
      <c r="AP560" s="44">
        <f>IF(AND(MIP[Exc]=0,MIP[Previsto / Realizado]="Realizado"),MIP[Sem],0)</f>
        <v>0</v>
      </c>
      <c r="AQ560" s="29">
        <f>IF(AND(MIP[Exc]=0,MIP[Previsto / Realizado]="Realizado",ISBLANK(MIP[[#This Row],[S.B Sitrack]])=FALSE,ISBLANK(MIP[[#This Row],[C.B Sitrack]])=FALSE),MIP[Sem],0)</f>
        <v>0</v>
      </c>
    </row>
    <row r="561" spans="2:43" x14ac:dyDescent="0.25">
      <c r="B561" s="44">
        <f>WEEKNUM(MIP[[#This Row],[Data]])</f>
        <v>38</v>
      </c>
      <c r="C561" s="45">
        <v>42997</v>
      </c>
      <c r="D561" s="45"/>
      <c r="E561" s="35" t="s">
        <v>7</v>
      </c>
      <c r="F561" s="35" t="s">
        <v>2</v>
      </c>
      <c r="G561" s="35"/>
      <c r="H561" s="44">
        <v>2</v>
      </c>
      <c r="I561" s="44">
        <v>2</v>
      </c>
      <c r="J561" s="44">
        <v>4</v>
      </c>
      <c r="K561" s="44">
        <v>0</v>
      </c>
      <c r="L561" s="44">
        <v>4</v>
      </c>
      <c r="M561" s="43">
        <v>0.6333333333333333</v>
      </c>
      <c r="N561" s="43">
        <v>0.65972222222222221</v>
      </c>
      <c r="O561" s="43">
        <f>1+10/24/60</f>
        <v>1.0069444444444444</v>
      </c>
      <c r="P561" s="43">
        <f>1+48/24/60</f>
        <v>1.0333333333333334</v>
      </c>
      <c r="Q561" s="39"/>
      <c r="R561" s="42" t="s">
        <v>34</v>
      </c>
      <c r="S561" s="29">
        <f>MIP[[#This Row],[PT-1]]+MIP[[#This Row],[PT-2]]*2+MIP[[#This Row],[PT-3]]*3+MIP[[#This Row],[PT &gt; 3 Pontos]]</f>
        <v>14</v>
      </c>
      <c r="T56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5.2777777777777923E-2</v>
      </c>
      <c r="U561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5.2777777777777923E-2</v>
      </c>
      <c r="V561" s="41">
        <f>MIP[[#This Row],[Eficiência]]</f>
        <v>1.0036761180647054</v>
      </c>
      <c r="W56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61" s="39">
        <f>IF(MIP[[#This Row],[P.S]]-MIP[[#This Row],[P.E]]&lt;0,1+MIP[[#This Row],[P.S]]-MIP[[#This Row],[P.E]]-1/24,MIP[[#This Row],[P.S]]-MIP[[#This Row],[P.E]]-1/24)</f>
        <v>0.35833333333333345</v>
      </c>
      <c r="Y561" s="39">
        <f>MIP[[#This Row],[PT-1]]*$S$3+MIP[[#This Row],[PT-2]]*$T$3+MIP[[#This Row],[PT-3]]*$U$3+MIP[[#This Row],[PT &gt; 3 Pontos]]*$V$3</f>
        <v>0.30667881385310436</v>
      </c>
      <c r="Z561" s="39">
        <f>MIP[[#This Row],[HH disponível]]-MIP[[#This Row],[HH AC TOT]]</f>
        <v>0.30555555555555552</v>
      </c>
      <c r="AA561" s="38">
        <f>MIP[[#This Row],[HH Produtivo
Total]]/MIP[[#This Row],[HH Trabalhado]]</f>
        <v>1.0036761180647054</v>
      </c>
      <c r="AB561" s="38">
        <f>MIP[[#This Row],[HH Produtivo
Total]]/MIP[[#This Row],[HH disponível]]</f>
        <v>0.8558478526133142</v>
      </c>
      <c r="AC561" s="38">
        <f>MIP[[#This Row],[HH Trabalhado]]/MIP[[#This Row],[HH disponível]]</f>
        <v>0.85271317829457327</v>
      </c>
      <c r="AD561" s="37" t="str">
        <f>LEFT(MIP[[#This Row],[Equipe]], SEARCH("/",MIP[[#This Row],[Equipe]],1)-1)</f>
        <v xml:space="preserve">ANDERSON </v>
      </c>
      <c r="AE561" s="37" t="str">
        <f>RIGHT(MIP[[#This Row],[Equipe]], LEN(MIP[[#This Row],[Equipe]])-SEARCH("/",MIP[[#This Row],[Equipe]],1))</f>
        <v xml:space="preserve"> MARCO</v>
      </c>
      <c r="AF561" s="44">
        <f>COUNTIFS('[1]Tempo parado'!H:H,"&gt;="&amp;MIP[[#This Row],[S.B Sitrack]],'[1]Tempo parado'!I:I,"&lt;="&amp;MIP[[#This Row],[C.B Sitrack]],'[1]Tempo parado'!B:B,MIP[[#This Row],[Placa]])</f>
        <v>0</v>
      </c>
      <c r="AG561" s="36"/>
      <c r="AH561" s="35"/>
      <c r="AI561" s="34"/>
      <c r="AJ561" s="34"/>
      <c r="AK56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6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61" s="32">
        <f>SUMIFS('[1]Tempo parado'!J:J,'[1]Tempo parado'!H:H,"&gt;="&amp;MIP[[#This Row],[S.B Sitrack]],'[1]Tempo parado'!I:I,"&lt;="&amp;MIP[[#This Row],[C.B Sitrack]],'[1]Tempo parado'!B:B,MIP[[#This Row],[Placa]])</f>
        <v>0</v>
      </c>
      <c r="AN561" s="32" t="str">
        <f>IFERROR(MIP[[#This Row],[Tempo parado]]/(MIP[[#This Row],[C.B Sitrack]]-MIP[[#This Row],[S.B Sitrack]]),"")</f>
        <v/>
      </c>
      <c r="AO561" s="30"/>
      <c r="AP561" s="44">
        <f>IF(AND(MIP[Exc]=0,MIP[Previsto / Realizado]="Realizado"),MIP[Sem],0)</f>
        <v>38</v>
      </c>
      <c r="AQ561" s="29">
        <f>IF(AND(MIP[Exc]=0,MIP[Previsto / Realizado]="Realizado",ISBLANK(MIP[[#This Row],[S.B Sitrack]])=FALSE,ISBLANK(MIP[[#This Row],[C.B Sitrack]])=FALSE),MIP[Sem],0)</f>
        <v>0</v>
      </c>
    </row>
    <row r="562" spans="2:43" x14ac:dyDescent="0.25">
      <c r="B562" s="44">
        <f>WEEKNUM(MIP[[#This Row],[Data]])</f>
        <v>38</v>
      </c>
      <c r="C562" s="45">
        <v>42998</v>
      </c>
      <c r="D562" s="45"/>
      <c r="E562" s="35" t="s">
        <v>33</v>
      </c>
      <c r="F562" s="35" t="s">
        <v>5</v>
      </c>
      <c r="G562" s="35"/>
      <c r="H562" s="44">
        <v>2</v>
      </c>
      <c r="I562" s="44">
        <v>3</v>
      </c>
      <c r="J562" s="44">
        <v>0</v>
      </c>
      <c r="K562" s="44">
        <v>0</v>
      </c>
      <c r="L562" s="44">
        <v>0</v>
      </c>
      <c r="M562" s="43">
        <v>0.25</v>
      </c>
      <c r="N562" s="43">
        <v>0.27083333333333331</v>
      </c>
      <c r="O562" s="43">
        <v>0.63750000000000007</v>
      </c>
      <c r="P562" s="43">
        <v>0.65833333333333333</v>
      </c>
      <c r="Q562" s="39"/>
      <c r="R562" s="42" t="s">
        <v>231</v>
      </c>
      <c r="S562" s="29">
        <f>MIP[[#This Row],[PT-1]]+MIP[[#This Row],[PT-2]]*2+MIP[[#This Row],[PT-3]]*3+MIP[[#This Row],[PT &gt; 3 Pontos]]</f>
        <v>3</v>
      </c>
      <c r="T56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562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562" s="41">
        <f>MIP[[#This Row],[Eficiência]]</f>
        <v>0.23100787346711238</v>
      </c>
      <c r="W56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62" s="39">
        <f>IF(MIP[[#This Row],[P.S]]-MIP[[#This Row],[P.E]]&lt;0,1+MIP[[#This Row],[P.S]]-MIP[[#This Row],[P.E]]-1/24,MIP[[#This Row],[P.S]]-MIP[[#This Row],[P.E]]-1/24)</f>
        <v>0.36666666666666664</v>
      </c>
      <c r="Y562" s="39">
        <f>MIP[[#This Row],[PT-1]]*$S$3+MIP[[#This Row],[PT-2]]*$T$3+MIP[[#This Row],[PT-3]]*$U$3+MIP[[#This Row],[PT &gt; 3 Pontos]]*$V$3</f>
        <v>7.5077558876811543E-2</v>
      </c>
      <c r="Z562" s="39">
        <f>MIP[[#This Row],[HH disponível]]-MIP[[#This Row],[HH AC TOT]]</f>
        <v>0.32500000000000007</v>
      </c>
      <c r="AA562" s="38">
        <f>MIP[[#This Row],[HH Produtivo
Total]]/MIP[[#This Row],[HH Trabalhado]]</f>
        <v>0.23100787346711238</v>
      </c>
      <c r="AB562" s="38">
        <f>MIP[[#This Row],[HH Produtivo
Total]]/MIP[[#This Row],[HH disponível]]</f>
        <v>0.20475697875494059</v>
      </c>
      <c r="AC562" s="38">
        <f>MIP[[#This Row],[HH Trabalhado]]/MIP[[#This Row],[HH disponível]]</f>
        <v>0.88636363636363658</v>
      </c>
      <c r="AD562" s="37" t="str">
        <f>LEFT(MIP[[#This Row],[Equipe]], SEARCH("/",MIP[[#This Row],[Equipe]],1)-1)</f>
        <v xml:space="preserve">JOILSON </v>
      </c>
      <c r="AE562" s="37" t="str">
        <f>RIGHT(MIP[[#This Row],[Equipe]], LEN(MIP[[#This Row],[Equipe]])-SEARCH("/",MIP[[#This Row],[Equipe]],1))</f>
        <v xml:space="preserve"> HERVAL</v>
      </c>
      <c r="AF562" s="44">
        <f>COUNTIFS('[1]Tempo parado'!H:H,"&gt;="&amp;MIP[[#This Row],[S.B Sitrack]],'[1]Tempo parado'!I:I,"&lt;="&amp;MIP[[#This Row],[C.B Sitrack]],'[1]Tempo parado'!B:B,MIP[[#This Row],[Placa]])</f>
        <v>0</v>
      </c>
      <c r="AG562" s="36"/>
      <c r="AH562" s="35"/>
      <c r="AI562" s="34"/>
      <c r="AJ562" s="34"/>
      <c r="AK56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6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62" s="32">
        <f>SUMIFS('[1]Tempo parado'!J:J,'[1]Tempo parado'!H:H,"&gt;="&amp;MIP[[#This Row],[S.B Sitrack]],'[1]Tempo parado'!I:I,"&lt;="&amp;MIP[[#This Row],[C.B Sitrack]],'[1]Tempo parado'!B:B,MIP[[#This Row],[Placa]])</f>
        <v>0</v>
      </c>
      <c r="AN562" s="32" t="str">
        <f>IFERROR(MIP[[#This Row],[Tempo parado]]/(MIP[[#This Row],[C.B Sitrack]]-MIP[[#This Row],[S.B Sitrack]]),"")</f>
        <v/>
      </c>
      <c r="AO562" s="30"/>
      <c r="AP562" s="44">
        <f>IF(AND(MIP[Exc]=0,MIP[Previsto / Realizado]="Realizado"),MIP[Sem],0)</f>
        <v>0</v>
      </c>
      <c r="AQ562" s="29">
        <f>IF(AND(MIP[Exc]=0,MIP[Previsto / Realizado]="Realizado",ISBLANK(MIP[[#This Row],[S.B Sitrack]])=FALSE,ISBLANK(MIP[[#This Row],[C.B Sitrack]])=FALSE),MIP[Sem],0)</f>
        <v>0</v>
      </c>
    </row>
    <row r="563" spans="2:43" x14ac:dyDescent="0.25">
      <c r="B563" s="44">
        <f>WEEKNUM(MIP[[#This Row],[Data]])</f>
        <v>38</v>
      </c>
      <c r="C563" s="45">
        <v>42998</v>
      </c>
      <c r="D563" s="45"/>
      <c r="E563" s="35" t="s">
        <v>33</v>
      </c>
      <c r="F563" s="35" t="s">
        <v>2</v>
      </c>
      <c r="G563" s="35"/>
      <c r="H563" s="44">
        <v>2</v>
      </c>
      <c r="I563" s="44">
        <v>5</v>
      </c>
      <c r="J563" s="44">
        <v>0</v>
      </c>
      <c r="K563" s="44">
        <v>0</v>
      </c>
      <c r="L563" s="44">
        <v>11</v>
      </c>
      <c r="M563" s="43">
        <v>0.25069444444444444</v>
      </c>
      <c r="N563" s="43">
        <v>0.27777777777777779</v>
      </c>
      <c r="O563" s="43">
        <v>0.62013888888888891</v>
      </c>
      <c r="P563" s="43">
        <v>0.65486111111111112</v>
      </c>
      <c r="Q563" s="39"/>
      <c r="R563" s="42" t="s">
        <v>144</v>
      </c>
      <c r="S563" s="29">
        <f>MIP[[#This Row],[PT-1]]+MIP[[#This Row],[PT-2]]*2+MIP[[#This Row],[PT-3]]*3+MIP[[#This Row],[PT &gt; 3 Pontos]]</f>
        <v>16</v>
      </c>
      <c r="T56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6.1805555555555558E-2</v>
      </c>
      <c r="U563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6.1805555555555558E-2</v>
      </c>
      <c r="V563" s="41">
        <f>MIP[[#This Row],[Eficiência]]</f>
        <v>1.1568467289962925</v>
      </c>
      <c r="W56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63" s="39">
        <f>IF(MIP[[#This Row],[P.S]]-MIP[[#This Row],[P.E]]&lt;0,1+MIP[[#This Row],[P.S]]-MIP[[#This Row],[P.E]]-1/24,MIP[[#This Row],[P.S]]-MIP[[#This Row],[P.E]]-1/24)</f>
        <v>0.36249999999999999</v>
      </c>
      <c r="Y563" s="39">
        <f>MIP[[#This Row],[PT-1]]*$S$3+MIP[[#This Row],[PT-2]]*$T$3+MIP[[#This Row],[PT-3]]*$U$3+MIP[[#This Row],[PT &gt; 3 Pontos]]*$V$3</f>
        <v>0.34785738448291292</v>
      </c>
      <c r="Z563" s="39">
        <f>MIP[[#This Row],[HH disponível]]-MIP[[#This Row],[HH AC TOT]]</f>
        <v>0.30069444444444443</v>
      </c>
      <c r="AA563" s="38">
        <f>MIP[[#This Row],[HH Produtivo
Total]]/MIP[[#This Row],[HH Trabalhado]]</f>
        <v>1.1568467289962925</v>
      </c>
      <c r="AB563" s="38">
        <f>MIP[[#This Row],[HH Produtivo
Total]]/MIP[[#This Row],[HH disponível]]</f>
        <v>0.9596065778838978</v>
      </c>
      <c r="AC563" s="38">
        <f>MIP[[#This Row],[HH Trabalhado]]/MIP[[#This Row],[HH disponível]]</f>
        <v>0.82950191570881227</v>
      </c>
      <c r="AD563" s="37" t="str">
        <f>LEFT(MIP[[#This Row],[Equipe]], SEARCH("/",MIP[[#This Row],[Equipe]],1)-1)</f>
        <v xml:space="preserve">JOILSON </v>
      </c>
      <c r="AE563" s="37" t="str">
        <f>RIGHT(MIP[[#This Row],[Equipe]], LEN(MIP[[#This Row],[Equipe]])-SEARCH("/",MIP[[#This Row],[Equipe]],1))</f>
        <v xml:space="preserve"> HERVAL</v>
      </c>
      <c r="AF563" s="44">
        <f>COUNTIFS('[1]Tempo parado'!H:H,"&gt;="&amp;MIP[[#This Row],[S.B Sitrack]],'[1]Tempo parado'!I:I,"&lt;="&amp;MIP[[#This Row],[C.B Sitrack]],'[1]Tempo parado'!B:B,MIP[[#This Row],[Placa]])</f>
        <v>0</v>
      </c>
      <c r="AG563" s="36"/>
      <c r="AH563" s="35"/>
      <c r="AI563" s="34"/>
      <c r="AJ563" s="34"/>
      <c r="AK56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6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63" s="32">
        <f>SUMIFS('[1]Tempo parado'!J:J,'[1]Tempo parado'!H:H,"&gt;="&amp;MIP[[#This Row],[S.B Sitrack]],'[1]Tempo parado'!I:I,"&lt;="&amp;MIP[[#This Row],[C.B Sitrack]],'[1]Tempo parado'!B:B,MIP[[#This Row],[Placa]])</f>
        <v>0</v>
      </c>
      <c r="AN563" s="32" t="str">
        <f>IFERROR(MIP[[#This Row],[Tempo parado]]/(MIP[[#This Row],[C.B Sitrack]]-MIP[[#This Row],[S.B Sitrack]]),"")</f>
        <v/>
      </c>
      <c r="AO563" s="30"/>
      <c r="AP563" s="44">
        <f>IF(AND(MIP[Exc]=0,MIP[Previsto / Realizado]="Realizado"),MIP[Sem],0)</f>
        <v>38</v>
      </c>
      <c r="AQ563" s="29">
        <f>IF(AND(MIP[Exc]=0,MIP[Previsto / Realizado]="Realizado",ISBLANK(MIP[[#This Row],[S.B Sitrack]])=FALSE,ISBLANK(MIP[[#This Row],[C.B Sitrack]])=FALSE),MIP[Sem],0)</f>
        <v>0</v>
      </c>
    </row>
    <row r="564" spans="2:43" x14ac:dyDescent="0.25">
      <c r="B564" s="44">
        <f>WEEKNUM(MIP[[#This Row],[Data]])</f>
        <v>38</v>
      </c>
      <c r="C564" s="45">
        <v>42998</v>
      </c>
      <c r="D564" s="45"/>
      <c r="E564" s="35" t="s">
        <v>3</v>
      </c>
      <c r="F564" s="35" t="s">
        <v>5</v>
      </c>
      <c r="G564" s="35"/>
      <c r="H564" s="44">
        <v>2</v>
      </c>
      <c r="I564" s="44">
        <v>2</v>
      </c>
      <c r="J564" s="44">
        <v>1</v>
      </c>
      <c r="K564" s="44">
        <v>0</v>
      </c>
      <c r="L564" s="44">
        <v>4</v>
      </c>
      <c r="M564" s="43">
        <v>0.625</v>
      </c>
      <c r="N564" s="43">
        <v>0.64583333333333337</v>
      </c>
      <c r="O564" s="43">
        <f>1+18/24/60</f>
        <v>1.0125</v>
      </c>
      <c r="P564" s="43">
        <f>1+48/24/60</f>
        <v>1.0333333333333334</v>
      </c>
      <c r="Q564" s="39"/>
      <c r="R564" s="42" t="s">
        <v>36</v>
      </c>
      <c r="S564" s="29">
        <f>MIP[[#This Row],[PT-1]]+MIP[[#This Row],[PT-2]]*2+MIP[[#This Row],[PT-3]]*3+MIP[[#This Row],[PT &gt; 3 Pontos]]</f>
        <v>8</v>
      </c>
      <c r="T56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564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564" s="41">
        <f>MIP[[#This Row],[Eficiência]]</f>
        <v>0.53831543244284807</v>
      </c>
      <c r="W56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64" s="39">
        <f>IF(MIP[[#This Row],[P.S]]-MIP[[#This Row],[P.E]]&lt;0,1+MIP[[#This Row],[P.S]]-MIP[[#This Row],[P.E]]-1/24,MIP[[#This Row],[P.S]]-MIP[[#This Row],[P.E]]-1/24)</f>
        <v>0.36666666666666675</v>
      </c>
      <c r="Y564" s="39">
        <f>MIP[[#This Row],[PT-1]]*$S$3+MIP[[#This Row],[PT-2]]*$T$3+MIP[[#This Row],[PT-3]]*$U$3+MIP[[#This Row],[PT &gt; 3 Pontos]]*$V$3</f>
        <v>0.17495251554392557</v>
      </c>
      <c r="Z564" s="39">
        <f>MIP[[#This Row],[HH disponível]]-MIP[[#This Row],[HH AC TOT]]</f>
        <v>0.3249999999999999</v>
      </c>
      <c r="AA564" s="38">
        <f>MIP[[#This Row],[HH Produtivo
Total]]/MIP[[#This Row],[HH Trabalhado]]</f>
        <v>0.53831543244284807</v>
      </c>
      <c r="AB564" s="38">
        <f>MIP[[#This Row],[HH Produtivo
Total]]/MIP[[#This Row],[HH disponível]]</f>
        <v>0.47714322421070599</v>
      </c>
      <c r="AC564" s="38">
        <f>MIP[[#This Row],[HH Trabalhado]]/MIP[[#This Row],[HH disponível]]</f>
        <v>0.88636363636363591</v>
      </c>
      <c r="AD564" s="37" t="str">
        <f>LEFT(MIP[[#This Row],[Equipe]], SEARCH("/",MIP[[#This Row],[Equipe]],1)-1)</f>
        <v xml:space="preserve">EDILTON </v>
      </c>
      <c r="AE564" s="37" t="str">
        <f>RIGHT(MIP[[#This Row],[Equipe]], LEN(MIP[[#This Row],[Equipe]])-SEARCH("/",MIP[[#This Row],[Equipe]],1))</f>
        <v xml:space="preserve"> GECIVALDO</v>
      </c>
      <c r="AF564" s="44">
        <f>COUNTIFS('[1]Tempo parado'!H:H,"&gt;="&amp;MIP[[#This Row],[S.B Sitrack]],'[1]Tempo parado'!I:I,"&lt;="&amp;MIP[[#This Row],[C.B Sitrack]],'[1]Tempo parado'!B:B,MIP[[#This Row],[Placa]])</f>
        <v>0</v>
      </c>
      <c r="AG564" s="36"/>
      <c r="AH564" s="35"/>
      <c r="AI564" s="34"/>
      <c r="AJ564" s="34"/>
      <c r="AK56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6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64" s="32">
        <f>SUMIFS('[1]Tempo parado'!J:J,'[1]Tempo parado'!H:H,"&gt;="&amp;MIP[[#This Row],[S.B Sitrack]],'[1]Tempo parado'!I:I,"&lt;="&amp;MIP[[#This Row],[C.B Sitrack]],'[1]Tempo parado'!B:B,MIP[[#This Row],[Placa]])</f>
        <v>0</v>
      </c>
      <c r="AN564" s="32" t="str">
        <f>IFERROR(MIP[[#This Row],[Tempo parado]]/(MIP[[#This Row],[C.B Sitrack]]-MIP[[#This Row],[S.B Sitrack]]),"")</f>
        <v/>
      </c>
      <c r="AO564" s="30"/>
      <c r="AP564" s="44">
        <f>IF(AND(MIP[Exc]=0,MIP[Previsto / Realizado]="Realizado"),MIP[Sem],0)</f>
        <v>0</v>
      </c>
      <c r="AQ564" s="29">
        <f>IF(AND(MIP[Exc]=0,MIP[Previsto / Realizado]="Realizado",ISBLANK(MIP[[#This Row],[S.B Sitrack]])=FALSE,ISBLANK(MIP[[#This Row],[C.B Sitrack]])=FALSE),MIP[Sem],0)</f>
        <v>0</v>
      </c>
    </row>
    <row r="565" spans="2:43" x14ac:dyDescent="0.25">
      <c r="B565" s="44">
        <f>WEEKNUM(MIP[[#This Row],[Data]])</f>
        <v>38</v>
      </c>
      <c r="C565" s="45">
        <v>42998</v>
      </c>
      <c r="D565" s="45"/>
      <c r="E565" s="35" t="s">
        <v>3</v>
      </c>
      <c r="F565" s="35" t="s">
        <v>2</v>
      </c>
      <c r="G565" s="35"/>
      <c r="H565" s="44">
        <v>2</v>
      </c>
      <c r="I565" s="44">
        <v>2</v>
      </c>
      <c r="J565" s="44">
        <v>2</v>
      </c>
      <c r="K565" s="44">
        <v>0</v>
      </c>
      <c r="L565" s="44">
        <v>8</v>
      </c>
      <c r="M565" s="43">
        <v>0.63124999999999998</v>
      </c>
      <c r="N565" s="43">
        <v>0.66666666666666663</v>
      </c>
      <c r="O565" s="43">
        <v>0.99722222222222223</v>
      </c>
      <c r="P565" s="43">
        <f>1+52/24/60</f>
        <v>1.0361111111111112</v>
      </c>
      <c r="Q565" s="39"/>
      <c r="R565" s="42" t="s">
        <v>17</v>
      </c>
      <c r="S565" s="29">
        <f>MIP[[#This Row],[PT-1]]+MIP[[#This Row],[PT-2]]*2+MIP[[#This Row],[PT-3]]*3+MIP[[#This Row],[PT &gt; 3 Pontos]]</f>
        <v>14</v>
      </c>
      <c r="T56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7.4305555555555625E-2</v>
      </c>
      <c r="U565" s="39">
        <f>IF(MIP[[#This Row],[P.S]]-MIP[[#This Row],[U.P]]&gt;=0,MIP[[#This Row],[P.S]]-MIP[[#This Row],[U.P]]+MIP[[#This Row],[S.B]]-MIP[[#This Row],[P.E]],1+MIP[[#This Row],[P.S]]-MIP[[#This Row],[U.P]]+MIP[[#This Row],[S.B]]-MIP[[#This Row],[P.E]])</f>
        <v>7.4305555555555625E-2</v>
      </c>
      <c r="V565" s="41">
        <f>MIP[[#This Row],[Eficiência]]</f>
        <v>1.0379538178960734</v>
      </c>
      <c r="W56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65" s="39">
        <f>IF(MIP[[#This Row],[P.S]]-MIP[[#This Row],[P.E]]&lt;0,1+MIP[[#This Row],[P.S]]-MIP[[#This Row],[P.E]]-1/24,MIP[[#This Row],[P.S]]-MIP[[#This Row],[P.E]]-1/24)</f>
        <v>0.36319444444444454</v>
      </c>
      <c r="Y565" s="39">
        <f>MIP[[#This Row],[PT-1]]*$S$3+MIP[[#This Row],[PT-2]]*$T$3+MIP[[#This Row],[PT-3]]*$U$3+MIP[[#This Row],[PT &gt; 3 Pontos]]*$V$3</f>
        <v>0.29985332516997681</v>
      </c>
      <c r="Z565" s="39">
        <f>MIP[[#This Row],[HH disponível]]-MIP[[#This Row],[HH AC TOT]]</f>
        <v>0.28888888888888892</v>
      </c>
      <c r="AA565" s="38">
        <f>MIP[[#This Row],[HH Produtivo
Total]]/MIP[[#This Row],[HH Trabalhado]]</f>
        <v>1.0379538178960734</v>
      </c>
      <c r="AB565" s="38">
        <f>MIP[[#This Row],[HH Produtivo
Total]]/MIP[[#This Row],[HH disponível]]</f>
        <v>0.82559997752345415</v>
      </c>
      <c r="AC565" s="38">
        <f>MIP[[#This Row],[HH Trabalhado]]/MIP[[#This Row],[HH disponível]]</f>
        <v>0.79541108986615661</v>
      </c>
      <c r="AD565" s="37" t="str">
        <f>LEFT(MIP[[#This Row],[Equipe]], SEARCH("/",MIP[[#This Row],[Equipe]],1)-1)</f>
        <v xml:space="preserve">EDILTON </v>
      </c>
      <c r="AE565" s="37" t="str">
        <f>RIGHT(MIP[[#This Row],[Equipe]], LEN(MIP[[#This Row],[Equipe]])-SEARCH("/",MIP[[#This Row],[Equipe]],1))</f>
        <v xml:space="preserve"> GECIVALDO</v>
      </c>
      <c r="AF565" s="44">
        <f>COUNTIFS('[1]Tempo parado'!H:H,"&gt;="&amp;MIP[[#This Row],[S.B Sitrack]],'[1]Tempo parado'!I:I,"&lt;="&amp;MIP[[#This Row],[C.B Sitrack]],'[1]Tempo parado'!B:B,MIP[[#This Row],[Placa]])</f>
        <v>0</v>
      </c>
      <c r="AG565" s="36"/>
      <c r="AH565" s="35"/>
      <c r="AI565" s="34"/>
      <c r="AJ565" s="34"/>
      <c r="AK56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6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65" s="32">
        <f>SUMIFS('[1]Tempo parado'!J:J,'[1]Tempo parado'!H:H,"&gt;="&amp;MIP[[#This Row],[S.B Sitrack]],'[1]Tempo parado'!I:I,"&lt;="&amp;MIP[[#This Row],[C.B Sitrack]],'[1]Tempo parado'!B:B,MIP[[#This Row],[Placa]])</f>
        <v>0</v>
      </c>
      <c r="AN565" s="32" t="str">
        <f>IFERROR(MIP[[#This Row],[Tempo parado]]/(MIP[[#This Row],[C.B Sitrack]]-MIP[[#This Row],[S.B Sitrack]]),"")</f>
        <v/>
      </c>
      <c r="AO565" s="30"/>
      <c r="AP565" s="44">
        <f>IF(AND(MIP[Exc]=0,MIP[Previsto / Realizado]="Realizado"),MIP[Sem],0)</f>
        <v>38</v>
      </c>
      <c r="AQ565" s="29">
        <f>IF(AND(MIP[Exc]=0,MIP[Previsto / Realizado]="Realizado",ISBLANK(MIP[[#This Row],[S.B Sitrack]])=FALSE,ISBLANK(MIP[[#This Row],[C.B Sitrack]])=FALSE),MIP[Sem],0)</f>
        <v>0</v>
      </c>
    </row>
    <row r="566" spans="2:43" x14ac:dyDescent="0.25">
      <c r="B566" s="44">
        <f>WEEKNUM(MIP[[#This Row],[Data]])</f>
        <v>38</v>
      </c>
      <c r="C566" s="45">
        <v>42998</v>
      </c>
      <c r="D566" s="45"/>
      <c r="E566" s="35" t="s">
        <v>19</v>
      </c>
      <c r="F566" s="35" t="s">
        <v>5</v>
      </c>
      <c r="G566" s="35"/>
      <c r="H566" s="44">
        <v>2</v>
      </c>
      <c r="I566" s="44">
        <v>0</v>
      </c>
      <c r="J566" s="44">
        <v>0</v>
      </c>
      <c r="K566" s="44">
        <v>0</v>
      </c>
      <c r="L566" s="44">
        <v>0</v>
      </c>
      <c r="M566" s="43">
        <v>0.625</v>
      </c>
      <c r="N566" s="43">
        <v>0.64583333333333337</v>
      </c>
      <c r="O566" s="43">
        <f>1+18/24/60</f>
        <v>1.0125</v>
      </c>
      <c r="P566" s="43">
        <f>1+48/24/60</f>
        <v>1.0333333333333334</v>
      </c>
      <c r="Q566" s="39"/>
      <c r="R566" s="42" t="s">
        <v>36</v>
      </c>
      <c r="S566" s="29">
        <f>MIP[[#This Row],[PT-1]]+MIP[[#This Row],[PT-2]]*2+MIP[[#This Row],[PT-3]]*3+MIP[[#This Row],[PT &gt; 3 Pontos]]</f>
        <v>0</v>
      </c>
      <c r="T56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566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566" s="41">
        <f>MIP[[#This Row],[Eficiência]]</f>
        <v>0</v>
      </c>
      <c r="W56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66" s="39">
        <f>IF(MIP[[#This Row],[P.S]]-MIP[[#This Row],[P.E]]&lt;0,1+MIP[[#This Row],[P.S]]-MIP[[#This Row],[P.E]]-1/24,MIP[[#This Row],[P.S]]-MIP[[#This Row],[P.E]]-1/24)</f>
        <v>0.36666666666666675</v>
      </c>
      <c r="Y566" s="39">
        <f>MIP[[#This Row],[PT-1]]*$S$3+MIP[[#This Row],[PT-2]]*$T$3+MIP[[#This Row],[PT-3]]*$U$3+MIP[[#This Row],[PT &gt; 3 Pontos]]*$V$3</f>
        <v>0</v>
      </c>
      <c r="Z566" s="39">
        <f>MIP[[#This Row],[HH disponível]]-MIP[[#This Row],[HH AC TOT]]</f>
        <v>0.3249999999999999</v>
      </c>
      <c r="AA566" s="38">
        <f>MIP[[#This Row],[HH Produtivo
Total]]/MIP[[#This Row],[HH Trabalhado]]</f>
        <v>0</v>
      </c>
      <c r="AB566" s="38">
        <f>MIP[[#This Row],[HH Produtivo
Total]]/MIP[[#This Row],[HH disponível]]</f>
        <v>0</v>
      </c>
      <c r="AC566" s="38">
        <f>MIP[[#This Row],[HH Trabalhado]]/MIP[[#This Row],[HH disponível]]</f>
        <v>0.88636363636363591</v>
      </c>
      <c r="AD566" s="37" t="str">
        <f>LEFT(MIP[[#This Row],[Equipe]], SEARCH("/",MIP[[#This Row],[Equipe]],1)-1)</f>
        <v xml:space="preserve">ADEMÁRIO </v>
      </c>
      <c r="AE566" s="37" t="str">
        <f>RIGHT(MIP[[#This Row],[Equipe]], LEN(MIP[[#This Row],[Equipe]])-SEARCH("/",MIP[[#This Row],[Equipe]],1))</f>
        <v xml:space="preserve"> RONALDO</v>
      </c>
      <c r="AF566" s="44">
        <f>COUNTIFS('[1]Tempo parado'!H:H,"&gt;="&amp;MIP[[#This Row],[S.B Sitrack]],'[1]Tempo parado'!I:I,"&lt;="&amp;MIP[[#This Row],[C.B Sitrack]],'[1]Tempo parado'!B:B,MIP[[#This Row],[Placa]])</f>
        <v>0</v>
      </c>
      <c r="AG566" s="36"/>
      <c r="AH566" s="35"/>
      <c r="AI566" s="34"/>
      <c r="AJ566" s="34"/>
      <c r="AK56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6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66" s="32">
        <f>SUMIFS('[1]Tempo parado'!J:J,'[1]Tempo parado'!H:H,"&gt;="&amp;MIP[[#This Row],[S.B Sitrack]],'[1]Tempo parado'!I:I,"&lt;="&amp;MIP[[#This Row],[C.B Sitrack]],'[1]Tempo parado'!B:B,MIP[[#This Row],[Placa]])</f>
        <v>0</v>
      </c>
      <c r="AN566" s="32" t="str">
        <f>IFERROR(MIP[[#This Row],[Tempo parado]]/(MIP[[#This Row],[C.B Sitrack]]-MIP[[#This Row],[S.B Sitrack]]),"")</f>
        <v/>
      </c>
      <c r="AO566" s="30"/>
      <c r="AP566" s="44">
        <f>IF(AND(MIP[Exc]=0,MIP[Previsto / Realizado]="Realizado"),MIP[Sem],0)</f>
        <v>0</v>
      </c>
      <c r="AQ566" s="29">
        <f>IF(AND(MIP[Exc]=0,MIP[Previsto / Realizado]="Realizado",ISBLANK(MIP[[#This Row],[S.B Sitrack]])=FALSE,ISBLANK(MIP[[#This Row],[C.B Sitrack]])=FALSE),MIP[Sem],0)</f>
        <v>0</v>
      </c>
    </row>
    <row r="567" spans="2:43" x14ac:dyDescent="0.25">
      <c r="B567" s="44">
        <f>WEEKNUM(MIP[[#This Row],[Data]])</f>
        <v>38</v>
      </c>
      <c r="C567" s="45">
        <v>42998</v>
      </c>
      <c r="D567" s="45"/>
      <c r="E567" s="35" t="s">
        <v>19</v>
      </c>
      <c r="F567" s="35" t="s">
        <v>2</v>
      </c>
      <c r="G567" s="35"/>
      <c r="H567" s="44">
        <v>2</v>
      </c>
      <c r="I567" s="44">
        <v>0</v>
      </c>
      <c r="J567" s="44">
        <v>0</v>
      </c>
      <c r="K567" s="44">
        <v>0</v>
      </c>
      <c r="L567" s="44">
        <v>10</v>
      </c>
      <c r="M567" s="43">
        <v>0.63402777777777775</v>
      </c>
      <c r="N567" s="43">
        <v>0.67013888888888884</v>
      </c>
      <c r="O567" s="43">
        <v>0.97013888888888899</v>
      </c>
      <c r="P567" s="43">
        <f>1+78/24/60</f>
        <v>1.0541666666666667</v>
      </c>
      <c r="Q567" s="39">
        <v>6.25E-2</v>
      </c>
      <c r="R567" s="42" t="s">
        <v>230</v>
      </c>
      <c r="S567" s="29">
        <f>MIP[[#This Row],[PT-1]]+MIP[[#This Row],[PT-2]]*2+MIP[[#This Row],[PT-3]]*3+MIP[[#This Row],[PT &gt; 3 Pontos]]</f>
        <v>10</v>
      </c>
      <c r="T56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0.1826388888888888</v>
      </c>
      <c r="U567" s="39">
        <f>IF(MIP[[#This Row],[P.S]]-MIP[[#This Row],[U.P]]&gt;=0,MIP[[#This Row],[P.S]]-MIP[[#This Row],[U.P]]+MIP[[#This Row],[S.B]]-MIP[[#This Row],[P.E]],1+MIP[[#This Row],[P.S]]-MIP[[#This Row],[U.P]]+MIP[[#This Row],[S.B]]-MIP[[#This Row],[P.E]])</f>
        <v>0.1201388888888888</v>
      </c>
      <c r="V567" s="41">
        <f>MIP[[#This Row],[Eficiência]]</f>
        <v>1.0339409811445732</v>
      </c>
      <c r="W56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67" s="39">
        <f>IF(MIP[[#This Row],[P.S]]-MIP[[#This Row],[P.E]]&lt;0,1+MIP[[#This Row],[P.S]]-MIP[[#This Row],[P.E]]-1/24,MIP[[#This Row],[P.S]]-MIP[[#This Row],[P.E]]-1/24)</f>
        <v>0.37847222222222227</v>
      </c>
      <c r="Y567" s="39">
        <f>MIP[[#This Row],[PT-1]]*$S$3+MIP[[#This Row],[PT-2]]*$T$3+MIP[[#This Row],[PT-3]]*$U$3+MIP[[#This Row],[PT &gt; 3 Pontos]]*$V$3</f>
        <v>0.20248010880747908</v>
      </c>
      <c r="Z567" s="39">
        <f>MIP[[#This Row],[HH disponível]]-MIP[[#This Row],[HH AC TOT]]</f>
        <v>0.19583333333333347</v>
      </c>
      <c r="AA567" s="38">
        <f>MIP[[#This Row],[HH Produtivo
Total]]/MIP[[#This Row],[HH Trabalhado]]</f>
        <v>1.0339409811445732</v>
      </c>
      <c r="AB567" s="38">
        <f>MIP[[#This Row],[HH Produtivo
Total]]/MIP[[#This Row],[HH disponível]]</f>
        <v>0.53499331501425662</v>
      </c>
      <c r="AC567" s="38">
        <f>MIP[[#This Row],[HH Trabalhado]]/MIP[[#This Row],[HH disponível]]</f>
        <v>0.51743119266055071</v>
      </c>
      <c r="AD567" s="37" t="str">
        <f>LEFT(MIP[[#This Row],[Equipe]], SEARCH("/",MIP[[#This Row],[Equipe]],1)-1)</f>
        <v xml:space="preserve">ADEMÁRIO </v>
      </c>
      <c r="AE567" s="37" t="str">
        <f>RIGHT(MIP[[#This Row],[Equipe]], LEN(MIP[[#This Row],[Equipe]])-SEARCH("/",MIP[[#This Row],[Equipe]],1))</f>
        <v xml:space="preserve"> RONALDO</v>
      </c>
      <c r="AF567" s="44">
        <f>COUNTIFS('[1]Tempo parado'!H:H,"&gt;="&amp;MIP[[#This Row],[S.B Sitrack]],'[1]Tempo parado'!I:I,"&lt;="&amp;MIP[[#This Row],[C.B Sitrack]],'[1]Tempo parado'!B:B,MIP[[#This Row],[Placa]])</f>
        <v>0</v>
      </c>
      <c r="AG567" s="36"/>
      <c r="AH567" s="35"/>
      <c r="AI567" s="34"/>
      <c r="AJ567" s="34"/>
      <c r="AK56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6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67" s="32">
        <f>SUMIFS('[1]Tempo parado'!J:J,'[1]Tempo parado'!H:H,"&gt;="&amp;MIP[[#This Row],[S.B Sitrack]],'[1]Tempo parado'!I:I,"&lt;="&amp;MIP[[#This Row],[C.B Sitrack]],'[1]Tempo parado'!B:B,MIP[[#This Row],[Placa]])</f>
        <v>0</v>
      </c>
      <c r="AN567" s="32" t="str">
        <f>IFERROR(MIP[[#This Row],[Tempo parado]]/(MIP[[#This Row],[C.B Sitrack]]-MIP[[#This Row],[S.B Sitrack]]),"")</f>
        <v/>
      </c>
      <c r="AO567" s="30"/>
      <c r="AP567" s="44">
        <f>IF(AND(MIP[Exc]=0,MIP[Previsto / Realizado]="Realizado"),MIP[Sem],0)</f>
        <v>38</v>
      </c>
      <c r="AQ567" s="29">
        <f>IF(AND(MIP[Exc]=0,MIP[Previsto / Realizado]="Realizado",ISBLANK(MIP[[#This Row],[S.B Sitrack]])=FALSE,ISBLANK(MIP[[#This Row],[C.B Sitrack]])=FALSE),MIP[Sem],0)</f>
        <v>0</v>
      </c>
    </row>
    <row r="568" spans="2:43" x14ac:dyDescent="0.25">
      <c r="B568" s="44">
        <f>WEEKNUM(MIP[[#This Row],[Data]])</f>
        <v>38</v>
      </c>
      <c r="C568" s="45">
        <v>42999</v>
      </c>
      <c r="D568" s="45"/>
      <c r="E568" s="35" t="s">
        <v>33</v>
      </c>
      <c r="F568" s="35" t="s">
        <v>5</v>
      </c>
      <c r="G568" s="35"/>
      <c r="H568" s="44">
        <v>2</v>
      </c>
      <c r="I568" s="44">
        <v>3</v>
      </c>
      <c r="J568" s="44">
        <v>1</v>
      </c>
      <c r="K568" s="44">
        <v>1</v>
      </c>
      <c r="L568" s="44">
        <v>0</v>
      </c>
      <c r="M568" s="43">
        <v>0.25</v>
      </c>
      <c r="N568" s="43">
        <v>0.27083333333333331</v>
      </c>
      <c r="O568" s="43">
        <v>0.63750000000000007</v>
      </c>
      <c r="P568" s="43">
        <v>0.65833333333333333</v>
      </c>
      <c r="Q568" s="39"/>
      <c r="R568" s="42" t="s">
        <v>36</v>
      </c>
      <c r="S568" s="29">
        <f>MIP[[#This Row],[PT-1]]+MIP[[#This Row],[PT-2]]*2+MIP[[#This Row],[PT-3]]*3+MIP[[#This Row],[PT &gt; 3 Pontos]]</f>
        <v>8</v>
      </c>
      <c r="T56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568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568" s="41">
        <f>MIP[[#This Row],[Eficiência]]</f>
        <v>0.55931693608324029</v>
      </c>
      <c r="W56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68" s="39">
        <f>IF(MIP[[#This Row],[P.S]]-MIP[[#This Row],[P.E]]&lt;0,1+MIP[[#This Row],[P.S]]-MIP[[#This Row],[P.E]]-1/24,MIP[[#This Row],[P.S]]-MIP[[#This Row],[P.E]]-1/24)</f>
        <v>0.36666666666666664</v>
      </c>
      <c r="Y568" s="39">
        <f>MIP[[#This Row],[PT-1]]*$S$3+MIP[[#This Row],[PT-2]]*$T$3+MIP[[#This Row],[PT-3]]*$U$3+MIP[[#This Row],[PT &gt; 3 Pontos]]*$V$3</f>
        <v>0.18177800422705312</v>
      </c>
      <c r="Z568" s="39">
        <f>MIP[[#This Row],[HH disponível]]-MIP[[#This Row],[HH AC TOT]]</f>
        <v>0.32500000000000007</v>
      </c>
      <c r="AA568" s="38">
        <f>MIP[[#This Row],[HH Produtivo
Total]]/MIP[[#This Row],[HH Trabalhado]]</f>
        <v>0.55931693608324029</v>
      </c>
      <c r="AB568" s="38">
        <f>MIP[[#This Row],[HH Produtivo
Total]]/MIP[[#This Row],[HH disponível]]</f>
        <v>0.49575819334650856</v>
      </c>
      <c r="AC568" s="38">
        <f>MIP[[#This Row],[HH Trabalhado]]/MIP[[#This Row],[HH disponível]]</f>
        <v>0.88636363636363658</v>
      </c>
      <c r="AD568" s="37" t="str">
        <f>LEFT(MIP[[#This Row],[Equipe]], SEARCH("/",MIP[[#This Row],[Equipe]],1)-1)</f>
        <v xml:space="preserve">JOILSON </v>
      </c>
      <c r="AE568" s="37" t="str">
        <f>RIGHT(MIP[[#This Row],[Equipe]], LEN(MIP[[#This Row],[Equipe]])-SEARCH("/",MIP[[#This Row],[Equipe]],1))</f>
        <v xml:space="preserve"> HERVAL</v>
      </c>
      <c r="AF568" s="44">
        <f>COUNTIFS('[1]Tempo parado'!H:H,"&gt;="&amp;MIP[[#This Row],[S.B Sitrack]],'[1]Tempo parado'!I:I,"&lt;="&amp;MIP[[#This Row],[C.B Sitrack]],'[1]Tempo parado'!B:B,MIP[[#This Row],[Placa]])</f>
        <v>0</v>
      </c>
      <c r="AG568" s="36"/>
      <c r="AH568" s="35"/>
      <c r="AI568" s="34"/>
      <c r="AJ568" s="34"/>
      <c r="AK56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6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68" s="32">
        <f>SUMIFS('[1]Tempo parado'!J:J,'[1]Tempo parado'!H:H,"&gt;="&amp;MIP[[#This Row],[S.B Sitrack]],'[1]Tempo parado'!I:I,"&lt;="&amp;MIP[[#This Row],[C.B Sitrack]],'[1]Tempo parado'!B:B,MIP[[#This Row],[Placa]])</f>
        <v>0</v>
      </c>
      <c r="AN568" s="32" t="str">
        <f>IFERROR(MIP[[#This Row],[Tempo parado]]/(MIP[[#This Row],[C.B Sitrack]]-MIP[[#This Row],[S.B Sitrack]]),"")</f>
        <v/>
      </c>
      <c r="AO568" s="30"/>
      <c r="AP568" s="44">
        <f>IF(AND(MIP[Exc]=0,MIP[Previsto / Realizado]="Realizado"),MIP[Sem],0)</f>
        <v>0</v>
      </c>
      <c r="AQ568" s="29">
        <f>IF(AND(MIP[Exc]=0,MIP[Previsto / Realizado]="Realizado",ISBLANK(MIP[[#This Row],[S.B Sitrack]])=FALSE,ISBLANK(MIP[[#This Row],[C.B Sitrack]])=FALSE),MIP[Sem],0)</f>
        <v>0</v>
      </c>
    </row>
    <row r="569" spans="2:43" x14ac:dyDescent="0.25">
      <c r="B569" s="44">
        <f>WEEKNUM(MIP[[#This Row],[Data]])</f>
        <v>38</v>
      </c>
      <c r="C569" s="45">
        <v>42999</v>
      </c>
      <c r="D569" s="45"/>
      <c r="E569" s="35" t="s">
        <v>33</v>
      </c>
      <c r="F569" s="35" t="s">
        <v>2</v>
      </c>
      <c r="G569" s="35"/>
      <c r="H569" s="44">
        <v>2</v>
      </c>
      <c r="I569" s="44">
        <v>6</v>
      </c>
      <c r="J569" s="44">
        <v>2</v>
      </c>
      <c r="K569" s="44">
        <v>1</v>
      </c>
      <c r="L569" s="44">
        <v>0</v>
      </c>
      <c r="M569" s="43">
        <v>0.25347222222222221</v>
      </c>
      <c r="N569" s="43">
        <v>0.29166666666666669</v>
      </c>
      <c r="O569" s="43">
        <v>0.62638888888888888</v>
      </c>
      <c r="P569" s="43">
        <v>0.65833333333333333</v>
      </c>
      <c r="Q569" s="39"/>
      <c r="R569" s="42" t="s">
        <v>9</v>
      </c>
      <c r="S569" s="29">
        <f>MIP[[#This Row],[PT-1]]+MIP[[#This Row],[PT-2]]*2+MIP[[#This Row],[PT-3]]*3+MIP[[#This Row],[PT &gt; 3 Pontos]]</f>
        <v>13</v>
      </c>
      <c r="T56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7.0138888888888917E-2</v>
      </c>
      <c r="U569" s="39">
        <f>IF(MIP[[#This Row],[P.S]]-MIP[[#This Row],[U.P]]&gt;=0,MIP[[#This Row],[P.S]]-MIP[[#This Row],[U.P]]+MIP[[#This Row],[S.B]]-MIP[[#This Row],[P.E]],1+MIP[[#This Row],[P.S]]-MIP[[#This Row],[U.P]]+MIP[[#This Row],[S.B]]-MIP[[#This Row],[P.E]])</f>
        <v>7.0138888888888917E-2</v>
      </c>
      <c r="V569" s="41">
        <f>MIP[[#This Row],[Eficiência]]</f>
        <v>1.0263048200425853</v>
      </c>
      <c r="W56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69" s="39">
        <f>IF(MIP[[#This Row],[P.S]]-MIP[[#This Row],[P.E]]&lt;0,1+MIP[[#This Row],[P.S]]-MIP[[#This Row],[P.E]]-1/24,MIP[[#This Row],[P.S]]-MIP[[#This Row],[P.E]]-1/24)</f>
        <v>0.36319444444444443</v>
      </c>
      <c r="Y569" s="39">
        <f>MIP[[#This Row],[PT-1]]*$S$3+MIP[[#This Row],[PT-2]]*$T$3+MIP[[#This Row],[PT-3]]*$U$3+MIP[[#This Row],[PT &gt; 3 Pontos]]*$V$3</f>
        <v>0.30076432920692425</v>
      </c>
      <c r="Z569" s="39">
        <f>MIP[[#This Row],[HH disponível]]-MIP[[#This Row],[HH AC TOT]]</f>
        <v>0.29305555555555551</v>
      </c>
      <c r="AA569" s="38">
        <f>MIP[[#This Row],[HH Produtivo
Total]]/MIP[[#This Row],[HH Trabalhado]]</f>
        <v>1.0263048200425853</v>
      </c>
      <c r="AB569" s="38">
        <f>MIP[[#This Row],[HH Produtivo
Total]]/MIP[[#This Row],[HH disponível]]</f>
        <v>0.82810828691772642</v>
      </c>
      <c r="AC569" s="38">
        <f>MIP[[#This Row],[HH Trabalhado]]/MIP[[#This Row],[HH disponível]]</f>
        <v>0.80688336520076476</v>
      </c>
      <c r="AD569" s="37" t="str">
        <f>LEFT(MIP[[#This Row],[Equipe]], SEARCH("/",MIP[[#This Row],[Equipe]],1)-1)</f>
        <v xml:space="preserve">JOILSON </v>
      </c>
      <c r="AE569" s="37" t="str">
        <f>RIGHT(MIP[[#This Row],[Equipe]], LEN(MIP[[#This Row],[Equipe]])-SEARCH("/",MIP[[#This Row],[Equipe]],1))</f>
        <v xml:space="preserve"> HERVAL</v>
      </c>
      <c r="AF569" s="44">
        <f>COUNTIFS('[1]Tempo parado'!H:H,"&gt;="&amp;MIP[[#This Row],[S.B Sitrack]],'[1]Tempo parado'!I:I,"&lt;="&amp;MIP[[#This Row],[C.B Sitrack]],'[1]Tempo parado'!B:B,MIP[[#This Row],[Placa]])</f>
        <v>0</v>
      </c>
      <c r="AG569" s="36"/>
      <c r="AH569" s="35"/>
      <c r="AI569" s="34"/>
      <c r="AJ569" s="34"/>
      <c r="AK56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6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69" s="32">
        <f>SUMIFS('[1]Tempo parado'!J:J,'[1]Tempo parado'!H:H,"&gt;="&amp;MIP[[#This Row],[S.B Sitrack]],'[1]Tempo parado'!I:I,"&lt;="&amp;MIP[[#This Row],[C.B Sitrack]],'[1]Tempo parado'!B:B,MIP[[#This Row],[Placa]])</f>
        <v>0</v>
      </c>
      <c r="AN569" s="32" t="str">
        <f>IFERROR(MIP[[#This Row],[Tempo parado]]/(MIP[[#This Row],[C.B Sitrack]]-MIP[[#This Row],[S.B Sitrack]]),"")</f>
        <v/>
      </c>
      <c r="AO569" s="30"/>
      <c r="AP569" s="44">
        <f>IF(AND(MIP[Exc]=0,MIP[Previsto / Realizado]="Realizado"),MIP[Sem],0)</f>
        <v>38</v>
      </c>
      <c r="AQ569" s="29">
        <f>IF(AND(MIP[Exc]=0,MIP[Previsto / Realizado]="Realizado",ISBLANK(MIP[[#This Row],[S.B Sitrack]])=FALSE,ISBLANK(MIP[[#This Row],[C.B Sitrack]])=FALSE),MIP[Sem],0)</f>
        <v>0</v>
      </c>
    </row>
    <row r="570" spans="2:43" x14ac:dyDescent="0.25">
      <c r="B570" s="44">
        <f>WEEKNUM(MIP[[#This Row],[Data]])</f>
        <v>38</v>
      </c>
      <c r="C570" s="45">
        <v>42999</v>
      </c>
      <c r="D570" s="45"/>
      <c r="E570" s="35" t="s">
        <v>19</v>
      </c>
      <c r="F570" s="35" t="s">
        <v>5</v>
      </c>
      <c r="G570" s="35"/>
      <c r="H570" s="44">
        <v>2</v>
      </c>
      <c r="I570" s="44">
        <v>0</v>
      </c>
      <c r="J570" s="44">
        <v>0</v>
      </c>
      <c r="K570" s="44">
        <v>0</v>
      </c>
      <c r="L570" s="44">
        <v>8</v>
      </c>
      <c r="M570" s="43">
        <v>0.625</v>
      </c>
      <c r="N570" s="43">
        <v>0.64583333333333337</v>
      </c>
      <c r="O570" s="43">
        <f>1+18/24/60</f>
        <v>1.0125</v>
      </c>
      <c r="P570" s="43">
        <f>1+48/24/60</f>
        <v>1.0333333333333334</v>
      </c>
      <c r="Q570" s="39"/>
      <c r="R570" s="42"/>
      <c r="S570" s="29">
        <f>MIP[[#This Row],[PT-1]]+MIP[[#This Row],[PT-2]]*2+MIP[[#This Row],[PT-3]]*3+MIP[[#This Row],[PT &gt; 3 Pontos]]</f>
        <v>8</v>
      </c>
      <c r="T57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570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570" s="41">
        <f>MIP[[#This Row],[Eficiência]]</f>
        <v>0.49841257552610252</v>
      </c>
      <c r="W57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70" s="39">
        <f>IF(MIP[[#This Row],[P.S]]-MIP[[#This Row],[P.E]]&lt;0,1+MIP[[#This Row],[P.S]]-MIP[[#This Row],[P.E]]-1/24,MIP[[#This Row],[P.S]]-MIP[[#This Row],[P.E]]-1/24)</f>
        <v>0.36666666666666675</v>
      </c>
      <c r="Y570" s="39">
        <f>MIP[[#This Row],[PT-1]]*$S$3+MIP[[#This Row],[PT-2]]*$T$3+MIP[[#This Row],[PT-3]]*$U$3+MIP[[#This Row],[PT &gt; 3 Pontos]]*$V$3</f>
        <v>0.16198408704598327</v>
      </c>
      <c r="Z570" s="39">
        <f>MIP[[#This Row],[HH disponível]]-MIP[[#This Row],[HH AC TOT]]</f>
        <v>0.3249999999999999</v>
      </c>
      <c r="AA570" s="38">
        <f>MIP[[#This Row],[HH Produtivo
Total]]/MIP[[#This Row],[HH Trabalhado]]</f>
        <v>0.49841257552610252</v>
      </c>
      <c r="AB570" s="38">
        <f>MIP[[#This Row],[HH Produtivo
Total]]/MIP[[#This Row],[HH disponível]]</f>
        <v>0.44177478285268157</v>
      </c>
      <c r="AC570" s="38">
        <f>MIP[[#This Row],[HH Trabalhado]]/MIP[[#This Row],[HH disponível]]</f>
        <v>0.88636363636363591</v>
      </c>
      <c r="AD570" s="37" t="str">
        <f>LEFT(MIP[[#This Row],[Equipe]], SEARCH("/",MIP[[#This Row],[Equipe]],1)-1)</f>
        <v xml:space="preserve">ADEMÁRIO </v>
      </c>
      <c r="AE570" s="37" t="str">
        <f>RIGHT(MIP[[#This Row],[Equipe]], LEN(MIP[[#This Row],[Equipe]])-SEARCH("/",MIP[[#This Row],[Equipe]],1))</f>
        <v xml:space="preserve"> RONALDO</v>
      </c>
      <c r="AF570" s="44">
        <f>COUNTIFS('[1]Tempo parado'!H:H,"&gt;="&amp;MIP[[#This Row],[S.B Sitrack]],'[1]Tempo parado'!I:I,"&lt;="&amp;MIP[[#This Row],[C.B Sitrack]],'[1]Tempo parado'!B:B,MIP[[#This Row],[Placa]])</f>
        <v>0</v>
      </c>
      <c r="AG570" s="36"/>
      <c r="AH570" s="35"/>
      <c r="AI570" s="34"/>
      <c r="AJ570" s="34"/>
      <c r="AK57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7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70" s="32">
        <f>SUMIFS('[1]Tempo parado'!J:J,'[1]Tempo parado'!H:H,"&gt;="&amp;MIP[[#This Row],[S.B Sitrack]],'[1]Tempo parado'!I:I,"&lt;="&amp;MIP[[#This Row],[C.B Sitrack]],'[1]Tempo parado'!B:B,MIP[[#This Row],[Placa]])</f>
        <v>0</v>
      </c>
      <c r="AN570" s="32" t="str">
        <f>IFERROR(MIP[[#This Row],[Tempo parado]]/(MIP[[#This Row],[C.B Sitrack]]-MIP[[#This Row],[S.B Sitrack]]),"")</f>
        <v/>
      </c>
      <c r="AO570" s="30"/>
      <c r="AP570" s="44">
        <f>IF(AND(MIP[Exc]=0,MIP[Previsto / Realizado]="Realizado"),MIP[Sem],0)</f>
        <v>0</v>
      </c>
      <c r="AQ570" s="29">
        <f>IF(AND(MIP[Exc]=0,MIP[Previsto / Realizado]="Realizado",ISBLANK(MIP[[#This Row],[S.B Sitrack]])=FALSE,ISBLANK(MIP[[#This Row],[C.B Sitrack]])=FALSE),MIP[Sem],0)</f>
        <v>0</v>
      </c>
    </row>
    <row r="571" spans="2:43" x14ac:dyDescent="0.25">
      <c r="B571" s="44">
        <f>WEEKNUM(MIP[[#This Row],[Data]])</f>
        <v>38</v>
      </c>
      <c r="C571" s="45">
        <v>42999</v>
      </c>
      <c r="D571" s="45"/>
      <c r="E571" s="35" t="s">
        <v>19</v>
      </c>
      <c r="F571" s="35" t="s">
        <v>2</v>
      </c>
      <c r="G571" s="35"/>
      <c r="H571" s="44">
        <v>2</v>
      </c>
      <c r="I571" s="44">
        <v>0</v>
      </c>
      <c r="J571" s="44">
        <v>0</v>
      </c>
      <c r="K571" s="44">
        <v>0</v>
      </c>
      <c r="L571" s="44">
        <v>8</v>
      </c>
      <c r="M571" s="43">
        <v>0.62986111111111109</v>
      </c>
      <c r="N571" s="43">
        <v>0.66666666666666663</v>
      </c>
      <c r="O571" s="43">
        <f>1+10/24/60</f>
        <v>1.0069444444444444</v>
      </c>
      <c r="P571" s="43">
        <f>1+62/24/60</f>
        <v>1.0430555555555556</v>
      </c>
      <c r="Q571" s="39">
        <v>9.5833333333333326E-2</v>
      </c>
      <c r="R571" s="42" t="s">
        <v>229</v>
      </c>
      <c r="S571" s="29">
        <f>MIP[[#This Row],[PT-1]]+MIP[[#This Row],[PT-2]]*2+MIP[[#This Row],[PT-3]]*3+MIP[[#This Row],[PT &gt; 3 Pontos]]</f>
        <v>8</v>
      </c>
      <c r="T57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0.16875000000000007</v>
      </c>
      <c r="U571" s="39">
        <f>IF(MIP[[#This Row],[P.S]]-MIP[[#This Row],[U.P]]&gt;=0,MIP[[#This Row],[P.S]]-MIP[[#This Row],[U.P]]+MIP[[#This Row],[S.B]]-MIP[[#This Row],[P.E]],1+MIP[[#This Row],[P.S]]-MIP[[#This Row],[U.P]]+MIP[[#This Row],[S.B]]-MIP[[#This Row],[P.E]])</f>
        <v>7.2916666666666741E-2</v>
      </c>
      <c r="V571" s="41">
        <f>MIP[[#This Row],[Eficiência]]</f>
        <v>0.79882563474731472</v>
      </c>
      <c r="W57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71" s="39">
        <f>IF(MIP[[#This Row],[P.S]]-MIP[[#This Row],[P.E]]&lt;0,1+MIP[[#This Row],[P.S]]-MIP[[#This Row],[P.E]]-1/24,MIP[[#This Row],[P.S]]-MIP[[#This Row],[P.E]]-1/24)</f>
        <v>0.37152777777777785</v>
      </c>
      <c r="Y571" s="39">
        <f>MIP[[#This Row],[PT-1]]*$S$3+MIP[[#This Row],[PT-2]]*$T$3+MIP[[#This Row],[PT-3]]*$U$3+MIP[[#This Row],[PT &gt; 3 Pontos]]*$V$3</f>
        <v>0.16198408704598327</v>
      </c>
      <c r="Z571" s="39">
        <f>MIP[[#This Row],[HH disponível]]-MIP[[#This Row],[HH AC TOT]]</f>
        <v>0.20277777777777778</v>
      </c>
      <c r="AA571" s="38">
        <f>MIP[[#This Row],[HH Produtivo
Total]]/MIP[[#This Row],[HH Trabalhado]]</f>
        <v>0.79882563474731472</v>
      </c>
      <c r="AB571" s="38">
        <f>MIP[[#This Row],[HH Produtivo
Total]]/MIP[[#This Row],[HH disponível]]</f>
        <v>0.43599455204900162</v>
      </c>
      <c r="AC571" s="38">
        <f>MIP[[#This Row],[HH Trabalhado]]/MIP[[#This Row],[HH disponível]]</f>
        <v>0.54579439252336437</v>
      </c>
      <c r="AD571" s="37" t="str">
        <f>LEFT(MIP[[#This Row],[Equipe]], SEARCH("/",MIP[[#This Row],[Equipe]],1)-1)</f>
        <v xml:space="preserve">ADEMÁRIO </v>
      </c>
      <c r="AE571" s="37" t="str">
        <f>RIGHT(MIP[[#This Row],[Equipe]], LEN(MIP[[#This Row],[Equipe]])-SEARCH("/",MIP[[#This Row],[Equipe]],1))</f>
        <v xml:space="preserve"> RONALDO</v>
      </c>
      <c r="AF571" s="44">
        <f>COUNTIFS('[1]Tempo parado'!H:H,"&gt;="&amp;MIP[[#This Row],[S.B Sitrack]],'[1]Tempo parado'!I:I,"&lt;="&amp;MIP[[#This Row],[C.B Sitrack]],'[1]Tempo parado'!B:B,MIP[[#This Row],[Placa]])</f>
        <v>0</v>
      </c>
      <c r="AG571" s="36"/>
      <c r="AH571" s="35"/>
      <c r="AI571" s="34"/>
      <c r="AJ571" s="34"/>
      <c r="AK57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7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71" s="32">
        <f>SUMIFS('[1]Tempo parado'!J:J,'[1]Tempo parado'!H:H,"&gt;="&amp;MIP[[#This Row],[S.B Sitrack]],'[1]Tempo parado'!I:I,"&lt;="&amp;MIP[[#This Row],[C.B Sitrack]],'[1]Tempo parado'!B:B,MIP[[#This Row],[Placa]])</f>
        <v>0</v>
      </c>
      <c r="AN571" s="32" t="str">
        <f>IFERROR(MIP[[#This Row],[Tempo parado]]/(MIP[[#This Row],[C.B Sitrack]]-MIP[[#This Row],[S.B Sitrack]]),"")</f>
        <v/>
      </c>
      <c r="AO571" s="30"/>
      <c r="AP571" s="44">
        <f>IF(AND(MIP[Exc]=0,MIP[Previsto / Realizado]="Realizado"),MIP[Sem],0)</f>
        <v>38</v>
      </c>
      <c r="AQ571" s="29">
        <f>IF(AND(MIP[Exc]=0,MIP[Previsto / Realizado]="Realizado",ISBLANK(MIP[[#This Row],[S.B Sitrack]])=FALSE,ISBLANK(MIP[[#This Row],[C.B Sitrack]])=FALSE),MIP[Sem],0)</f>
        <v>0</v>
      </c>
    </row>
    <row r="572" spans="2:43" x14ac:dyDescent="0.25">
      <c r="B572" s="44">
        <f>WEEKNUM(MIP[[#This Row],[Data]])</f>
        <v>38</v>
      </c>
      <c r="C572" s="45">
        <v>42999</v>
      </c>
      <c r="D572" s="45"/>
      <c r="E572" s="35" t="s">
        <v>7</v>
      </c>
      <c r="F572" s="35" t="s">
        <v>5</v>
      </c>
      <c r="G572" s="35"/>
      <c r="H572" s="44">
        <v>2</v>
      </c>
      <c r="I572" s="44">
        <v>0</v>
      </c>
      <c r="J572" s="44">
        <v>0</v>
      </c>
      <c r="K572" s="44">
        <v>1</v>
      </c>
      <c r="L572" s="44">
        <v>5</v>
      </c>
      <c r="M572" s="43">
        <v>0.625</v>
      </c>
      <c r="N572" s="43">
        <v>0.64583333333333337</v>
      </c>
      <c r="O572" s="43">
        <f>1+18/24/60</f>
        <v>1.0125</v>
      </c>
      <c r="P572" s="43">
        <f>1+48/24/60</f>
        <v>1.0333333333333334</v>
      </c>
      <c r="Q572" s="39"/>
      <c r="R572" s="42" t="s">
        <v>228</v>
      </c>
      <c r="S572" s="29">
        <f>MIP[[#This Row],[PT-1]]+MIP[[#This Row],[PT-2]]*2+MIP[[#This Row],[PT-3]]*3+MIP[[#This Row],[PT &gt; 3 Pontos]]</f>
        <v>8</v>
      </c>
      <c r="T57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572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572" s="41">
        <f>MIP[[#This Row],[Eficiência]]</f>
        <v>0.50471302661822026</v>
      </c>
      <c r="W57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72" s="39">
        <f>IF(MIP[[#This Row],[P.S]]-MIP[[#This Row],[P.E]]&lt;0,1+MIP[[#This Row],[P.S]]-MIP[[#This Row],[P.E]]-1/24,MIP[[#This Row],[P.S]]-MIP[[#This Row],[P.E]]-1/24)</f>
        <v>0.36666666666666675</v>
      </c>
      <c r="Y572" s="39">
        <f>MIP[[#This Row],[PT-1]]*$S$3+MIP[[#This Row],[PT-2]]*$T$3+MIP[[#This Row],[PT-3]]*$U$3+MIP[[#This Row],[PT &gt; 3 Pontos]]*$V$3</f>
        <v>0.16403173365092152</v>
      </c>
      <c r="Z572" s="39">
        <f>MIP[[#This Row],[HH disponível]]-MIP[[#This Row],[HH AC TOT]]</f>
        <v>0.3249999999999999</v>
      </c>
      <c r="AA572" s="38">
        <f>MIP[[#This Row],[HH Produtivo
Total]]/MIP[[#This Row],[HH Trabalhado]]</f>
        <v>0.50471302661822026</v>
      </c>
      <c r="AB572" s="38">
        <f>MIP[[#This Row],[HH Produtivo
Total]]/MIP[[#This Row],[HH disponível]]</f>
        <v>0.44735927359342226</v>
      </c>
      <c r="AC572" s="38">
        <f>MIP[[#This Row],[HH Trabalhado]]/MIP[[#This Row],[HH disponível]]</f>
        <v>0.88636363636363591</v>
      </c>
      <c r="AD572" s="37" t="str">
        <f>LEFT(MIP[[#This Row],[Equipe]], SEARCH("/",MIP[[#This Row],[Equipe]],1)-1)</f>
        <v xml:space="preserve">ANDERSON </v>
      </c>
      <c r="AE572" s="37" t="str">
        <f>RIGHT(MIP[[#This Row],[Equipe]], LEN(MIP[[#This Row],[Equipe]])-SEARCH("/",MIP[[#This Row],[Equipe]],1))</f>
        <v xml:space="preserve"> MARCO</v>
      </c>
      <c r="AF572" s="44">
        <f>COUNTIFS('[1]Tempo parado'!H:H,"&gt;="&amp;MIP[[#This Row],[S.B Sitrack]],'[1]Tempo parado'!I:I,"&lt;="&amp;MIP[[#This Row],[C.B Sitrack]],'[1]Tempo parado'!B:B,MIP[[#This Row],[Placa]])</f>
        <v>0</v>
      </c>
      <c r="AG572" s="36"/>
      <c r="AH572" s="35"/>
      <c r="AI572" s="34"/>
      <c r="AJ572" s="34"/>
      <c r="AK57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7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72" s="32">
        <f>SUMIFS('[1]Tempo parado'!J:J,'[1]Tempo parado'!H:H,"&gt;="&amp;MIP[[#This Row],[S.B Sitrack]],'[1]Tempo parado'!I:I,"&lt;="&amp;MIP[[#This Row],[C.B Sitrack]],'[1]Tempo parado'!B:B,MIP[[#This Row],[Placa]])</f>
        <v>0</v>
      </c>
      <c r="AN572" s="32" t="str">
        <f>IFERROR(MIP[[#This Row],[Tempo parado]]/(MIP[[#This Row],[C.B Sitrack]]-MIP[[#This Row],[S.B Sitrack]]),"")</f>
        <v/>
      </c>
      <c r="AO572" s="30"/>
      <c r="AP572" s="44">
        <f>IF(AND(MIP[Exc]=0,MIP[Previsto / Realizado]="Realizado"),MIP[Sem],0)</f>
        <v>0</v>
      </c>
      <c r="AQ572" s="29">
        <f>IF(AND(MIP[Exc]=0,MIP[Previsto / Realizado]="Realizado",ISBLANK(MIP[[#This Row],[S.B Sitrack]])=FALSE,ISBLANK(MIP[[#This Row],[C.B Sitrack]])=FALSE),MIP[Sem],0)</f>
        <v>0</v>
      </c>
    </row>
    <row r="573" spans="2:43" x14ac:dyDescent="0.25">
      <c r="B573" s="44">
        <f>WEEKNUM(MIP[[#This Row],[Data]])</f>
        <v>38</v>
      </c>
      <c r="C573" s="45">
        <v>42999</v>
      </c>
      <c r="D573" s="45"/>
      <c r="E573" s="35" t="s">
        <v>7</v>
      </c>
      <c r="F573" s="35" t="s">
        <v>2</v>
      </c>
      <c r="G573" s="35"/>
      <c r="H573" s="44">
        <v>2</v>
      </c>
      <c r="I573" s="44">
        <v>2</v>
      </c>
      <c r="J573" s="44">
        <v>1</v>
      </c>
      <c r="K573" s="44">
        <v>1</v>
      </c>
      <c r="L573" s="44">
        <v>5</v>
      </c>
      <c r="M573" s="43">
        <v>0.62222222222222223</v>
      </c>
      <c r="N573" s="43">
        <v>0.66319444444444442</v>
      </c>
      <c r="O573" s="43">
        <f>1+10/24/60</f>
        <v>1.0069444444444444</v>
      </c>
      <c r="P573" s="43">
        <f>1+48/24/60</f>
        <v>1.0333333333333334</v>
      </c>
      <c r="Q573" s="39">
        <v>3.125E-2</v>
      </c>
      <c r="R573" s="42" t="s">
        <v>227</v>
      </c>
      <c r="S573" s="29">
        <f>MIP[[#This Row],[PT-1]]+MIP[[#This Row],[PT-2]]*2+MIP[[#This Row],[PT-3]]*3+MIP[[#This Row],[PT &gt; 3 Pontos]]</f>
        <v>12</v>
      </c>
      <c r="T57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9.8611111111111205E-2</v>
      </c>
      <c r="U573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6.7361111111111205E-2</v>
      </c>
      <c r="V573" s="41">
        <f>MIP[[#This Row],[Eficiência]]</f>
        <v>0.95258660555762009</v>
      </c>
      <c r="W57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73" s="39">
        <f>IF(MIP[[#This Row],[P.S]]-MIP[[#This Row],[P.E]]&lt;0,1+MIP[[#This Row],[P.S]]-MIP[[#This Row],[P.E]]-1/24,MIP[[#This Row],[P.S]]-MIP[[#This Row],[P.E]]-1/24)</f>
        <v>0.36944444444444452</v>
      </c>
      <c r="Y573" s="39">
        <f>MIP[[#This Row],[PT-1]]*$S$3+MIP[[#This Row],[PT-2]]*$T$3+MIP[[#This Row],[PT-3]]*$U$3+MIP[[#This Row],[PT &gt; 3 Pontos]]*$V$3</f>
        <v>0.25799220567185543</v>
      </c>
      <c r="Z573" s="39">
        <f>MIP[[#This Row],[HH disponível]]-MIP[[#This Row],[HH AC TOT]]</f>
        <v>0.27083333333333331</v>
      </c>
      <c r="AA573" s="38">
        <f>MIP[[#This Row],[HH Produtivo
Total]]/MIP[[#This Row],[HH Trabalhado]]</f>
        <v>0.95258660555762009</v>
      </c>
      <c r="AB573" s="38">
        <f>MIP[[#This Row],[HH Produtivo
Total]]/MIP[[#This Row],[HH disponível]]</f>
        <v>0.6983247672320898</v>
      </c>
      <c r="AC573" s="38">
        <f>MIP[[#This Row],[HH Trabalhado]]/MIP[[#This Row],[HH disponível]]</f>
        <v>0.73308270676691711</v>
      </c>
      <c r="AD573" s="37" t="str">
        <f>LEFT(MIP[[#This Row],[Equipe]], SEARCH("/",MIP[[#This Row],[Equipe]],1)-1)</f>
        <v xml:space="preserve">ANDERSON </v>
      </c>
      <c r="AE573" s="37" t="str">
        <f>RIGHT(MIP[[#This Row],[Equipe]], LEN(MIP[[#This Row],[Equipe]])-SEARCH("/",MIP[[#This Row],[Equipe]],1))</f>
        <v xml:space="preserve"> MARCO</v>
      </c>
      <c r="AF573" s="44">
        <f>COUNTIFS('[1]Tempo parado'!H:H,"&gt;="&amp;MIP[[#This Row],[S.B Sitrack]],'[1]Tempo parado'!I:I,"&lt;="&amp;MIP[[#This Row],[C.B Sitrack]],'[1]Tempo parado'!B:B,MIP[[#This Row],[Placa]])</f>
        <v>0</v>
      </c>
      <c r="AG573" s="36"/>
      <c r="AH573" s="35"/>
      <c r="AI573" s="34"/>
      <c r="AJ573" s="34"/>
      <c r="AK57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7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73" s="32">
        <f>SUMIFS('[1]Tempo parado'!J:J,'[1]Tempo parado'!H:H,"&gt;="&amp;MIP[[#This Row],[S.B Sitrack]],'[1]Tempo parado'!I:I,"&lt;="&amp;MIP[[#This Row],[C.B Sitrack]],'[1]Tempo parado'!B:B,MIP[[#This Row],[Placa]])</f>
        <v>0</v>
      </c>
      <c r="AN573" s="32" t="str">
        <f>IFERROR(MIP[[#This Row],[Tempo parado]]/(MIP[[#This Row],[C.B Sitrack]]-MIP[[#This Row],[S.B Sitrack]]),"")</f>
        <v/>
      </c>
      <c r="AO573" s="30"/>
      <c r="AP573" s="44">
        <f>IF(AND(MIP[Exc]=0,MIP[Previsto / Realizado]="Realizado"),MIP[Sem],0)</f>
        <v>38</v>
      </c>
      <c r="AQ573" s="29">
        <f>IF(AND(MIP[Exc]=0,MIP[Previsto / Realizado]="Realizado",ISBLANK(MIP[[#This Row],[S.B Sitrack]])=FALSE,ISBLANK(MIP[[#This Row],[C.B Sitrack]])=FALSE),MIP[Sem],0)</f>
        <v>0</v>
      </c>
    </row>
    <row r="574" spans="2:43" x14ac:dyDescent="0.25">
      <c r="B574" s="44">
        <f>WEEKNUM(MIP[[#This Row],[Data]])</f>
        <v>38</v>
      </c>
      <c r="C574" s="45">
        <v>43000</v>
      </c>
      <c r="D574" s="45"/>
      <c r="E574" s="35" t="s">
        <v>3</v>
      </c>
      <c r="F574" s="35" t="s">
        <v>5</v>
      </c>
      <c r="G574" s="35"/>
      <c r="H574" s="44">
        <v>2</v>
      </c>
      <c r="I574" s="44">
        <v>5</v>
      </c>
      <c r="J574" s="44">
        <v>3</v>
      </c>
      <c r="K574" s="44">
        <v>0</v>
      </c>
      <c r="L574" s="44">
        <v>0</v>
      </c>
      <c r="M574" s="43">
        <v>0.625</v>
      </c>
      <c r="N574" s="43">
        <v>0.64583333333333337</v>
      </c>
      <c r="O574" s="43">
        <f>1+18/24/60</f>
        <v>1.0125</v>
      </c>
      <c r="P574" s="43">
        <f>1+48/24/60</f>
        <v>1.0333333333333334</v>
      </c>
      <c r="Q574" s="39"/>
      <c r="R574" s="42" t="s">
        <v>36</v>
      </c>
      <c r="S574" s="29">
        <f>MIP[[#This Row],[PT-1]]+MIP[[#This Row],[PT-2]]*2+MIP[[#This Row],[PT-3]]*3+MIP[[#This Row],[PT &gt; 3 Pontos]]</f>
        <v>11</v>
      </c>
      <c r="T57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574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574" s="41">
        <f>MIP[[#This Row],[Eficiência]]</f>
        <v>0.790324809550353</v>
      </c>
      <c r="W57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74" s="39">
        <f>IF(MIP[[#This Row],[P.S]]-MIP[[#This Row],[P.E]]&lt;0,1+MIP[[#This Row],[P.S]]-MIP[[#This Row],[P.E]]-1/24,MIP[[#This Row],[P.S]]-MIP[[#This Row],[P.E]]-1/24)</f>
        <v>0.36666666666666675</v>
      </c>
      <c r="Y574" s="39">
        <f>MIP[[#This Row],[PT-1]]*$S$3+MIP[[#This Row],[PT-2]]*$T$3+MIP[[#This Row],[PT-3]]*$U$3+MIP[[#This Row],[PT &gt; 3 Pontos]]*$V$3</f>
        <v>0.25685556310386465</v>
      </c>
      <c r="Z574" s="39">
        <f>MIP[[#This Row],[HH disponível]]-MIP[[#This Row],[HH AC TOT]]</f>
        <v>0.3249999999999999</v>
      </c>
      <c r="AA574" s="38">
        <f>MIP[[#This Row],[HH Produtivo
Total]]/MIP[[#This Row],[HH Trabalhado]]</f>
        <v>0.790324809550353</v>
      </c>
      <c r="AB574" s="38">
        <f>MIP[[#This Row],[HH Produtivo
Total]]/MIP[[#This Row],[HH disponível]]</f>
        <v>0.70051517210144887</v>
      </c>
      <c r="AC574" s="38">
        <f>MIP[[#This Row],[HH Trabalhado]]/MIP[[#This Row],[HH disponível]]</f>
        <v>0.88636363636363591</v>
      </c>
      <c r="AD574" s="37" t="str">
        <f>LEFT(MIP[[#This Row],[Equipe]], SEARCH("/",MIP[[#This Row],[Equipe]],1)-1)</f>
        <v xml:space="preserve">EDILTON </v>
      </c>
      <c r="AE574" s="37" t="str">
        <f>RIGHT(MIP[[#This Row],[Equipe]], LEN(MIP[[#This Row],[Equipe]])-SEARCH("/",MIP[[#This Row],[Equipe]],1))</f>
        <v xml:space="preserve"> GECIVALDO</v>
      </c>
      <c r="AF574" s="44">
        <f>COUNTIFS('[1]Tempo parado'!H:H,"&gt;="&amp;MIP[[#This Row],[S.B Sitrack]],'[1]Tempo parado'!I:I,"&lt;="&amp;MIP[[#This Row],[C.B Sitrack]],'[1]Tempo parado'!B:B,MIP[[#This Row],[Placa]])</f>
        <v>0</v>
      </c>
      <c r="AG574" s="36"/>
      <c r="AH574" s="35"/>
      <c r="AI574" s="34"/>
      <c r="AJ574" s="34"/>
      <c r="AK57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7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74" s="32">
        <f>SUMIFS('[1]Tempo parado'!J:J,'[1]Tempo parado'!H:H,"&gt;="&amp;MIP[[#This Row],[S.B Sitrack]],'[1]Tempo parado'!I:I,"&lt;="&amp;MIP[[#This Row],[C.B Sitrack]],'[1]Tempo parado'!B:B,MIP[[#This Row],[Placa]])</f>
        <v>0</v>
      </c>
      <c r="AN574" s="32" t="str">
        <f>IFERROR(MIP[[#This Row],[Tempo parado]]/(MIP[[#This Row],[C.B Sitrack]]-MIP[[#This Row],[S.B Sitrack]]),"")</f>
        <v/>
      </c>
      <c r="AO574" s="30"/>
      <c r="AP574" s="44">
        <f>IF(AND(MIP[Exc]=0,MIP[Previsto / Realizado]="Realizado"),MIP[Sem],0)</f>
        <v>0</v>
      </c>
      <c r="AQ574" s="29">
        <f>IF(AND(MIP[Exc]=0,MIP[Previsto / Realizado]="Realizado",ISBLANK(MIP[[#This Row],[S.B Sitrack]])=FALSE,ISBLANK(MIP[[#This Row],[C.B Sitrack]])=FALSE),MIP[Sem],0)</f>
        <v>0</v>
      </c>
    </row>
    <row r="575" spans="2:43" x14ac:dyDescent="0.25">
      <c r="B575" s="44">
        <f>WEEKNUM(MIP[[#This Row],[Data]])</f>
        <v>38</v>
      </c>
      <c r="C575" s="45">
        <v>43000</v>
      </c>
      <c r="D575" s="45"/>
      <c r="E575" s="35" t="s">
        <v>3</v>
      </c>
      <c r="F575" s="35" t="s">
        <v>2</v>
      </c>
      <c r="G575" s="35"/>
      <c r="H575" s="44">
        <v>2</v>
      </c>
      <c r="I575" s="44">
        <v>10</v>
      </c>
      <c r="J575" s="44">
        <v>2</v>
      </c>
      <c r="K575" s="44">
        <v>0</v>
      </c>
      <c r="L575" s="44">
        <v>0</v>
      </c>
      <c r="M575" s="43">
        <v>0.61458333333333337</v>
      </c>
      <c r="N575" s="43">
        <v>0.67361111111111116</v>
      </c>
      <c r="O575" s="43">
        <v>0.99861111111111101</v>
      </c>
      <c r="P575" s="43">
        <f>1+49/24/60</f>
        <v>1.0340277777777778</v>
      </c>
      <c r="Q575" s="39"/>
      <c r="R575" s="42" t="s">
        <v>9</v>
      </c>
      <c r="S575" s="29">
        <f>MIP[[#This Row],[PT-1]]+MIP[[#This Row],[PT-2]]*2+MIP[[#This Row],[PT-3]]*3+MIP[[#This Row],[PT &gt; 3 Pontos]]</f>
        <v>14</v>
      </c>
      <c r="T57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9.4444444444444553E-2</v>
      </c>
      <c r="U575" s="39">
        <f>IF(MIP[[#This Row],[P.S]]-MIP[[#This Row],[U.P]]&gt;=0,MIP[[#This Row],[P.S]]-MIP[[#This Row],[U.P]]+MIP[[#This Row],[S.B]]-MIP[[#This Row],[P.E]],1+MIP[[#This Row],[P.S]]-MIP[[#This Row],[U.P]]+MIP[[#This Row],[S.B]]-MIP[[#This Row],[P.E]])</f>
        <v>9.4444444444444553E-2</v>
      </c>
      <c r="V575" s="41">
        <f>MIP[[#This Row],[Eficiência]]</f>
        <v>1.1932096298664394</v>
      </c>
      <c r="W57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75" s="39">
        <f>IF(MIP[[#This Row],[P.S]]-MIP[[#This Row],[P.E]]&lt;0,1+MIP[[#This Row],[P.S]]-MIP[[#This Row],[P.E]]-1/24,MIP[[#This Row],[P.S]]-MIP[[#This Row],[P.E]]-1/24)</f>
        <v>0.37777777777777771</v>
      </c>
      <c r="Y575" s="39">
        <f>MIP[[#This Row],[PT-1]]*$S$3+MIP[[#This Row],[PT-2]]*$T$3+MIP[[#This Row],[PT-3]]*$U$3+MIP[[#This Row],[PT &gt; 3 Pontos]]*$V$3</f>
        <v>0.33807606179549093</v>
      </c>
      <c r="Z575" s="39">
        <f>MIP[[#This Row],[HH disponível]]-MIP[[#This Row],[HH AC TOT]]</f>
        <v>0.28333333333333316</v>
      </c>
      <c r="AA575" s="38">
        <f>MIP[[#This Row],[HH Produtivo
Total]]/MIP[[#This Row],[HH Trabalhado]]</f>
        <v>1.1932096298664394</v>
      </c>
      <c r="AB575" s="38">
        <f>MIP[[#This Row],[HH Produtivo
Total]]/MIP[[#This Row],[HH disponível]]</f>
        <v>0.89490722239982912</v>
      </c>
      <c r="AC575" s="38">
        <f>MIP[[#This Row],[HH Trabalhado]]/MIP[[#This Row],[HH disponível]]</f>
        <v>0.74999999999999967</v>
      </c>
      <c r="AD575" s="37" t="str">
        <f>LEFT(MIP[[#This Row],[Equipe]], SEARCH("/",MIP[[#This Row],[Equipe]],1)-1)</f>
        <v xml:space="preserve">EDILTON </v>
      </c>
      <c r="AE575" s="37" t="str">
        <f>RIGHT(MIP[[#This Row],[Equipe]], LEN(MIP[[#This Row],[Equipe]])-SEARCH("/",MIP[[#This Row],[Equipe]],1))</f>
        <v xml:space="preserve"> GECIVALDO</v>
      </c>
      <c r="AF575" s="44">
        <f>COUNTIFS('[1]Tempo parado'!H:H,"&gt;="&amp;MIP[[#This Row],[S.B Sitrack]],'[1]Tempo parado'!I:I,"&lt;="&amp;MIP[[#This Row],[C.B Sitrack]],'[1]Tempo parado'!B:B,MIP[[#This Row],[Placa]])</f>
        <v>0</v>
      </c>
      <c r="AG575" s="36"/>
      <c r="AH575" s="35"/>
      <c r="AI575" s="34"/>
      <c r="AJ575" s="34"/>
      <c r="AK57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7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75" s="32">
        <f>SUMIFS('[1]Tempo parado'!J:J,'[1]Tempo parado'!H:H,"&gt;="&amp;MIP[[#This Row],[S.B Sitrack]],'[1]Tempo parado'!I:I,"&lt;="&amp;MIP[[#This Row],[C.B Sitrack]],'[1]Tempo parado'!B:B,MIP[[#This Row],[Placa]])</f>
        <v>0</v>
      </c>
      <c r="AN575" s="32" t="str">
        <f>IFERROR(MIP[[#This Row],[Tempo parado]]/(MIP[[#This Row],[C.B Sitrack]]-MIP[[#This Row],[S.B Sitrack]]),"")</f>
        <v/>
      </c>
      <c r="AO575" s="30"/>
      <c r="AP575" s="44">
        <f>IF(AND(MIP[Exc]=0,MIP[Previsto / Realizado]="Realizado"),MIP[Sem],0)</f>
        <v>38</v>
      </c>
      <c r="AQ575" s="29">
        <f>IF(AND(MIP[Exc]=0,MIP[Previsto / Realizado]="Realizado",ISBLANK(MIP[[#This Row],[S.B Sitrack]])=FALSE,ISBLANK(MIP[[#This Row],[C.B Sitrack]])=FALSE),MIP[Sem],0)</f>
        <v>0</v>
      </c>
    </row>
    <row r="576" spans="2:43" x14ac:dyDescent="0.25">
      <c r="B576" s="44">
        <f>WEEKNUM(MIP[[#This Row],[Data]])</f>
        <v>38</v>
      </c>
      <c r="C576" s="45">
        <v>43000</v>
      </c>
      <c r="D576" s="45"/>
      <c r="E576" s="35" t="s">
        <v>19</v>
      </c>
      <c r="F576" s="35" t="s">
        <v>5</v>
      </c>
      <c r="G576" s="35"/>
      <c r="H576" s="44">
        <v>2</v>
      </c>
      <c r="I576" s="44">
        <v>8</v>
      </c>
      <c r="J576" s="44">
        <v>1</v>
      </c>
      <c r="K576" s="44">
        <v>1</v>
      </c>
      <c r="L576" s="44">
        <v>0</v>
      </c>
      <c r="M576" s="43">
        <v>0.625</v>
      </c>
      <c r="N576" s="43">
        <v>0.64583333333333337</v>
      </c>
      <c r="O576" s="43">
        <f>1+18/24/60</f>
        <v>1.0125</v>
      </c>
      <c r="P576" s="43">
        <f>1+48/24/60</f>
        <v>1.0333333333333334</v>
      </c>
      <c r="Q576" s="39"/>
      <c r="R576" s="42"/>
      <c r="S576" s="29">
        <f>MIP[[#This Row],[PT-1]]+MIP[[#This Row],[PT-2]]*2+MIP[[#This Row],[PT-3]]*3+MIP[[#This Row],[PT &gt; 3 Pontos]]</f>
        <v>13</v>
      </c>
      <c r="T57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576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576" s="41">
        <f>MIP[[#This Row],[Eficiência]]</f>
        <v>0.94433005852842811</v>
      </c>
      <c r="W57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76" s="39">
        <f>IF(MIP[[#This Row],[P.S]]-MIP[[#This Row],[P.E]]&lt;0,1+MIP[[#This Row],[P.S]]-MIP[[#This Row],[P.E]]-1/24,MIP[[#This Row],[P.S]]-MIP[[#This Row],[P.E]]-1/24)</f>
        <v>0.36666666666666675</v>
      </c>
      <c r="Y576" s="39">
        <f>MIP[[#This Row],[PT-1]]*$S$3+MIP[[#This Row],[PT-2]]*$T$3+MIP[[#This Row],[PT-3]]*$U$3+MIP[[#This Row],[PT &gt; 3 Pontos]]*$V$3</f>
        <v>0.30690726902173904</v>
      </c>
      <c r="Z576" s="39">
        <f>MIP[[#This Row],[HH disponível]]-MIP[[#This Row],[HH AC TOT]]</f>
        <v>0.3249999999999999</v>
      </c>
      <c r="AA576" s="38">
        <f>MIP[[#This Row],[HH Produtivo
Total]]/MIP[[#This Row],[HH Trabalhado]]</f>
        <v>0.94433005852842811</v>
      </c>
      <c r="AB576" s="38">
        <f>MIP[[#This Row],[HH Produtivo
Total]]/MIP[[#This Row],[HH disponível]]</f>
        <v>0.83701982460474267</v>
      </c>
      <c r="AC576" s="38">
        <f>MIP[[#This Row],[HH Trabalhado]]/MIP[[#This Row],[HH disponível]]</f>
        <v>0.88636363636363591</v>
      </c>
      <c r="AD576" s="37" t="str">
        <f>LEFT(MIP[[#This Row],[Equipe]], SEARCH("/",MIP[[#This Row],[Equipe]],1)-1)</f>
        <v xml:space="preserve">ADEMÁRIO </v>
      </c>
      <c r="AE576" s="37" t="str">
        <f>RIGHT(MIP[[#This Row],[Equipe]], LEN(MIP[[#This Row],[Equipe]])-SEARCH("/",MIP[[#This Row],[Equipe]],1))</f>
        <v xml:space="preserve"> RONALDO</v>
      </c>
      <c r="AF576" s="44">
        <f>COUNTIFS('[1]Tempo parado'!H:H,"&gt;="&amp;MIP[[#This Row],[S.B Sitrack]],'[1]Tempo parado'!I:I,"&lt;="&amp;MIP[[#This Row],[C.B Sitrack]],'[1]Tempo parado'!B:B,MIP[[#This Row],[Placa]])</f>
        <v>0</v>
      </c>
      <c r="AG576" s="36"/>
      <c r="AH576" s="35"/>
      <c r="AI576" s="34"/>
      <c r="AJ576" s="34"/>
      <c r="AK57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7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76" s="32">
        <f>SUMIFS('[1]Tempo parado'!J:J,'[1]Tempo parado'!H:H,"&gt;="&amp;MIP[[#This Row],[S.B Sitrack]],'[1]Tempo parado'!I:I,"&lt;="&amp;MIP[[#This Row],[C.B Sitrack]],'[1]Tempo parado'!B:B,MIP[[#This Row],[Placa]])</f>
        <v>0</v>
      </c>
      <c r="AN576" s="32" t="str">
        <f>IFERROR(MIP[[#This Row],[Tempo parado]]/(MIP[[#This Row],[C.B Sitrack]]-MIP[[#This Row],[S.B Sitrack]]),"")</f>
        <v/>
      </c>
      <c r="AO576" s="30"/>
      <c r="AP576" s="44">
        <f>IF(AND(MIP[Exc]=0,MIP[Previsto / Realizado]="Realizado"),MIP[Sem],0)</f>
        <v>0</v>
      </c>
      <c r="AQ576" s="29">
        <f>IF(AND(MIP[Exc]=0,MIP[Previsto / Realizado]="Realizado",ISBLANK(MIP[[#This Row],[S.B Sitrack]])=FALSE,ISBLANK(MIP[[#This Row],[C.B Sitrack]])=FALSE),MIP[Sem],0)</f>
        <v>0</v>
      </c>
    </row>
    <row r="577" spans="2:43" x14ac:dyDescent="0.25">
      <c r="B577" s="44">
        <f>WEEKNUM(MIP[[#This Row],[Data]])</f>
        <v>38</v>
      </c>
      <c r="C577" s="45">
        <v>43000</v>
      </c>
      <c r="D577" s="45"/>
      <c r="E577" s="35" t="s">
        <v>19</v>
      </c>
      <c r="F577" s="35" t="s">
        <v>2</v>
      </c>
      <c r="G577" s="35"/>
      <c r="H577" s="44">
        <v>2</v>
      </c>
      <c r="I577" s="44">
        <v>8</v>
      </c>
      <c r="J577" s="44">
        <v>1</v>
      </c>
      <c r="K577" s="44">
        <v>1</v>
      </c>
      <c r="L577" s="44">
        <v>0</v>
      </c>
      <c r="M577" s="43">
        <v>0.62777777777777777</v>
      </c>
      <c r="N577" s="43">
        <v>0.67361111111111116</v>
      </c>
      <c r="O577" s="43">
        <f>1+21/24/60</f>
        <v>1.0145833333333334</v>
      </c>
      <c r="P577" s="43">
        <f>1+53/24/60</f>
        <v>1.0368055555555555</v>
      </c>
      <c r="Q577" s="39"/>
      <c r="R577" s="42"/>
      <c r="S577" s="29">
        <f>MIP[[#This Row],[PT-1]]+MIP[[#This Row],[PT-2]]*2+MIP[[#This Row],[PT-3]]*3+MIP[[#This Row],[PT &gt; 3 Pontos]]</f>
        <v>13</v>
      </c>
      <c r="T57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6.8055555555555536E-2</v>
      </c>
      <c r="U577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6.8055555555555536E-2</v>
      </c>
      <c r="V577" s="41">
        <f>MIP[[#This Row],[Eficiência]]</f>
        <v>1.0253978361747198</v>
      </c>
      <c r="W57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77" s="39">
        <f>IF(MIP[[#This Row],[P.S]]-MIP[[#This Row],[P.E]]&lt;0,1+MIP[[#This Row],[P.S]]-MIP[[#This Row],[P.E]]-1/24,MIP[[#This Row],[P.S]]-MIP[[#This Row],[P.E]]-1/24)</f>
        <v>0.36736111111111108</v>
      </c>
      <c r="Y577" s="39">
        <f>MIP[[#This Row],[PT-1]]*$S$3+MIP[[#This Row],[PT-2]]*$T$3+MIP[[#This Row],[PT-3]]*$U$3+MIP[[#This Row],[PT &gt; 3 Pontos]]*$V$3</f>
        <v>0.30690726902173904</v>
      </c>
      <c r="Z577" s="39">
        <f>MIP[[#This Row],[HH disponível]]-MIP[[#This Row],[HH AC TOT]]</f>
        <v>0.29930555555555555</v>
      </c>
      <c r="AA577" s="38">
        <f>MIP[[#This Row],[HH Produtivo
Total]]/MIP[[#This Row],[HH Trabalhado]]</f>
        <v>1.0253978361747198</v>
      </c>
      <c r="AB577" s="38">
        <f>MIP[[#This Row],[HH Produtivo
Total]]/MIP[[#This Row],[HH disponível]]</f>
        <v>0.83543755650530105</v>
      </c>
      <c r="AC577" s="38">
        <f>MIP[[#This Row],[HH Trabalhado]]/MIP[[#This Row],[HH disponível]]</f>
        <v>0.81474480151228734</v>
      </c>
      <c r="AD577" s="37" t="str">
        <f>LEFT(MIP[[#This Row],[Equipe]], SEARCH("/",MIP[[#This Row],[Equipe]],1)-1)</f>
        <v xml:space="preserve">ADEMÁRIO </v>
      </c>
      <c r="AE577" s="37" t="str">
        <f>RIGHT(MIP[[#This Row],[Equipe]], LEN(MIP[[#This Row],[Equipe]])-SEARCH("/",MIP[[#This Row],[Equipe]],1))</f>
        <v xml:space="preserve"> RONALDO</v>
      </c>
      <c r="AF577" s="44">
        <f>COUNTIFS('[1]Tempo parado'!H:H,"&gt;="&amp;MIP[[#This Row],[S.B Sitrack]],'[1]Tempo parado'!I:I,"&lt;="&amp;MIP[[#This Row],[C.B Sitrack]],'[1]Tempo parado'!B:B,MIP[[#This Row],[Placa]])</f>
        <v>0</v>
      </c>
      <c r="AG577" s="36"/>
      <c r="AH577" s="35"/>
      <c r="AI577" s="34"/>
      <c r="AJ577" s="34"/>
      <c r="AK57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7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77" s="32">
        <f>SUMIFS('[1]Tempo parado'!J:J,'[1]Tempo parado'!H:H,"&gt;="&amp;MIP[[#This Row],[S.B Sitrack]],'[1]Tempo parado'!I:I,"&lt;="&amp;MIP[[#This Row],[C.B Sitrack]],'[1]Tempo parado'!B:B,MIP[[#This Row],[Placa]])</f>
        <v>0</v>
      </c>
      <c r="AN577" s="32" t="str">
        <f>IFERROR(MIP[[#This Row],[Tempo parado]]/(MIP[[#This Row],[C.B Sitrack]]-MIP[[#This Row],[S.B Sitrack]]),"")</f>
        <v/>
      </c>
      <c r="AO577" s="30"/>
      <c r="AP577" s="44">
        <f>IF(AND(MIP[Exc]=0,MIP[Previsto / Realizado]="Realizado"),MIP[Sem],0)</f>
        <v>38</v>
      </c>
      <c r="AQ577" s="29">
        <f>IF(AND(MIP[Exc]=0,MIP[Previsto / Realizado]="Realizado",ISBLANK(MIP[[#This Row],[S.B Sitrack]])=FALSE,ISBLANK(MIP[[#This Row],[C.B Sitrack]])=FALSE),MIP[Sem],0)</f>
        <v>0</v>
      </c>
    </row>
    <row r="578" spans="2:43" x14ac:dyDescent="0.25">
      <c r="B578" s="44">
        <f>WEEKNUM(MIP[[#This Row],[Data]])</f>
        <v>38</v>
      </c>
      <c r="C578" s="45">
        <v>43000</v>
      </c>
      <c r="D578" s="45"/>
      <c r="E578" s="35" t="s">
        <v>7</v>
      </c>
      <c r="F578" s="35" t="s">
        <v>5</v>
      </c>
      <c r="G578" s="35"/>
      <c r="H578" s="44">
        <v>2</v>
      </c>
      <c r="I578" s="44">
        <v>0</v>
      </c>
      <c r="J578" s="44">
        <v>0</v>
      </c>
      <c r="K578" s="44">
        <v>0</v>
      </c>
      <c r="L578" s="44">
        <v>0</v>
      </c>
      <c r="M578" s="43">
        <v>0.625</v>
      </c>
      <c r="N578" s="43">
        <v>0.64583333333333337</v>
      </c>
      <c r="O578" s="43">
        <f>1+18/24/60</f>
        <v>1.0125</v>
      </c>
      <c r="P578" s="43">
        <f>1+48/24/60</f>
        <v>1.0333333333333334</v>
      </c>
      <c r="Q578" s="39"/>
      <c r="R578" s="42" t="s">
        <v>226</v>
      </c>
      <c r="S578" s="29">
        <f>MIP[[#This Row],[PT-1]]+MIP[[#This Row],[PT-2]]*2+MIP[[#This Row],[PT-3]]*3+MIP[[#This Row],[PT &gt; 3 Pontos]]</f>
        <v>0</v>
      </c>
      <c r="T57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578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578" s="41">
        <f>MIP[[#This Row],[Eficiência]]</f>
        <v>0</v>
      </c>
      <c r="W57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78" s="39">
        <f>IF(MIP[[#This Row],[P.S]]-MIP[[#This Row],[P.E]]&lt;0,1+MIP[[#This Row],[P.S]]-MIP[[#This Row],[P.E]]-1/24,MIP[[#This Row],[P.S]]-MIP[[#This Row],[P.E]]-1/24)</f>
        <v>0.36666666666666675</v>
      </c>
      <c r="Y578" s="39">
        <f>MIP[[#This Row],[PT-1]]*$S$3+MIP[[#This Row],[PT-2]]*$T$3+MIP[[#This Row],[PT-3]]*$U$3+MIP[[#This Row],[PT &gt; 3 Pontos]]*$V$3</f>
        <v>0</v>
      </c>
      <c r="Z578" s="39">
        <f>MIP[[#This Row],[HH disponível]]-MIP[[#This Row],[HH AC TOT]]</f>
        <v>0.3249999999999999</v>
      </c>
      <c r="AA578" s="38">
        <f>MIP[[#This Row],[HH Produtivo
Total]]/MIP[[#This Row],[HH Trabalhado]]</f>
        <v>0</v>
      </c>
      <c r="AB578" s="38">
        <f>MIP[[#This Row],[HH Produtivo
Total]]/MIP[[#This Row],[HH disponível]]</f>
        <v>0</v>
      </c>
      <c r="AC578" s="38">
        <f>MIP[[#This Row],[HH Trabalhado]]/MIP[[#This Row],[HH disponível]]</f>
        <v>0.88636363636363591</v>
      </c>
      <c r="AD578" s="37" t="str">
        <f>LEFT(MIP[[#This Row],[Equipe]], SEARCH("/",MIP[[#This Row],[Equipe]],1)-1)</f>
        <v xml:space="preserve">ANDERSON </v>
      </c>
      <c r="AE578" s="37" t="str">
        <f>RIGHT(MIP[[#This Row],[Equipe]], LEN(MIP[[#This Row],[Equipe]])-SEARCH("/",MIP[[#This Row],[Equipe]],1))</f>
        <v xml:space="preserve"> MARCO</v>
      </c>
      <c r="AF578" s="44">
        <f>COUNTIFS('[1]Tempo parado'!H:H,"&gt;="&amp;MIP[[#This Row],[S.B Sitrack]],'[1]Tempo parado'!I:I,"&lt;="&amp;MIP[[#This Row],[C.B Sitrack]],'[1]Tempo parado'!B:B,MIP[[#This Row],[Placa]])</f>
        <v>0</v>
      </c>
      <c r="AG578" s="36"/>
      <c r="AH578" s="35"/>
      <c r="AI578" s="34"/>
      <c r="AJ578" s="34"/>
      <c r="AK57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7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78" s="32">
        <f>SUMIFS('[1]Tempo parado'!J:J,'[1]Tempo parado'!H:H,"&gt;="&amp;MIP[[#This Row],[S.B Sitrack]],'[1]Tempo parado'!I:I,"&lt;="&amp;MIP[[#This Row],[C.B Sitrack]],'[1]Tempo parado'!B:B,MIP[[#This Row],[Placa]])</f>
        <v>0</v>
      </c>
      <c r="AN578" s="32" t="str">
        <f>IFERROR(MIP[[#This Row],[Tempo parado]]/(MIP[[#This Row],[C.B Sitrack]]-MIP[[#This Row],[S.B Sitrack]]),"")</f>
        <v/>
      </c>
      <c r="AO578" s="30"/>
      <c r="AP578" s="44">
        <f>IF(AND(MIP[Exc]=0,MIP[Previsto / Realizado]="Realizado"),MIP[Sem],0)</f>
        <v>0</v>
      </c>
      <c r="AQ578" s="29">
        <f>IF(AND(MIP[Exc]=0,MIP[Previsto / Realizado]="Realizado",ISBLANK(MIP[[#This Row],[S.B Sitrack]])=FALSE,ISBLANK(MIP[[#This Row],[C.B Sitrack]])=FALSE),MIP[Sem],0)</f>
        <v>0</v>
      </c>
    </row>
    <row r="579" spans="2:43" x14ac:dyDescent="0.25">
      <c r="B579" s="44">
        <f>WEEKNUM(MIP[[#This Row],[Data]])</f>
        <v>38</v>
      </c>
      <c r="C579" s="45">
        <v>43000</v>
      </c>
      <c r="D579" s="45"/>
      <c r="E579" s="35" t="s">
        <v>7</v>
      </c>
      <c r="F579" s="35" t="s">
        <v>2</v>
      </c>
      <c r="G579" s="35"/>
      <c r="H579" s="44">
        <v>2</v>
      </c>
      <c r="I579" s="44">
        <v>4</v>
      </c>
      <c r="J579" s="44">
        <v>2</v>
      </c>
      <c r="K579" s="44">
        <v>1</v>
      </c>
      <c r="L579" s="44">
        <v>0</v>
      </c>
      <c r="M579" s="43">
        <v>0.62708333333333333</v>
      </c>
      <c r="N579" s="43">
        <v>0.67361111111111116</v>
      </c>
      <c r="O579" s="43">
        <f>1+25/24/60</f>
        <v>1.0173611111111112</v>
      </c>
      <c r="P579" s="43">
        <f>1+50/24/60</f>
        <v>1.0347222222222223</v>
      </c>
      <c r="Q579" s="39">
        <v>0.1111111111111111</v>
      </c>
      <c r="R579" s="42" t="s">
        <v>225</v>
      </c>
      <c r="S579" s="29">
        <f>MIP[[#This Row],[PT-1]]+MIP[[#This Row],[PT-2]]*2+MIP[[#This Row],[PT-3]]*3+MIP[[#This Row],[PT &gt; 3 Pontos]]</f>
        <v>11</v>
      </c>
      <c r="T57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0.1750000000000001</v>
      </c>
      <c r="U579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6.3888888888888995E-2</v>
      </c>
      <c r="V579" s="41">
        <f>MIP[[#This Row],[Eficiência]]</f>
        <v>1.3128224637681156</v>
      </c>
      <c r="W57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79" s="39">
        <f>IF(MIP[[#This Row],[P.S]]-MIP[[#This Row],[P.E]]&lt;0,1+MIP[[#This Row],[P.S]]-MIP[[#This Row],[P.E]]-1/24,MIP[[#This Row],[P.S]]-MIP[[#This Row],[P.E]]-1/24)</f>
        <v>0.36597222222222231</v>
      </c>
      <c r="Y579" s="39">
        <f>MIP[[#This Row],[PT-1]]*$S$3+MIP[[#This Row],[PT-2]]*$T$3+MIP[[#This Row],[PT-3]]*$U$3+MIP[[#This Row],[PT &gt; 3 Pontos]]*$V$3</f>
        <v>0.25071262328904986</v>
      </c>
      <c r="Z579" s="39">
        <f>MIP[[#This Row],[HH disponível]]-MIP[[#This Row],[HH AC TOT]]</f>
        <v>0.19097222222222221</v>
      </c>
      <c r="AA579" s="38">
        <f>MIP[[#This Row],[HH Produtivo
Total]]/MIP[[#This Row],[HH Trabalhado]]</f>
        <v>1.3128224637681156</v>
      </c>
      <c r="AB579" s="38">
        <f>MIP[[#This Row],[HH Produtivo
Total]]/MIP[[#This Row],[HH disponível]]</f>
        <v>0.6850591604103069</v>
      </c>
      <c r="AC579" s="38">
        <f>MIP[[#This Row],[HH Trabalhado]]/MIP[[#This Row],[HH disponível]]</f>
        <v>0.52182163187855768</v>
      </c>
      <c r="AD579" s="37" t="str">
        <f>LEFT(MIP[[#This Row],[Equipe]], SEARCH("/",MIP[[#This Row],[Equipe]],1)-1)</f>
        <v xml:space="preserve">ANDERSON </v>
      </c>
      <c r="AE579" s="37" t="str">
        <f>RIGHT(MIP[[#This Row],[Equipe]], LEN(MIP[[#This Row],[Equipe]])-SEARCH("/",MIP[[#This Row],[Equipe]],1))</f>
        <v xml:space="preserve"> MARCO</v>
      </c>
      <c r="AF579" s="44">
        <f>COUNTIFS('[1]Tempo parado'!H:H,"&gt;="&amp;MIP[[#This Row],[S.B Sitrack]],'[1]Tempo parado'!I:I,"&lt;="&amp;MIP[[#This Row],[C.B Sitrack]],'[1]Tempo parado'!B:B,MIP[[#This Row],[Placa]])</f>
        <v>0</v>
      </c>
      <c r="AG579" s="36"/>
      <c r="AH579" s="35"/>
      <c r="AI579" s="34"/>
      <c r="AJ579" s="34"/>
      <c r="AK57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7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79" s="32">
        <f>SUMIFS('[1]Tempo parado'!J:J,'[1]Tempo parado'!H:H,"&gt;="&amp;MIP[[#This Row],[S.B Sitrack]],'[1]Tempo parado'!I:I,"&lt;="&amp;MIP[[#This Row],[C.B Sitrack]],'[1]Tempo parado'!B:B,MIP[[#This Row],[Placa]])</f>
        <v>0</v>
      </c>
      <c r="AN579" s="32" t="str">
        <f>IFERROR(MIP[[#This Row],[Tempo parado]]/(MIP[[#This Row],[C.B Sitrack]]-MIP[[#This Row],[S.B Sitrack]]),"")</f>
        <v/>
      </c>
      <c r="AO579" s="30"/>
      <c r="AP579" s="44">
        <f>IF(AND(MIP[Exc]=0,MIP[Previsto / Realizado]="Realizado"),MIP[Sem],0)</f>
        <v>38</v>
      </c>
      <c r="AQ579" s="29">
        <f>IF(AND(MIP[Exc]=0,MIP[Previsto / Realizado]="Realizado",ISBLANK(MIP[[#This Row],[S.B Sitrack]])=FALSE,ISBLANK(MIP[[#This Row],[C.B Sitrack]])=FALSE),MIP[Sem],0)</f>
        <v>0</v>
      </c>
    </row>
    <row r="580" spans="2:43" x14ac:dyDescent="0.25">
      <c r="B580" s="44">
        <f>WEEKNUM(MIP[[#This Row],[Data]])</f>
        <v>38</v>
      </c>
      <c r="C580" s="45">
        <v>43001</v>
      </c>
      <c r="D580" s="45"/>
      <c r="E580" s="35" t="s">
        <v>3</v>
      </c>
      <c r="F580" s="35" t="s">
        <v>5</v>
      </c>
      <c r="G580" s="35"/>
      <c r="H580" s="44">
        <v>2</v>
      </c>
      <c r="I580" s="44">
        <v>0</v>
      </c>
      <c r="J580" s="44">
        <v>0</v>
      </c>
      <c r="K580" s="44">
        <v>0</v>
      </c>
      <c r="L580" s="44">
        <v>0</v>
      </c>
      <c r="M580" s="43">
        <v>0.625</v>
      </c>
      <c r="N580" s="43">
        <v>0.64583333333333337</v>
      </c>
      <c r="O580" s="43">
        <f>1+18/24/60</f>
        <v>1.0125</v>
      </c>
      <c r="P580" s="43">
        <f>1+48/24/60</f>
        <v>1.0333333333333334</v>
      </c>
      <c r="Q580" s="39"/>
      <c r="R580" s="42" t="s">
        <v>36</v>
      </c>
      <c r="S580" s="29">
        <f>MIP[[#This Row],[PT-1]]+MIP[[#This Row],[PT-2]]*2+MIP[[#This Row],[PT-3]]*3+MIP[[#This Row],[PT &gt; 3 Pontos]]</f>
        <v>0</v>
      </c>
      <c r="T58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580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580" s="41">
        <f>MIP[[#This Row],[Eficiência]]</f>
        <v>0</v>
      </c>
      <c r="W58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80" s="39">
        <f>IF(MIP[[#This Row],[P.S]]-MIP[[#This Row],[P.E]]&lt;0,1+MIP[[#This Row],[P.S]]-MIP[[#This Row],[P.E]]-1/24,MIP[[#This Row],[P.S]]-MIP[[#This Row],[P.E]]-1/24)</f>
        <v>0.36666666666666675</v>
      </c>
      <c r="Y580" s="39">
        <f>MIP[[#This Row],[PT-1]]*$S$3+MIP[[#This Row],[PT-2]]*$T$3+MIP[[#This Row],[PT-3]]*$U$3+MIP[[#This Row],[PT &gt; 3 Pontos]]*$V$3</f>
        <v>0</v>
      </c>
      <c r="Z580" s="39">
        <f>MIP[[#This Row],[HH disponível]]-MIP[[#This Row],[HH AC TOT]]</f>
        <v>0.3249999999999999</v>
      </c>
      <c r="AA580" s="38">
        <f>MIP[[#This Row],[HH Produtivo
Total]]/MIP[[#This Row],[HH Trabalhado]]</f>
        <v>0</v>
      </c>
      <c r="AB580" s="38">
        <f>MIP[[#This Row],[HH Produtivo
Total]]/MIP[[#This Row],[HH disponível]]</f>
        <v>0</v>
      </c>
      <c r="AC580" s="38">
        <f>MIP[[#This Row],[HH Trabalhado]]/MIP[[#This Row],[HH disponível]]</f>
        <v>0.88636363636363591</v>
      </c>
      <c r="AD580" s="37" t="str">
        <f>LEFT(MIP[[#This Row],[Equipe]], SEARCH("/",MIP[[#This Row],[Equipe]],1)-1)</f>
        <v xml:space="preserve">EDILTON </v>
      </c>
      <c r="AE580" s="37" t="str">
        <f>RIGHT(MIP[[#This Row],[Equipe]], LEN(MIP[[#This Row],[Equipe]])-SEARCH("/",MIP[[#This Row],[Equipe]],1))</f>
        <v xml:space="preserve"> GECIVALDO</v>
      </c>
      <c r="AF580" s="44">
        <f>COUNTIFS('[1]Tempo parado'!H:H,"&gt;="&amp;MIP[[#This Row],[S.B Sitrack]],'[1]Tempo parado'!I:I,"&lt;="&amp;MIP[[#This Row],[C.B Sitrack]],'[1]Tempo parado'!B:B,MIP[[#This Row],[Placa]])</f>
        <v>0</v>
      </c>
      <c r="AG580" s="36"/>
      <c r="AH580" s="35"/>
      <c r="AI580" s="34"/>
      <c r="AJ580" s="34"/>
      <c r="AK58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8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80" s="32">
        <f>SUMIFS('[1]Tempo parado'!J:J,'[1]Tempo parado'!H:H,"&gt;="&amp;MIP[[#This Row],[S.B Sitrack]],'[1]Tempo parado'!I:I,"&lt;="&amp;MIP[[#This Row],[C.B Sitrack]],'[1]Tempo parado'!B:B,MIP[[#This Row],[Placa]])</f>
        <v>0</v>
      </c>
      <c r="AN580" s="32" t="str">
        <f>IFERROR(MIP[[#This Row],[Tempo parado]]/(MIP[[#This Row],[C.B Sitrack]]-MIP[[#This Row],[S.B Sitrack]]),"")</f>
        <v/>
      </c>
      <c r="AO580" s="30"/>
      <c r="AP580" s="44">
        <f>IF(AND(MIP[Exc]=0,MIP[Previsto / Realizado]="Realizado"),MIP[Sem],0)</f>
        <v>0</v>
      </c>
      <c r="AQ580" s="29">
        <f>IF(AND(MIP[Exc]=0,MIP[Previsto / Realizado]="Realizado",ISBLANK(MIP[[#This Row],[S.B Sitrack]])=FALSE,ISBLANK(MIP[[#This Row],[C.B Sitrack]])=FALSE),MIP[Sem],0)</f>
        <v>0</v>
      </c>
    </row>
    <row r="581" spans="2:43" x14ac:dyDescent="0.25">
      <c r="B581" s="44">
        <f>WEEKNUM(MIP[[#This Row],[Data]])</f>
        <v>38</v>
      </c>
      <c r="C581" s="45">
        <v>43001</v>
      </c>
      <c r="D581" s="45"/>
      <c r="E581" s="35" t="s">
        <v>3</v>
      </c>
      <c r="F581" s="35" t="s">
        <v>2</v>
      </c>
      <c r="G581" s="35"/>
      <c r="H581" s="44">
        <v>2</v>
      </c>
      <c r="I581" s="44">
        <v>7</v>
      </c>
      <c r="J581" s="44">
        <v>2</v>
      </c>
      <c r="K581" s="44">
        <v>1</v>
      </c>
      <c r="L581" s="44">
        <v>0</v>
      </c>
      <c r="M581" s="43">
        <v>0.61111111111111105</v>
      </c>
      <c r="N581" s="43">
        <v>0.63888888888888895</v>
      </c>
      <c r="O581" s="43">
        <f>1+31/24/60</f>
        <v>1.0215277777777778</v>
      </c>
      <c r="P581" s="43">
        <f>1+48/24/60</f>
        <v>1.0333333333333334</v>
      </c>
      <c r="Q581" s="39"/>
      <c r="R581" s="42" t="s">
        <v>92</v>
      </c>
      <c r="S581" s="29">
        <f>MIP[[#This Row],[PT-1]]+MIP[[#This Row],[PT-2]]*2+MIP[[#This Row],[PT-3]]*3+MIP[[#This Row],[PT &gt; 3 Pontos]]</f>
        <v>14</v>
      </c>
      <c r="T58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3.9583333333333526E-2</v>
      </c>
      <c r="U581" s="39">
        <f>IF(MIP[[#This Row],[P.S]]-MIP[[#This Row],[U.P]]&gt;=0,MIP[[#This Row],[P.S]]-MIP[[#This Row],[U.P]]+MIP[[#This Row],[S.B]]-MIP[[#This Row],[P.E]],1+MIP[[#This Row],[P.S]]-MIP[[#This Row],[U.P]]+MIP[[#This Row],[S.B]]-MIP[[#This Row],[P.E]])</f>
        <v>3.9583333333333526E-2</v>
      </c>
      <c r="V581" s="41">
        <f>MIP[[#This Row],[Eficiência]]</f>
        <v>0.955474261341834</v>
      </c>
      <c r="W58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81" s="39">
        <f>IF(MIP[[#This Row],[P.S]]-MIP[[#This Row],[P.E]]&lt;0,1+MIP[[#This Row],[P.S]]-MIP[[#This Row],[P.E]]-1/24,MIP[[#This Row],[P.S]]-MIP[[#This Row],[P.E]]-1/24)</f>
        <v>0.3805555555555557</v>
      </c>
      <c r="Y581" s="39">
        <f>MIP[[#This Row],[PT-1]]*$S$3+MIP[[#This Row],[PT-2]]*$T$3+MIP[[#This Row],[PT-3]]*$U$3+MIP[[#This Row],[PT &gt; 3 Pontos]]*$V$3</f>
        <v>0.32579018216586142</v>
      </c>
      <c r="Z581" s="39">
        <f>MIP[[#This Row],[HH disponível]]-MIP[[#This Row],[HH AC TOT]]</f>
        <v>0.34097222222222218</v>
      </c>
      <c r="AA581" s="38">
        <f>MIP[[#This Row],[HH Produtivo
Total]]/MIP[[#This Row],[HH Trabalhado]]</f>
        <v>0.955474261341834</v>
      </c>
      <c r="AB581" s="38">
        <f>MIP[[#This Row],[HH Produtivo
Total]]/MIP[[#This Row],[HH disponível]]</f>
        <v>0.85609098963292019</v>
      </c>
      <c r="AC581" s="38">
        <f>MIP[[#This Row],[HH Trabalhado]]/MIP[[#This Row],[HH disponível]]</f>
        <v>0.8959854014598535</v>
      </c>
      <c r="AD581" s="37" t="str">
        <f>LEFT(MIP[[#This Row],[Equipe]], SEARCH("/",MIP[[#This Row],[Equipe]],1)-1)</f>
        <v xml:space="preserve">EDILTON </v>
      </c>
      <c r="AE581" s="37" t="str">
        <f>RIGHT(MIP[[#This Row],[Equipe]], LEN(MIP[[#This Row],[Equipe]])-SEARCH("/",MIP[[#This Row],[Equipe]],1))</f>
        <v xml:space="preserve"> GECIVALDO</v>
      </c>
      <c r="AF581" s="44">
        <f>COUNTIFS('[1]Tempo parado'!H:H,"&gt;="&amp;MIP[[#This Row],[S.B Sitrack]],'[1]Tempo parado'!I:I,"&lt;="&amp;MIP[[#This Row],[C.B Sitrack]],'[1]Tempo parado'!B:B,MIP[[#This Row],[Placa]])</f>
        <v>0</v>
      </c>
      <c r="AG581" s="36"/>
      <c r="AH581" s="35"/>
      <c r="AI581" s="34"/>
      <c r="AJ581" s="34"/>
      <c r="AK58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8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81" s="32">
        <f>SUMIFS('[1]Tempo parado'!J:J,'[1]Tempo parado'!H:H,"&gt;="&amp;MIP[[#This Row],[S.B Sitrack]],'[1]Tempo parado'!I:I,"&lt;="&amp;MIP[[#This Row],[C.B Sitrack]],'[1]Tempo parado'!B:B,MIP[[#This Row],[Placa]])</f>
        <v>0</v>
      </c>
      <c r="AN581" s="32" t="str">
        <f>IFERROR(MIP[[#This Row],[Tempo parado]]/(MIP[[#This Row],[C.B Sitrack]]-MIP[[#This Row],[S.B Sitrack]]),"")</f>
        <v/>
      </c>
      <c r="AO581" s="30"/>
      <c r="AP581" s="44">
        <f>IF(AND(MIP[Exc]=0,MIP[Previsto / Realizado]="Realizado"),MIP[Sem],0)</f>
        <v>38</v>
      </c>
      <c r="AQ581" s="29">
        <f>IF(AND(MIP[Exc]=0,MIP[Previsto / Realizado]="Realizado",ISBLANK(MIP[[#This Row],[S.B Sitrack]])=FALSE,ISBLANK(MIP[[#This Row],[C.B Sitrack]])=FALSE),MIP[Sem],0)</f>
        <v>0</v>
      </c>
    </row>
    <row r="582" spans="2:43" x14ac:dyDescent="0.25">
      <c r="B582" s="44">
        <f>WEEKNUM(MIP[[#This Row],[Data]])</f>
        <v>38</v>
      </c>
      <c r="C582" s="45">
        <v>43001</v>
      </c>
      <c r="D582" s="45"/>
      <c r="E582" s="35" t="s">
        <v>156</v>
      </c>
      <c r="F582" s="35" t="s">
        <v>5</v>
      </c>
      <c r="G582" s="35"/>
      <c r="H582" s="44">
        <v>2</v>
      </c>
      <c r="I582" s="44">
        <v>0</v>
      </c>
      <c r="J582" s="44">
        <v>1</v>
      </c>
      <c r="K582" s="44">
        <v>1</v>
      </c>
      <c r="L582" s="44">
        <v>0</v>
      </c>
      <c r="M582" s="43">
        <v>0.625</v>
      </c>
      <c r="N582" s="43">
        <v>0.64583333333333337</v>
      </c>
      <c r="O582" s="43">
        <f>1+18/24/60</f>
        <v>1.0125</v>
      </c>
      <c r="P582" s="43">
        <f>1+48/24/60</f>
        <v>1.0333333333333334</v>
      </c>
      <c r="Q582" s="39"/>
      <c r="R582" s="42" t="s">
        <v>36</v>
      </c>
      <c r="S582" s="29">
        <f>MIP[[#This Row],[PT-1]]+MIP[[#This Row],[PT-2]]*2+MIP[[#This Row],[PT-3]]*3+MIP[[#This Row],[PT &gt; 3 Pontos]]</f>
        <v>5</v>
      </c>
      <c r="T58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582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582" s="41">
        <f>MIP[[#This Row],[Eficiência]]</f>
        <v>0.32830906261612797</v>
      </c>
      <c r="W58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82" s="39">
        <f>IF(MIP[[#This Row],[P.S]]-MIP[[#This Row],[P.E]]&lt;0,1+MIP[[#This Row],[P.S]]-MIP[[#This Row],[P.E]]-1/24,MIP[[#This Row],[P.S]]-MIP[[#This Row],[P.E]]-1/24)</f>
        <v>0.36666666666666675</v>
      </c>
      <c r="Y582" s="39">
        <f>MIP[[#This Row],[PT-1]]*$S$3+MIP[[#This Row],[PT-2]]*$T$3+MIP[[#This Row],[PT-3]]*$U$3+MIP[[#This Row],[PT &gt; 3 Pontos]]*$V$3</f>
        <v>0.10670044535024156</v>
      </c>
      <c r="Z582" s="39">
        <f>MIP[[#This Row],[HH disponível]]-MIP[[#This Row],[HH AC TOT]]</f>
        <v>0.3249999999999999</v>
      </c>
      <c r="AA582" s="38">
        <f>MIP[[#This Row],[HH Produtivo
Total]]/MIP[[#This Row],[HH Trabalhado]]</f>
        <v>0.32830906261612797</v>
      </c>
      <c r="AB582" s="38">
        <f>MIP[[#This Row],[HH Produtivo
Total]]/MIP[[#This Row],[HH disponível]]</f>
        <v>0.29100121459156786</v>
      </c>
      <c r="AC582" s="38">
        <f>MIP[[#This Row],[HH Trabalhado]]/MIP[[#This Row],[HH disponível]]</f>
        <v>0.88636363636363591</v>
      </c>
      <c r="AD582" s="37" t="str">
        <f>LEFT(MIP[[#This Row],[Equipe]], SEARCH("/",MIP[[#This Row],[Equipe]],1)-1)</f>
        <v xml:space="preserve">ADEMÁRIO </v>
      </c>
      <c r="AE582" s="37" t="str">
        <f>RIGHT(MIP[[#This Row],[Equipe]], LEN(MIP[[#This Row],[Equipe]])-SEARCH("/",MIP[[#This Row],[Equipe]],1))</f>
        <v xml:space="preserve"> MARCO</v>
      </c>
      <c r="AF582" s="44">
        <f>COUNTIFS('[1]Tempo parado'!H:H,"&gt;="&amp;MIP[[#This Row],[S.B Sitrack]],'[1]Tempo parado'!I:I,"&lt;="&amp;MIP[[#This Row],[C.B Sitrack]],'[1]Tempo parado'!B:B,MIP[[#This Row],[Placa]])</f>
        <v>0</v>
      </c>
      <c r="AG582" s="36"/>
      <c r="AH582" s="35"/>
      <c r="AI582" s="34"/>
      <c r="AJ582" s="34"/>
      <c r="AK58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8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82" s="32">
        <f>SUMIFS('[1]Tempo parado'!J:J,'[1]Tempo parado'!H:H,"&gt;="&amp;MIP[[#This Row],[S.B Sitrack]],'[1]Tempo parado'!I:I,"&lt;="&amp;MIP[[#This Row],[C.B Sitrack]],'[1]Tempo parado'!B:B,MIP[[#This Row],[Placa]])</f>
        <v>0</v>
      </c>
      <c r="AN582" s="32" t="str">
        <f>IFERROR(MIP[[#This Row],[Tempo parado]]/(MIP[[#This Row],[C.B Sitrack]]-MIP[[#This Row],[S.B Sitrack]]),"")</f>
        <v/>
      </c>
      <c r="AO582" s="30"/>
      <c r="AP582" s="44">
        <f>IF(AND(MIP[Exc]=0,MIP[Previsto / Realizado]="Realizado"),MIP[Sem],0)</f>
        <v>0</v>
      </c>
      <c r="AQ582" s="29">
        <f>IF(AND(MIP[Exc]=0,MIP[Previsto / Realizado]="Realizado",ISBLANK(MIP[[#This Row],[S.B Sitrack]])=FALSE,ISBLANK(MIP[[#This Row],[C.B Sitrack]])=FALSE),MIP[Sem],0)</f>
        <v>0</v>
      </c>
    </row>
    <row r="583" spans="2:43" x14ac:dyDescent="0.25">
      <c r="B583" s="44">
        <f>WEEKNUM(MIP[[#This Row],[Data]])</f>
        <v>38</v>
      </c>
      <c r="C583" s="45">
        <v>43001</v>
      </c>
      <c r="D583" s="45"/>
      <c r="E583" s="35" t="s">
        <v>156</v>
      </c>
      <c r="F583" s="35" t="s">
        <v>2</v>
      </c>
      <c r="G583" s="35"/>
      <c r="H583" s="44">
        <v>2</v>
      </c>
      <c r="I583" s="44">
        <v>1</v>
      </c>
      <c r="J583" s="44">
        <v>2</v>
      </c>
      <c r="K583" s="44">
        <v>1</v>
      </c>
      <c r="L583" s="44">
        <v>5</v>
      </c>
      <c r="M583" s="43">
        <v>0.6479166666666667</v>
      </c>
      <c r="N583" s="43">
        <v>0.66666666666666663</v>
      </c>
      <c r="O583" s="43">
        <f>1+19/24/60</f>
        <v>1.0131944444444445</v>
      </c>
      <c r="P583" s="43">
        <f>1+50/24/60</f>
        <v>1.0347222222222223</v>
      </c>
      <c r="Q583" s="39"/>
      <c r="R583" s="42" t="s">
        <v>224</v>
      </c>
      <c r="S583" s="29">
        <f>MIP[[#This Row],[PT-1]]+MIP[[#This Row],[PT-2]]*2+MIP[[#This Row],[PT-3]]*3+MIP[[#This Row],[PT &gt; 3 Pontos]]</f>
        <v>13</v>
      </c>
      <c r="T58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4.0277777777777746E-2</v>
      </c>
      <c r="U583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4.0277777777777746E-2</v>
      </c>
      <c r="V583" s="41">
        <f>MIP[[#This Row],[Eficiência]]</f>
        <v>0.90820084531892487</v>
      </c>
      <c r="W58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83" s="39">
        <f>IF(MIP[[#This Row],[P.S]]-MIP[[#This Row],[P.E]]&lt;0,1+MIP[[#This Row],[P.S]]-MIP[[#This Row],[P.E]]-1/24,MIP[[#This Row],[P.S]]-MIP[[#This Row],[P.E]]-1/24)</f>
        <v>0.34513888888888894</v>
      </c>
      <c r="Y583" s="39">
        <f>MIP[[#This Row],[PT-1]]*$S$3+MIP[[#This Row],[PT-2]]*$T$3+MIP[[#This Row],[PT-3]]*$U$3+MIP[[#This Row],[PT &gt; 3 Pontos]]*$V$3</f>
        <v>0.27687511881597787</v>
      </c>
      <c r="Z583" s="39">
        <f>MIP[[#This Row],[HH disponível]]-MIP[[#This Row],[HH AC TOT]]</f>
        <v>0.30486111111111119</v>
      </c>
      <c r="AA583" s="38">
        <f>MIP[[#This Row],[HH Produtivo
Total]]/MIP[[#This Row],[HH Trabalhado]]</f>
        <v>0.90820084531892487</v>
      </c>
      <c r="AB583" s="38">
        <f>MIP[[#This Row],[HH Produtivo
Total]]/MIP[[#This Row],[HH disponível]]</f>
        <v>0.80221362393361784</v>
      </c>
      <c r="AC583" s="38">
        <f>MIP[[#This Row],[HH Trabalhado]]/MIP[[#This Row],[HH disponível]]</f>
        <v>0.88329979879275666</v>
      </c>
      <c r="AD583" s="37" t="str">
        <f>LEFT(MIP[[#This Row],[Equipe]], SEARCH("/",MIP[[#This Row],[Equipe]],1)-1)</f>
        <v xml:space="preserve">ADEMÁRIO </v>
      </c>
      <c r="AE583" s="37" t="str">
        <f>RIGHT(MIP[[#This Row],[Equipe]], LEN(MIP[[#This Row],[Equipe]])-SEARCH("/",MIP[[#This Row],[Equipe]],1))</f>
        <v xml:space="preserve"> MARCO</v>
      </c>
      <c r="AF583" s="44">
        <f>COUNTIFS('[1]Tempo parado'!H:H,"&gt;="&amp;MIP[[#This Row],[S.B Sitrack]],'[1]Tempo parado'!I:I,"&lt;="&amp;MIP[[#This Row],[C.B Sitrack]],'[1]Tempo parado'!B:B,MIP[[#This Row],[Placa]])</f>
        <v>0</v>
      </c>
      <c r="AG583" s="36"/>
      <c r="AH583" s="35"/>
      <c r="AI583" s="34"/>
      <c r="AJ583" s="34"/>
      <c r="AK58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8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83" s="32">
        <f>SUMIFS('[1]Tempo parado'!J:J,'[1]Tempo parado'!H:H,"&gt;="&amp;MIP[[#This Row],[S.B Sitrack]],'[1]Tempo parado'!I:I,"&lt;="&amp;MIP[[#This Row],[C.B Sitrack]],'[1]Tempo parado'!B:B,MIP[[#This Row],[Placa]])</f>
        <v>0</v>
      </c>
      <c r="AN583" s="32" t="str">
        <f>IFERROR(MIP[[#This Row],[Tempo parado]]/(MIP[[#This Row],[C.B Sitrack]]-MIP[[#This Row],[S.B Sitrack]]),"")</f>
        <v/>
      </c>
      <c r="AO583" s="30"/>
      <c r="AP583" s="44">
        <f>IF(AND(MIP[Exc]=0,MIP[Previsto / Realizado]="Realizado"),MIP[Sem],0)</f>
        <v>38</v>
      </c>
      <c r="AQ583" s="29">
        <f>IF(AND(MIP[Exc]=0,MIP[Previsto / Realizado]="Realizado",ISBLANK(MIP[[#This Row],[S.B Sitrack]])=FALSE,ISBLANK(MIP[[#This Row],[C.B Sitrack]])=FALSE),MIP[Sem],0)</f>
        <v>0</v>
      </c>
    </row>
    <row r="584" spans="2:43" x14ac:dyDescent="0.25">
      <c r="B584" s="44">
        <f>WEEKNUM(MIP[[#This Row],[Data]])</f>
        <v>39</v>
      </c>
      <c r="C584" s="45">
        <v>43002</v>
      </c>
      <c r="D584" s="45"/>
      <c r="E584" s="35" t="s">
        <v>7</v>
      </c>
      <c r="F584" s="35" t="s">
        <v>5</v>
      </c>
      <c r="G584" s="35"/>
      <c r="H584" s="44">
        <v>2</v>
      </c>
      <c r="I584" s="44">
        <v>0</v>
      </c>
      <c r="J584" s="44">
        <v>0</v>
      </c>
      <c r="K584" s="44">
        <v>0</v>
      </c>
      <c r="L584" s="44">
        <v>0</v>
      </c>
      <c r="M584" s="43">
        <v>0.625</v>
      </c>
      <c r="N584" s="43">
        <v>0.64583333333333337</v>
      </c>
      <c r="O584" s="43">
        <f>1+18/24/60</f>
        <v>1.0125</v>
      </c>
      <c r="P584" s="43">
        <f>1+48/24/60</f>
        <v>1.0333333333333334</v>
      </c>
      <c r="Q584" s="39"/>
      <c r="R584" s="42" t="s">
        <v>36</v>
      </c>
      <c r="S584" s="29">
        <f>MIP[[#This Row],[PT-1]]+MIP[[#This Row],[PT-2]]*2+MIP[[#This Row],[PT-3]]*3+MIP[[#This Row],[PT &gt; 3 Pontos]]</f>
        <v>0</v>
      </c>
      <c r="T58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584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584" s="41">
        <f>MIP[[#This Row],[Eficiência]]</f>
        <v>0</v>
      </c>
      <c r="W58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84" s="39">
        <f>IF(MIP[[#This Row],[P.S]]-MIP[[#This Row],[P.E]]&lt;0,1+MIP[[#This Row],[P.S]]-MIP[[#This Row],[P.E]]-1/24,MIP[[#This Row],[P.S]]-MIP[[#This Row],[P.E]]-1/24)</f>
        <v>0.36666666666666675</v>
      </c>
      <c r="Y584" s="39">
        <f>MIP[[#This Row],[PT-1]]*$S$3+MIP[[#This Row],[PT-2]]*$T$3+MIP[[#This Row],[PT-3]]*$U$3+MIP[[#This Row],[PT &gt; 3 Pontos]]*$V$3</f>
        <v>0</v>
      </c>
      <c r="Z584" s="39">
        <f>MIP[[#This Row],[HH disponível]]-MIP[[#This Row],[HH AC TOT]]</f>
        <v>0.3249999999999999</v>
      </c>
      <c r="AA584" s="38">
        <f>MIP[[#This Row],[HH Produtivo
Total]]/MIP[[#This Row],[HH Trabalhado]]</f>
        <v>0</v>
      </c>
      <c r="AB584" s="38">
        <f>MIP[[#This Row],[HH Produtivo
Total]]/MIP[[#This Row],[HH disponível]]</f>
        <v>0</v>
      </c>
      <c r="AC584" s="38">
        <f>MIP[[#This Row],[HH Trabalhado]]/MIP[[#This Row],[HH disponível]]</f>
        <v>0.88636363636363591</v>
      </c>
      <c r="AD584" s="37" t="str">
        <f>LEFT(MIP[[#This Row],[Equipe]], SEARCH("/",MIP[[#This Row],[Equipe]],1)-1)</f>
        <v xml:space="preserve">ANDERSON </v>
      </c>
      <c r="AE584" s="37" t="str">
        <f>RIGHT(MIP[[#This Row],[Equipe]], LEN(MIP[[#This Row],[Equipe]])-SEARCH("/",MIP[[#This Row],[Equipe]],1))</f>
        <v xml:space="preserve"> MARCO</v>
      </c>
      <c r="AF584" s="44">
        <f>COUNTIFS('[1]Tempo parado'!H:H,"&gt;="&amp;MIP[[#This Row],[S.B Sitrack]],'[1]Tempo parado'!I:I,"&lt;="&amp;MIP[[#This Row],[C.B Sitrack]],'[1]Tempo parado'!B:B,MIP[[#This Row],[Placa]])</f>
        <v>0</v>
      </c>
      <c r="AG584" s="36"/>
      <c r="AH584" s="35"/>
      <c r="AI584" s="34"/>
      <c r="AJ584" s="34"/>
      <c r="AK58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8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84" s="32">
        <f>SUMIFS('[1]Tempo parado'!J:J,'[1]Tempo parado'!H:H,"&gt;="&amp;MIP[[#This Row],[S.B Sitrack]],'[1]Tempo parado'!I:I,"&lt;="&amp;MIP[[#This Row],[C.B Sitrack]],'[1]Tempo parado'!B:B,MIP[[#This Row],[Placa]])</f>
        <v>0</v>
      </c>
      <c r="AN584" s="32" t="str">
        <f>IFERROR(MIP[[#This Row],[Tempo parado]]/(MIP[[#This Row],[C.B Sitrack]]-MIP[[#This Row],[S.B Sitrack]]),"")</f>
        <v/>
      </c>
      <c r="AO584" s="30"/>
      <c r="AP584" s="44">
        <f>IF(AND(MIP[Exc]=0,MIP[Previsto / Realizado]="Realizado"),MIP[Sem],0)</f>
        <v>0</v>
      </c>
      <c r="AQ584" s="29">
        <f>IF(AND(MIP[Exc]=0,MIP[Previsto / Realizado]="Realizado",ISBLANK(MIP[[#This Row],[S.B Sitrack]])=FALSE,ISBLANK(MIP[[#This Row],[C.B Sitrack]])=FALSE),MIP[Sem],0)</f>
        <v>0</v>
      </c>
    </row>
    <row r="585" spans="2:43" x14ac:dyDescent="0.25">
      <c r="B585" s="44">
        <f>WEEKNUM(MIP[[#This Row],[Data]])</f>
        <v>39</v>
      </c>
      <c r="C585" s="45">
        <v>43002</v>
      </c>
      <c r="D585" s="45"/>
      <c r="E585" s="35" t="s">
        <v>7</v>
      </c>
      <c r="F585" s="35" t="s">
        <v>2</v>
      </c>
      <c r="G585" s="35"/>
      <c r="H585" s="44">
        <v>2</v>
      </c>
      <c r="I585" s="44">
        <v>8</v>
      </c>
      <c r="J585" s="44">
        <v>2</v>
      </c>
      <c r="K585" s="44">
        <v>0</v>
      </c>
      <c r="L585" s="44">
        <v>0</v>
      </c>
      <c r="M585" s="43">
        <v>0.62847222222222221</v>
      </c>
      <c r="N585" s="43">
        <v>0.64583333333333337</v>
      </c>
      <c r="O585" s="43">
        <f>1+15/24/60</f>
        <v>1.0104166666666667</v>
      </c>
      <c r="P585" s="43">
        <f>1+48/24/60</f>
        <v>1.0333333333333334</v>
      </c>
      <c r="Q585" s="39"/>
      <c r="R585" s="42" t="s">
        <v>21</v>
      </c>
      <c r="S585" s="29">
        <f>MIP[[#This Row],[PT-1]]+MIP[[#This Row],[PT-2]]*2+MIP[[#This Row],[PT-3]]*3+MIP[[#This Row],[PT &gt; 3 Pontos]]</f>
        <v>12</v>
      </c>
      <c r="T58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4.0277777777777857E-2</v>
      </c>
      <c r="U585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4.0277777777777857E-2</v>
      </c>
      <c r="V585" s="41">
        <f>MIP[[#This Row],[Eficiência]]</f>
        <v>0.89194639239519979</v>
      </c>
      <c r="W58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85" s="39">
        <f>IF(MIP[[#This Row],[P.S]]-MIP[[#This Row],[P.E]]&lt;0,1+MIP[[#This Row],[P.S]]-MIP[[#This Row],[P.E]]-1/24,MIP[[#This Row],[P.S]]-MIP[[#This Row],[P.E]]-1/24)</f>
        <v>0.36319444444444454</v>
      </c>
      <c r="Y585" s="39">
        <f>MIP[[#This Row],[PT-1]]*$S$3+MIP[[#This Row],[PT-2]]*$T$3+MIP[[#This Row],[PT-3]]*$U$3+MIP[[#This Row],[PT &gt; 3 Pontos]]*$V$3</f>
        <v>0.2880243558776166</v>
      </c>
      <c r="Z585" s="39">
        <f>MIP[[#This Row],[HH disponível]]-MIP[[#This Row],[HH AC TOT]]</f>
        <v>0.32291666666666669</v>
      </c>
      <c r="AA585" s="38">
        <f>MIP[[#This Row],[HH Produtivo
Total]]/MIP[[#This Row],[HH Trabalhado]]</f>
        <v>0.89194639239519979</v>
      </c>
      <c r="AB585" s="38">
        <f>MIP[[#This Row],[HH Produtivo
Total]]/MIP[[#This Row],[HH disponível]]</f>
        <v>0.79303073128827495</v>
      </c>
      <c r="AC585" s="38">
        <f>MIP[[#This Row],[HH Trabalhado]]/MIP[[#This Row],[HH disponível]]</f>
        <v>0.88910133843212213</v>
      </c>
      <c r="AD585" s="37" t="str">
        <f>LEFT(MIP[[#This Row],[Equipe]], SEARCH("/",MIP[[#This Row],[Equipe]],1)-1)</f>
        <v xml:space="preserve">ANDERSON </v>
      </c>
      <c r="AE585" s="37" t="str">
        <f>RIGHT(MIP[[#This Row],[Equipe]], LEN(MIP[[#This Row],[Equipe]])-SEARCH("/",MIP[[#This Row],[Equipe]],1))</f>
        <v xml:space="preserve"> MARCO</v>
      </c>
      <c r="AF585" s="44">
        <f>COUNTIFS('[1]Tempo parado'!H:H,"&gt;="&amp;MIP[[#This Row],[S.B Sitrack]],'[1]Tempo parado'!I:I,"&lt;="&amp;MIP[[#This Row],[C.B Sitrack]],'[1]Tempo parado'!B:B,MIP[[#This Row],[Placa]])</f>
        <v>0</v>
      </c>
      <c r="AG585" s="36"/>
      <c r="AH585" s="35"/>
      <c r="AI585" s="34"/>
      <c r="AJ585" s="34"/>
      <c r="AK58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8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85" s="32">
        <f>SUMIFS('[1]Tempo parado'!J:J,'[1]Tempo parado'!H:H,"&gt;="&amp;MIP[[#This Row],[S.B Sitrack]],'[1]Tempo parado'!I:I,"&lt;="&amp;MIP[[#This Row],[C.B Sitrack]],'[1]Tempo parado'!B:B,MIP[[#This Row],[Placa]])</f>
        <v>0</v>
      </c>
      <c r="AN585" s="32" t="str">
        <f>IFERROR(MIP[[#This Row],[Tempo parado]]/(MIP[[#This Row],[C.B Sitrack]]-MIP[[#This Row],[S.B Sitrack]]),"")</f>
        <v/>
      </c>
      <c r="AO585" s="30"/>
      <c r="AP585" s="44">
        <f>IF(AND(MIP[Exc]=0,MIP[Previsto / Realizado]="Realizado"),MIP[Sem],0)</f>
        <v>39</v>
      </c>
      <c r="AQ585" s="29">
        <f>IF(AND(MIP[Exc]=0,MIP[Previsto / Realizado]="Realizado",ISBLANK(MIP[[#This Row],[S.B Sitrack]])=FALSE,ISBLANK(MIP[[#This Row],[C.B Sitrack]])=FALSE),MIP[Sem],0)</f>
        <v>0</v>
      </c>
    </row>
    <row r="586" spans="2:43" x14ac:dyDescent="0.25">
      <c r="B586" s="44">
        <f>WEEKNUM(MIP[[#This Row],[Data]])</f>
        <v>39</v>
      </c>
      <c r="C586" s="45">
        <v>43002</v>
      </c>
      <c r="D586" s="45"/>
      <c r="E586" s="35" t="s">
        <v>3</v>
      </c>
      <c r="F586" s="35" t="s">
        <v>5</v>
      </c>
      <c r="G586" s="35"/>
      <c r="H586" s="44">
        <v>2</v>
      </c>
      <c r="I586" s="44">
        <v>0</v>
      </c>
      <c r="J586" s="44">
        <v>0</v>
      </c>
      <c r="K586" s="44">
        <v>0</v>
      </c>
      <c r="L586" s="44">
        <v>0</v>
      </c>
      <c r="M586" s="43">
        <v>0.625</v>
      </c>
      <c r="N586" s="43">
        <v>0.64583333333333337</v>
      </c>
      <c r="O586" s="43">
        <f>1+18/24/60</f>
        <v>1.0125</v>
      </c>
      <c r="P586" s="43">
        <f>1+48/24/60</f>
        <v>1.0333333333333334</v>
      </c>
      <c r="Q586" s="39"/>
      <c r="R586" s="42"/>
      <c r="S586" s="29">
        <f>MIP[[#This Row],[PT-1]]+MIP[[#This Row],[PT-2]]*2+MIP[[#This Row],[PT-3]]*3+MIP[[#This Row],[PT &gt; 3 Pontos]]</f>
        <v>0</v>
      </c>
      <c r="T58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586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586" s="41">
        <f>MIP[[#This Row],[Eficiência]]</f>
        <v>0</v>
      </c>
      <c r="W58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86" s="39">
        <f>IF(MIP[[#This Row],[P.S]]-MIP[[#This Row],[P.E]]&lt;0,1+MIP[[#This Row],[P.S]]-MIP[[#This Row],[P.E]]-1/24,MIP[[#This Row],[P.S]]-MIP[[#This Row],[P.E]]-1/24)</f>
        <v>0.36666666666666675</v>
      </c>
      <c r="Y586" s="39">
        <f>MIP[[#This Row],[PT-1]]*$S$3+MIP[[#This Row],[PT-2]]*$T$3+MIP[[#This Row],[PT-3]]*$U$3+MIP[[#This Row],[PT &gt; 3 Pontos]]*$V$3</f>
        <v>0</v>
      </c>
      <c r="Z586" s="39">
        <f>MIP[[#This Row],[HH disponível]]-MIP[[#This Row],[HH AC TOT]]</f>
        <v>0.3249999999999999</v>
      </c>
      <c r="AA586" s="38">
        <f>MIP[[#This Row],[HH Produtivo
Total]]/MIP[[#This Row],[HH Trabalhado]]</f>
        <v>0</v>
      </c>
      <c r="AB586" s="38">
        <f>MIP[[#This Row],[HH Produtivo
Total]]/MIP[[#This Row],[HH disponível]]</f>
        <v>0</v>
      </c>
      <c r="AC586" s="38">
        <f>MIP[[#This Row],[HH Trabalhado]]/MIP[[#This Row],[HH disponível]]</f>
        <v>0.88636363636363591</v>
      </c>
      <c r="AD586" s="37" t="str">
        <f>LEFT(MIP[[#This Row],[Equipe]], SEARCH("/",MIP[[#This Row],[Equipe]],1)-1)</f>
        <v xml:space="preserve">EDILTON </v>
      </c>
      <c r="AE586" s="37" t="str">
        <f>RIGHT(MIP[[#This Row],[Equipe]], LEN(MIP[[#This Row],[Equipe]])-SEARCH("/",MIP[[#This Row],[Equipe]],1))</f>
        <v xml:space="preserve"> GECIVALDO</v>
      </c>
      <c r="AF586" s="44">
        <f>COUNTIFS('[1]Tempo parado'!H:H,"&gt;="&amp;MIP[[#This Row],[S.B Sitrack]],'[1]Tempo parado'!I:I,"&lt;="&amp;MIP[[#This Row],[C.B Sitrack]],'[1]Tempo parado'!B:B,MIP[[#This Row],[Placa]])</f>
        <v>0</v>
      </c>
      <c r="AG586" s="36"/>
      <c r="AH586" s="35"/>
      <c r="AI586" s="34"/>
      <c r="AJ586" s="34"/>
      <c r="AK58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8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86" s="32">
        <f>SUMIFS('[1]Tempo parado'!J:J,'[1]Tempo parado'!H:H,"&gt;="&amp;MIP[[#This Row],[S.B Sitrack]],'[1]Tempo parado'!I:I,"&lt;="&amp;MIP[[#This Row],[C.B Sitrack]],'[1]Tempo parado'!B:B,MIP[[#This Row],[Placa]])</f>
        <v>0</v>
      </c>
      <c r="AN586" s="32" t="str">
        <f>IFERROR(MIP[[#This Row],[Tempo parado]]/(MIP[[#This Row],[C.B Sitrack]]-MIP[[#This Row],[S.B Sitrack]]),"")</f>
        <v/>
      </c>
      <c r="AO586" s="30"/>
      <c r="AP586" s="44">
        <f>IF(AND(MIP[Exc]=0,MIP[Previsto / Realizado]="Realizado"),MIP[Sem],0)</f>
        <v>0</v>
      </c>
      <c r="AQ586" s="29">
        <f>IF(AND(MIP[Exc]=0,MIP[Previsto / Realizado]="Realizado",ISBLANK(MIP[[#This Row],[S.B Sitrack]])=FALSE,ISBLANK(MIP[[#This Row],[C.B Sitrack]])=FALSE),MIP[Sem],0)</f>
        <v>0</v>
      </c>
    </row>
    <row r="587" spans="2:43" x14ac:dyDescent="0.25">
      <c r="B587" s="44">
        <f>WEEKNUM(MIP[[#This Row],[Data]])</f>
        <v>39</v>
      </c>
      <c r="C587" s="45">
        <v>43002</v>
      </c>
      <c r="D587" s="45"/>
      <c r="E587" s="35" t="s">
        <v>3</v>
      </c>
      <c r="F587" s="35" t="s">
        <v>2</v>
      </c>
      <c r="G587" s="35"/>
      <c r="H587" s="44">
        <v>2</v>
      </c>
      <c r="I587" s="44">
        <v>9</v>
      </c>
      <c r="J587" s="44">
        <v>1</v>
      </c>
      <c r="K587" s="44">
        <v>1</v>
      </c>
      <c r="L587" s="44">
        <v>0</v>
      </c>
      <c r="M587" s="43">
        <v>0.6118055555555556</v>
      </c>
      <c r="N587" s="43">
        <v>0.625</v>
      </c>
      <c r="O587" s="43">
        <f>1+18/24/60</f>
        <v>1.0125</v>
      </c>
      <c r="P587" s="43">
        <f>1+48/24/60</f>
        <v>1.0333333333333334</v>
      </c>
      <c r="Q587" s="39"/>
      <c r="R587" s="42"/>
      <c r="S587" s="29">
        <f>MIP[[#This Row],[PT-1]]+MIP[[#This Row],[PT-2]]*2+MIP[[#This Row],[PT-3]]*3+MIP[[#This Row],[PT &gt; 3 Pontos]]</f>
        <v>14</v>
      </c>
      <c r="T58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3.4027777777777879E-2</v>
      </c>
      <c r="U587" s="39">
        <f>IF(MIP[[#This Row],[P.S]]-MIP[[#This Row],[U.P]]&gt;=0,MIP[[#This Row],[P.S]]-MIP[[#This Row],[U.P]]+MIP[[#This Row],[S.B]]-MIP[[#This Row],[P.E]],1+MIP[[#This Row],[P.S]]-MIP[[#This Row],[U.P]]+MIP[[#This Row],[S.B]]-MIP[[#This Row],[P.E]])</f>
        <v>3.4027777777777879E-2</v>
      </c>
      <c r="V587" s="41">
        <f>MIP[[#This Row],[Eficiência]]</f>
        <v>0.9598066177754494</v>
      </c>
      <c r="W58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87" s="39">
        <f>IF(MIP[[#This Row],[P.S]]-MIP[[#This Row],[P.E]]&lt;0,1+MIP[[#This Row],[P.S]]-MIP[[#This Row],[P.E]]-1/24,MIP[[#This Row],[P.S]]-MIP[[#This Row],[P.E]]-1/24)</f>
        <v>0.37986111111111115</v>
      </c>
      <c r="Y587" s="39">
        <f>MIP[[#This Row],[PT-1]]*$S$3+MIP[[#This Row],[PT-2]]*$T$3+MIP[[#This Row],[PT-3]]*$U$3+MIP[[#This Row],[PT &gt; 3 Pontos]]*$V$3</f>
        <v>0.3319331219806762</v>
      </c>
      <c r="Z587" s="39">
        <f>MIP[[#This Row],[HH disponível]]-MIP[[#This Row],[HH AC TOT]]</f>
        <v>0.34583333333333327</v>
      </c>
      <c r="AA587" s="38">
        <f>MIP[[#This Row],[HH Produtivo
Total]]/MIP[[#This Row],[HH Trabalhado]]</f>
        <v>0.9598066177754494</v>
      </c>
      <c r="AB587" s="38">
        <f>MIP[[#This Row],[HH Produtivo
Total]]/MIP[[#This Row],[HH disponível]]</f>
        <v>0.87382759717033576</v>
      </c>
      <c r="AC587" s="38">
        <f>MIP[[#This Row],[HH Trabalhado]]/MIP[[#This Row],[HH disponível]]</f>
        <v>0.91042047531992665</v>
      </c>
      <c r="AD587" s="37" t="str">
        <f>LEFT(MIP[[#This Row],[Equipe]], SEARCH("/",MIP[[#This Row],[Equipe]],1)-1)</f>
        <v xml:space="preserve">EDILTON </v>
      </c>
      <c r="AE587" s="37" t="str">
        <f>RIGHT(MIP[[#This Row],[Equipe]], LEN(MIP[[#This Row],[Equipe]])-SEARCH("/",MIP[[#This Row],[Equipe]],1))</f>
        <v xml:space="preserve"> GECIVALDO</v>
      </c>
      <c r="AF587" s="44">
        <f>COUNTIFS('[1]Tempo parado'!H:H,"&gt;="&amp;MIP[[#This Row],[S.B Sitrack]],'[1]Tempo parado'!I:I,"&lt;="&amp;MIP[[#This Row],[C.B Sitrack]],'[1]Tempo parado'!B:B,MIP[[#This Row],[Placa]])</f>
        <v>0</v>
      </c>
      <c r="AG587" s="36"/>
      <c r="AH587" s="35"/>
      <c r="AI587" s="34"/>
      <c r="AJ587" s="34"/>
      <c r="AK58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8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87" s="32">
        <f>SUMIFS('[1]Tempo parado'!J:J,'[1]Tempo parado'!H:H,"&gt;="&amp;MIP[[#This Row],[S.B Sitrack]],'[1]Tempo parado'!I:I,"&lt;="&amp;MIP[[#This Row],[C.B Sitrack]],'[1]Tempo parado'!B:B,MIP[[#This Row],[Placa]])</f>
        <v>0</v>
      </c>
      <c r="AN587" s="32" t="str">
        <f>IFERROR(MIP[[#This Row],[Tempo parado]]/(MIP[[#This Row],[C.B Sitrack]]-MIP[[#This Row],[S.B Sitrack]]),"")</f>
        <v/>
      </c>
      <c r="AO587" s="30"/>
      <c r="AP587" s="44">
        <f>IF(AND(MIP[Exc]=0,MIP[Previsto / Realizado]="Realizado"),MIP[Sem],0)</f>
        <v>39</v>
      </c>
      <c r="AQ587" s="29">
        <f>IF(AND(MIP[Exc]=0,MIP[Previsto / Realizado]="Realizado",ISBLANK(MIP[[#This Row],[S.B Sitrack]])=FALSE,ISBLANK(MIP[[#This Row],[C.B Sitrack]])=FALSE),MIP[Sem],0)</f>
        <v>0</v>
      </c>
    </row>
    <row r="588" spans="2:43" x14ac:dyDescent="0.25">
      <c r="B588" s="44">
        <f>WEEKNUM(MIP[[#This Row],[Data]])</f>
        <v>39</v>
      </c>
      <c r="C588" s="45">
        <v>43003</v>
      </c>
      <c r="D588" s="45"/>
      <c r="E588" s="35" t="s">
        <v>33</v>
      </c>
      <c r="F588" s="35" t="s">
        <v>5</v>
      </c>
      <c r="G588" s="35"/>
      <c r="H588" s="44">
        <v>2</v>
      </c>
      <c r="I588" s="44">
        <v>5</v>
      </c>
      <c r="J588" s="44">
        <v>1</v>
      </c>
      <c r="K588" s="44">
        <v>0</v>
      </c>
      <c r="L588" s="44">
        <v>0</v>
      </c>
      <c r="M588" s="43">
        <v>0.25</v>
      </c>
      <c r="N588" s="43">
        <v>0.27083333333333331</v>
      </c>
      <c r="O588" s="43">
        <v>0.63750000000000007</v>
      </c>
      <c r="P588" s="43">
        <v>0.65833333333333333</v>
      </c>
      <c r="Q588" s="39"/>
      <c r="R588" s="42" t="s">
        <v>70</v>
      </c>
      <c r="S588" s="29">
        <f>MIP[[#This Row],[PT-1]]+MIP[[#This Row],[PT-2]]*2+MIP[[#This Row],[PT-3]]*3+MIP[[#This Row],[PT &gt; 3 Pontos]]</f>
        <v>7</v>
      </c>
      <c r="T58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588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588" s="41">
        <f>MIP[[#This Row],[Eficiência]]</f>
        <v>0.52011701814690903</v>
      </c>
      <c r="W58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88" s="39">
        <f>IF(MIP[[#This Row],[P.S]]-MIP[[#This Row],[P.E]]&lt;0,1+MIP[[#This Row],[P.S]]-MIP[[#This Row],[P.E]]-1/24,MIP[[#This Row],[P.S]]-MIP[[#This Row],[P.E]]-1/24)</f>
        <v>0.36666666666666664</v>
      </c>
      <c r="Y588" s="39">
        <f>MIP[[#This Row],[PT-1]]*$S$3+MIP[[#This Row],[PT-2]]*$T$3+MIP[[#This Row],[PT-3]]*$U$3+MIP[[#This Row],[PT &gt; 3 Pontos]]*$V$3</f>
        <v>0.16903803089774547</v>
      </c>
      <c r="Z588" s="39">
        <f>MIP[[#This Row],[HH disponível]]-MIP[[#This Row],[HH AC TOT]]</f>
        <v>0.32500000000000007</v>
      </c>
      <c r="AA588" s="38">
        <f>MIP[[#This Row],[HH Produtivo
Total]]/MIP[[#This Row],[HH Trabalhado]]</f>
        <v>0.52011701814690903</v>
      </c>
      <c r="AB588" s="38">
        <f>MIP[[#This Row],[HH Produtivo
Total]]/MIP[[#This Row],[HH disponível]]</f>
        <v>0.46101281153930584</v>
      </c>
      <c r="AC588" s="38">
        <f>MIP[[#This Row],[HH Trabalhado]]/MIP[[#This Row],[HH disponível]]</f>
        <v>0.88636363636363658</v>
      </c>
      <c r="AD588" s="37" t="str">
        <f>LEFT(MIP[[#This Row],[Equipe]], SEARCH("/",MIP[[#This Row],[Equipe]],1)-1)</f>
        <v xml:space="preserve">JOILSON </v>
      </c>
      <c r="AE588" s="37" t="str">
        <f>RIGHT(MIP[[#This Row],[Equipe]], LEN(MIP[[#This Row],[Equipe]])-SEARCH("/",MIP[[#This Row],[Equipe]],1))</f>
        <v xml:space="preserve"> HERVAL</v>
      </c>
      <c r="AF588" s="44">
        <f>COUNTIFS('[1]Tempo parado'!H:H,"&gt;="&amp;MIP[[#This Row],[S.B Sitrack]],'[1]Tempo parado'!I:I,"&lt;="&amp;MIP[[#This Row],[C.B Sitrack]],'[1]Tempo parado'!B:B,MIP[[#This Row],[Placa]])</f>
        <v>0</v>
      </c>
      <c r="AG588" s="36"/>
      <c r="AH588" s="35"/>
      <c r="AI588" s="34"/>
      <c r="AJ588" s="34"/>
      <c r="AK58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8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88" s="32">
        <f>SUMIFS('[1]Tempo parado'!J:J,'[1]Tempo parado'!H:H,"&gt;="&amp;MIP[[#This Row],[S.B Sitrack]],'[1]Tempo parado'!I:I,"&lt;="&amp;MIP[[#This Row],[C.B Sitrack]],'[1]Tempo parado'!B:B,MIP[[#This Row],[Placa]])</f>
        <v>0</v>
      </c>
      <c r="AN588" s="32" t="str">
        <f>IFERROR(MIP[[#This Row],[Tempo parado]]/(MIP[[#This Row],[C.B Sitrack]]-MIP[[#This Row],[S.B Sitrack]]),"")</f>
        <v/>
      </c>
      <c r="AO588" s="30"/>
      <c r="AP588" s="44">
        <f>IF(AND(MIP[Exc]=0,MIP[Previsto / Realizado]="Realizado"),MIP[Sem],0)</f>
        <v>0</v>
      </c>
      <c r="AQ588" s="29">
        <f>IF(AND(MIP[Exc]=0,MIP[Previsto / Realizado]="Realizado",ISBLANK(MIP[[#This Row],[S.B Sitrack]])=FALSE,ISBLANK(MIP[[#This Row],[C.B Sitrack]])=FALSE),MIP[Sem],0)</f>
        <v>0</v>
      </c>
    </row>
    <row r="589" spans="2:43" x14ac:dyDescent="0.25">
      <c r="B589" s="44">
        <f>WEEKNUM(MIP[[#This Row],[Data]])</f>
        <v>39</v>
      </c>
      <c r="C589" s="45">
        <v>43003</v>
      </c>
      <c r="D589" s="45"/>
      <c r="E589" s="35" t="s">
        <v>33</v>
      </c>
      <c r="F589" s="35" t="s">
        <v>2</v>
      </c>
      <c r="G589" s="35"/>
      <c r="H589" s="44">
        <v>2</v>
      </c>
      <c r="I589" s="44">
        <v>6</v>
      </c>
      <c r="J589" s="44">
        <v>1</v>
      </c>
      <c r="K589" s="44">
        <v>0</v>
      </c>
      <c r="L589" s="44">
        <v>0</v>
      </c>
      <c r="M589" s="43">
        <v>0.24861111111111112</v>
      </c>
      <c r="N589" s="43">
        <v>0.28472222222222221</v>
      </c>
      <c r="O589" s="43">
        <v>0.63750000000000007</v>
      </c>
      <c r="P589" s="43">
        <v>0.68055555555555547</v>
      </c>
      <c r="Q589" s="39"/>
      <c r="R589" s="42"/>
      <c r="S589" s="29">
        <f>MIP[[#This Row],[PT-1]]+MIP[[#This Row],[PT-2]]*2+MIP[[#This Row],[PT-3]]*3+MIP[[#This Row],[PT &gt; 3 Pontos]]</f>
        <v>8</v>
      </c>
      <c r="T58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7.9166666666666496E-2</v>
      </c>
      <c r="U589" s="39">
        <f>IF(MIP[[#This Row],[P.S]]-MIP[[#This Row],[U.P]]&gt;=0,MIP[[#This Row],[P.S]]-MIP[[#This Row],[U.P]]+MIP[[#This Row],[S.B]]-MIP[[#This Row],[P.E]],1+MIP[[#This Row],[P.S]]-MIP[[#This Row],[U.P]]+MIP[[#This Row],[S.B]]-MIP[[#This Row],[P.E]])</f>
        <v>7.9166666666666496E-2</v>
      </c>
      <c r="V589" s="41">
        <f>MIP[[#This Row],[Eficiência]]</f>
        <v>0.62377676953933703</v>
      </c>
      <c r="W58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89" s="39">
        <f>IF(MIP[[#This Row],[P.S]]-MIP[[#This Row],[P.E]]&lt;0,1+MIP[[#This Row],[P.S]]-MIP[[#This Row],[P.E]]-1/24,MIP[[#This Row],[P.S]]-MIP[[#This Row],[P.E]]-1/24)</f>
        <v>0.39027777777777767</v>
      </c>
      <c r="Y589" s="39">
        <f>MIP[[#This Row],[PT-1]]*$S$3+MIP[[#This Row],[PT-2]]*$T$3+MIP[[#This Row],[PT-3]]*$U$3+MIP[[#This Row],[PT &gt; 3 Pontos]]*$V$3</f>
        <v>0.19406388385668266</v>
      </c>
      <c r="Z589" s="39">
        <f>MIP[[#This Row],[HH disponível]]-MIP[[#This Row],[HH AC TOT]]</f>
        <v>0.31111111111111117</v>
      </c>
      <c r="AA589" s="38">
        <f>MIP[[#This Row],[HH Produtivo
Total]]/MIP[[#This Row],[HH Trabalhado]]</f>
        <v>0.62377676953933703</v>
      </c>
      <c r="AB589" s="38">
        <f>MIP[[#This Row],[HH Produtivo
Total]]/MIP[[#This Row],[HH disponível]]</f>
        <v>0.49724553870751442</v>
      </c>
      <c r="AC589" s="38">
        <f>MIP[[#This Row],[HH Trabalhado]]/MIP[[#This Row],[HH disponível]]</f>
        <v>0.79715302491103246</v>
      </c>
      <c r="AD589" s="37" t="str">
        <f>LEFT(MIP[[#This Row],[Equipe]], SEARCH("/",MIP[[#This Row],[Equipe]],1)-1)</f>
        <v xml:space="preserve">JOILSON </v>
      </c>
      <c r="AE589" s="37" t="str">
        <f>RIGHT(MIP[[#This Row],[Equipe]], LEN(MIP[[#This Row],[Equipe]])-SEARCH("/",MIP[[#This Row],[Equipe]],1))</f>
        <v xml:space="preserve"> HERVAL</v>
      </c>
      <c r="AF589" s="44">
        <f>COUNTIFS('[1]Tempo parado'!H:H,"&gt;="&amp;MIP[[#This Row],[S.B Sitrack]],'[1]Tempo parado'!I:I,"&lt;="&amp;MIP[[#This Row],[C.B Sitrack]],'[1]Tempo parado'!B:B,MIP[[#This Row],[Placa]])</f>
        <v>0</v>
      </c>
      <c r="AG589" s="36"/>
      <c r="AH589" s="35"/>
      <c r="AI589" s="34"/>
      <c r="AJ589" s="34"/>
      <c r="AK58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8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89" s="32">
        <f>SUMIFS('[1]Tempo parado'!J:J,'[1]Tempo parado'!H:H,"&gt;="&amp;MIP[[#This Row],[S.B Sitrack]],'[1]Tempo parado'!I:I,"&lt;="&amp;MIP[[#This Row],[C.B Sitrack]],'[1]Tempo parado'!B:B,MIP[[#This Row],[Placa]])</f>
        <v>0</v>
      </c>
      <c r="AN589" s="32" t="str">
        <f>IFERROR(MIP[[#This Row],[Tempo parado]]/(MIP[[#This Row],[C.B Sitrack]]-MIP[[#This Row],[S.B Sitrack]]),"")</f>
        <v/>
      </c>
      <c r="AO589" s="30"/>
      <c r="AP589" s="44">
        <f>IF(AND(MIP[Exc]=0,MIP[Previsto / Realizado]="Realizado"),MIP[Sem],0)</f>
        <v>39</v>
      </c>
      <c r="AQ589" s="29">
        <f>IF(AND(MIP[Exc]=0,MIP[Previsto / Realizado]="Realizado",ISBLANK(MIP[[#This Row],[S.B Sitrack]])=FALSE,ISBLANK(MIP[[#This Row],[C.B Sitrack]])=FALSE),MIP[Sem],0)</f>
        <v>0</v>
      </c>
    </row>
    <row r="590" spans="2:43" x14ac:dyDescent="0.25">
      <c r="B590" s="44">
        <f>WEEKNUM(MIP[[#This Row],[Data]])</f>
        <v>39</v>
      </c>
      <c r="C590" s="45">
        <v>43003</v>
      </c>
      <c r="D590" s="45"/>
      <c r="E590" s="35" t="s">
        <v>19</v>
      </c>
      <c r="F590" s="35" t="s">
        <v>5</v>
      </c>
      <c r="G590" s="35"/>
      <c r="H590" s="44">
        <v>2</v>
      </c>
      <c r="I590" s="44">
        <v>3</v>
      </c>
      <c r="J590" s="44">
        <v>1</v>
      </c>
      <c r="K590" s="44">
        <v>0</v>
      </c>
      <c r="L590" s="44">
        <v>10</v>
      </c>
      <c r="M590" s="43">
        <v>0.625</v>
      </c>
      <c r="N590" s="43">
        <v>0.64583333333333337</v>
      </c>
      <c r="O590" s="43">
        <v>1.0125</v>
      </c>
      <c r="P590" s="43">
        <v>1.0333333333333334</v>
      </c>
      <c r="Q590" s="39"/>
      <c r="R590" s="42"/>
      <c r="S590" s="29">
        <f>MIP[[#This Row],[PT-1]]+MIP[[#This Row],[PT-2]]*2+MIP[[#This Row],[PT-3]]*3+MIP[[#This Row],[PT &gt; 3 Pontos]]</f>
        <v>15</v>
      </c>
      <c r="T59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590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590" s="41">
        <f>MIP[[#This Row],[Eficiência]]</f>
        <v>0.98912748857646238</v>
      </c>
      <c r="W59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90" s="39">
        <f>IF(MIP[[#This Row],[P.S]]-MIP[[#This Row],[P.E]]&lt;0,1+MIP[[#This Row],[P.S]]-MIP[[#This Row],[P.E]]-1/24,MIP[[#This Row],[P.S]]-MIP[[#This Row],[P.E]]-1/24)</f>
        <v>0.36666666666666675</v>
      </c>
      <c r="Y590" s="39">
        <f>MIP[[#This Row],[PT-1]]*$S$3+MIP[[#This Row],[PT-2]]*$T$3+MIP[[#This Row],[PT-3]]*$U$3+MIP[[#This Row],[PT &gt; 3 Pontos]]*$V$3</f>
        <v>0.32146643378735018</v>
      </c>
      <c r="Z590" s="39">
        <f>MIP[[#This Row],[HH disponível]]-MIP[[#This Row],[HH AC TOT]]</f>
        <v>0.3249999999999999</v>
      </c>
      <c r="AA590" s="38">
        <f>MIP[[#This Row],[HH Produtivo
Total]]/MIP[[#This Row],[HH Trabalhado]]</f>
        <v>0.98912748857646238</v>
      </c>
      <c r="AB590" s="38">
        <f>MIP[[#This Row],[HH Produtivo
Total]]/MIP[[#This Row],[HH disponível]]</f>
        <v>0.87672663760186398</v>
      </c>
      <c r="AC590" s="38">
        <f>MIP[[#This Row],[HH Trabalhado]]/MIP[[#This Row],[HH disponível]]</f>
        <v>0.88636363636363591</v>
      </c>
      <c r="AD590" s="37" t="str">
        <f>LEFT(MIP[[#This Row],[Equipe]], SEARCH("/",MIP[[#This Row],[Equipe]],1)-1)</f>
        <v xml:space="preserve">ADEMÁRIO </v>
      </c>
      <c r="AE590" s="37" t="str">
        <f>RIGHT(MIP[[#This Row],[Equipe]], LEN(MIP[[#This Row],[Equipe]])-SEARCH("/",MIP[[#This Row],[Equipe]],1))</f>
        <v xml:space="preserve"> RONALDO</v>
      </c>
      <c r="AF590" s="44">
        <f>COUNTIFS('[1]Tempo parado'!H:H,"&gt;="&amp;MIP[[#This Row],[S.B Sitrack]],'[1]Tempo parado'!I:I,"&lt;="&amp;MIP[[#This Row],[C.B Sitrack]],'[1]Tempo parado'!B:B,MIP[[#This Row],[Placa]])</f>
        <v>0</v>
      </c>
      <c r="AG590" s="36"/>
      <c r="AH590" s="35"/>
      <c r="AI590" s="34"/>
      <c r="AJ590" s="34"/>
      <c r="AK59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9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90" s="32">
        <f>SUMIFS('[1]Tempo parado'!J:J,'[1]Tempo parado'!H:H,"&gt;="&amp;MIP[[#This Row],[S.B Sitrack]],'[1]Tempo parado'!I:I,"&lt;="&amp;MIP[[#This Row],[C.B Sitrack]],'[1]Tempo parado'!B:B,MIP[[#This Row],[Placa]])</f>
        <v>0</v>
      </c>
      <c r="AN590" s="32" t="str">
        <f>IFERROR(MIP[[#This Row],[Tempo parado]]/(MIP[[#This Row],[C.B Sitrack]]-MIP[[#This Row],[S.B Sitrack]]),"")</f>
        <v/>
      </c>
      <c r="AO590" s="30"/>
      <c r="AP590" s="44">
        <f>IF(AND(MIP[Exc]=0,MIP[Previsto / Realizado]="Realizado"),MIP[Sem],0)</f>
        <v>0</v>
      </c>
      <c r="AQ590" s="29">
        <f>IF(AND(MIP[Exc]=0,MIP[Previsto / Realizado]="Realizado",ISBLANK(MIP[[#This Row],[S.B Sitrack]])=FALSE,ISBLANK(MIP[[#This Row],[C.B Sitrack]])=FALSE),MIP[Sem],0)</f>
        <v>0</v>
      </c>
    </row>
    <row r="591" spans="2:43" x14ac:dyDescent="0.25">
      <c r="B591" s="44">
        <f>WEEKNUM(MIP[[#This Row],[Data]])</f>
        <v>39</v>
      </c>
      <c r="C591" s="45">
        <v>43003</v>
      </c>
      <c r="D591" s="45"/>
      <c r="E591" s="35" t="s">
        <v>19</v>
      </c>
      <c r="F591" s="35" t="s">
        <v>2</v>
      </c>
      <c r="G591" s="35"/>
      <c r="H591" s="44">
        <v>2</v>
      </c>
      <c r="I591" s="44">
        <v>2</v>
      </c>
      <c r="J591" s="44">
        <v>3</v>
      </c>
      <c r="K591" s="44">
        <v>1</v>
      </c>
      <c r="L591" s="44">
        <v>2</v>
      </c>
      <c r="M591" s="43">
        <v>0.63055555555555554</v>
      </c>
      <c r="N591" s="43">
        <v>0.66666666666666663</v>
      </c>
      <c r="O591" s="43">
        <v>1.0131944444444445</v>
      </c>
      <c r="P591" s="43">
        <v>1.0395833333333333</v>
      </c>
      <c r="Q591" s="39"/>
      <c r="R591" s="42"/>
      <c r="S591" s="29">
        <f>MIP[[#This Row],[PT-1]]+MIP[[#This Row],[PT-2]]*2+MIP[[#This Row],[PT-3]]*3+MIP[[#This Row],[PT &gt; 3 Pontos]]</f>
        <v>13</v>
      </c>
      <c r="T59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6.2499999999999889E-2</v>
      </c>
      <c r="U591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6.2499999999999889E-2</v>
      </c>
      <c r="V591" s="41">
        <f>MIP[[#This Row],[Eficiência]]</f>
        <v>0.93506746136549534</v>
      </c>
      <c r="W59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91" s="39">
        <f>IF(MIP[[#This Row],[P.S]]-MIP[[#This Row],[P.E]]&lt;0,1+MIP[[#This Row],[P.S]]-MIP[[#This Row],[P.E]]-1/24,MIP[[#This Row],[P.S]]-MIP[[#This Row],[P.E]]-1/24)</f>
        <v>0.36736111111111108</v>
      </c>
      <c r="Y591" s="39">
        <f>MIP[[#This Row],[PT-1]]*$S$3+MIP[[#This Row],[PT-2]]*$T$3+MIP[[#This Row],[PT-3]]*$U$3+MIP[[#This Row],[PT &gt; 3 Pontos]]*$V$3</f>
        <v>0.28506570523573094</v>
      </c>
      <c r="Z591" s="39">
        <f>MIP[[#This Row],[HH disponível]]-MIP[[#This Row],[HH AC TOT]]</f>
        <v>0.30486111111111119</v>
      </c>
      <c r="AA591" s="38">
        <f>MIP[[#This Row],[HH Produtivo
Total]]/MIP[[#This Row],[HH Trabalhado]]</f>
        <v>0.93506746136549534</v>
      </c>
      <c r="AB591" s="38">
        <f>MIP[[#This Row],[HH Produtivo
Total]]/MIP[[#This Row],[HH disponível]]</f>
        <v>0.7759822599989652</v>
      </c>
      <c r="AC591" s="38">
        <f>MIP[[#This Row],[HH Trabalhado]]/MIP[[#This Row],[HH disponível]]</f>
        <v>0.82986767485822333</v>
      </c>
      <c r="AD591" s="37" t="str">
        <f>LEFT(MIP[[#This Row],[Equipe]], SEARCH("/",MIP[[#This Row],[Equipe]],1)-1)</f>
        <v xml:space="preserve">ADEMÁRIO </v>
      </c>
      <c r="AE591" s="37" t="str">
        <f>RIGHT(MIP[[#This Row],[Equipe]], LEN(MIP[[#This Row],[Equipe]])-SEARCH("/",MIP[[#This Row],[Equipe]],1))</f>
        <v xml:space="preserve"> RONALDO</v>
      </c>
      <c r="AF591" s="44">
        <f>COUNTIFS('[1]Tempo parado'!H:H,"&gt;="&amp;MIP[[#This Row],[S.B Sitrack]],'[1]Tempo parado'!I:I,"&lt;="&amp;MIP[[#This Row],[C.B Sitrack]],'[1]Tempo parado'!B:B,MIP[[#This Row],[Placa]])</f>
        <v>0</v>
      </c>
      <c r="AG591" s="36"/>
      <c r="AH591" s="35"/>
      <c r="AI591" s="34"/>
      <c r="AJ591" s="34"/>
      <c r="AK59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9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91" s="32">
        <f>SUMIFS('[1]Tempo parado'!J:J,'[1]Tempo parado'!H:H,"&gt;="&amp;MIP[[#This Row],[S.B Sitrack]],'[1]Tempo parado'!I:I,"&lt;="&amp;MIP[[#This Row],[C.B Sitrack]],'[1]Tempo parado'!B:B,MIP[[#This Row],[Placa]])</f>
        <v>0</v>
      </c>
      <c r="AN591" s="32" t="str">
        <f>IFERROR(MIP[[#This Row],[Tempo parado]]/(MIP[[#This Row],[C.B Sitrack]]-MIP[[#This Row],[S.B Sitrack]]),"")</f>
        <v/>
      </c>
      <c r="AO591" s="30"/>
      <c r="AP591" s="44">
        <f>IF(AND(MIP[Exc]=0,MIP[Previsto / Realizado]="Realizado"),MIP[Sem],0)</f>
        <v>39</v>
      </c>
      <c r="AQ591" s="29">
        <f>IF(AND(MIP[Exc]=0,MIP[Previsto / Realizado]="Realizado",ISBLANK(MIP[[#This Row],[S.B Sitrack]])=FALSE,ISBLANK(MIP[[#This Row],[C.B Sitrack]])=FALSE),MIP[Sem],0)</f>
        <v>0</v>
      </c>
    </row>
    <row r="592" spans="2:43" x14ac:dyDescent="0.25">
      <c r="B592" s="44">
        <f>WEEKNUM(MIP[[#This Row],[Data]])</f>
        <v>39</v>
      </c>
      <c r="C592" s="45">
        <v>43003</v>
      </c>
      <c r="D592" s="45"/>
      <c r="E592" s="35" t="s">
        <v>7</v>
      </c>
      <c r="F592" s="35" t="s">
        <v>5</v>
      </c>
      <c r="G592" s="35"/>
      <c r="H592" s="44">
        <v>2</v>
      </c>
      <c r="I592" s="44">
        <v>8</v>
      </c>
      <c r="J592" s="44">
        <v>0</v>
      </c>
      <c r="K592" s="44">
        <v>0</v>
      </c>
      <c r="L592" s="44">
        <v>8</v>
      </c>
      <c r="M592" s="43">
        <v>0.625</v>
      </c>
      <c r="N592" s="43">
        <v>0.64583333333333337</v>
      </c>
      <c r="O592" s="43">
        <v>1.0125</v>
      </c>
      <c r="P592" s="43">
        <v>1.0333333333333334</v>
      </c>
      <c r="Q592" s="39"/>
      <c r="R592" s="42"/>
      <c r="S592" s="29">
        <f>MIP[[#This Row],[PT-1]]+MIP[[#This Row],[PT-2]]*2+MIP[[#This Row],[PT-3]]*3+MIP[[#This Row],[PT &gt; 3 Pontos]]</f>
        <v>16</v>
      </c>
      <c r="T59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592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592" s="41">
        <f>MIP[[#This Row],[Eficiência]]</f>
        <v>1.1144335714384026</v>
      </c>
      <c r="W59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92" s="39">
        <f>IF(MIP[[#This Row],[P.S]]-MIP[[#This Row],[P.E]]&lt;0,1+MIP[[#This Row],[P.S]]-MIP[[#This Row],[P.E]]-1/24,MIP[[#This Row],[P.S]]-MIP[[#This Row],[P.E]]-1/24)</f>
        <v>0.36666666666666675</v>
      </c>
      <c r="Y592" s="39">
        <f>MIP[[#This Row],[PT-1]]*$S$3+MIP[[#This Row],[PT-2]]*$T$3+MIP[[#This Row],[PT-3]]*$U$3+MIP[[#This Row],[PT &gt; 3 Pontos]]*$V$3</f>
        <v>0.36219091071748072</v>
      </c>
      <c r="Z592" s="39">
        <f>MIP[[#This Row],[HH disponível]]-MIP[[#This Row],[HH AC TOT]]</f>
        <v>0.3249999999999999</v>
      </c>
      <c r="AA592" s="38">
        <f>MIP[[#This Row],[HH Produtivo
Total]]/MIP[[#This Row],[HH Trabalhado]]</f>
        <v>1.1144335714384026</v>
      </c>
      <c r="AB592" s="38">
        <f>MIP[[#This Row],[HH Produtivo
Total]]/MIP[[#This Row],[HH disponível]]</f>
        <v>0.98779339286585632</v>
      </c>
      <c r="AC592" s="38">
        <f>MIP[[#This Row],[HH Trabalhado]]/MIP[[#This Row],[HH disponível]]</f>
        <v>0.88636363636363591</v>
      </c>
      <c r="AD592" s="37" t="str">
        <f>LEFT(MIP[[#This Row],[Equipe]], SEARCH("/",MIP[[#This Row],[Equipe]],1)-1)</f>
        <v xml:space="preserve">ANDERSON </v>
      </c>
      <c r="AE592" s="37" t="str">
        <f>RIGHT(MIP[[#This Row],[Equipe]], LEN(MIP[[#This Row],[Equipe]])-SEARCH("/",MIP[[#This Row],[Equipe]],1))</f>
        <v xml:space="preserve"> MARCO</v>
      </c>
      <c r="AF592" s="44">
        <f>COUNTIFS('[1]Tempo parado'!H:H,"&gt;="&amp;MIP[[#This Row],[S.B Sitrack]],'[1]Tempo parado'!I:I,"&lt;="&amp;MIP[[#This Row],[C.B Sitrack]],'[1]Tempo parado'!B:B,MIP[[#This Row],[Placa]])</f>
        <v>0</v>
      </c>
      <c r="AG592" s="36"/>
      <c r="AH592" s="35"/>
      <c r="AI592" s="34"/>
      <c r="AJ592" s="34"/>
      <c r="AK59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9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92" s="32">
        <f>SUMIFS('[1]Tempo parado'!J:J,'[1]Tempo parado'!H:H,"&gt;="&amp;MIP[[#This Row],[S.B Sitrack]],'[1]Tempo parado'!I:I,"&lt;="&amp;MIP[[#This Row],[C.B Sitrack]],'[1]Tempo parado'!B:B,MIP[[#This Row],[Placa]])</f>
        <v>0</v>
      </c>
      <c r="AN592" s="32" t="str">
        <f>IFERROR(MIP[[#This Row],[Tempo parado]]/(MIP[[#This Row],[C.B Sitrack]]-MIP[[#This Row],[S.B Sitrack]]),"")</f>
        <v/>
      </c>
      <c r="AO592" s="30"/>
      <c r="AP592" s="44">
        <f>IF(AND(MIP[Exc]=0,MIP[Previsto / Realizado]="Realizado"),MIP[Sem],0)</f>
        <v>0</v>
      </c>
      <c r="AQ592" s="29">
        <f>IF(AND(MIP[Exc]=0,MIP[Previsto / Realizado]="Realizado",ISBLANK(MIP[[#This Row],[S.B Sitrack]])=FALSE,ISBLANK(MIP[[#This Row],[C.B Sitrack]])=FALSE),MIP[Sem],0)</f>
        <v>0</v>
      </c>
    </row>
    <row r="593" spans="2:43" x14ac:dyDescent="0.25">
      <c r="B593" s="44">
        <f>WEEKNUM(MIP[[#This Row],[Data]])</f>
        <v>39</v>
      </c>
      <c r="C593" s="45">
        <v>43003</v>
      </c>
      <c r="D593" s="45"/>
      <c r="E593" s="35" t="s">
        <v>7</v>
      </c>
      <c r="F593" s="35" t="s">
        <v>2</v>
      </c>
      <c r="G593" s="35"/>
      <c r="H593" s="44">
        <v>2</v>
      </c>
      <c r="I593" s="44">
        <v>8</v>
      </c>
      <c r="J593" s="44">
        <v>1</v>
      </c>
      <c r="K593" s="44">
        <v>0</v>
      </c>
      <c r="L593" s="44">
        <v>4</v>
      </c>
      <c r="M593" s="43">
        <v>0.62638888888888888</v>
      </c>
      <c r="N593" s="43">
        <v>0.68541666666666667</v>
      </c>
      <c r="O593" s="43">
        <v>1.0104166666666667</v>
      </c>
      <c r="P593" s="43">
        <v>1.0395833333333333</v>
      </c>
      <c r="Q593" s="39"/>
      <c r="R593" s="42"/>
      <c r="S593" s="29">
        <f>MIP[[#This Row],[PT-1]]+MIP[[#This Row],[PT-2]]*2+MIP[[#This Row],[PT-3]]*3+MIP[[#This Row],[PT &gt; 3 Pontos]]</f>
        <v>14</v>
      </c>
      <c r="T59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8.8194444444444353E-2</v>
      </c>
      <c r="U593" s="39">
        <f>IF(MIP[[#This Row],[P.S]]-MIP[[#This Row],[U.P]]&gt;=0,MIP[[#This Row],[P.S]]-MIP[[#This Row],[U.P]]+MIP[[#This Row],[S.B]]-MIP[[#This Row],[P.E]],1+MIP[[#This Row],[P.S]]-MIP[[#This Row],[U.P]]+MIP[[#This Row],[S.B]]-MIP[[#This Row],[P.E]])</f>
        <v>8.8194444444444353E-2</v>
      </c>
      <c r="V593" s="41">
        <f>MIP[[#This Row],[Eficiência]]</f>
        <v>1.147438705756054</v>
      </c>
      <c r="W59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93" s="39">
        <f>IF(MIP[[#This Row],[P.S]]-MIP[[#This Row],[P.E]]&lt;0,1+MIP[[#This Row],[P.S]]-MIP[[#This Row],[P.E]]-1/24,MIP[[#This Row],[P.S]]-MIP[[#This Row],[P.E]]-1/24)</f>
        <v>0.37152777777777773</v>
      </c>
      <c r="Y593" s="39">
        <f>MIP[[#This Row],[PT-1]]*$S$3+MIP[[#This Row],[PT-2]]*$T$3+MIP[[#This Row],[PT-3]]*$U$3+MIP[[#This Row],[PT &gt; 3 Pontos]]*$V$3</f>
        <v>0.32510763329754866</v>
      </c>
      <c r="Z593" s="39">
        <f>MIP[[#This Row],[HH disponível]]-MIP[[#This Row],[HH AC TOT]]</f>
        <v>0.28333333333333338</v>
      </c>
      <c r="AA593" s="38">
        <f>MIP[[#This Row],[HH Produtivo
Total]]/MIP[[#This Row],[HH Trabalhado]]</f>
        <v>1.147438705756054</v>
      </c>
      <c r="AB593" s="38">
        <f>MIP[[#This Row],[HH Produtivo
Total]]/MIP[[#This Row],[HH disponível]]</f>
        <v>0.87505605971676659</v>
      </c>
      <c r="AC593" s="38">
        <f>MIP[[#This Row],[HH Trabalhado]]/MIP[[#This Row],[HH disponível]]</f>
        <v>0.7626168224299068</v>
      </c>
      <c r="AD593" s="37" t="str">
        <f>LEFT(MIP[[#This Row],[Equipe]], SEARCH("/",MIP[[#This Row],[Equipe]],1)-1)</f>
        <v xml:space="preserve">ANDERSON </v>
      </c>
      <c r="AE593" s="37" t="str">
        <f>RIGHT(MIP[[#This Row],[Equipe]], LEN(MIP[[#This Row],[Equipe]])-SEARCH("/",MIP[[#This Row],[Equipe]],1))</f>
        <v xml:space="preserve"> MARCO</v>
      </c>
      <c r="AF593" s="44">
        <f>COUNTIFS('[1]Tempo parado'!H:H,"&gt;="&amp;MIP[[#This Row],[S.B Sitrack]],'[1]Tempo parado'!I:I,"&lt;="&amp;MIP[[#This Row],[C.B Sitrack]],'[1]Tempo parado'!B:B,MIP[[#This Row],[Placa]])</f>
        <v>0</v>
      </c>
      <c r="AG593" s="36"/>
      <c r="AH593" s="35"/>
      <c r="AI593" s="34"/>
      <c r="AJ593" s="34"/>
      <c r="AK59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9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93" s="32">
        <f>SUMIFS('[1]Tempo parado'!J:J,'[1]Tempo parado'!H:H,"&gt;="&amp;MIP[[#This Row],[S.B Sitrack]],'[1]Tempo parado'!I:I,"&lt;="&amp;MIP[[#This Row],[C.B Sitrack]],'[1]Tempo parado'!B:B,MIP[[#This Row],[Placa]])</f>
        <v>0</v>
      </c>
      <c r="AN593" s="32" t="str">
        <f>IFERROR(MIP[[#This Row],[Tempo parado]]/(MIP[[#This Row],[C.B Sitrack]]-MIP[[#This Row],[S.B Sitrack]]),"")</f>
        <v/>
      </c>
      <c r="AO593" s="30"/>
      <c r="AP593" s="44">
        <f>IF(AND(MIP[Exc]=0,MIP[Previsto / Realizado]="Realizado"),MIP[Sem],0)</f>
        <v>39</v>
      </c>
      <c r="AQ593" s="29">
        <f>IF(AND(MIP[Exc]=0,MIP[Previsto / Realizado]="Realizado",ISBLANK(MIP[[#This Row],[S.B Sitrack]])=FALSE,ISBLANK(MIP[[#This Row],[C.B Sitrack]])=FALSE),MIP[Sem],0)</f>
        <v>0</v>
      </c>
    </row>
    <row r="594" spans="2:43" x14ac:dyDescent="0.25">
      <c r="B594" s="44">
        <f>WEEKNUM(MIP[[#This Row],[Data]])</f>
        <v>39</v>
      </c>
      <c r="C594" s="45">
        <v>43004</v>
      </c>
      <c r="D594" s="45"/>
      <c r="E594" s="35" t="s">
        <v>33</v>
      </c>
      <c r="F594" s="35" t="s">
        <v>5</v>
      </c>
      <c r="G594" s="35"/>
      <c r="H594" s="44">
        <v>2</v>
      </c>
      <c r="I594" s="44">
        <v>4</v>
      </c>
      <c r="J594" s="44">
        <v>0</v>
      </c>
      <c r="K594" s="44">
        <v>0</v>
      </c>
      <c r="L594" s="44">
        <v>5</v>
      </c>
      <c r="M594" s="43">
        <v>0.25</v>
      </c>
      <c r="N594" s="43">
        <v>0.27083333333333331</v>
      </c>
      <c r="O594" s="43">
        <v>0.63750000000000007</v>
      </c>
      <c r="P594" s="43">
        <v>0.65833333333333333</v>
      </c>
      <c r="Q594" s="39"/>
      <c r="R594" s="42" t="s">
        <v>223</v>
      </c>
      <c r="S594" s="29">
        <f>MIP[[#This Row],[PT-1]]+MIP[[#This Row],[PT-2]]*2+MIP[[#This Row],[PT-3]]*3+MIP[[#This Row],[PT &gt; 3 Pontos]]</f>
        <v>9</v>
      </c>
      <c r="T59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594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594" s="41">
        <f>MIP[[#This Row],[Eficiência]]</f>
        <v>0.61951835765996377</v>
      </c>
      <c r="W59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94" s="39">
        <f>IF(MIP[[#This Row],[P.S]]-MIP[[#This Row],[P.E]]&lt;0,1+MIP[[#This Row],[P.S]]-MIP[[#This Row],[P.E]]-1/24,MIP[[#This Row],[P.S]]-MIP[[#This Row],[P.E]]-1/24)</f>
        <v>0.36666666666666664</v>
      </c>
      <c r="Y594" s="39">
        <f>MIP[[#This Row],[PT-1]]*$S$3+MIP[[#This Row],[PT-2]]*$T$3+MIP[[#This Row],[PT-3]]*$U$3+MIP[[#This Row],[PT &gt; 3 Pontos]]*$V$3</f>
        <v>0.20134346623948826</v>
      </c>
      <c r="Z594" s="39">
        <f>MIP[[#This Row],[HH disponível]]-MIP[[#This Row],[HH AC TOT]]</f>
        <v>0.32500000000000007</v>
      </c>
      <c r="AA594" s="38">
        <f>MIP[[#This Row],[HH Produtivo
Total]]/MIP[[#This Row],[HH Trabalhado]]</f>
        <v>0.61951835765996377</v>
      </c>
      <c r="AB594" s="38">
        <f>MIP[[#This Row],[HH Produtivo
Total]]/MIP[[#This Row],[HH disponível]]</f>
        <v>0.54911854428951345</v>
      </c>
      <c r="AC594" s="38">
        <f>MIP[[#This Row],[HH Trabalhado]]/MIP[[#This Row],[HH disponível]]</f>
        <v>0.88636363636363658</v>
      </c>
      <c r="AD594" s="37" t="str">
        <f>LEFT(MIP[[#This Row],[Equipe]], SEARCH("/",MIP[[#This Row],[Equipe]],1)-1)</f>
        <v xml:space="preserve">JOILSON </v>
      </c>
      <c r="AE594" s="37" t="str">
        <f>RIGHT(MIP[[#This Row],[Equipe]], LEN(MIP[[#This Row],[Equipe]])-SEARCH("/",MIP[[#This Row],[Equipe]],1))</f>
        <v xml:space="preserve"> HERVAL</v>
      </c>
      <c r="AF594" s="44">
        <f>COUNTIFS('[1]Tempo parado'!H:H,"&gt;="&amp;MIP[[#This Row],[S.B Sitrack]],'[1]Tempo parado'!I:I,"&lt;="&amp;MIP[[#This Row],[C.B Sitrack]],'[1]Tempo parado'!B:B,MIP[[#This Row],[Placa]])</f>
        <v>0</v>
      </c>
      <c r="AG594" s="36"/>
      <c r="AH594" s="35"/>
      <c r="AI594" s="34"/>
      <c r="AJ594" s="34"/>
      <c r="AK59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9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94" s="32">
        <f>SUMIFS('[1]Tempo parado'!J:J,'[1]Tempo parado'!H:H,"&gt;="&amp;MIP[[#This Row],[S.B Sitrack]],'[1]Tempo parado'!I:I,"&lt;="&amp;MIP[[#This Row],[C.B Sitrack]],'[1]Tempo parado'!B:B,MIP[[#This Row],[Placa]])</f>
        <v>0</v>
      </c>
      <c r="AN594" s="32" t="str">
        <f>IFERROR(MIP[[#This Row],[Tempo parado]]/(MIP[[#This Row],[C.B Sitrack]]-MIP[[#This Row],[S.B Sitrack]]),"")</f>
        <v/>
      </c>
      <c r="AO594" s="30"/>
      <c r="AP594" s="44">
        <f>IF(AND(MIP[Exc]=0,MIP[Previsto / Realizado]="Realizado"),MIP[Sem],0)</f>
        <v>0</v>
      </c>
      <c r="AQ594" s="29">
        <f>IF(AND(MIP[Exc]=0,MIP[Previsto / Realizado]="Realizado",ISBLANK(MIP[[#This Row],[S.B Sitrack]])=FALSE,ISBLANK(MIP[[#This Row],[C.B Sitrack]])=FALSE),MIP[Sem],0)</f>
        <v>0</v>
      </c>
    </row>
    <row r="595" spans="2:43" x14ac:dyDescent="0.25">
      <c r="B595" s="44">
        <f>WEEKNUM(MIP[[#This Row],[Data]])</f>
        <v>39</v>
      </c>
      <c r="C595" s="45">
        <v>43004</v>
      </c>
      <c r="D595" s="45"/>
      <c r="E595" s="35" t="s">
        <v>33</v>
      </c>
      <c r="F595" s="35" t="s">
        <v>2</v>
      </c>
      <c r="G595" s="35"/>
      <c r="H595" s="44">
        <v>2</v>
      </c>
      <c r="I595" s="44">
        <v>5</v>
      </c>
      <c r="J595" s="44">
        <v>0</v>
      </c>
      <c r="K595" s="44">
        <v>0</v>
      </c>
      <c r="L595" s="44">
        <v>5</v>
      </c>
      <c r="M595" s="43">
        <v>0.25</v>
      </c>
      <c r="N595" s="43">
        <v>0.27430555555555552</v>
      </c>
      <c r="O595" s="43">
        <v>0.625</v>
      </c>
      <c r="P595" s="43">
        <v>0.65833333333333333</v>
      </c>
      <c r="Q595" s="39">
        <v>5.7638888888888885E-2</v>
      </c>
      <c r="R595" s="42" t="s">
        <v>222</v>
      </c>
      <c r="S595" s="29">
        <f>MIP[[#This Row],[PT-1]]+MIP[[#This Row],[PT-2]]*2+MIP[[#This Row],[PT-3]]*3+MIP[[#This Row],[PT &gt; 3 Pontos]]</f>
        <v>10</v>
      </c>
      <c r="T59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0.11527777777777773</v>
      </c>
      <c r="U595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5.7638888888888851E-2</v>
      </c>
      <c r="V595" s="41">
        <f>MIP[[#This Row],[Eficiência]]</f>
        <v>0.90047463990533871</v>
      </c>
      <c r="W59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95" s="39">
        <f>IF(MIP[[#This Row],[P.S]]-MIP[[#This Row],[P.E]]&lt;0,1+MIP[[#This Row],[P.S]]-MIP[[#This Row],[P.E]]-1/24,MIP[[#This Row],[P.S]]-MIP[[#This Row],[P.E]]-1/24)</f>
        <v>0.36666666666666664</v>
      </c>
      <c r="Y595" s="39">
        <f>MIP[[#This Row],[PT-1]]*$S$3+MIP[[#This Row],[PT-2]]*$T$3+MIP[[#This Row],[PT-3]]*$U$3+MIP[[#This Row],[PT &gt; 3 Pontos]]*$V$3</f>
        <v>0.22636931919842543</v>
      </c>
      <c r="Z595" s="39">
        <f>MIP[[#This Row],[HH disponível]]-MIP[[#This Row],[HH AC TOT]]</f>
        <v>0.25138888888888888</v>
      </c>
      <c r="AA595" s="38">
        <f>MIP[[#This Row],[HH Produtivo
Total]]/MIP[[#This Row],[HH Trabalhado]]</f>
        <v>0.90047463990533871</v>
      </c>
      <c r="AB595" s="38">
        <f>MIP[[#This Row],[HH Produtivo
Total]]/MIP[[#This Row],[HH disponível]]</f>
        <v>0.61737087054116035</v>
      </c>
      <c r="AC595" s="38">
        <f>MIP[[#This Row],[HH Trabalhado]]/MIP[[#This Row],[HH disponível]]</f>
        <v>0.68560606060606066</v>
      </c>
      <c r="AD595" s="37" t="str">
        <f>LEFT(MIP[[#This Row],[Equipe]], SEARCH("/",MIP[[#This Row],[Equipe]],1)-1)</f>
        <v xml:space="preserve">JOILSON </v>
      </c>
      <c r="AE595" s="37" t="str">
        <f>RIGHT(MIP[[#This Row],[Equipe]], LEN(MIP[[#This Row],[Equipe]])-SEARCH("/",MIP[[#This Row],[Equipe]],1))</f>
        <v xml:space="preserve"> HERVAL</v>
      </c>
      <c r="AF595" s="44">
        <f>COUNTIFS('[1]Tempo parado'!H:H,"&gt;="&amp;MIP[[#This Row],[S.B Sitrack]],'[1]Tempo parado'!I:I,"&lt;="&amp;MIP[[#This Row],[C.B Sitrack]],'[1]Tempo parado'!B:B,MIP[[#This Row],[Placa]])</f>
        <v>0</v>
      </c>
      <c r="AG595" s="36"/>
      <c r="AH595" s="35"/>
      <c r="AI595" s="34"/>
      <c r="AJ595" s="34"/>
      <c r="AK59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9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95" s="32">
        <f>SUMIFS('[1]Tempo parado'!J:J,'[1]Tempo parado'!H:H,"&gt;="&amp;MIP[[#This Row],[S.B Sitrack]],'[1]Tempo parado'!I:I,"&lt;="&amp;MIP[[#This Row],[C.B Sitrack]],'[1]Tempo parado'!B:B,MIP[[#This Row],[Placa]])</f>
        <v>0</v>
      </c>
      <c r="AN595" s="32" t="str">
        <f>IFERROR(MIP[[#This Row],[Tempo parado]]/(MIP[[#This Row],[C.B Sitrack]]-MIP[[#This Row],[S.B Sitrack]]),"")</f>
        <v/>
      </c>
      <c r="AO595" s="30"/>
      <c r="AP595" s="44">
        <f>IF(AND(MIP[Exc]=0,MIP[Previsto / Realizado]="Realizado"),MIP[Sem],0)</f>
        <v>39</v>
      </c>
      <c r="AQ595" s="29">
        <f>IF(AND(MIP[Exc]=0,MIP[Previsto / Realizado]="Realizado",ISBLANK(MIP[[#This Row],[S.B Sitrack]])=FALSE,ISBLANK(MIP[[#This Row],[C.B Sitrack]])=FALSE),MIP[Sem],0)</f>
        <v>0</v>
      </c>
    </row>
    <row r="596" spans="2:43" x14ac:dyDescent="0.25">
      <c r="B596" s="44">
        <f>WEEKNUM(MIP[[#This Row],[Data]])</f>
        <v>39</v>
      </c>
      <c r="C596" s="45">
        <v>43004</v>
      </c>
      <c r="D596" s="45"/>
      <c r="E596" s="35" t="s">
        <v>3</v>
      </c>
      <c r="F596" s="35" t="s">
        <v>5</v>
      </c>
      <c r="G596" s="35"/>
      <c r="H596" s="44">
        <v>2</v>
      </c>
      <c r="I596" s="44">
        <v>5</v>
      </c>
      <c r="J596" s="44">
        <v>1</v>
      </c>
      <c r="K596" s="44">
        <v>2</v>
      </c>
      <c r="L596" s="44">
        <v>0</v>
      </c>
      <c r="M596" s="43">
        <v>0.625</v>
      </c>
      <c r="N596" s="43">
        <v>0.64583333333333337</v>
      </c>
      <c r="O596" s="43">
        <v>1.0125</v>
      </c>
      <c r="P596" s="43">
        <v>1.0333333333333334</v>
      </c>
      <c r="Q596" s="39"/>
      <c r="R596" s="42"/>
      <c r="S596" s="29">
        <f>MIP[[#This Row],[PT-1]]+MIP[[#This Row],[PT-2]]*2+MIP[[#This Row],[PT-3]]*3+MIP[[#This Row],[PT &gt; 3 Pontos]]</f>
        <v>13</v>
      </c>
      <c r="T59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596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596" s="41">
        <f>MIP[[#This Row],[Eficiência]]</f>
        <v>0.90652735197572176</v>
      </c>
      <c r="W59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96" s="39">
        <f>IF(MIP[[#This Row],[P.S]]-MIP[[#This Row],[P.E]]&lt;0,1+MIP[[#This Row],[P.S]]-MIP[[#This Row],[P.E]]-1/24,MIP[[#This Row],[P.S]]-MIP[[#This Row],[P.E]]-1/24)</f>
        <v>0.36666666666666675</v>
      </c>
      <c r="Y596" s="39">
        <f>MIP[[#This Row],[PT-1]]*$S$3+MIP[[#This Row],[PT-2]]*$T$3+MIP[[#This Row],[PT-3]]*$U$3+MIP[[#This Row],[PT &gt; 3 Pontos]]*$V$3</f>
        <v>0.29462138939210947</v>
      </c>
      <c r="Z596" s="39">
        <f>MIP[[#This Row],[HH disponível]]-MIP[[#This Row],[HH AC TOT]]</f>
        <v>0.3249999999999999</v>
      </c>
      <c r="AA596" s="38">
        <f>MIP[[#This Row],[HH Produtivo
Total]]/MIP[[#This Row],[HH Trabalhado]]</f>
        <v>0.90652735197572176</v>
      </c>
      <c r="AB596" s="38">
        <f>MIP[[#This Row],[HH Produtivo
Total]]/MIP[[#This Row],[HH disponível]]</f>
        <v>0.80351288016029832</v>
      </c>
      <c r="AC596" s="38">
        <f>MIP[[#This Row],[HH Trabalhado]]/MIP[[#This Row],[HH disponível]]</f>
        <v>0.88636363636363591</v>
      </c>
      <c r="AD596" s="37" t="str">
        <f>LEFT(MIP[[#This Row],[Equipe]], SEARCH("/",MIP[[#This Row],[Equipe]],1)-1)</f>
        <v xml:space="preserve">EDILTON </v>
      </c>
      <c r="AE596" s="37" t="str">
        <f>RIGHT(MIP[[#This Row],[Equipe]], LEN(MIP[[#This Row],[Equipe]])-SEARCH("/",MIP[[#This Row],[Equipe]],1))</f>
        <v xml:space="preserve"> GECIVALDO</v>
      </c>
      <c r="AF596" s="44">
        <f>COUNTIFS('[1]Tempo parado'!H:H,"&gt;="&amp;MIP[[#This Row],[S.B Sitrack]],'[1]Tempo parado'!I:I,"&lt;="&amp;MIP[[#This Row],[C.B Sitrack]],'[1]Tempo parado'!B:B,MIP[[#This Row],[Placa]])</f>
        <v>0</v>
      </c>
      <c r="AG596" s="36"/>
      <c r="AH596" s="35"/>
      <c r="AI596" s="34"/>
      <c r="AJ596" s="34"/>
      <c r="AK59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9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96" s="32">
        <f>SUMIFS('[1]Tempo parado'!J:J,'[1]Tempo parado'!H:H,"&gt;="&amp;MIP[[#This Row],[S.B Sitrack]],'[1]Tempo parado'!I:I,"&lt;="&amp;MIP[[#This Row],[C.B Sitrack]],'[1]Tempo parado'!B:B,MIP[[#This Row],[Placa]])</f>
        <v>0</v>
      </c>
      <c r="AN596" s="32" t="str">
        <f>IFERROR(MIP[[#This Row],[Tempo parado]]/(MIP[[#This Row],[C.B Sitrack]]-MIP[[#This Row],[S.B Sitrack]]),"")</f>
        <v/>
      </c>
      <c r="AO596" s="30"/>
      <c r="AP596" s="44">
        <f>IF(AND(MIP[Exc]=0,MIP[Previsto / Realizado]="Realizado"),MIP[Sem],0)</f>
        <v>0</v>
      </c>
      <c r="AQ596" s="29">
        <f>IF(AND(MIP[Exc]=0,MIP[Previsto / Realizado]="Realizado",ISBLANK(MIP[[#This Row],[S.B Sitrack]])=FALSE,ISBLANK(MIP[[#This Row],[C.B Sitrack]])=FALSE),MIP[Sem],0)</f>
        <v>0</v>
      </c>
    </row>
    <row r="597" spans="2:43" x14ac:dyDescent="0.25">
      <c r="B597" s="44">
        <f>WEEKNUM(MIP[[#This Row],[Data]])</f>
        <v>39</v>
      </c>
      <c r="C597" s="45">
        <v>43004</v>
      </c>
      <c r="D597" s="45"/>
      <c r="E597" s="35" t="s">
        <v>3</v>
      </c>
      <c r="F597" s="35" t="s">
        <v>2</v>
      </c>
      <c r="G597" s="35"/>
      <c r="H597" s="44">
        <v>2</v>
      </c>
      <c r="I597" s="44">
        <v>6</v>
      </c>
      <c r="J597" s="44">
        <v>1</v>
      </c>
      <c r="K597" s="44">
        <v>2</v>
      </c>
      <c r="L597" s="44">
        <v>0</v>
      </c>
      <c r="M597" s="43">
        <v>0.61736111111111114</v>
      </c>
      <c r="N597" s="43">
        <v>0.65972222222222221</v>
      </c>
      <c r="O597" s="43">
        <v>0.99375000000000002</v>
      </c>
      <c r="P597" s="43">
        <v>1.0375000000000001</v>
      </c>
      <c r="Q597" s="39"/>
      <c r="R597" s="42" t="s">
        <v>32</v>
      </c>
      <c r="S597" s="29">
        <f>MIP[[#This Row],[PT-1]]+MIP[[#This Row],[PT-2]]*2+MIP[[#This Row],[PT-3]]*3+MIP[[#This Row],[PT &gt; 3 Pontos]]</f>
        <v>14</v>
      </c>
      <c r="T59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8.6111111111111138E-2</v>
      </c>
      <c r="U597" s="39">
        <f>IF(MIP[[#This Row],[P.S]]-MIP[[#This Row],[U.P]]&gt;=0,MIP[[#This Row],[P.S]]-MIP[[#This Row],[U.P]]+MIP[[#This Row],[S.B]]-MIP[[#This Row],[P.E]],1+MIP[[#This Row],[P.S]]-MIP[[#This Row],[U.P]]+MIP[[#This Row],[S.B]]-MIP[[#This Row],[P.E]])</f>
        <v>8.6111111111111138E-2</v>
      </c>
      <c r="V597" s="41">
        <f>MIP[[#This Row],[Eficiência]]</f>
        <v>1.0933302351199694</v>
      </c>
      <c r="W59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97" s="39">
        <f>IF(MIP[[#This Row],[P.S]]-MIP[[#This Row],[P.E]]&lt;0,1+MIP[[#This Row],[P.S]]-MIP[[#This Row],[P.E]]-1/24,MIP[[#This Row],[P.S]]-MIP[[#This Row],[P.E]]-1/24)</f>
        <v>0.37847222222222227</v>
      </c>
      <c r="Y597" s="39">
        <f>MIP[[#This Row],[PT-1]]*$S$3+MIP[[#This Row],[PT-2]]*$T$3+MIP[[#This Row],[PT-3]]*$U$3+MIP[[#This Row],[PT &gt; 3 Pontos]]*$V$3</f>
        <v>0.31964724235104663</v>
      </c>
      <c r="Z597" s="39">
        <f>MIP[[#This Row],[HH disponível]]-MIP[[#This Row],[HH AC TOT]]</f>
        <v>0.29236111111111113</v>
      </c>
      <c r="AA597" s="38">
        <f>MIP[[#This Row],[HH Produtivo
Total]]/MIP[[#This Row],[HH Trabalhado]]</f>
        <v>1.0933302351199694</v>
      </c>
      <c r="AB597" s="38">
        <f>MIP[[#This Row],[HH Produtivo
Total]]/MIP[[#This Row],[HH disponível]]</f>
        <v>0.84457253024863688</v>
      </c>
      <c r="AC597" s="38">
        <f>MIP[[#This Row],[HH Trabalhado]]/MIP[[#This Row],[HH disponível]]</f>
        <v>0.77247706422018347</v>
      </c>
      <c r="AD597" s="37" t="str">
        <f>LEFT(MIP[[#This Row],[Equipe]], SEARCH("/",MIP[[#This Row],[Equipe]],1)-1)</f>
        <v xml:space="preserve">EDILTON </v>
      </c>
      <c r="AE597" s="37" t="str">
        <f>RIGHT(MIP[[#This Row],[Equipe]], LEN(MIP[[#This Row],[Equipe]])-SEARCH("/",MIP[[#This Row],[Equipe]],1))</f>
        <v xml:space="preserve"> GECIVALDO</v>
      </c>
      <c r="AF597" s="44">
        <f>COUNTIFS('[1]Tempo parado'!H:H,"&gt;="&amp;MIP[[#This Row],[S.B Sitrack]],'[1]Tempo parado'!I:I,"&lt;="&amp;MIP[[#This Row],[C.B Sitrack]],'[1]Tempo parado'!B:B,MIP[[#This Row],[Placa]])</f>
        <v>0</v>
      </c>
      <c r="AG597" s="36"/>
      <c r="AH597" s="35"/>
      <c r="AI597" s="34"/>
      <c r="AJ597" s="34"/>
      <c r="AK59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9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97" s="32">
        <f>SUMIFS('[1]Tempo parado'!J:J,'[1]Tempo parado'!H:H,"&gt;="&amp;MIP[[#This Row],[S.B Sitrack]],'[1]Tempo parado'!I:I,"&lt;="&amp;MIP[[#This Row],[C.B Sitrack]],'[1]Tempo parado'!B:B,MIP[[#This Row],[Placa]])</f>
        <v>0</v>
      </c>
      <c r="AN597" s="32" t="str">
        <f>IFERROR(MIP[[#This Row],[Tempo parado]]/(MIP[[#This Row],[C.B Sitrack]]-MIP[[#This Row],[S.B Sitrack]]),"")</f>
        <v/>
      </c>
      <c r="AO597" s="30"/>
      <c r="AP597" s="44">
        <f>IF(AND(MIP[Exc]=0,MIP[Previsto / Realizado]="Realizado"),MIP[Sem],0)</f>
        <v>39</v>
      </c>
      <c r="AQ597" s="29">
        <f>IF(AND(MIP[Exc]=0,MIP[Previsto / Realizado]="Realizado",ISBLANK(MIP[[#This Row],[S.B Sitrack]])=FALSE,ISBLANK(MIP[[#This Row],[C.B Sitrack]])=FALSE),MIP[Sem],0)</f>
        <v>0</v>
      </c>
    </row>
    <row r="598" spans="2:43" x14ac:dyDescent="0.25">
      <c r="B598" s="44">
        <f>WEEKNUM(MIP[[#This Row],[Data]])</f>
        <v>39</v>
      </c>
      <c r="C598" s="45">
        <v>43005</v>
      </c>
      <c r="D598" s="45"/>
      <c r="E598" s="35" t="s">
        <v>7</v>
      </c>
      <c r="F598" s="35" t="s">
        <v>5</v>
      </c>
      <c r="G598" s="35"/>
      <c r="H598" s="44">
        <v>2</v>
      </c>
      <c r="I598" s="44">
        <v>1</v>
      </c>
      <c r="J598" s="44">
        <v>2</v>
      </c>
      <c r="K598" s="44">
        <v>0</v>
      </c>
      <c r="L598" s="44">
        <v>0</v>
      </c>
      <c r="M598" s="43">
        <v>0.625</v>
      </c>
      <c r="N598" s="43">
        <v>0.64583333333333337</v>
      </c>
      <c r="O598" s="43">
        <v>1.0125</v>
      </c>
      <c r="P598" s="43">
        <v>1.0333333333333334</v>
      </c>
      <c r="Q598" s="39"/>
      <c r="R598" s="42" t="s">
        <v>36</v>
      </c>
      <c r="S598" s="29">
        <f>MIP[[#This Row],[PT-1]]+MIP[[#This Row],[PT-2]]*2+MIP[[#This Row],[PT-3]]*3+MIP[[#This Row],[PT &gt; 3 Pontos]]</f>
        <v>5</v>
      </c>
      <c r="T59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598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598" s="41">
        <f>MIP[[#This Row],[Eficiência]]</f>
        <v>0.34721041589248119</v>
      </c>
      <c r="W59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98" s="39">
        <f>IF(MIP[[#This Row],[P.S]]-MIP[[#This Row],[P.E]]&lt;0,1+MIP[[#This Row],[P.S]]-MIP[[#This Row],[P.E]]-1/24,MIP[[#This Row],[P.S]]-MIP[[#This Row],[P.E]]-1/24)</f>
        <v>0.36666666666666675</v>
      </c>
      <c r="Y598" s="39">
        <f>MIP[[#This Row],[PT-1]]*$S$3+MIP[[#This Row],[PT-2]]*$T$3+MIP[[#This Row],[PT-3]]*$U$3+MIP[[#This Row],[PT &gt; 3 Pontos]]*$V$3</f>
        <v>0.11284338516505635</v>
      </c>
      <c r="Z598" s="39">
        <f>MIP[[#This Row],[HH disponível]]-MIP[[#This Row],[HH AC TOT]]</f>
        <v>0.3249999999999999</v>
      </c>
      <c r="AA598" s="38">
        <f>MIP[[#This Row],[HH Produtivo
Total]]/MIP[[#This Row],[HH Trabalhado]]</f>
        <v>0.34721041589248119</v>
      </c>
      <c r="AB598" s="38">
        <f>MIP[[#This Row],[HH Produtivo
Total]]/MIP[[#This Row],[HH disponível]]</f>
        <v>0.30775468681378998</v>
      </c>
      <c r="AC598" s="38">
        <f>MIP[[#This Row],[HH Trabalhado]]/MIP[[#This Row],[HH disponível]]</f>
        <v>0.88636363636363591</v>
      </c>
      <c r="AD598" s="37" t="str">
        <f>LEFT(MIP[[#This Row],[Equipe]], SEARCH("/",MIP[[#This Row],[Equipe]],1)-1)</f>
        <v xml:space="preserve">ANDERSON </v>
      </c>
      <c r="AE598" s="37" t="str">
        <f>RIGHT(MIP[[#This Row],[Equipe]], LEN(MIP[[#This Row],[Equipe]])-SEARCH("/",MIP[[#This Row],[Equipe]],1))</f>
        <v xml:space="preserve"> MARCO</v>
      </c>
      <c r="AF598" s="44">
        <f>COUNTIFS('[1]Tempo parado'!H:H,"&gt;="&amp;MIP[[#This Row],[S.B Sitrack]],'[1]Tempo parado'!I:I,"&lt;="&amp;MIP[[#This Row],[C.B Sitrack]],'[1]Tempo parado'!B:B,MIP[[#This Row],[Placa]])</f>
        <v>0</v>
      </c>
      <c r="AG598" s="36"/>
      <c r="AH598" s="35"/>
      <c r="AI598" s="34"/>
      <c r="AJ598" s="34"/>
      <c r="AK59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9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98" s="32">
        <f>SUMIFS('[1]Tempo parado'!J:J,'[1]Tempo parado'!H:H,"&gt;="&amp;MIP[[#This Row],[S.B Sitrack]],'[1]Tempo parado'!I:I,"&lt;="&amp;MIP[[#This Row],[C.B Sitrack]],'[1]Tempo parado'!B:B,MIP[[#This Row],[Placa]])</f>
        <v>0</v>
      </c>
      <c r="AN598" s="32" t="str">
        <f>IFERROR(MIP[[#This Row],[Tempo parado]]/(MIP[[#This Row],[C.B Sitrack]]-MIP[[#This Row],[S.B Sitrack]]),"")</f>
        <v/>
      </c>
      <c r="AO598" s="30"/>
      <c r="AP598" s="44">
        <f>IF(AND(MIP[Exc]=0,MIP[Previsto / Realizado]="Realizado"),MIP[Sem],0)</f>
        <v>0</v>
      </c>
      <c r="AQ598" s="29">
        <f>IF(AND(MIP[Exc]=0,MIP[Previsto / Realizado]="Realizado",ISBLANK(MIP[[#This Row],[S.B Sitrack]])=FALSE,ISBLANK(MIP[[#This Row],[C.B Sitrack]])=FALSE),MIP[Sem],0)</f>
        <v>0</v>
      </c>
    </row>
    <row r="599" spans="2:43" x14ac:dyDescent="0.25">
      <c r="B599" s="44">
        <f>WEEKNUM(MIP[[#This Row],[Data]])</f>
        <v>39</v>
      </c>
      <c r="C599" s="45">
        <v>43005</v>
      </c>
      <c r="D599" s="45"/>
      <c r="E599" s="35" t="s">
        <v>7</v>
      </c>
      <c r="F599" s="35" t="s">
        <v>2</v>
      </c>
      <c r="G599" s="35"/>
      <c r="H599" s="44">
        <v>2</v>
      </c>
      <c r="I599" s="44">
        <v>4</v>
      </c>
      <c r="J599" s="44">
        <v>2</v>
      </c>
      <c r="K599" s="44">
        <v>2</v>
      </c>
      <c r="L599" s="44">
        <v>0</v>
      </c>
      <c r="M599" s="43">
        <v>0.62361111111111112</v>
      </c>
      <c r="N599" s="43">
        <v>0.65625</v>
      </c>
      <c r="O599" s="43">
        <v>1.0104166666666667</v>
      </c>
      <c r="P599" s="43">
        <v>1.0395833333333333</v>
      </c>
      <c r="Q599" s="39"/>
      <c r="R599" s="42"/>
      <c r="S599" s="29">
        <f>MIP[[#This Row],[PT-1]]+MIP[[#This Row],[PT-2]]*2+MIP[[#This Row],[PT-3]]*3+MIP[[#This Row],[PT &gt; 3 Pontos]]</f>
        <v>14</v>
      </c>
      <c r="T59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6.1805555555555447E-2</v>
      </c>
      <c r="U599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6.1805555555555447E-2</v>
      </c>
      <c r="V599" s="41">
        <f>MIP[[#This Row],[Eficiência]]</f>
        <v>1.0032137681159417</v>
      </c>
      <c r="W59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599" s="39">
        <f>IF(MIP[[#This Row],[P.S]]-MIP[[#This Row],[P.E]]&lt;0,1+MIP[[#This Row],[P.S]]-MIP[[#This Row],[P.E]]-1/24,MIP[[#This Row],[P.S]]-MIP[[#This Row],[P.E]]-1/24)</f>
        <v>0.3743055555555555</v>
      </c>
      <c r="Y599" s="39">
        <f>MIP[[#This Row],[PT-1]]*$S$3+MIP[[#This Row],[PT-2]]*$T$3+MIP[[#This Row],[PT-3]]*$U$3+MIP[[#This Row],[PT &gt; 3 Pontos]]*$V$3</f>
        <v>0.31350430253623185</v>
      </c>
      <c r="Z599" s="39">
        <f>MIP[[#This Row],[HH disponível]]-MIP[[#This Row],[HH AC TOT]]</f>
        <v>0.31250000000000006</v>
      </c>
      <c r="AA599" s="38">
        <f>MIP[[#This Row],[HH Produtivo
Total]]/MIP[[#This Row],[HH Trabalhado]]</f>
        <v>1.0032137681159417</v>
      </c>
      <c r="AB599" s="38">
        <f>MIP[[#This Row],[HH Produtivo
Total]]/MIP[[#This Row],[HH disponível]]</f>
        <v>0.83756251512462698</v>
      </c>
      <c r="AC599" s="38">
        <f>MIP[[#This Row],[HH Trabalhado]]/MIP[[#This Row],[HH disponível]]</f>
        <v>0.83487940630797797</v>
      </c>
      <c r="AD599" s="37" t="str">
        <f>LEFT(MIP[[#This Row],[Equipe]], SEARCH("/",MIP[[#This Row],[Equipe]],1)-1)</f>
        <v xml:space="preserve">ANDERSON </v>
      </c>
      <c r="AE599" s="37" t="str">
        <f>RIGHT(MIP[[#This Row],[Equipe]], LEN(MIP[[#This Row],[Equipe]])-SEARCH("/",MIP[[#This Row],[Equipe]],1))</f>
        <v xml:space="preserve"> MARCO</v>
      </c>
      <c r="AF599" s="44">
        <f>COUNTIFS('[1]Tempo parado'!H:H,"&gt;="&amp;MIP[[#This Row],[S.B Sitrack]],'[1]Tempo parado'!I:I,"&lt;="&amp;MIP[[#This Row],[C.B Sitrack]],'[1]Tempo parado'!B:B,MIP[[#This Row],[Placa]])</f>
        <v>0</v>
      </c>
      <c r="AG599" s="36"/>
      <c r="AH599" s="35"/>
      <c r="AI599" s="34"/>
      <c r="AJ599" s="34"/>
      <c r="AK59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59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599" s="32">
        <f>SUMIFS('[1]Tempo parado'!J:J,'[1]Tempo parado'!H:H,"&gt;="&amp;MIP[[#This Row],[S.B Sitrack]],'[1]Tempo parado'!I:I,"&lt;="&amp;MIP[[#This Row],[C.B Sitrack]],'[1]Tempo parado'!B:B,MIP[[#This Row],[Placa]])</f>
        <v>0</v>
      </c>
      <c r="AN599" s="32" t="str">
        <f>IFERROR(MIP[[#This Row],[Tempo parado]]/(MIP[[#This Row],[C.B Sitrack]]-MIP[[#This Row],[S.B Sitrack]]),"")</f>
        <v/>
      </c>
      <c r="AO599" s="30"/>
      <c r="AP599" s="44">
        <f>IF(AND(MIP[Exc]=0,MIP[Previsto / Realizado]="Realizado"),MIP[Sem],0)</f>
        <v>39</v>
      </c>
      <c r="AQ599" s="29">
        <f>IF(AND(MIP[Exc]=0,MIP[Previsto / Realizado]="Realizado",ISBLANK(MIP[[#This Row],[S.B Sitrack]])=FALSE,ISBLANK(MIP[[#This Row],[C.B Sitrack]])=FALSE),MIP[Sem],0)</f>
        <v>0</v>
      </c>
    </row>
    <row r="600" spans="2:43" x14ac:dyDescent="0.25">
      <c r="B600" s="44">
        <f>WEEKNUM(MIP[[#This Row],[Data]])</f>
        <v>39</v>
      </c>
      <c r="C600" s="45">
        <v>43005</v>
      </c>
      <c r="D600" s="45"/>
      <c r="E600" s="35" t="s">
        <v>3</v>
      </c>
      <c r="F600" s="35" t="s">
        <v>5</v>
      </c>
      <c r="G600" s="35"/>
      <c r="H600" s="44">
        <v>2</v>
      </c>
      <c r="I600" s="44">
        <v>4</v>
      </c>
      <c r="J600" s="44">
        <v>3</v>
      </c>
      <c r="K600" s="44">
        <v>0</v>
      </c>
      <c r="L600" s="44">
        <v>0</v>
      </c>
      <c r="M600" s="43">
        <v>0.625</v>
      </c>
      <c r="N600" s="43">
        <v>0.64583333333333337</v>
      </c>
      <c r="O600" s="43">
        <v>1.0125</v>
      </c>
      <c r="P600" s="43">
        <v>1.0333333333333334</v>
      </c>
      <c r="Q600" s="39"/>
      <c r="R600" s="42" t="s">
        <v>36</v>
      </c>
      <c r="S600" s="29">
        <f>MIP[[#This Row],[PT-1]]+MIP[[#This Row],[PT-2]]*2+MIP[[#This Row],[PT-3]]*3+MIP[[#This Row],[PT &gt; 3 Pontos]]</f>
        <v>10</v>
      </c>
      <c r="T60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600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600" s="41">
        <f>MIP[[#This Row],[Eficiência]]</f>
        <v>0.71332218506131551</v>
      </c>
      <c r="W60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00" s="39">
        <f>IF(MIP[[#This Row],[P.S]]-MIP[[#This Row],[P.E]]&lt;0,1+MIP[[#This Row],[P.S]]-MIP[[#This Row],[P.E]]-1/24,MIP[[#This Row],[P.S]]-MIP[[#This Row],[P.E]]-1/24)</f>
        <v>0.36666666666666675</v>
      </c>
      <c r="Y600" s="39">
        <f>MIP[[#This Row],[PT-1]]*$S$3+MIP[[#This Row],[PT-2]]*$T$3+MIP[[#This Row],[PT-3]]*$U$3+MIP[[#This Row],[PT &gt; 3 Pontos]]*$V$3</f>
        <v>0.23182971014492748</v>
      </c>
      <c r="Z600" s="39">
        <f>MIP[[#This Row],[HH disponível]]-MIP[[#This Row],[HH AC TOT]]</f>
        <v>0.3249999999999999</v>
      </c>
      <c r="AA600" s="38">
        <f>MIP[[#This Row],[HH Produtivo
Total]]/MIP[[#This Row],[HH Trabalhado]]</f>
        <v>0.71332218506131551</v>
      </c>
      <c r="AB600" s="38">
        <f>MIP[[#This Row],[HH Produtivo
Total]]/MIP[[#This Row],[HH disponível]]</f>
        <v>0.63226284584980208</v>
      </c>
      <c r="AC600" s="38">
        <f>MIP[[#This Row],[HH Trabalhado]]/MIP[[#This Row],[HH disponível]]</f>
        <v>0.88636363636363591</v>
      </c>
      <c r="AD600" s="37" t="str">
        <f>LEFT(MIP[[#This Row],[Equipe]], SEARCH("/",MIP[[#This Row],[Equipe]],1)-1)</f>
        <v xml:space="preserve">EDILTON </v>
      </c>
      <c r="AE600" s="37" t="str">
        <f>RIGHT(MIP[[#This Row],[Equipe]], LEN(MIP[[#This Row],[Equipe]])-SEARCH("/",MIP[[#This Row],[Equipe]],1))</f>
        <v xml:space="preserve"> GECIVALDO</v>
      </c>
      <c r="AF600" s="44">
        <f>COUNTIFS('[1]Tempo parado'!H:H,"&gt;="&amp;MIP[[#This Row],[S.B Sitrack]],'[1]Tempo parado'!I:I,"&lt;="&amp;MIP[[#This Row],[C.B Sitrack]],'[1]Tempo parado'!B:B,MIP[[#This Row],[Placa]])</f>
        <v>0</v>
      </c>
      <c r="AG600" s="36"/>
      <c r="AH600" s="35"/>
      <c r="AI600" s="34"/>
      <c r="AJ600" s="34"/>
      <c r="AK60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0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00" s="32">
        <f>SUMIFS('[1]Tempo parado'!J:J,'[1]Tempo parado'!H:H,"&gt;="&amp;MIP[[#This Row],[S.B Sitrack]],'[1]Tempo parado'!I:I,"&lt;="&amp;MIP[[#This Row],[C.B Sitrack]],'[1]Tempo parado'!B:B,MIP[[#This Row],[Placa]])</f>
        <v>0</v>
      </c>
      <c r="AN600" s="32" t="str">
        <f>IFERROR(MIP[[#This Row],[Tempo parado]]/(MIP[[#This Row],[C.B Sitrack]]-MIP[[#This Row],[S.B Sitrack]]),"")</f>
        <v/>
      </c>
      <c r="AO600" s="30"/>
      <c r="AP600" s="44">
        <f>IF(AND(MIP[Exc]=0,MIP[Previsto / Realizado]="Realizado"),MIP[Sem],0)</f>
        <v>0</v>
      </c>
      <c r="AQ600" s="29">
        <f>IF(AND(MIP[Exc]=0,MIP[Previsto / Realizado]="Realizado",ISBLANK(MIP[[#This Row],[S.B Sitrack]])=FALSE,ISBLANK(MIP[[#This Row],[C.B Sitrack]])=FALSE),MIP[Sem],0)</f>
        <v>0</v>
      </c>
    </row>
    <row r="601" spans="2:43" x14ac:dyDescent="0.25">
      <c r="B601" s="44">
        <f>WEEKNUM(MIP[[#This Row],[Data]])</f>
        <v>39</v>
      </c>
      <c r="C601" s="45">
        <v>43005</v>
      </c>
      <c r="D601" s="45"/>
      <c r="E601" s="35" t="s">
        <v>3</v>
      </c>
      <c r="F601" s="35" t="s">
        <v>2</v>
      </c>
      <c r="G601" s="35"/>
      <c r="H601" s="44">
        <v>2</v>
      </c>
      <c r="I601" s="44">
        <v>8</v>
      </c>
      <c r="J601" s="44">
        <v>3</v>
      </c>
      <c r="K601" s="44">
        <v>0</v>
      </c>
      <c r="L601" s="44">
        <v>0</v>
      </c>
      <c r="M601" s="43">
        <v>0.61458333333333337</v>
      </c>
      <c r="N601" s="43">
        <v>0.65277777777777779</v>
      </c>
      <c r="O601" s="43">
        <v>0.98958333333333337</v>
      </c>
      <c r="P601" s="43">
        <v>1.0354166666666667</v>
      </c>
      <c r="Q601" s="39"/>
      <c r="R601" s="42" t="s">
        <v>100</v>
      </c>
      <c r="S601" s="29">
        <f>MIP[[#This Row],[PT-1]]+MIP[[#This Row],[PT-2]]*2+MIP[[#This Row],[PT-3]]*3+MIP[[#This Row],[PT &gt; 3 Pontos]]</f>
        <v>14</v>
      </c>
      <c r="T60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8.4027777777777701E-2</v>
      </c>
      <c r="U601" s="39">
        <f>IF(MIP[[#This Row],[P.S]]-MIP[[#This Row],[U.P]]&gt;=0,MIP[[#This Row],[P.S]]-MIP[[#This Row],[U.P]]+MIP[[#This Row],[S.B]]-MIP[[#This Row],[P.E]],1+MIP[[#This Row],[P.S]]-MIP[[#This Row],[U.P]]+MIP[[#This Row],[S.B]]-MIP[[#This Row],[P.E]])</f>
        <v>8.4027777777777701E-2</v>
      </c>
      <c r="V601" s="41">
        <f>MIP[[#This Row],[Eficiência]]</f>
        <v>1.1246675191815851</v>
      </c>
      <c r="W60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01" s="39">
        <f>IF(MIP[[#This Row],[P.S]]-MIP[[#This Row],[P.E]]&lt;0,1+MIP[[#This Row],[P.S]]-MIP[[#This Row],[P.E]]-1/24,MIP[[#This Row],[P.S]]-MIP[[#This Row],[P.E]]-1/24)</f>
        <v>0.3791666666666666</v>
      </c>
      <c r="Y601" s="39">
        <f>MIP[[#This Row],[PT-1]]*$S$3+MIP[[#This Row],[PT-2]]*$T$3+MIP[[#This Row],[PT-3]]*$U$3+MIP[[#This Row],[PT &gt; 3 Pontos]]*$V$3</f>
        <v>0.3319331219806762</v>
      </c>
      <c r="Z601" s="39">
        <f>MIP[[#This Row],[HH disponível]]-MIP[[#This Row],[HH AC TOT]]</f>
        <v>0.2951388888888889</v>
      </c>
      <c r="AA601" s="38">
        <f>MIP[[#This Row],[HH Produtivo
Total]]/MIP[[#This Row],[HH Trabalhado]]</f>
        <v>1.1246675191815851</v>
      </c>
      <c r="AB601" s="38">
        <f>MIP[[#This Row],[HH Produtivo
Total]]/MIP[[#This Row],[HH disponível]]</f>
        <v>0.87542801401497039</v>
      </c>
      <c r="AC601" s="38">
        <f>MIP[[#This Row],[HH Trabalhado]]/MIP[[#This Row],[HH disponível]]</f>
        <v>0.77838827838827851</v>
      </c>
      <c r="AD601" s="37" t="str">
        <f>LEFT(MIP[[#This Row],[Equipe]], SEARCH("/",MIP[[#This Row],[Equipe]],1)-1)</f>
        <v xml:space="preserve">EDILTON </v>
      </c>
      <c r="AE601" s="37" t="str">
        <f>RIGHT(MIP[[#This Row],[Equipe]], LEN(MIP[[#This Row],[Equipe]])-SEARCH("/",MIP[[#This Row],[Equipe]],1))</f>
        <v xml:space="preserve"> GECIVALDO</v>
      </c>
      <c r="AF601" s="44">
        <f>COUNTIFS('[1]Tempo parado'!H:H,"&gt;="&amp;MIP[[#This Row],[S.B Sitrack]],'[1]Tempo parado'!I:I,"&lt;="&amp;MIP[[#This Row],[C.B Sitrack]],'[1]Tempo parado'!B:B,MIP[[#This Row],[Placa]])</f>
        <v>0</v>
      </c>
      <c r="AG601" s="36"/>
      <c r="AH601" s="35"/>
      <c r="AI601" s="34"/>
      <c r="AJ601" s="34"/>
      <c r="AK60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0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01" s="32">
        <f>SUMIFS('[1]Tempo parado'!J:J,'[1]Tempo parado'!H:H,"&gt;="&amp;MIP[[#This Row],[S.B Sitrack]],'[1]Tempo parado'!I:I,"&lt;="&amp;MIP[[#This Row],[C.B Sitrack]],'[1]Tempo parado'!B:B,MIP[[#This Row],[Placa]])</f>
        <v>0</v>
      </c>
      <c r="AN601" s="32" t="str">
        <f>IFERROR(MIP[[#This Row],[Tempo parado]]/(MIP[[#This Row],[C.B Sitrack]]-MIP[[#This Row],[S.B Sitrack]]),"")</f>
        <v/>
      </c>
      <c r="AO601" s="30"/>
      <c r="AP601" s="44">
        <f>IF(AND(MIP[Exc]=0,MIP[Previsto / Realizado]="Realizado"),MIP[Sem],0)</f>
        <v>39</v>
      </c>
      <c r="AQ601" s="29">
        <f>IF(AND(MIP[Exc]=0,MIP[Previsto / Realizado]="Realizado",ISBLANK(MIP[[#This Row],[S.B Sitrack]])=FALSE,ISBLANK(MIP[[#This Row],[C.B Sitrack]])=FALSE),MIP[Sem],0)</f>
        <v>0</v>
      </c>
    </row>
    <row r="602" spans="2:43" x14ac:dyDescent="0.25">
      <c r="B602" s="44">
        <f>WEEKNUM(MIP[[#This Row],[Data]])</f>
        <v>39</v>
      </c>
      <c r="C602" s="45">
        <v>43005</v>
      </c>
      <c r="D602" s="45"/>
      <c r="E602" s="35" t="s">
        <v>19</v>
      </c>
      <c r="F602" s="35" t="s">
        <v>5</v>
      </c>
      <c r="G602" s="35"/>
      <c r="H602" s="44">
        <v>2</v>
      </c>
      <c r="I602" s="44">
        <v>0</v>
      </c>
      <c r="J602" s="44">
        <v>0</v>
      </c>
      <c r="K602" s="44">
        <v>0</v>
      </c>
      <c r="L602" s="44">
        <v>10</v>
      </c>
      <c r="M602" s="43">
        <v>0.625</v>
      </c>
      <c r="N602" s="43">
        <v>0.64583333333333337</v>
      </c>
      <c r="O602" s="43">
        <v>1.0125</v>
      </c>
      <c r="P602" s="43">
        <v>1.0333333333333334</v>
      </c>
      <c r="Q602" s="39"/>
      <c r="R602" s="42" t="s">
        <v>221</v>
      </c>
      <c r="S602" s="29">
        <f>MIP[[#This Row],[PT-1]]+MIP[[#This Row],[PT-2]]*2+MIP[[#This Row],[PT-3]]*3+MIP[[#This Row],[PT &gt; 3 Pontos]]</f>
        <v>10</v>
      </c>
      <c r="T60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602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602" s="41">
        <f>MIP[[#This Row],[Eficiência]]</f>
        <v>0.62301571940762812</v>
      </c>
      <c r="W60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02" s="39">
        <f>IF(MIP[[#This Row],[P.S]]-MIP[[#This Row],[P.E]]&lt;0,1+MIP[[#This Row],[P.S]]-MIP[[#This Row],[P.E]]-1/24,MIP[[#This Row],[P.S]]-MIP[[#This Row],[P.E]]-1/24)</f>
        <v>0.36666666666666675</v>
      </c>
      <c r="Y602" s="39">
        <f>MIP[[#This Row],[PT-1]]*$S$3+MIP[[#This Row],[PT-2]]*$T$3+MIP[[#This Row],[PT-3]]*$U$3+MIP[[#This Row],[PT &gt; 3 Pontos]]*$V$3</f>
        <v>0.20248010880747908</v>
      </c>
      <c r="Z602" s="39">
        <f>MIP[[#This Row],[HH disponível]]-MIP[[#This Row],[HH AC TOT]]</f>
        <v>0.3249999999999999</v>
      </c>
      <c r="AA602" s="38">
        <f>MIP[[#This Row],[HH Produtivo
Total]]/MIP[[#This Row],[HH Trabalhado]]</f>
        <v>0.62301571940762812</v>
      </c>
      <c r="AB602" s="38">
        <f>MIP[[#This Row],[HH Produtivo
Total]]/MIP[[#This Row],[HH disponível]]</f>
        <v>0.55221847856585193</v>
      </c>
      <c r="AC602" s="38">
        <f>MIP[[#This Row],[HH Trabalhado]]/MIP[[#This Row],[HH disponível]]</f>
        <v>0.88636363636363591</v>
      </c>
      <c r="AD602" s="37" t="str">
        <f>LEFT(MIP[[#This Row],[Equipe]], SEARCH("/",MIP[[#This Row],[Equipe]],1)-1)</f>
        <v xml:space="preserve">ADEMÁRIO </v>
      </c>
      <c r="AE602" s="37" t="str">
        <f>RIGHT(MIP[[#This Row],[Equipe]], LEN(MIP[[#This Row],[Equipe]])-SEARCH("/",MIP[[#This Row],[Equipe]],1))</f>
        <v xml:space="preserve"> RONALDO</v>
      </c>
      <c r="AF602" s="44">
        <f>COUNTIFS('[1]Tempo parado'!H:H,"&gt;="&amp;MIP[[#This Row],[S.B Sitrack]],'[1]Tempo parado'!I:I,"&lt;="&amp;MIP[[#This Row],[C.B Sitrack]],'[1]Tempo parado'!B:B,MIP[[#This Row],[Placa]])</f>
        <v>0</v>
      </c>
      <c r="AG602" s="36"/>
      <c r="AH602" s="35"/>
      <c r="AI602" s="34"/>
      <c r="AJ602" s="34"/>
      <c r="AK60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0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02" s="32">
        <f>SUMIFS('[1]Tempo parado'!J:J,'[1]Tempo parado'!H:H,"&gt;="&amp;MIP[[#This Row],[S.B Sitrack]],'[1]Tempo parado'!I:I,"&lt;="&amp;MIP[[#This Row],[C.B Sitrack]],'[1]Tempo parado'!B:B,MIP[[#This Row],[Placa]])</f>
        <v>0</v>
      </c>
      <c r="AN602" s="32" t="str">
        <f>IFERROR(MIP[[#This Row],[Tempo parado]]/(MIP[[#This Row],[C.B Sitrack]]-MIP[[#This Row],[S.B Sitrack]]),"")</f>
        <v/>
      </c>
      <c r="AO602" s="30"/>
      <c r="AP602" s="44">
        <f>IF(AND(MIP[Exc]=0,MIP[Previsto / Realizado]="Realizado"),MIP[Sem],0)</f>
        <v>0</v>
      </c>
      <c r="AQ602" s="29">
        <f>IF(AND(MIP[Exc]=0,MIP[Previsto / Realizado]="Realizado",ISBLANK(MIP[[#This Row],[S.B Sitrack]])=FALSE,ISBLANK(MIP[[#This Row],[C.B Sitrack]])=FALSE),MIP[Sem],0)</f>
        <v>0</v>
      </c>
    </row>
    <row r="603" spans="2:43" x14ac:dyDescent="0.25">
      <c r="B603" s="44">
        <f>WEEKNUM(MIP[[#This Row],[Data]])</f>
        <v>39</v>
      </c>
      <c r="C603" s="45">
        <v>43005</v>
      </c>
      <c r="D603" s="45"/>
      <c r="E603" s="35" t="s">
        <v>19</v>
      </c>
      <c r="F603" s="35" t="s">
        <v>2</v>
      </c>
      <c r="G603" s="35"/>
      <c r="H603" s="44">
        <v>2</v>
      </c>
      <c r="I603" s="44">
        <v>1</v>
      </c>
      <c r="J603" s="44">
        <v>0</v>
      </c>
      <c r="K603" s="44">
        <v>1</v>
      </c>
      <c r="L603" s="44">
        <v>8</v>
      </c>
      <c r="M603" s="43">
        <v>0.63680555555555551</v>
      </c>
      <c r="N603" s="43">
        <v>0.65972222222222221</v>
      </c>
      <c r="O603" s="43">
        <v>1.0104166666666667</v>
      </c>
      <c r="P603" s="43">
        <v>1.0381944444444444</v>
      </c>
      <c r="Q603" s="39">
        <v>1.9444444444444445E-2</v>
      </c>
      <c r="R603" s="42" t="s">
        <v>220</v>
      </c>
      <c r="S603" s="29">
        <f>MIP[[#This Row],[PT-1]]+MIP[[#This Row],[PT-2]]*2+MIP[[#This Row],[PT-3]]*3+MIP[[#This Row],[PT &gt; 3 Pontos]]</f>
        <v>12</v>
      </c>
      <c r="T60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7.013888888888882E-2</v>
      </c>
      <c r="U603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5.0694444444444375E-2</v>
      </c>
      <c r="V603" s="41">
        <f>MIP[[#This Row],[Eficiência]]</f>
        <v>0.86262429669790741</v>
      </c>
      <c r="W60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03" s="39">
        <f>IF(MIP[[#This Row],[P.S]]-MIP[[#This Row],[P.E]]&lt;0,1+MIP[[#This Row],[P.S]]-MIP[[#This Row],[P.E]]-1/24,MIP[[#This Row],[P.S]]-MIP[[#This Row],[P.E]]-1/24)</f>
        <v>0.35972222222222222</v>
      </c>
      <c r="Y603" s="39">
        <f>MIP[[#This Row],[PT-1]]*$S$3+MIP[[#This Row],[PT-2]]*$T$3+MIP[[#This Row],[PT-3]]*$U$3+MIP[[#This Row],[PT &gt; 3 Pontos]]*$V$3</f>
        <v>0.24980161925210242</v>
      </c>
      <c r="Z603" s="39">
        <f>MIP[[#This Row],[HH disponível]]-MIP[[#This Row],[HH AC TOT]]</f>
        <v>0.28958333333333341</v>
      </c>
      <c r="AA603" s="38">
        <f>MIP[[#This Row],[HH Produtivo
Total]]/MIP[[#This Row],[HH Trabalhado]]</f>
        <v>0.86262429669790741</v>
      </c>
      <c r="AB603" s="38">
        <f>MIP[[#This Row],[HH Produtivo
Total]]/MIP[[#This Row],[HH disponível]]</f>
        <v>0.69442921182051642</v>
      </c>
      <c r="AC603" s="38">
        <f>MIP[[#This Row],[HH Trabalhado]]/MIP[[#This Row],[HH disponível]]</f>
        <v>0.8050193050193053</v>
      </c>
      <c r="AD603" s="37" t="str">
        <f>LEFT(MIP[[#This Row],[Equipe]], SEARCH("/",MIP[[#This Row],[Equipe]],1)-1)</f>
        <v xml:space="preserve">ADEMÁRIO </v>
      </c>
      <c r="AE603" s="37" t="str">
        <f>RIGHT(MIP[[#This Row],[Equipe]], LEN(MIP[[#This Row],[Equipe]])-SEARCH("/",MIP[[#This Row],[Equipe]],1))</f>
        <v xml:space="preserve"> RONALDO</v>
      </c>
      <c r="AF603" s="44">
        <f>COUNTIFS('[1]Tempo parado'!H:H,"&gt;="&amp;MIP[[#This Row],[S.B Sitrack]],'[1]Tempo parado'!I:I,"&lt;="&amp;MIP[[#This Row],[C.B Sitrack]],'[1]Tempo parado'!B:B,MIP[[#This Row],[Placa]])</f>
        <v>0</v>
      </c>
      <c r="AG603" s="36"/>
      <c r="AH603" s="35"/>
      <c r="AI603" s="34"/>
      <c r="AJ603" s="34"/>
      <c r="AK60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0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03" s="32">
        <f>SUMIFS('[1]Tempo parado'!J:J,'[1]Tempo parado'!H:H,"&gt;="&amp;MIP[[#This Row],[S.B Sitrack]],'[1]Tempo parado'!I:I,"&lt;="&amp;MIP[[#This Row],[C.B Sitrack]],'[1]Tempo parado'!B:B,MIP[[#This Row],[Placa]])</f>
        <v>0</v>
      </c>
      <c r="AN603" s="32" t="str">
        <f>IFERROR(MIP[[#This Row],[Tempo parado]]/(MIP[[#This Row],[C.B Sitrack]]-MIP[[#This Row],[S.B Sitrack]]),"")</f>
        <v/>
      </c>
      <c r="AO603" s="30"/>
      <c r="AP603" s="44">
        <f>IF(AND(MIP[Exc]=0,MIP[Previsto / Realizado]="Realizado"),MIP[Sem],0)</f>
        <v>39</v>
      </c>
      <c r="AQ603" s="29">
        <f>IF(AND(MIP[Exc]=0,MIP[Previsto / Realizado]="Realizado",ISBLANK(MIP[[#This Row],[S.B Sitrack]])=FALSE,ISBLANK(MIP[[#This Row],[C.B Sitrack]])=FALSE),MIP[Sem],0)</f>
        <v>0</v>
      </c>
    </row>
    <row r="604" spans="2:43" x14ac:dyDescent="0.25">
      <c r="B604" s="44">
        <f>WEEKNUM(MIP[[#This Row],[Data]])</f>
        <v>39</v>
      </c>
      <c r="C604" s="45">
        <v>43006</v>
      </c>
      <c r="D604" s="45"/>
      <c r="E604" s="35" t="s">
        <v>33</v>
      </c>
      <c r="F604" s="35" t="s">
        <v>5</v>
      </c>
      <c r="G604" s="35"/>
      <c r="H604" s="44">
        <v>2</v>
      </c>
      <c r="I604" s="44">
        <v>2</v>
      </c>
      <c r="J604" s="44">
        <v>0</v>
      </c>
      <c r="K604" s="44">
        <v>1</v>
      </c>
      <c r="L604" s="44">
        <v>6</v>
      </c>
      <c r="M604" s="43">
        <v>0.25</v>
      </c>
      <c r="N604" s="43">
        <v>0.27083333333333331</v>
      </c>
      <c r="O604" s="43">
        <v>0.63750000000000007</v>
      </c>
      <c r="P604" s="43">
        <v>0.65833333333333333</v>
      </c>
      <c r="Q604" s="39"/>
      <c r="R604" s="42" t="s">
        <v>219</v>
      </c>
      <c r="S604" s="29">
        <f>MIP[[#This Row],[PT-1]]+MIP[[#This Row],[PT-2]]*2+MIP[[#This Row],[PT-3]]*3+MIP[[#This Row],[PT &gt; 3 Pontos]]</f>
        <v>11</v>
      </c>
      <c r="T60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604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604" s="41">
        <f>MIP[[#This Row],[Eficiência]]</f>
        <v>0.72101984753705761</v>
      </c>
      <c r="W60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04" s="39">
        <f>IF(MIP[[#This Row],[P.S]]-MIP[[#This Row],[P.E]]&lt;0,1+MIP[[#This Row],[P.S]]-MIP[[#This Row],[P.E]]-1/24,MIP[[#This Row],[P.S]]-MIP[[#This Row],[P.E]]-1/24)</f>
        <v>0.36666666666666664</v>
      </c>
      <c r="Y604" s="39">
        <f>MIP[[#This Row],[PT-1]]*$S$3+MIP[[#This Row],[PT-2]]*$T$3+MIP[[#This Row],[PT-3]]*$U$3+MIP[[#This Row],[PT &gt; 3 Pontos]]*$V$3</f>
        <v>0.23433145044954379</v>
      </c>
      <c r="Z604" s="39">
        <f>MIP[[#This Row],[HH disponível]]-MIP[[#This Row],[HH AC TOT]]</f>
        <v>0.32500000000000007</v>
      </c>
      <c r="AA604" s="38">
        <f>MIP[[#This Row],[HH Produtivo
Total]]/MIP[[#This Row],[HH Trabalhado]]</f>
        <v>0.72101984753705761</v>
      </c>
      <c r="AB604" s="38">
        <f>MIP[[#This Row],[HH Produtivo
Total]]/MIP[[#This Row],[HH disponível]]</f>
        <v>0.63908577395330124</v>
      </c>
      <c r="AC604" s="38">
        <f>MIP[[#This Row],[HH Trabalhado]]/MIP[[#This Row],[HH disponível]]</f>
        <v>0.88636363636363658</v>
      </c>
      <c r="AD604" s="37" t="str">
        <f>LEFT(MIP[[#This Row],[Equipe]], SEARCH("/",MIP[[#This Row],[Equipe]],1)-1)</f>
        <v xml:space="preserve">JOILSON </v>
      </c>
      <c r="AE604" s="37" t="str">
        <f>RIGHT(MIP[[#This Row],[Equipe]], LEN(MIP[[#This Row],[Equipe]])-SEARCH("/",MIP[[#This Row],[Equipe]],1))</f>
        <v xml:space="preserve"> HERVAL</v>
      </c>
      <c r="AF604" s="44">
        <f>COUNTIFS('[1]Tempo parado'!H:H,"&gt;="&amp;MIP[[#This Row],[S.B Sitrack]],'[1]Tempo parado'!I:I,"&lt;="&amp;MIP[[#This Row],[C.B Sitrack]],'[1]Tempo parado'!B:B,MIP[[#This Row],[Placa]])</f>
        <v>0</v>
      </c>
      <c r="AG604" s="36"/>
      <c r="AH604" s="35"/>
      <c r="AI604" s="34"/>
      <c r="AJ604" s="34"/>
      <c r="AK60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0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04" s="32">
        <f>SUMIFS('[1]Tempo parado'!J:J,'[1]Tempo parado'!H:H,"&gt;="&amp;MIP[[#This Row],[S.B Sitrack]],'[1]Tempo parado'!I:I,"&lt;="&amp;MIP[[#This Row],[C.B Sitrack]],'[1]Tempo parado'!B:B,MIP[[#This Row],[Placa]])</f>
        <v>0</v>
      </c>
      <c r="AN604" s="32" t="str">
        <f>IFERROR(MIP[[#This Row],[Tempo parado]]/(MIP[[#This Row],[C.B Sitrack]]-MIP[[#This Row],[S.B Sitrack]]),"")</f>
        <v/>
      </c>
      <c r="AO604" s="30"/>
      <c r="AP604" s="44">
        <f>IF(AND(MIP[Exc]=0,MIP[Previsto / Realizado]="Realizado"),MIP[Sem],0)</f>
        <v>0</v>
      </c>
      <c r="AQ604" s="29">
        <f>IF(AND(MIP[Exc]=0,MIP[Previsto / Realizado]="Realizado",ISBLANK(MIP[[#This Row],[S.B Sitrack]])=FALSE,ISBLANK(MIP[[#This Row],[C.B Sitrack]])=FALSE),MIP[Sem],0)</f>
        <v>0</v>
      </c>
    </row>
    <row r="605" spans="2:43" x14ac:dyDescent="0.25">
      <c r="B605" s="44">
        <f>WEEKNUM(MIP[[#This Row],[Data]])</f>
        <v>39</v>
      </c>
      <c r="C605" s="45">
        <v>43006</v>
      </c>
      <c r="D605" s="45"/>
      <c r="E605" s="35" t="s">
        <v>33</v>
      </c>
      <c r="F605" s="35" t="s">
        <v>2</v>
      </c>
      <c r="G605" s="35"/>
      <c r="H605" s="44">
        <v>2</v>
      </c>
      <c r="I605" s="44">
        <v>3</v>
      </c>
      <c r="J605" s="44">
        <v>0</v>
      </c>
      <c r="K605" s="44">
        <v>1</v>
      </c>
      <c r="L605" s="44">
        <v>0</v>
      </c>
      <c r="M605" s="43">
        <v>0.25138888888888888</v>
      </c>
      <c r="N605" s="43">
        <v>0.28819444444444448</v>
      </c>
      <c r="O605" s="43">
        <v>0.60555555555555551</v>
      </c>
      <c r="P605" s="43">
        <v>0.65972222222222221</v>
      </c>
      <c r="Q605" s="39">
        <v>4.5138888888888888E-2</v>
      </c>
      <c r="R605" s="42" t="s">
        <v>218</v>
      </c>
      <c r="S605" s="29">
        <f>MIP[[#This Row],[PT-1]]+MIP[[#This Row],[PT-2]]*2+MIP[[#This Row],[PT-3]]*3+MIP[[#This Row],[PT &gt; 3 Pontos]]</f>
        <v>6</v>
      </c>
      <c r="T60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0.13611111111111118</v>
      </c>
      <c r="U605" s="39">
        <f>IF(MIP[[#This Row],[P.S]]-MIP[[#This Row],[U.P]]&gt;=0,MIP[[#This Row],[P.S]]-MIP[[#This Row],[U.P]]+MIP[[#This Row],[S.B]]-MIP[[#This Row],[P.E]],1+MIP[[#This Row],[P.S]]-MIP[[#This Row],[U.P]]+MIP[[#This Row],[S.B]]-MIP[[#This Row],[P.E]])</f>
        <v>9.0972222222222288E-2</v>
      </c>
      <c r="V605" s="41">
        <f>MIP[[#This Row],[Eficiência]]</f>
        <v>0.59798705692334575</v>
      </c>
      <c r="W60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05" s="39">
        <f>IF(MIP[[#This Row],[P.S]]-MIP[[#This Row],[P.E]]&lt;0,1+MIP[[#This Row],[P.S]]-MIP[[#This Row],[P.E]]-1/24,MIP[[#This Row],[P.S]]-MIP[[#This Row],[P.E]]-1/24)</f>
        <v>0.36666666666666664</v>
      </c>
      <c r="Y605" s="39">
        <f>MIP[[#This Row],[PT-1]]*$S$3+MIP[[#This Row],[PT-2]]*$T$3+MIP[[#This Row],[PT-3]]*$U$3+MIP[[#This Row],[PT &gt; 3 Pontos]]*$V$3</f>
        <v>0.13786923812399354</v>
      </c>
      <c r="Z605" s="39">
        <f>MIP[[#This Row],[HH disponível]]-MIP[[#This Row],[HH AC TOT]]</f>
        <v>0.23055555555555546</v>
      </c>
      <c r="AA605" s="38">
        <f>MIP[[#This Row],[HH Produtivo
Total]]/MIP[[#This Row],[HH Trabalhado]]</f>
        <v>0.59798705692334575</v>
      </c>
      <c r="AB605" s="38">
        <f>MIP[[#This Row],[HH Produtivo
Total]]/MIP[[#This Row],[HH disponível]]</f>
        <v>0.37600701306543693</v>
      </c>
      <c r="AC605" s="38">
        <f>MIP[[#This Row],[HH Trabalhado]]/MIP[[#This Row],[HH disponível]]</f>
        <v>0.62878787878787856</v>
      </c>
      <c r="AD605" s="37" t="str">
        <f>LEFT(MIP[[#This Row],[Equipe]], SEARCH("/",MIP[[#This Row],[Equipe]],1)-1)</f>
        <v xml:space="preserve">JOILSON </v>
      </c>
      <c r="AE605" s="37" t="str">
        <f>RIGHT(MIP[[#This Row],[Equipe]], LEN(MIP[[#This Row],[Equipe]])-SEARCH("/",MIP[[#This Row],[Equipe]],1))</f>
        <v xml:space="preserve"> HERVAL</v>
      </c>
      <c r="AF605" s="44">
        <f>COUNTIFS('[1]Tempo parado'!H:H,"&gt;="&amp;MIP[[#This Row],[S.B Sitrack]],'[1]Tempo parado'!I:I,"&lt;="&amp;MIP[[#This Row],[C.B Sitrack]],'[1]Tempo parado'!B:B,MIP[[#This Row],[Placa]])</f>
        <v>0</v>
      </c>
      <c r="AG605" s="36"/>
      <c r="AH605" s="35"/>
      <c r="AI605" s="34"/>
      <c r="AJ605" s="34"/>
      <c r="AK60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0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05" s="32">
        <f>SUMIFS('[1]Tempo parado'!J:J,'[1]Tempo parado'!H:H,"&gt;="&amp;MIP[[#This Row],[S.B Sitrack]],'[1]Tempo parado'!I:I,"&lt;="&amp;MIP[[#This Row],[C.B Sitrack]],'[1]Tempo parado'!B:B,MIP[[#This Row],[Placa]])</f>
        <v>0</v>
      </c>
      <c r="AN605" s="32" t="str">
        <f>IFERROR(MIP[[#This Row],[Tempo parado]]/(MIP[[#This Row],[C.B Sitrack]]-MIP[[#This Row],[S.B Sitrack]]),"")</f>
        <v/>
      </c>
      <c r="AO605" s="30"/>
      <c r="AP605" s="44">
        <f>IF(AND(MIP[Exc]=0,MIP[Previsto / Realizado]="Realizado"),MIP[Sem],0)</f>
        <v>39</v>
      </c>
      <c r="AQ605" s="29">
        <f>IF(AND(MIP[Exc]=0,MIP[Previsto / Realizado]="Realizado",ISBLANK(MIP[[#This Row],[S.B Sitrack]])=FALSE,ISBLANK(MIP[[#This Row],[C.B Sitrack]])=FALSE),MIP[Sem],0)</f>
        <v>0</v>
      </c>
    </row>
    <row r="606" spans="2:43" x14ac:dyDescent="0.25">
      <c r="B606" s="44">
        <f>WEEKNUM(MIP[[#This Row],[Data]])</f>
        <v>39</v>
      </c>
      <c r="C606" s="45">
        <v>43006</v>
      </c>
      <c r="D606" s="45"/>
      <c r="E606" s="35" t="s">
        <v>3</v>
      </c>
      <c r="F606" s="35" t="s">
        <v>5</v>
      </c>
      <c r="G606" s="35"/>
      <c r="H606" s="44">
        <v>2</v>
      </c>
      <c r="I606" s="44">
        <v>5</v>
      </c>
      <c r="J606" s="44">
        <v>2</v>
      </c>
      <c r="K606" s="44">
        <v>1</v>
      </c>
      <c r="L606" s="44">
        <v>0</v>
      </c>
      <c r="M606" s="43">
        <v>0.625</v>
      </c>
      <c r="N606" s="43">
        <v>0.64583333333333337</v>
      </c>
      <c r="O606" s="43">
        <v>1.0125</v>
      </c>
      <c r="P606" s="43">
        <v>1.0333333333333334</v>
      </c>
      <c r="Q606" s="39"/>
      <c r="R606" s="42"/>
      <c r="S606" s="29">
        <f>MIP[[#This Row],[PT-1]]+MIP[[#This Row],[PT-2]]*2+MIP[[#This Row],[PT-3]]*3+MIP[[#This Row],[PT &gt; 3 Pontos]]</f>
        <v>12</v>
      </c>
      <c r="T60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606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606" s="41">
        <f>MIP[[#This Row],[Eficiência]]</f>
        <v>0.84842608076303727</v>
      </c>
      <c r="W60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06" s="39">
        <f>IF(MIP[[#This Row],[P.S]]-MIP[[#This Row],[P.E]]&lt;0,1+MIP[[#This Row],[P.S]]-MIP[[#This Row],[P.E]]-1/24,MIP[[#This Row],[P.S]]-MIP[[#This Row],[P.E]]-1/24)</f>
        <v>0.36666666666666675</v>
      </c>
      <c r="Y606" s="39">
        <f>MIP[[#This Row],[PT-1]]*$S$3+MIP[[#This Row],[PT-2]]*$T$3+MIP[[#This Row],[PT-3]]*$U$3+MIP[[#This Row],[PT &gt; 3 Pontos]]*$V$3</f>
        <v>0.27573847624798703</v>
      </c>
      <c r="Z606" s="39">
        <f>MIP[[#This Row],[HH disponível]]-MIP[[#This Row],[HH AC TOT]]</f>
        <v>0.3249999999999999</v>
      </c>
      <c r="AA606" s="38">
        <f>MIP[[#This Row],[HH Produtivo
Total]]/MIP[[#This Row],[HH Trabalhado]]</f>
        <v>0.84842608076303727</v>
      </c>
      <c r="AB606" s="38">
        <f>MIP[[#This Row],[HH Produtivo
Total]]/MIP[[#This Row],[HH disponível]]</f>
        <v>0.75201402613087354</v>
      </c>
      <c r="AC606" s="38">
        <f>MIP[[#This Row],[HH Trabalhado]]/MIP[[#This Row],[HH disponível]]</f>
        <v>0.88636363636363591</v>
      </c>
      <c r="AD606" s="37" t="str">
        <f>LEFT(MIP[[#This Row],[Equipe]], SEARCH("/",MIP[[#This Row],[Equipe]],1)-1)</f>
        <v xml:space="preserve">EDILTON </v>
      </c>
      <c r="AE606" s="37" t="str">
        <f>RIGHT(MIP[[#This Row],[Equipe]], LEN(MIP[[#This Row],[Equipe]])-SEARCH("/",MIP[[#This Row],[Equipe]],1))</f>
        <v xml:space="preserve"> GECIVALDO</v>
      </c>
      <c r="AF606" s="44">
        <f>COUNTIFS('[1]Tempo parado'!H:H,"&gt;="&amp;MIP[[#This Row],[S.B Sitrack]],'[1]Tempo parado'!I:I,"&lt;="&amp;MIP[[#This Row],[C.B Sitrack]],'[1]Tempo parado'!B:B,MIP[[#This Row],[Placa]])</f>
        <v>0</v>
      </c>
      <c r="AG606" s="36"/>
      <c r="AH606" s="35"/>
      <c r="AI606" s="34"/>
      <c r="AJ606" s="34"/>
      <c r="AK60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0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06" s="32">
        <f>SUMIFS('[1]Tempo parado'!J:J,'[1]Tempo parado'!H:H,"&gt;="&amp;MIP[[#This Row],[S.B Sitrack]],'[1]Tempo parado'!I:I,"&lt;="&amp;MIP[[#This Row],[C.B Sitrack]],'[1]Tempo parado'!B:B,MIP[[#This Row],[Placa]])</f>
        <v>0</v>
      </c>
      <c r="AN606" s="32" t="str">
        <f>IFERROR(MIP[[#This Row],[Tempo parado]]/(MIP[[#This Row],[C.B Sitrack]]-MIP[[#This Row],[S.B Sitrack]]),"")</f>
        <v/>
      </c>
      <c r="AO606" s="30"/>
      <c r="AP606" s="44">
        <f>IF(AND(MIP[Exc]=0,MIP[Previsto / Realizado]="Realizado"),MIP[Sem],0)</f>
        <v>0</v>
      </c>
      <c r="AQ606" s="29">
        <f>IF(AND(MIP[Exc]=0,MIP[Previsto / Realizado]="Realizado",ISBLANK(MIP[[#This Row],[S.B Sitrack]])=FALSE,ISBLANK(MIP[[#This Row],[C.B Sitrack]])=FALSE),MIP[Sem],0)</f>
        <v>0</v>
      </c>
    </row>
    <row r="607" spans="2:43" x14ac:dyDescent="0.25">
      <c r="B607" s="44">
        <f>WEEKNUM(MIP[[#This Row],[Data]])</f>
        <v>39</v>
      </c>
      <c r="C607" s="45">
        <v>43006</v>
      </c>
      <c r="D607" s="45"/>
      <c r="E607" s="35" t="s">
        <v>3</v>
      </c>
      <c r="F607" s="35" t="s">
        <v>2</v>
      </c>
      <c r="G607" s="35"/>
      <c r="H607" s="44">
        <v>2</v>
      </c>
      <c r="I607" s="44">
        <v>4</v>
      </c>
      <c r="J607" s="44">
        <v>3</v>
      </c>
      <c r="K607" s="44">
        <v>0</v>
      </c>
      <c r="L607" s="44">
        <v>0</v>
      </c>
      <c r="M607" s="43">
        <v>0.62361111111111112</v>
      </c>
      <c r="N607" s="43">
        <v>0.64930555555555558</v>
      </c>
      <c r="O607" s="43">
        <v>0.95277777777777783</v>
      </c>
      <c r="P607" s="43">
        <v>1.0805555555555555</v>
      </c>
      <c r="Q607" s="39"/>
      <c r="R607" s="42" t="s">
        <v>217</v>
      </c>
      <c r="S607" s="29">
        <f>MIP[[#This Row],[PT-1]]+MIP[[#This Row],[PT-2]]*2+MIP[[#This Row],[PT-3]]*3+MIP[[#This Row],[PT &gt; 3 Pontos]]</f>
        <v>10</v>
      </c>
      <c r="T60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0.15347222222222212</v>
      </c>
      <c r="U607" s="39">
        <f>IF(MIP[[#This Row],[P.S]]-MIP[[#This Row],[U.P]]&gt;=0,MIP[[#This Row],[P.S]]-MIP[[#This Row],[U.P]]+MIP[[#This Row],[S.B]]-MIP[[#This Row],[P.E]],1+MIP[[#This Row],[P.S]]-MIP[[#This Row],[U.P]]+MIP[[#This Row],[S.B]]-MIP[[#This Row],[P.E]])</f>
        <v>0.15347222222222212</v>
      </c>
      <c r="V607" s="41">
        <f>MIP[[#This Row],[Eficiência]]</f>
        <v>0.88550340214508105</v>
      </c>
      <c r="W60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07" s="39">
        <f>IF(MIP[[#This Row],[P.S]]-MIP[[#This Row],[P.E]]&lt;0,1+MIP[[#This Row],[P.S]]-MIP[[#This Row],[P.E]]-1/24,MIP[[#This Row],[P.S]]-MIP[[#This Row],[P.E]]-1/24)</f>
        <v>0.41527777777777769</v>
      </c>
      <c r="Y607" s="39">
        <f>MIP[[#This Row],[PT-1]]*$S$3+MIP[[#This Row],[PT-2]]*$T$3+MIP[[#This Row],[PT-3]]*$U$3+MIP[[#This Row],[PT &gt; 3 Pontos]]*$V$3</f>
        <v>0.23182971014492748</v>
      </c>
      <c r="Z607" s="39">
        <f>MIP[[#This Row],[HH disponível]]-MIP[[#This Row],[HH AC TOT]]</f>
        <v>0.26180555555555557</v>
      </c>
      <c r="AA607" s="38">
        <f>MIP[[#This Row],[HH Produtivo
Total]]/MIP[[#This Row],[HH Trabalhado]]</f>
        <v>0.88550340214508105</v>
      </c>
      <c r="AB607" s="38">
        <f>MIP[[#This Row],[HH Produtivo
Total]]/MIP[[#This Row],[HH disponível]]</f>
        <v>0.55825214483059471</v>
      </c>
      <c r="AC607" s="38">
        <f>MIP[[#This Row],[HH Trabalhado]]/MIP[[#This Row],[HH disponível]]</f>
        <v>0.63043478260869579</v>
      </c>
      <c r="AD607" s="37" t="str">
        <f>LEFT(MIP[[#This Row],[Equipe]], SEARCH("/",MIP[[#This Row],[Equipe]],1)-1)</f>
        <v xml:space="preserve">EDILTON </v>
      </c>
      <c r="AE607" s="37" t="str">
        <f>RIGHT(MIP[[#This Row],[Equipe]], LEN(MIP[[#This Row],[Equipe]])-SEARCH("/",MIP[[#This Row],[Equipe]],1))</f>
        <v xml:space="preserve"> GECIVALDO</v>
      </c>
      <c r="AF607" s="44">
        <f>COUNTIFS('[1]Tempo parado'!H:H,"&gt;="&amp;MIP[[#This Row],[S.B Sitrack]],'[1]Tempo parado'!I:I,"&lt;="&amp;MIP[[#This Row],[C.B Sitrack]],'[1]Tempo parado'!B:B,MIP[[#This Row],[Placa]])</f>
        <v>0</v>
      </c>
      <c r="AG607" s="36"/>
      <c r="AH607" s="35"/>
      <c r="AI607" s="34"/>
      <c r="AJ607" s="34"/>
      <c r="AK60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0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07" s="32">
        <f>SUMIFS('[1]Tempo parado'!J:J,'[1]Tempo parado'!H:H,"&gt;="&amp;MIP[[#This Row],[S.B Sitrack]],'[1]Tempo parado'!I:I,"&lt;="&amp;MIP[[#This Row],[C.B Sitrack]],'[1]Tempo parado'!B:B,MIP[[#This Row],[Placa]])</f>
        <v>0</v>
      </c>
      <c r="AN607" s="32" t="str">
        <f>IFERROR(MIP[[#This Row],[Tempo parado]]/(MIP[[#This Row],[C.B Sitrack]]-MIP[[#This Row],[S.B Sitrack]]),"")</f>
        <v/>
      </c>
      <c r="AO607" s="30"/>
      <c r="AP607" s="44">
        <f>IF(AND(MIP[Exc]=0,MIP[Previsto / Realizado]="Realizado"),MIP[Sem],0)</f>
        <v>39</v>
      </c>
      <c r="AQ607" s="29">
        <f>IF(AND(MIP[Exc]=0,MIP[Previsto / Realizado]="Realizado",ISBLANK(MIP[[#This Row],[S.B Sitrack]])=FALSE,ISBLANK(MIP[[#This Row],[C.B Sitrack]])=FALSE),MIP[Sem],0)</f>
        <v>0</v>
      </c>
    </row>
    <row r="608" spans="2:43" x14ac:dyDescent="0.25">
      <c r="B608" s="44">
        <f>WEEKNUM(MIP[[#This Row],[Data]])</f>
        <v>39</v>
      </c>
      <c r="C608" s="45">
        <v>43007</v>
      </c>
      <c r="D608" s="45"/>
      <c r="E608" s="35" t="s">
        <v>3</v>
      </c>
      <c r="F608" s="35" t="s">
        <v>5</v>
      </c>
      <c r="G608" s="35"/>
      <c r="H608" s="44">
        <v>2</v>
      </c>
      <c r="I608" s="44">
        <v>7</v>
      </c>
      <c r="J608" s="44">
        <v>0</v>
      </c>
      <c r="K608" s="44">
        <v>1</v>
      </c>
      <c r="L608" s="44">
        <v>0</v>
      </c>
      <c r="M608" s="43">
        <v>0.625</v>
      </c>
      <c r="N608" s="43">
        <v>0.64583333333333337</v>
      </c>
      <c r="O608" s="43">
        <v>1.0125</v>
      </c>
      <c r="P608" s="43">
        <v>1.0333333333333334</v>
      </c>
      <c r="Q608" s="39"/>
      <c r="R608" s="42"/>
      <c r="S608" s="29">
        <f>MIP[[#This Row],[PT-1]]+MIP[[#This Row],[PT-2]]*2+MIP[[#This Row],[PT-3]]*3+MIP[[#This Row],[PT &gt; 3 Pontos]]</f>
        <v>10</v>
      </c>
      <c r="T60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608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608" s="41">
        <f>MIP[[#This Row],[Eficiência]]</f>
        <v>0.73222353833766873</v>
      </c>
      <c r="W60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08" s="39">
        <f>IF(MIP[[#This Row],[P.S]]-MIP[[#This Row],[P.E]]&lt;0,1+MIP[[#This Row],[P.S]]-MIP[[#This Row],[P.E]]-1/24,MIP[[#This Row],[P.S]]-MIP[[#This Row],[P.E]]-1/24)</f>
        <v>0.36666666666666675</v>
      </c>
      <c r="Y608" s="39">
        <f>MIP[[#This Row],[PT-1]]*$S$3+MIP[[#This Row],[PT-2]]*$T$3+MIP[[#This Row],[PT-3]]*$U$3+MIP[[#This Row],[PT &gt; 3 Pontos]]*$V$3</f>
        <v>0.23797264995974227</v>
      </c>
      <c r="Z608" s="39">
        <f>MIP[[#This Row],[HH disponível]]-MIP[[#This Row],[HH AC TOT]]</f>
        <v>0.3249999999999999</v>
      </c>
      <c r="AA608" s="38">
        <f>MIP[[#This Row],[HH Produtivo
Total]]/MIP[[#This Row],[HH Trabalhado]]</f>
        <v>0.73222353833766873</v>
      </c>
      <c r="AB608" s="38">
        <f>MIP[[#This Row],[HH Produtivo
Total]]/MIP[[#This Row],[HH disponível]]</f>
        <v>0.6490163180720242</v>
      </c>
      <c r="AC608" s="38">
        <f>MIP[[#This Row],[HH Trabalhado]]/MIP[[#This Row],[HH disponível]]</f>
        <v>0.88636363636363591</v>
      </c>
      <c r="AD608" s="37" t="str">
        <f>LEFT(MIP[[#This Row],[Equipe]], SEARCH("/",MIP[[#This Row],[Equipe]],1)-1)</f>
        <v xml:space="preserve">EDILTON </v>
      </c>
      <c r="AE608" s="37" t="str">
        <f>RIGHT(MIP[[#This Row],[Equipe]], LEN(MIP[[#This Row],[Equipe]])-SEARCH("/",MIP[[#This Row],[Equipe]],1))</f>
        <v xml:space="preserve"> GECIVALDO</v>
      </c>
      <c r="AF608" s="44">
        <f>COUNTIFS('[1]Tempo parado'!H:H,"&gt;="&amp;MIP[[#This Row],[S.B Sitrack]],'[1]Tempo parado'!I:I,"&lt;="&amp;MIP[[#This Row],[C.B Sitrack]],'[1]Tempo parado'!B:B,MIP[[#This Row],[Placa]])</f>
        <v>0</v>
      </c>
      <c r="AG608" s="36"/>
      <c r="AH608" s="35"/>
      <c r="AI608" s="34"/>
      <c r="AJ608" s="34"/>
      <c r="AK60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0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08" s="32">
        <f>SUMIFS('[1]Tempo parado'!J:J,'[1]Tempo parado'!H:H,"&gt;="&amp;MIP[[#This Row],[S.B Sitrack]],'[1]Tempo parado'!I:I,"&lt;="&amp;MIP[[#This Row],[C.B Sitrack]],'[1]Tempo parado'!B:B,MIP[[#This Row],[Placa]])</f>
        <v>0</v>
      </c>
      <c r="AN608" s="32" t="str">
        <f>IFERROR(MIP[[#This Row],[Tempo parado]]/(MIP[[#This Row],[C.B Sitrack]]-MIP[[#This Row],[S.B Sitrack]]),"")</f>
        <v/>
      </c>
      <c r="AO608" s="30"/>
      <c r="AP608" s="44">
        <f>IF(AND(MIP[Exc]=0,MIP[Previsto / Realizado]="Realizado"),MIP[Sem],0)</f>
        <v>0</v>
      </c>
      <c r="AQ608" s="29">
        <f>IF(AND(MIP[Exc]=0,MIP[Previsto / Realizado]="Realizado",ISBLANK(MIP[[#This Row],[S.B Sitrack]])=FALSE,ISBLANK(MIP[[#This Row],[C.B Sitrack]])=FALSE),MIP[Sem],0)</f>
        <v>0</v>
      </c>
    </row>
    <row r="609" spans="2:43" x14ac:dyDescent="0.25">
      <c r="B609" s="44">
        <f>WEEKNUM(MIP[[#This Row],[Data]])</f>
        <v>39</v>
      </c>
      <c r="C609" s="45">
        <v>43007</v>
      </c>
      <c r="D609" s="45"/>
      <c r="E609" s="35" t="s">
        <v>3</v>
      </c>
      <c r="F609" s="35" t="s">
        <v>2</v>
      </c>
      <c r="G609" s="35"/>
      <c r="H609" s="44">
        <v>2</v>
      </c>
      <c r="I609" s="44">
        <v>7</v>
      </c>
      <c r="J609" s="44">
        <v>0</v>
      </c>
      <c r="K609" s="44">
        <v>1</v>
      </c>
      <c r="L609" s="44">
        <v>0</v>
      </c>
      <c r="M609" s="43">
        <v>0.61597222222222225</v>
      </c>
      <c r="N609" s="43">
        <v>0.66666666666666663</v>
      </c>
      <c r="O609" s="43">
        <v>0.9375</v>
      </c>
      <c r="P609" s="43">
        <v>0.9506944444444444</v>
      </c>
      <c r="Q609" s="39"/>
      <c r="R609" s="42" t="s">
        <v>216</v>
      </c>
      <c r="S609" s="29">
        <f>MIP[[#This Row],[PT-1]]+MIP[[#This Row],[PT-2]]*2+MIP[[#This Row],[PT-3]]*3+MIP[[#This Row],[PT &gt; 3 Pontos]]</f>
        <v>10</v>
      </c>
      <c r="T60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6.3888888888888773E-2</v>
      </c>
      <c r="U609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6.3888888888888773E-2</v>
      </c>
      <c r="V609" s="41">
        <f>MIP[[#This Row],[Eficiência]]</f>
        <v>1.0384261089152389</v>
      </c>
      <c r="W60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09" s="39">
        <f>IF(MIP[[#This Row],[P.S]]-MIP[[#This Row],[P.E]]&lt;0,1+MIP[[#This Row],[P.S]]-MIP[[#This Row],[P.E]]-1/24,MIP[[#This Row],[P.S]]-MIP[[#This Row],[P.E]]-1/24)</f>
        <v>0.29305555555555546</v>
      </c>
      <c r="Y609" s="39">
        <f>MIP[[#This Row],[PT-1]]*$S$3+MIP[[#This Row],[PT-2]]*$T$3+MIP[[#This Row],[PT-3]]*$U$3+MIP[[#This Row],[PT &gt; 3 Pontos]]*$V$3</f>
        <v>0.23797264995974227</v>
      </c>
      <c r="Z609" s="39">
        <f>MIP[[#This Row],[HH disponível]]-MIP[[#This Row],[HH AC TOT]]</f>
        <v>0.22916666666666669</v>
      </c>
      <c r="AA609" s="38">
        <f>MIP[[#This Row],[HH Produtivo
Total]]/MIP[[#This Row],[HH Trabalhado]]</f>
        <v>1.0384261089152389</v>
      </c>
      <c r="AB609" s="38">
        <f>MIP[[#This Row],[HH Produtivo
Total]]/MIP[[#This Row],[HH disponível]]</f>
        <v>0.81203937427021089</v>
      </c>
      <c r="AC609" s="38">
        <f>MIP[[#This Row],[HH Trabalhado]]/MIP[[#This Row],[HH disponível]]</f>
        <v>0.78199052132701452</v>
      </c>
      <c r="AD609" s="37" t="str">
        <f>LEFT(MIP[[#This Row],[Equipe]], SEARCH("/",MIP[[#This Row],[Equipe]],1)-1)</f>
        <v xml:space="preserve">EDILTON </v>
      </c>
      <c r="AE609" s="37" t="str">
        <f>RIGHT(MIP[[#This Row],[Equipe]], LEN(MIP[[#This Row],[Equipe]])-SEARCH("/",MIP[[#This Row],[Equipe]],1))</f>
        <v xml:space="preserve"> GECIVALDO</v>
      </c>
      <c r="AF609" s="44">
        <f>COUNTIFS('[1]Tempo parado'!H:H,"&gt;="&amp;MIP[[#This Row],[S.B Sitrack]],'[1]Tempo parado'!I:I,"&lt;="&amp;MIP[[#This Row],[C.B Sitrack]],'[1]Tempo parado'!B:B,MIP[[#This Row],[Placa]])</f>
        <v>0</v>
      </c>
      <c r="AG609" s="36"/>
      <c r="AH609" s="35"/>
      <c r="AI609" s="34"/>
      <c r="AJ609" s="34"/>
      <c r="AK60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0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09" s="32">
        <f>SUMIFS('[1]Tempo parado'!J:J,'[1]Tempo parado'!H:H,"&gt;="&amp;MIP[[#This Row],[S.B Sitrack]],'[1]Tempo parado'!I:I,"&lt;="&amp;MIP[[#This Row],[C.B Sitrack]],'[1]Tempo parado'!B:B,MIP[[#This Row],[Placa]])</f>
        <v>0</v>
      </c>
      <c r="AN609" s="32" t="str">
        <f>IFERROR(MIP[[#This Row],[Tempo parado]]/(MIP[[#This Row],[C.B Sitrack]]-MIP[[#This Row],[S.B Sitrack]]),"")</f>
        <v/>
      </c>
      <c r="AO609" s="30"/>
      <c r="AP609" s="44">
        <f>IF(AND(MIP[Exc]=0,MIP[Previsto / Realizado]="Realizado"),MIP[Sem],0)</f>
        <v>39</v>
      </c>
      <c r="AQ609" s="29">
        <f>IF(AND(MIP[Exc]=0,MIP[Previsto / Realizado]="Realizado",ISBLANK(MIP[[#This Row],[S.B Sitrack]])=FALSE,ISBLANK(MIP[[#This Row],[C.B Sitrack]])=FALSE),MIP[Sem],0)</f>
        <v>0</v>
      </c>
    </row>
    <row r="610" spans="2:43" x14ac:dyDescent="0.25">
      <c r="B610" s="44">
        <f>WEEKNUM(MIP[[#This Row],[Data]])</f>
        <v>39</v>
      </c>
      <c r="C610" s="45">
        <v>43008</v>
      </c>
      <c r="D610" s="45"/>
      <c r="E610" s="35" t="s">
        <v>33</v>
      </c>
      <c r="F610" s="35" t="s">
        <v>5</v>
      </c>
      <c r="G610" s="35"/>
      <c r="H610" s="44">
        <v>2</v>
      </c>
      <c r="I610" s="44">
        <v>1</v>
      </c>
      <c r="J610" s="44">
        <v>0</v>
      </c>
      <c r="K610" s="44">
        <v>0</v>
      </c>
      <c r="L610" s="44">
        <v>0</v>
      </c>
      <c r="M610" s="43">
        <v>0.25</v>
      </c>
      <c r="N610" s="43">
        <v>0.27083333333333331</v>
      </c>
      <c r="O610" s="43">
        <v>0.63750000000000007</v>
      </c>
      <c r="P610" s="43">
        <v>0.65833333333333333</v>
      </c>
      <c r="Q610" s="39"/>
      <c r="R610" s="42" t="s">
        <v>4</v>
      </c>
      <c r="S610" s="29">
        <f>MIP[[#This Row],[PT-1]]+MIP[[#This Row],[PT-2]]*2+MIP[[#This Row],[PT-3]]*3+MIP[[#This Row],[PT &gt; 3 Pontos]]</f>
        <v>1</v>
      </c>
      <c r="T61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610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610" s="41">
        <f>MIP[[#This Row],[Eficiência]]</f>
        <v>7.7002624489037469E-2</v>
      </c>
      <c r="W61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10" s="39">
        <f>IF(MIP[[#This Row],[P.S]]-MIP[[#This Row],[P.E]]&lt;0,1+MIP[[#This Row],[P.S]]-MIP[[#This Row],[P.E]]-1/24,MIP[[#This Row],[P.S]]-MIP[[#This Row],[P.E]]-1/24)</f>
        <v>0.36666666666666664</v>
      </c>
      <c r="Y610" s="39">
        <f>MIP[[#This Row],[PT-1]]*$S$3+MIP[[#This Row],[PT-2]]*$T$3+MIP[[#This Row],[PT-3]]*$U$3+MIP[[#This Row],[PT &gt; 3 Pontos]]*$V$3</f>
        <v>2.5025852958937181E-2</v>
      </c>
      <c r="Z610" s="39">
        <f>MIP[[#This Row],[HH disponível]]-MIP[[#This Row],[HH AC TOT]]</f>
        <v>0.32500000000000007</v>
      </c>
      <c r="AA610" s="38">
        <f>MIP[[#This Row],[HH Produtivo
Total]]/MIP[[#This Row],[HH Trabalhado]]</f>
        <v>7.7002624489037469E-2</v>
      </c>
      <c r="AB610" s="38">
        <f>MIP[[#This Row],[HH Produtivo
Total]]/MIP[[#This Row],[HH disponível]]</f>
        <v>6.8252326251646858E-2</v>
      </c>
      <c r="AC610" s="38">
        <f>MIP[[#This Row],[HH Trabalhado]]/MIP[[#This Row],[HH disponível]]</f>
        <v>0.88636363636363658</v>
      </c>
      <c r="AD610" s="37" t="str">
        <f>LEFT(MIP[[#This Row],[Equipe]], SEARCH("/",MIP[[#This Row],[Equipe]],1)-1)</f>
        <v xml:space="preserve">JOILSON </v>
      </c>
      <c r="AE610" s="37" t="str">
        <f>RIGHT(MIP[[#This Row],[Equipe]], LEN(MIP[[#This Row],[Equipe]])-SEARCH("/",MIP[[#This Row],[Equipe]],1))</f>
        <v xml:space="preserve"> HERVAL</v>
      </c>
      <c r="AF610" s="44">
        <f>COUNTIFS('[1]Tempo parado'!H:H,"&gt;="&amp;MIP[[#This Row],[S.B Sitrack]],'[1]Tempo parado'!I:I,"&lt;="&amp;MIP[[#This Row],[C.B Sitrack]],'[1]Tempo parado'!B:B,MIP[[#This Row],[Placa]])</f>
        <v>0</v>
      </c>
      <c r="AG610" s="36"/>
      <c r="AH610" s="35"/>
      <c r="AI610" s="34"/>
      <c r="AJ610" s="34"/>
      <c r="AK61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1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10" s="32">
        <f>SUMIFS('[1]Tempo parado'!J:J,'[1]Tempo parado'!H:H,"&gt;="&amp;MIP[[#This Row],[S.B Sitrack]],'[1]Tempo parado'!I:I,"&lt;="&amp;MIP[[#This Row],[C.B Sitrack]],'[1]Tempo parado'!B:B,MIP[[#This Row],[Placa]])</f>
        <v>0</v>
      </c>
      <c r="AN610" s="32" t="str">
        <f>IFERROR(MIP[[#This Row],[Tempo parado]]/(MIP[[#This Row],[C.B Sitrack]]-MIP[[#This Row],[S.B Sitrack]]),"")</f>
        <v/>
      </c>
      <c r="AO610" s="30"/>
      <c r="AP610" s="44">
        <f>IF(AND(MIP[Exc]=0,MIP[Previsto / Realizado]="Realizado"),MIP[Sem],0)</f>
        <v>0</v>
      </c>
      <c r="AQ610" s="29">
        <f>IF(AND(MIP[Exc]=0,MIP[Previsto / Realizado]="Realizado",ISBLANK(MIP[[#This Row],[S.B Sitrack]])=FALSE,ISBLANK(MIP[[#This Row],[C.B Sitrack]])=FALSE),MIP[Sem],0)</f>
        <v>0</v>
      </c>
    </row>
    <row r="611" spans="2:43" x14ac:dyDescent="0.25">
      <c r="B611" s="44">
        <f>WEEKNUM(MIP[[#This Row],[Data]])</f>
        <v>39</v>
      </c>
      <c r="C611" s="45">
        <v>43008</v>
      </c>
      <c r="D611" s="45"/>
      <c r="E611" s="35" t="s">
        <v>33</v>
      </c>
      <c r="F611" s="35" t="s">
        <v>2</v>
      </c>
      <c r="G611" s="35"/>
      <c r="H611" s="44">
        <v>2</v>
      </c>
      <c r="I611" s="44">
        <v>6</v>
      </c>
      <c r="J611" s="44">
        <v>1</v>
      </c>
      <c r="K611" s="44">
        <v>1</v>
      </c>
      <c r="L611" s="44">
        <v>0</v>
      </c>
      <c r="M611" s="43">
        <v>0.25347222222222221</v>
      </c>
      <c r="N611" s="43">
        <v>0.27083333333333331</v>
      </c>
      <c r="O611" s="43">
        <v>0.6020833333333333</v>
      </c>
      <c r="P611" s="43">
        <v>0.65763888888888888</v>
      </c>
      <c r="Q611" s="39"/>
      <c r="R611" s="42" t="s">
        <v>191</v>
      </c>
      <c r="S611" s="29">
        <f>MIP[[#This Row],[PT-1]]+MIP[[#This Row],[PT-2]]*2+MIP[[#This Row],[PT-3]]*3+MIP[[#This Row],[PT &gt; 3 Pontos]]</f>
        <v>11</v>
      </c>
      <c r="T61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7.2916666666666685E-2</v>
      </c>
      <c r="U611" s="39">
        <f>IF(MIP[[#This Row],[P.S]]-MIP[[#This Row],[U.P]]&gt;=0,MIP[[#This Row],[P.S]]-MIP[[#This Row],[U.P]]+MIP[[#This Row],[S.B]]-MIP[[#This Row],[P.E]],1+MIP[[#This Row],[P.S]]-MIP[[#This Row],[U.P]]+MIP[[#This Row],[S.B]]-MIP[[#This Row],[P.E]])</f>
        <v>7.2916666666666685E-2</v>
      </c>
      <c r="V611" s="41">
        <f>MIP[[#This Row],[Eficiência]]</f>
        <v>0.88698323949536007</v>
      </c>
      <c r="W61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11" s="39">
        <f>IF(MIP[[#This Row],[P.S]]-MIP[[#This Row],[P.E]]&lt;0,1+MIP[[#This Row],[P.S]]-MIP[[#This Row],[P.E]]-1/24,MIP[[#This Row],[P.S]]-MIP[[#This Row],[P.E]]-1/24)</f>
        <v>0.36249999999999999</v>
      </c>
      <c r="Y611" s="39">
        <f>MIP[[#This Row],[PT-1]]*$S$3+MIP[[#This Row],[PT-2]]*$T$3+MIP[[#This Row],[PT-3]]*$U$3+MIP[[#This Row],[PT &gt; 3 Pontos]]*$V$3</f>
        <v>0.25685556310386465</v>
      </c>
      <c r="Z611" s="39">
        <f>MIP[[#This Row],[HH disponível]]-MIP[[#This Row],[HH AC TOT]]</f>
        <v>0.2895833333333333</v>
      </c>
      <c r="AA611" s="38">
        <f>MIP[[#This Row],[HH Produtivo
Total]]/MIP[[#This Row],[HH Trabalhado]]</f>
        <v>0.88698323949536007</v>
      </c>
      <c r="AB611" s="38">
        <f>MIP[[#This Row],[HH Produtivo
Total]]/MIP[[#This Row],[HH disponível]]</f>
        <v>0.70856707063135083</v>
      </c>
      <c r="AC611" s="38">
        <f>MIP[[#This Row],[HH Trabalhado]]/MIP[[#This Row],[HH disponível]]</f>
        <v>0.79885057471264365</v>
      </c>
      <c r="AD611" s="37" t="str">
        <f>LEFT(MIP[[#This Row],[Equipe]], SEARCH("/",MIP[[#This Row],[Equipe]],1)-1)</f>
        <v xml:space="preserve">JOILSON </v>
      </c>
      <c r="AE611" s="37" t="str">
        <f>RIGHT(MIP[[#This Row],[Equipe]], LEN(MIP[[#This Row],[Equipe]])-SEARCH("/",MIP[[#This Row],[Equipe]],1))</f>
        <v xml:space="preserve"> HERVAL</v>
      </c>
      <c r="AF611" s="44">
        <f>COUNTIFS('[1]Tempo parado'!H:H,"&gt;="&amp;MIP[[#This Row],[S.B Sitrack]],'[1]Tempo parado'!I:I,"&lt;="&amp;MIP[[#This Row],[C.B Sitrack]],'[1]Tempo parado'!B:B,MIP[[#This Row],[Placa]])</f>
        <v>0</v>
      </c>
      <c r="AG611" s="36"/>
      <c r="AH611" s="35"/>
      <c r="AI611" s="34"/>
      <c r="AJ611" s="34"/>
      <c r="AK61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1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11" s="32">
        <f>SUMIFS('[1]Tempo parado'!J:J,'[1]Tempo parado'!H:H,"&gt;="&amp;MIP[[#This Row],[S.B Sitrack]],'[1]Tempo parado'!I:I,"&lt;="&amp;MIP[[#This Row],[C.B Sitrack]],'[1]Tempo parado'!B:B,MIP[[#This Row],[Placa]])</f>
        <v>0</v>
      </c>
      <c r="AN611" s="32" t="str">
        <f>IFERROR(MIP[[#This Row],[Tempo parado]]/(MIP[[#This Row],[C.B Sitrack]]-MIP[[#This Row],[S.B Sitrack]]),"")</f>
        <v/>
      </c>
      <c r="AO611" s="30"/>
      <c r="AP611" s="44">
        <f>IF(AND(MIP[Exc]=0,MIP[Previsto / Realizado]="Realizado"),MIP[Sem],0)</f>
        <v>39</v>
      </c>
      <c r="AQ611" s="29">
        <f>IF(AND(MIP[Exc]=0,MIP[Previsto / Realizado]="Realizado",ISBLANK(MIP[[#This Row],[S.B Sitrack]])=FALSE,ISBLANK(MIP[[#This Row],[C.B Sitrack]])=FALSE),MIP[Sem],0)</f>
        <v>0</v>
      </c>
    </row>
    <row r="612" spans="2:43" x14ac:dyDescent="0.25">
      <c r="B612" s="44">
        <f>WEEKNUM(MIP[[#This Row],[Data]])</f>
        <v>39</v>
      </c>
      <c r="C612" s="45">
        <v>43008</v>
      </c>
      <c r="D612" s="45"/>
      <c r="E612" s="35" t="s">
        <v>19</v>
      </c>
      <c r="F612" s="35" t="s">
        <v>5</v>
      </c>
      <c r="G612" s="35"/>
      <c r="H612" s="44">
        <v>2</v>
      </c>
      <c r="I612" s="44">
        <v>0</v>
      </c>
      <c r="J612" s="44">
        <v>2</v>
      </c>
      <c r="K612" s="44">
        <v>0</v>
      </c>
      <c r="L612" s="44">
        <v>0</v>
      </c>
      <c r="M612" s="43">
        <v>0.625</v>
      </c>
      <c r="N612" s="43">
        <v>0.64583333333333337</v>
      </c>
      <c r="O612" s="43">
        <v>1.0125</v>
      </c>
      <c r="P612" s="82">
        <v>1.0333333333333334</v>
      </c>
      <c r="Q612" s="39"/>
      <c r="R612" s="42" t="s">
        <v>215</v>
      </c>
      <c r="S612" s="29">
        <f>MIP[[#This Row],[PT-1]]+MIP[[#This Row],[PT-2]]*2+MIP[[#This Row],[PT-3]]*3+MIP[[#This Row],[PT &gt; 3 Pontos]]</f>
        <v>4</v>
      </c>
      <c r="T61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612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612" s="41">
        <f>MIP[[#This Row],[Eficiência]]</f>
        <v>0.2702077914034437</v>
      </c>
      <c r="W61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12" s="39">
        <f>IF(MIP[[#This Row],[P.S]]-MIP[[#This Row],[P.E]]&lt;0,1+MIP[[#This Row],[P.S]]-MIP[[#This Row],[P.E]]-1/24,MIP[[#This Row],[P.S]]-MIP[[#This Row],[P.E]]-1/24)</f>
        <v>0.36666666666666675</v>
      </c>
      <c r="Y612" s="39">
        <f>MIP[[#This Row],[PT-1]]*$S$3+MIP[[#This Row],[PT-2]]*$T$3+MIP[[#This Row],[PT-3]]*$U$3+MIP[[#This Row],[PT &gt; 3 Pontos]]*$V$3</f>
        <v>8.7817532206119167E-2</v>
      </c>
      <c r="Z612" s="39">
        <f>MIP[[#This Row],[HH disponível]]-MIP[[#This Row],[HH AC TOT]]</f>
        <v>0.3249999999999999</v>
      </c>
      <c r="AA612" s="38">
        <f>MIP[[#This Row],[HH Produtivo
Total]]/MIP[[#This Row],[HH Trabalhado]]</f>
        <v>0.2702077914034437</v>
      </c>
      <c r="AB612" s="38">
        <f>MIP[[#This Row],[HH Produtivo
Total]]/MIP[[#This Row],[HH disponível]]</f>
        <v>0.23950236056214314</v>
      </c>
      <c r="AC612" s="38">
        <f>MIP[[#This Row],[HH Trabalhado]]/MIP[[#This Row],[HH disponível]]</f>
        <v>0.88636363636363591</v>
      </c>
      <c r="AD612" s="37" t="str">
        <f>LEFT(MIP[[#This Row],[Equipe]], SEARCH("/",MIP[[#This Row],[Equipe]],1)-1)</f>
        <v xml:space="preserve">ADEMÁRIO </v>
      </c>
      <c r="AE612" s="37" t="str">
        <f>RIGHT(MIP[[#This Row],[Equipe]], LEN(MIP[[#This Row],[Equipe]])-SEARCH("/",MIP[[#This Row],[Equipe]],1))</f>
        <v xml:space="preserve"> RONALDO</v>
      </c>
      <c r="AF612" s="44">
        <f>COUNTIFS('[1]Tempo parado'!H:H,"&gt;="&amp;MIP[[#This Row],[S.B Sitrack]],'[1]Tempo parado'!I:I,"&lt;="&amp;MIP[[#This Row],[C.B Sitrack]],'[1]Tempo parado'!B:B,MIP[[#This Row],[Placa]])</f>
        <v>0</v>
      </c>
      <c r="AG612" s="36"/>
      <c r="AH612" s="35"/>
      <c r="AI612" s="34"/>
      <c r="AJ612" s="34"/>
      <c r="AK61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1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12" s="32">
        <f>SUMIFS('[1]Tempo parado'!J:J,'[1]Tempo parado'!H:H,"&gt;="&amp;MIP[[#This Row],[S.B Sitrack]],'[1]Tempo parado'!I:I,"&lt;="&amp;MIP[[#This Row],[C.B Sitrack]],'[1]Tempo parado'!B:B,MIP[[#This Row],[Placa]])</f>
        <v>0</v>
      </c>
      <c r="AN612" s="32" t="str">
        <f>IFERROR(MIP[[#This Row],[Tempo parado]]/(MIP[[#This Row],[C.B Sitrack]]-MIP[[#This Row],[S.B Sitrack]]),"")</f>
        <v/>
      </c>
      <c r="AO612" s="30"/>
      <c r="AP612" s="44">
        <f>IF(AND(MIP[Exc]=0,MIP[Previsto / Realizado]="Realizado"),MIP[Sem],0)</f>
        <v>0</v>
      </c>
      <c r="AQ612" s="29">
        <f>IF(AND(MIP[Exc]=0,MIP[Previsto / Realizado]="Realizado",ISBLANK(MIP[[#This Row],[S.B Sitrack]])=FALSE,ISBLANK(MIP[[#This Row],[C.B Sitrack]])=FALSE),MIP[Sem],0)</f>
        <v>0</v>
      </c>
    </row>
    <row r="613" spans="2:43" x14ac:dyDescent="0.25">
      <c r="B613" s="44">
        <f>WEEKNUM(MIP[[#This Row],[Data]])</f>
        <v>39</v>
      </c>
      <c r="C613" s="45">
        <v>43008</v>
      </c>
      <c r="D613" s="45"/>
      <c r="E613" s="35" t="s">
        <v>19</v>
      </c>
      <c r="F613" s="35" t="s">
        <v>2</v>
      </c>
      <c r="G613" s="35"/>
      <c r="H613" s="44">
        <v>2</v>
      </c>
      <c r="I613" s="44">
        <v>0</v>
      </c>
      <c r="J613" s="44">
        <v>3</v>
      </c>
      <c r="K613" s="44">
        <v>0</v>
      </c>
      <c r="L613" s="44">
        <v>0</v>
      </c>
      <c r="M613" s="43">
        <v>0.6381944444444444</v>
      </c>
      <c r="N613" s="43">
        <v>0.67361111111111116</v>
      </c>
      <c r="O613" s="43">
        <v>1.0104166666666667</v>
      </c>
      <c r="P613" s="43">
        <v>1.0381944444444444</v>
      </c>
      <c r="Q613" s="39">
        <v>0.17569444444444446</v>
      </c>
      <c r="R613" s="42" t="s">
        <v>214</v>
      </c>
      <c r="S613" s="29">
        <f>MIP[[#This Row],[PT-1]]+MIP[[#This Row],[PT-2]]*2+MIP[[#This Row],[PT-3]]*3+MIP[[#This Row],[PT &gt; 3 Pontos]]</f>
        <v>6</v>
      </c>
      <c r="T61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0.2388888888888889</v>
      </c>
      <c r="U613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6.3194444444444442E-2</v>
      </c>
      <c r="V613" s="41">
        <f>MIP[[#This Row],[Eficiência]]</f>
        <v>1.1028248230535898</v>
      </c>
      <c r="W61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13" s="39">
        <f>IF(MIP[[#This Row],[P.S]]-MIP[[#This Row],[P.E]]&lt;0,1+MIP[[#This Row],[P.S]]-MIP[[#This Row],[P.E]]-1/24,MIP[[#This Row],[P.S]]-MIP[[#This Row],[P.E]]-1/24)</f>
        <v>0.35833333333333334</v>
      </c>
      <c r="Y613" s="39">
        <f>MIP[[#This Row],[PT-1]]*$S$3+MIP[[#This Row],[PT-2]]*$T$3+MIP[[#This Row],[PT-3]]*$U$3+MIP[[#This Row],[PT &gt; 3 Pontos]]*$V$3</f>
        <v>0.13172629830917876</v>
      </c>
      <c r="Z613" s="39">
        <f>MIP[[#This Row],[HH disponível]]-MIP[[#This Row],[HH AC TOT]]</f>
        <v>0.11944444444444444</v>
      </c>
      <c r="AA613" s="38">
        <f>MIP[[#This Row],[HH Produtivo
Total]]/MIP[[#This Row],[HH Trabalhado]]</f>
        <v>1.1028248230535898</v>
      </c>
      <c r="AB613" s="38">
        <f>MIP[[#This Row],[HH Produtivo
Total]]/MIP[[#This Row],[HH disponível]]</f>
        <v>0.36760827435119653</v>
      </c>
      <c r="AC613" s="38">
        <f>MIP[[#This Row],[HH Trabalhado]]/MIP[[#This Row],[HH disponível]]</f>
        <v>0.33333333333333331</v>
      </c>
      <c r="AD613" s="37" t="str">
        <f>LEFT(MIP[[#This Row],[Equipe]], SEARCH("/",MIP[[#This Row],[Equipe]],1)-1)</f>
        <v xml:space="preserve">ADEMÁRIO </v>
      </c>
      <c r="AE613" s="37" t="str">
        <f>RIGHT(MIP[[#This Row],[Equipe]], LEN(MIP[[#This Row],[Equipe]])-SEARCH("/",MIP[[#This Row],[Equipe]],1))</f>
        <v xml:space="preserve"> RONALDO</v>
      </c>
      <c r="AF613" s="44">
        <f>COUNTIFS('[1]Tempo parado'!H:H,"&gt;="&amp;MIP[[#This Row],[S.B Sitrack]],'[1]Tempo parado'!I:I,"&lt;="&amp;MIP[[#This Row],[C.B Sitrack]],'[1]Tempo parado'!B:B,MIP[[#This Row],[Placa]])</f>
        <v>0</v>
      </c>
      <c r="AG613" s="36"/>
      <c r="AH613" s="35"/>
      <c r="AI613" s="34"/>
      <c r="AJ613" s="34"/>
      <c r="AK61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1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13" s="32">
        <f>SUMIFS('[1]Tempo parado'!J:J,'[1]Tempo parado'!H:H,"&gt;="&amp;MIP[[#This Row],[S.B Sitrack]],'[1]Tempo parado'!I:I,"&lt;="&amp;MIP[[#This Row],[C.B Sitrack]],'[1]Tempo parado'!B:B,MIP[[#This Row],[Placa]])</f>
        <v>0</v>
      </c>
      <c r="AN613" s="32" t="str">
        <f>IFERROR(MIP[[#This Row],[Tempo parado]]/(MIP[[#This Row],[C.B Sitrack]]-MIP[[#This Row],[S.B Sitrack]]),"")</f>
        <v/>
      </c>
      <c r="AO613" s="30"/>
      <c r="AP613" s="44">
        <f>IF(AND(MIP[Exc]=0,MIP[Previsto / Realizado]="Realizado"),MIP[Sem],0)</f>
        <v>39</v>
      </c>
      <c r="AQ613" s="29">
        <f>IF(AND(MIP[Exc]=0,MIP[Previsto / Realizado]="Realizado",ISBLANK(MIP[[#This Row],[S.B Sitrack]])=FALSE,ISBLANK(MIP[[#This Row],[C.B Sitrack]])=FALSE),MIP[Sem],0)</f>
        <v>0</v>
      </c>
    </row>
    <row r="614" spans="2:43" x14ac:dyDescent="0.25">
      <c r="B614" s="44">
        <f>WEEKNUM(MIP[[#This Row],[Data]])</f>
        <v>40</v>
      </c>
      <c r="C614" s="45">
        <v>43009</v>
      </c>
      <c r="D614" s="45"/>
      <c r="E614" s="35" t="s">
        <v>33</v>
      </c>
      <c r="F614" s="35" t="s">
        <v>5</v>
      </c>
      <c r="G614" s="35"/>
      <c r="H614" s="44">
        <v>2</v>
      </c>
      <c r="I614" s="44">
        <v>0</v>
      </c>
      <c r="J614" s="44">
        <v>0</v>
      </c>
      <c r="K614" s="44">
        <v>0</v>
      </c>
      <c r="L614" s="44">
        <v>0</v>
      </c>
      <c r="M614" s="43">
        <v>0.25</v>
      </c>
      <c r="N614" s="43">
        <v>0.27083333333333331</v>
      </c>
      <c r="O614" s="43">
        <v>0.63750000000000007</v>
      </c>
      <c r="P614" s="43">
        <v>0.65833333333333333</v>
      </c>
      <c r="Q614" s="39"/>
      <c r="R614" s="42" t="s">
        <v>4</v>
      </c>
      <c r="S614" s="29">
        <f>MIP[[#This Row],[PT-1]]+MIP[[#This Row],[PT-2]]*2+MIP[[#This Row],[PT-3]]*3+MIP[[#This Row],[PT &gt; 3 Pontos]]</f>
        <v>0</v>
      </c>
      <c r="T61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614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614" s="41">
        <f>MIP[[#This Row],[Eficiência]]</f>
        <v>0</v>
      </c>
      <c r="W61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14" s="39">
        <f>IF(MIP[[#This Row],[P.S]]-MIP[[#This Row],[P.E]]&lt;0,1+MIP[[#This Row],[P.S]]-MIP[[#This Row],[P.E]]-1/24,MIP[[#This Row],[P.S]]-MIP[[#This Row],[P.E]]-1/24)</f>
        <v>0.36666666666666664</v>
      </c>
      <c r="Y614" s="39">
        <f>MIP[[#This Row],[PT-1]]*$S$3+MIP[[#This Row],[PT-2]]*$T$3+MIP[[#This Row],[PT-3]]*$U$3+MIP[[#This Row],[PT &gt; 3 Pontos]]*$V$3</f>
        <v>0</v>
      </c>
      <c r="Z614" s="39">
        <f>MIP[[#This Row],[HH disponível]]-MIP[[#This Row],[HH AC TOT]]</f>
        <v>0.32500000000000007</v>
      </c>
      <c r="AA614" s="38">
        <f>MIP[[#This Row],[HH Produtivo
Total]]/MIP[[#This Row],[HH Trabalhado]]</f>
        <v>0</v>
      </c>
      <c r="AB614" s="38">
        <f>MIP[[#This Row],[HH Produtivo
Total]]/MIP[[#This Row],[HH disponível]]</f>
        <v>0</v>
      </c>
      <c r="AC614" s="38">
        <f>MIP[[#This Row],[HH Trabalhado]]/MIP[[#This Row],[HH disponível]]</f>
        <v>0.88636363636363658</v>
      </c>
      <c r="AD614" s="37" t="str">
        <f>LEFT(MIP[[#This Row],[Equipe]], SEARCH("/",MIP[[#This Row],[Equipe]],1)-1)</f>
        <v xml:space="preserve">JOILSON </v>
      </c>
      <c r="AE614" s="37" t="str">
        <f>RIGHT(MIP[[#This Row],[Equipe]], LEN(MIP[[#This Row],[Equipe]])-SEARCH("/",MIP[[#This Row],[Equipe]],1))</f>
        <v xml:space="preserve"> HERVAL</v>
      </c>
      <c r="AF614" s="44">
        <f>COUNTIFS('[1]Tempo parado'!H:H,"&gt;="&amp;MIP[[#This Row],[S.B Sitrack]],'[1]Tempo parado'!I:I,"&lt;="&amp;MIP[[#This Row],[C.B Sitrack]],'[1]Tempo parado'!B:B,MIP[[#This Row],[Placa]])</f>
        <v>0</v>
      </c>
      <c r="AG614" s="36"/>
      <c r="AH614" s="35"/>
      <c r="AI614" s="34"/>
      <c r="AJ614" s="34"/>
      <c r="AK61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1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14" s="32">
        <f>SUMIFS('[1]Tempo parado'!J:J,'[1]Tempo parado'!H:H,"&gt;="&amp;MIP[[#This Row],[S.B Sitrack]],'[1]Tempo parado'!I:I,"&lt;="&amp;MIP[[#This Row],[C.B Sitrack]],'[1]Tempo parado'!B:B,MIP[[#This Row],[Placa]])</f>
        <v>0</v>
      </c>
      <c r="AN614" s="32" t="str">
        <f>IFERROR(MIP[[#This Row],[Tempo parado]]/(MIP[[#This Row],[C.B Sitrack]]-MIP[[#This Row],[S.B Sitrack]]),"")</f>
        <v/>
      </c>
      <c r="AO614" s="30"/>
      <c r="AP614" s="44">
        <f>IF(AND(MIP[Exc]=0,MIP[Previsto / Realizado]="Realizado"),MIP[Sem],0)</f>
        <v>0</v>
      </c>
      <c r="AQ614" s="29">
        <f>IF(AND(MIP[Exc]=0,MIP[Previsto / Realizado]="Realizado",ISBLANK(MIP[[#This Row],[S.B Sitrack]])=FALSE,ISBLANK(MIP[[#This Row],[C.B Sitrack]])=FALSE),MIP[Sem],0)</f>
        <v>0</v>
      </c>
    </row>
    <row r="615" spans="2:43" x14ac:dyDescent="0.25">
      <c r="B615" s="44">
        <f>WEEKNUM(MIP[[#This Row],[Data]])</f>
        <v>40</v>
      </c>
      <c r="C615" s="45">
        <v>43009</v>
      </c>
      <c r="D615" s="45"/>
      <c r="E615" s="35" t="s">
        <v>33</v>
      </c>
      <c r="F615" s="35" t="s">
        <v>2</v>
      </c>
      <c r="G615" s="35"/>
      <c r="H615" s="44">
        <v>2</v>
      </c>
      <c r="I615" s="44">
        <v>2</v>
      </c>
      <c r="J615" s="44">
        <v>1</v>
      </c>
      <c r="K615" s="44">
        <v>0</v>
      </c>
      <c r="L615" s="44">
        <v>4</v>
      </c>
      <c r="M615" s="43">
        <v>0.24166666666666667</v>
      </c>
      <c r="N615" s="43">
        <v>0.27777777777777779</v>
      </c>
      <c r="O615" s="43">
        <v>0.4909722222222222</v>
      </c>
      <c r="P615" s="43">
        <v>0.65833333333333333</v>
      </c>
      <c r="Q615" s="39"/>
      <c r="R615" s="42" t="s">
        <v>213</v>
      </c>
      <c r="S615" s="29">
        <f>MIP[[#This Row],[PT-1]]+MIP[[#This Row],[PT-2]]*2+MIP[[#This Row],[PT-3]]*3+MIP[[#This Row],[PT &gt; 3 Pontos]]</f>
        <v>8</v>
      </c>
      <c r="T61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0.20347222222222225</v>
      </c>
      <c r="U615" s="39">
        <f>IF(MIP[[#This Row],[P.S]]-MIP[[#This Row],[U.P]]&gt;=0,MIP[[#This Row],[P.S]]-MIP[[#This Row],[U.P]]+MIP[[#This Row],[S.B]]-MIP[[#This Row],[P.E]],1+MIP[[#This Row],[P.S]]-MIP[[#This Row],[U.P]]+MIP[[#This Row],[S.B]]-MIP[[#This Row],[P.E]])</f>
        <v>0.20347222222222225</v>
      </c>
      <c r="V615" s="41">
        <f>MIP[[#This Row],[Eficiência]]</f>
        <v>1.0199660825232912</v>
      </c>
      <c r="W61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15" s="39">
        <f>IF(MIP[[#This Row],[P.S]]-MIP[[#This Row],[P.E]]&lt;0,1+MIP[[#This Row],[P.S]]-MIP[[#This Row],[P.E]]-1/24,MIP[[#This Row],[P.S]]-MIP[[#This Row],[P.E]]-1/24)</f>
        <v>0.37499999999999994</v>
      </c>
      <c r="Y615" s="39">
        <f>MIP[[#This Row],[PT-1]]*$S$3+MIP[[#This Row],[PT-2]]*$T$3+MIP[[#This Row],[PT-3]]*$U$3+MIP[[#This Row],[PT &gt; 3 Pontos]]*$V$3</f>
        <v>0.17495251554392557</v>
      </c>
      <c r="Z615" s="39">
        <f>MIP[[#This Row],[HH disponível]]-MIP[[#This Row],[HH AC TOT]]</f>
        <v>0.1715277777777777</v>
      </c>
      <c r="AA615" s="38">
        <f>MIP[[#This Row],[HH Produtivo
Total]]/MIP[[#This Row],[HH Trabalhado]]</f>
        <v>1.0199660825232912</v>
      </c>
      <c r="AB615" s="38">
        <f>MIP[[#This Row],[HH Produtivo
Total]]/MIP[[#This Row],[HH disponível]]</f>
        <v>0.46654004145046829</v>
      </c>
      <c r="AC615" s="38">
        <f>MIP[[#This Row],[HH Trabalhado]]/MIP[[#This Row],[HH disponível]]</f>
        <v>0.45740740740740726</v>
      </c>
      <c r="AD615" s="37" t="str">
        <f>LEFT(MIP[[#This Row],[Equipe]], SEARCH("/",MIP[[#This Row],[Equipe]],1)-1)</f>
        <v xml:space="preserve">JOILSON </v>
      </c>
      <c r="AE615" s="37" t="str">
        <f>RIGHT(MIP[[#This Row],[Equipe]], LEN(MIP[[#This Row],[Equipe]])-SEARCH("/",MIP[[#This Row],[Equipe]],1))</f>
        <v xml:space="preserve"> HERVAL</v>
      </c>
      <c r="AF615" s="44">
        <f>COUNTIFS('[1]Tempo parado'!H:H,"&gt;="&amp;MIP[[#This Row],[S.B Sitrack]],'[1]Tempo parado'!I:I,"&lt;="&amp;MIP[[#This Row],[C.B Sitrack]],'[1]Tempo parado'!B:B,MIP[[#This Row],[Placa]])</f>
        <v>0</v>
      </c>
      <c r="AG615" s="36"/>
      <c r="AH615" s="35"/>
      <c r="AI615" s="34"/>
      <c r="AJ615" s="34"/>
      <c r="AK61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1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15" s="32">
        <f>SUMIFS('[1]Tempo parado'!J:J,'[1]Tempo parado'!H:H,"&gt;="&amp;MIP[[#This Row],[S.B Sitrack]],'[1]Tempo parado'!I:I,"&lt;="&amp;MIP[[#This Row],[C.B Sitrack]],'[1]Tempo parado'!B:B,MIP[[#This Row],[Placa]])</f>
        <v>0</v>
      </c>
      <c r="AN615" s="32" t="str">
        <f>IFERROR(MIP[[#This Row],[Tempo parado]]/(MIP[[#This Row],[C.B Sitrack]]-MIP[[#This Row],[S.B Sitrack]]),"")</f>
        <v/>
      </c>
      <c r="AO615" s="30"/>
      <c r="AP615" s="44">
        <f>IF(AND(MIP[Exc]=0,MIP[Previsto / Realizado]="Realizado"),MIP[Sem],0)</f>
        <v>40</v>
      </c>
      <c r="AQ615" s="29">
        <f>IF(AND(MIP[Exc]=0,MIP[Previsto / Realizado]="Realizado",ISBLANK(MIP[[#This Row],[S.B Sitrack]])=FALSE,ISBLANK(MIP[[#This Row],[C.B Sitrack]])=FALSE),MIP[Sem],0)</f>
        <v>0</v>
      </c>
    </row>
    <row r="616" spans="2:43" x14ac:dyDescent="0.25">
      <c r="B616" s="44">
        <f>WEEKNUM(MIP[[#This Row],[Data]])</f>
        <v>40</v>
      </c>
      <c r="C616" s="45">
        <v>43010</v>
      </c>
      <c r="D616" s="45"/>
      <c r="E616" s="35" t="s">
        <v>212</v>
      </c>
      <c r="F616" s="35" t="s">
        <v>5</v>
      </c>
      <c r="G616" s="35"/>
      <c r="H616" s="44">
        <v>3</v>
      </c>
      <c r="I616" s="44">
        <v>3</v>
      </c>
      <c r="J616" s="44">
        <v>0</v>
      </c>
      <c r="K616" s="44">
        <v>1</v>
      </c>
      <c r="L616" s="44">
        <v>0</v>
      </c>
      <c r="M616" s="43">
        <v>0.625</v>
      </c>
      <c r="N616" s="43">
        <v>0.64583333333333337</v>
      </c>
      <c r="O616" s="43">
        <v>1.0125</v>
      </c>
      <c r="P616" s="43">
        <v>1.0333333333333334</v>
      </c>
      <c r="Q616" s="39"/>
      <c r="R616" s="42" t="s">
        <v>70</v>
      </c>
      <c r="S616" s="29">
        <f>MIP[[#This Row],[PT-1]]+MIP[[#This Row],[PT-2]]*2+MIP[[#This Row],[PT-3]]*3+MIP[[#This Row],[PT &gt; 3 Pontos]]</f>
        <v>6</v>
      </c>
      <c r="T61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616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616" s="41">
        <f>MIP[[#This Row],[Eficiência]]</f>
        <v>0.42421304038151875</v>
      </c>
      <c r="W61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16" s="39">
        <f>IF(MIP[[#This Row],[P.S]]-MIP[[#This Row],[P.E]]&lt;0,1+MIP[[#This Row],[P.S]]-MIP[[#This Row],[P.E]]-1/24,MIP[[#This Row],[P.S]]-MIP[[#This Row],[P.E]]-1/24)</f>
        <v>0.36666666666666675</v>
      </c>
      <c r="Y616" s="39">
        <f>MIP[[#This Row],[PT-1]]*$S$3+MIP[[#This Row],[PT-2]]*$T$3+MIP[[#This Row],[PT-3]]*$U$3+MIP[[#This Row],[PT &gt; 3 Pontos]]*$V$3</f>
        <v>0.13786923812399354</v>
      </c>
      <c r="Z616" s="39">
        <f>MIP[[#This Row],[HH disponível]]-MIP[[#This Row],[HH AC TOT]]</f>
        <v>0.3249999999999999</v>
      </c>
      <c r="AA616" s="38">
        <f>MIP[[#This Row],[HH Produtivo
Total]]/MIP[[#This Row],[HH Trabalhado]]</f>
        <v>0.42421304038151875</v>
      </c>
      <c r="AB616" s="38">
        <f>MIP[[#This Row],[HH Produtivo
Total]]/MIP[[#This Row],[HH disponível]]</f>
        <v>0.37600701306543682</v>
      </c>
      <c r="AC616" s="38">
        <f>MIP[[#This Row],[HH Trabalhado]]/MIP[[#This Row],[HH disponível]]</f>
        <v>0.88636363636363591</v>
      </c>
      <c r="AD616" s="37" t="str">
        <f>LEFT(MIP[[#This Row],[Equipe]], SEARCH("/",MIP[[#This Row],[Equipe]],1)-1)</f>
        <v xml:space="preserve">EDILTON </v>
      </c>
      <c r="AE616" s="37" t="str">
        <f>RIGHT(MIP[[#This Row],[Equipe]], LEN(MIP[[#This Row],[Equipe]])-SEARCH("/",MIP[[#This Row],[Equipe]],1))</f>
        <v xml:space="preserve"> GECIVALDO / MARCO</v>
      </c>
      <c r="AF616" s="44">
        <f>COUNTIFS('[1]Tempo parado'!H:H,"&gt;="&amp;MIP[[#This Row],[S.B Sitrack]],'[1]Tempo parado'!I:I,"&lt;="&amp;MIP[[#This Row],[C.B Sitrack]],'[1]Tempo parado'!B:B,MIP[[#This Row],[Placa]])</f>
        <v>0</v>
      </c>
      <c r="AG616" s="36"/>
      <c r="AH616" s="35"/>
      <c r="AI616" s="34"/>
      <c r="AJ616" s="34"/>
      <c r="AK61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1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16" s="32">
        <f>SUMIFS('[1]Tempo parado'!J:J,'[1]Tempo parado'!H:H,"&gt;="&amp;MIP[[#This Row],[S.B Sitrack]],'[1]Tempo parado'!I:I,"&lt;="&amp;MIP[[#This Row],[C.B Sitrack]],'[1]Tempo parado'!B:B,MIP[[#This Row],[Placa]])</f>
        <v>0</v>
      </c>
      <c r="AN616" s="32" t="str">
        <f>IFERROR(MIP[[#This Row],[Tempo parado]]/(MIP[[#This Row],[C.B Sitrack]]-MIP[[#This Row],[S.B Sitrack]]),"")</f>
        <v/>
      </c>
      <c r="AO616" s="30"/>
      <c r="AP616" s="44">
        <f>IF(AND(MIP[Exc]=0,MIP[Previsto / Realizado]="Realizado"),MIP[Sem],0)</f>
        <v>0</v>
      </c>
      <c r="AQ616" s="29">
        <f>IF(AND(MIP[Exc]=0,MIP[Previsto / Realizado]="Realizado",ISBLANK(MIP[[#This Row],[S.B Sitrack]])=FALSE,ISBLANK(MIP[[#This Row],[C.B Sitrack]])=FALSE),MIP[Sem],0)</f>
        <v>0</v>
      </c>
    </row>
    <row r="617" spans="2:43" x14ac:dyDescent="0.25">
      <c r="B617" s="44">
        <f>WEEKNUM(MIP[[#This Row],[Data]])</f>
        <v>40</v>
      </c>
      <c r="C617" s="45">
        <v>43010</v>
      </c>
      <c r="D617" s="45"/>
      <c r="E617" s="35" t="s">
        <v>212</v>
      </c>
      <c r="F617" s="35" t="s">
        <v>2</v>
      </c>
      <c r="G617" s="35"/>
      <c r="H617" s="44">
        <v>3</v>
      </c>
      <c r="I617" s="44">
        <v>1</v>
      </c>
      <c r="J617" s="44">
        <v>0</v>
      </c>
      <c r="K617" s="44">
        <v>1</v>
      </c>
      <c r="L617" s="44">
        <v>0</v>
      </c>
      <c r="M617" s="43">
        <v>0.625</v>
      </c>
      <c r="N617" s="43">
        <v>0.66666666666666663</v>
      </c>
      <c r="O617" s="43">
        <v>1.0138888888888888</v>
      </c>
      <c r="P617" s="43">
        <v>1.0333333333333334</v>
      </c>
      <c r="Q617" s="39">
        <v>0.19097222222222221</v>
      </c>
      <c r="R617" s="42" t="s">
        <v>211</v>
      </c>
      <c r="S617" s="29">
        <f>MIP[[#This Row],[PT-1]]+MIP[[#This Row],[PT-2]]*2+MIP[[#This Row],[PT-3]]*3+MIP[[#This Row],[PT &gt; 3 Pontos]]</f>
        <v>4</v>
      </c>
      <c r="T61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0.25208333333333344</v>
      </c>
      <c r="U617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6.1111111111111227E-2</v>
      </c>
      <c r="V617" s="41">
        <f>MIP[[#This Row],[Eficiência]]</f>
        <v>0.76640755379885828</v>
      </c>
      <c r="W61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17" s="39">
        <f>IF(MIP[[#This Row],[P.S]]-MIP[[#This Row],[P.E]]&lt;0,1+MIP[[#This Row],[P.S]]-MIP[[#This Row],[P.E]]-1/24,MIP[[#This Row],[P.S]]-MIP[[#This Row],[P.E]]-1/24)</f>
        <v>0.36666666666666675</v>
      </c>
      <c r="Y617" s="39">
        <f>MIP[[#This Row],[PT-1]]*$S$3+MIP[[#This Row],[PT-2]]*$T$3+MIP[[#This Row],[PT-3]]*$U$3+MIP[[#This Row],[PT &gt; 3 Pontos]]*$V$3</f>
        <v>8.7817532206119167E-2</v>
      </c>
      <c r="Z617" s="39">
        <f>MIP[[#This Row],[HH disponível]]-MIP[[#This Row],[HH AC TOT]]</f>
        <v>0.11458333333333331</v>
      </c>
      <c r="AA617" s="38">
        <f>MIP[[#This Row],[HH Produtivo
Total]]/MIP[[#This Row],[HH Trabalhado]]</f>
        <v>0.76640755379885828</v>
      </c>
      <c r="AB617" s="38">
        <f>MIP[[#This Row],[HH Produtivo
Total]]/MIP[[#This Row],[HH disponível]]</f>
        <v>0.23950236056214314</v>
      </c>
      <c r="AC617" s="38">
        <f>MIP[[#This Row],[HH Trabalhado]]/MIP[[#This Row],[HH disponível]]</f>
        <v>0.31249999999999989</v>
      </c>
      <c r="AD617" s="37" t="str">
        <f>LEFT(MIP[[#This Row],[Equipe]], SEARCH("/",MIP[[#This Row],[Equipe]],1)-1)</f>
        <v xml:space="preserve">EDILTON </v>
      </c>
      <c r="AE617" s="37" t="str">
        <f>RIGHT(MIP[[#This Row],[Equipe]], LEN(MIP[[#This Row],[Equipe]])-SEARCH("/",MIP[[#This Row],[Equipe]],1))</f>
        <v xml:space="preserve"> GECIVALDO / MARCO</v>
      </c>
      <c r="AF617" s="44">
        <f>COUNTIFS('[1]Tempo parado'!H:H,"&gt;="&amp;MIP[[#This Row],[S.B Sitrack]],'[1]Tempo parado'!I:I,"&lt;="&amp;MIP[[#This Row],[C.B Sitrack]],'[1]Tempo parado'!B:B,MIP[[#This Row],[Placa]])</f>
        <v>0</v>
      </c>
      <c r="AG617" s="36"/>
      <c r="AH617" s="35"/>
      <c r="AI617" s="34"/>
      <c r="AJ617" s="34"/>
      <c r="AK61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1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17" s="32">
        <f>SUMIFS('[1]Tempo parado'!J:J,'[1]Tempo parado'!H:H,"&gt;="&amp;MIP[[#This Row],[S.B Sitrack]],'[1]Tempo parado'!I:I,"&lt;="&amp;MIP[[#This Row],[C.B Sitrack]],'[1]Tempo parado'!B:B,MIP[[#This Row],[Placa]])</f>
        <v>0</v>
      </c>
      <c r="AN617" s="32" t="str">
        <f>IFERROR(MIP[[#This Row],[Tempo parado]]/(MIP[[#This Row],[C.B Sitrack]]-MIP[[#This Row],[S.B Sitrack]]),"")</f>
        <v/>
      </c>
      <c r="AO617" s="30"/>
      <c r="AP617" s="44">
        <f>IF(AND(MIP[Exc]=0,MIP[Previsto / Realizado]="Realizado"),MIP[Sem],0)</f>
        <v>40</v>
      </c>
      <c r="AQ617" s="29">
        <f>IF(AND(MIP[Exc]=0,MIP[Previsto / Realizado]="Realizado",ISBLANK(MIP[[#This Row],[S.B Sitrack]])=FALSE,ISBLANK(MIP[[#This Row],[C.B Sitrack]])=FALSE),MIP[Sem],0)</f>
        <v>0</v>
      </c>
    </row>
    <row r="618" spans="2:43" x14ac:dyDescent="0.25">
      <c r="B618" s="44">
        <f>WEEKNUM(MIP[[#This Row],[Data]])</f>
        <v>40</v>
      </c>
      <c r="C618" s="45">
        <v>43011</v>
      </c>
      <c r="D618" s="45"/>
      <c r="E618" s="35" t="s">
        <v>3</v>
      </c>
      <c r="F618" s="35" t="s">
        <v>5</v>
      </c>
      <c r="G618" s="35"/>
      <c r="H618" s="44">
        <v>2</v>
      </c>
      <c r="I618" s="44">
        <v>6</v>
      </c>
      <c r="J618" s="44">
        <v>1</v>
      </c>
      <c r="K618" s="44">
        <v>2</v>
      </c>
      <c r="L618" s="44">
        <v>0</v>
      </c>
      <c r="M618" s="43">
        <v>0.625</v>
      </c>
      <c r="N618" s="43">
        <v>0.64583333333333337</v>
      </c>
      <c r="O618" s="43">
        <v>1.0125</v>
      </c>
      <c r="P618" s="43">
        <v>1.0333333333333334</v>
      </c>
      <c r="Q618" s="39"/>
      <c r="R618" s="42"/>
      <c r="S618" s="29">
        <f>MIP[[#This Row],[PT-1]]+MIP[[#This Row],[PT-2]]*2+MIP[[#This Row],[PT-3]]*3+MIP[[#This Row],[PT &gt; 3 Pontos]]</f>
        <v>14</v>
      </c>
      <c r="T61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618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618" s="41">
        <f>MIP[[#This Row],[Eficiência]]</f>
        <v>0.98352997646475915</v>
      </c>
      <c r="W61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18" s="39">
        <f>IF(MIP[[#This Row],[P.S]]-MIP[[#This Row],[P.E]]&lt;0,1+MIP[[#This Row],[P.S]]-MIP[[#This Row],[P.E]]-1/24,MIP[[#This Row],[P.S]]-MIP[[#This Row],[P.E]]-1/24)</f>
        <v>0.36666666666666675</v>
      </c>
      <c r="Y618" s="39">
        <f>MIP[[#This Row],[PT-1]]*$S$3+MIP[[#This Row],[PT-2]]*$T$3+MIP[[#This Row],[PT-3]]*$U$3+MIP[[#This Row],[PT &gt; 3 Pontos]]*$V$3</f>
        <v>0.31964724235104663</v>
      </c>
      <c r="Z618" s="39">
        <f>MIP[[#This Row],[HH disponível]]-MIP[[#This Row],[HH AC TOT]]</f>
        <v>0.3249999999999999</v>
      </c>
      <c r="AA618" s="38">
        <f>MIP[[#This Row],[HH Produtivo
Total]]/MIP[[#This Row],[HH Trabalhado]]</f>
        <v>0.98352997646475915</v>
      </c>
      <c r="AB618" s="38">
        <f>MIP[[#This Row],[HH Produtivo
Total]]/MIP[[#This Row],[HH disponível]]</f>
        <v>0.87176520641194521</v>
      </c>
      <c r="AC618" s="38">
        <f>MIP[[#This Row],[HH Trabalhado]]/MIP[[#This Row],[HH disponível]]</f>
        <v>0.88636363636363591</v>
      </c>
      <c r="AD618" s="37" t="str">
        <f>LEFT(MIP[[#This Row],[Equipe]], SEARCH("/",MIP[[#This Row],[Equipe]],1)-1)</f>
        <v xml:space="preserve">EDILTON </v>
      </c>
      <c r="AE618" s="37" t="str">
        <f>RIGHT(MIP[[#This Row],[Equipe]], LEN(MIP[[#This Row],[Equipe]])-SEARCH("/",MIP[[#This Row],[Equipe]],1))</f>
        <v xml:space="preserve"> GECIVALDO</v>
      </c>
      <c r="AF618" s="44">
        <f>COUNTIFS('[1]Tempo parado'!H:H,"&gt;="&amp;MIP[[#This Row],[S.B Sitrack]],'[1]Tempo parado'!I:I,"&lt;="&amp;MIP[[#This Row],[C.B Sitrack]],'[1]Tempo parado'!B:B,MIP[[#This Row],[Placa]])</f>
        <v>0</v>
      </c>
      <c r="AG618" s="36"/>
      <c r="AH618" s="35"/>
      <c r="AI618" s="34"/>
      <c r="AJ618" s="34"/>
      <c r="AK61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1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18" s="32">
        <f>SUMIFS('[1]Tempo parado'!J:J,'[1]Tempo parado'!H:H,"&gt;="&amp;MIP[[#This Row],[S.B Sitrack]],'[1]Tempo parado'!I:I,"&lt;="&amp;MIP[[#This Row],[C.B Sitrack]],'[1]Tempo parado'!B:B,MIP[[#This Row],[Placa]])</f>
        <v>0</v>
      </c>
      <c r="AN618" s="32" t="str">
        <f>IFERROR(MIP[[#This Row],[Tempo parado]]/(MIP[[#This Row],[C.B Sitrack]]-MIP[[#This Row],[S.B Sitrack]]),"")</f>
        <v/>
      </c>
      <c r="AO618" s="30"/>
      <c r="AP618" s="44">
        <f>IF(AND(MIP[Exc]=0,MIP[Previsto / Realizado]="Realizado"),MIP[Sem],0)</f>
        <v>0</v>
      </c>
      <c r="AQ618" s="29">
        <f>IF(AND(MIP[Exc]=0,MIP[Previsto / Realizado]="Realizado",ISBLANK(MIP[[#This Row],[S.B Sitrack]])=FALSE,ISBLANK(MIP[[#This Row],[C.B Sitrack]])=FALSE),MIP[Sem],0)</f>
        <v>0</v>
      </c>
    </row>
    <row r="619" spans="2:43" x14ac:dyDescent="0.25">
      <c r="B619" s="44">
        <f>WEEKNUM(MIP[[#This Row],[Data]])</f>
        <v>40</v>
      </c>
      <c r="C619" s="45">
        <v>43011</v>
      </c>
      <c r="D619" s="45"/>
      <c r="E619" s="35" t="s">
        <v>3</v>
      </c>
      <c r="F619" s="35" t="s">
        <v>2</v>
      </c>
      <c r="G619" s="35"/>
      <c r="H619" s="44">
        <v>2</v>
      </c>
      <c r="I619" s="44">
        <v>1</v>
      </c>
      <c r="J619" s="44">
        <v>1</v>
      </c>
      <c r="K619" s="44">
        <v>2</v>
      </c>
      <c r="L619" s="44">
        <v>0</v>
      </c>
      <c r="M619" s="43">
        <v>0.62152777777777779</v>
      </c>
      <c r="N619" s="43">
        <v>0.66666666666666663</v>
      </c>
      <c r="O619" s="43">
        <v>0.97430555555555554</v>
      </c>
      <c r="P619" s="43">
        <v>1.0333333333333334</v>
      </c>
      <c r="Q619" s="39">
        <v>9.375E-2</v>
      </c>
      <c r="R619" s="42" t="s">
        <v>210</v>
      </c>
      <c r="S619" s="29">
        <f>MIP[[#This Row],[PT-1]]+MIP[[#This Row],[PT-2]]*2+MIP[[#This Row],[PT-3]]*3+MIP[[#This Row],[PT &gt; 3 Pontos]]</f>
        <v>9</v>
      </c>
      <c r="T61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0.19791666666666674</v>
      </c>
      <c r="U619" s="39">
        <f>IF(MIP[[#This Row],[P.S]]-MIP[[#This Row],[U.P]]&gt;=0,MIP[[#This Row],[P.S]]-MIP[[#This Row],[U.P]]+MIP[[#This Row],[S.B]]-MIP[[#This Row],[P.E]],1+MIP[[#This Row],[P.S]]-MIP[[#This Row],[U.P]]+MIP[[#This Row],[S.B]]-MIP[[#This Row],[P.E]])</f>
        <v>0.10416666666666674</v>
      </c>
      <c r="V619" s="41">
        <f>MIP[[#This Row],[Eficiência]]</f>
        <v>1.1294592245208044</v>
      </c>
      <c r="W61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19" s="39">
        <f>IF(MIP[[#This Row],[P.S]]-MIP[[#This Row],[P.E]]&lt;0,1+MIP[[#This Row],[P.S]]-MIP[[#This Row],[P.E]]-1/24,MIP[[#This Row],[P.S]]-MIP[[#This Row],[P.E]]-1/24)</f>
        <v>0.37013888888888896</v>
      </c>
      <c r="Y619" s="39">
        <f>MIP[[#This Row],[PT-1]]*$S$3+MIP[[#This Row],[PT-2]]*$T$3+MIP[[#This Row],[PT-3]]*$U$3+MIP[[#This Row],[PT &gt; 3 Pontos]]*$V$3</f>
        <v>0.19451797755636074</v>
      </c>
      <c r="Z619" s="39">
        <f>MIP[[#This Row],[HH disponível]]-MIP[[#This Row],[HH AC TOT]]</f>
        <v>0.17222222222222222</v>
      </c>
      <c r="AA619" s="38">
        <f>MIP[[#This Row],[HH Produtivo
Total]]/MIP[[#This Row],[HH Trabalhado]]</f>
        <v>1.1294592245208044</v>
      </c>
      <c r="AB619" s="38">
        <f>MIP[[#This Row],[HH Produtivo
Total]]/MIP[[#This Row],[HH disponível]]</f>
        <v>0.52552699377328216</v>
      </c>
      <c r="AC619" s="38">
        <f>MIP[[#This Row],[HH Trabalhado]]/MIP[[#This Row],[HH disponível]]</f>
        <v>0.4652908067542213</v>
      </c>
      <c r="AD619" s="37" t="str">
        <f>LEFT(MIP[[#This Row],[Equipe]], SEARCH("/",MIP[[#This Row],[Equipe]],1)-1)</f>
        <v xml:space="preserve">EDILTON </v>
      </c>
      <c r="AE619" s="37" t="str">
        <f>RIGHT(MIP[[#This Row],[Equipe]], LEN(MIP[[#This Row],[Equipe]])-SEARCH("/",MIP[[#This Row],[Equipe]],1))</f>
        <v xml:space="preserve"> GECIVALDO</v>
      </c>
      <c r="AF619" s="44">
        <f>COUNTIFS('[1]Tempo parado'!H:H,"&gt;="&amp;MIP[[#This Row],[S.B Sitrack]],'[1]Tempo parado'!I:I,"&lt;="&amp;MIP[[#This Row],[C.B Sitrack]],'[1]Tempo parado'!B:B,MIP[[#This Row],[Placa]])</f>
        <v>0</v>
      </c>
      <c r="AG619" s="36"/>
      <c r="AH619" s="35"/>
      <c r="AI619" s="34"/>
      <c r="AJ619" s="34"/>
      <c r="AK61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1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19" s="32">
        <f>SUMIFS('[1]Tempo parado'!J:J,'[1]Tempo parado'!H:H,"&gt;="&amp;MIP[[#This Row],[S.B Sitrack]],'[1]Tempo parado'!I:I,"&lt;="&amp;MIP[[#This Row],[C.B Sitrack]],'[1]Tempo parado'!B:B,MIP[[#This Row],[Placa]])</f>
        <v>0</v>
      </c>
      <c r="AN619" s="32" t="str">
        <f>IFERROR(MIP[[#This Row],[Tempo parado]]/(MIP[[#This Row],[C.B Sitrack]]-MIP[[#This Row],[S.B Sitrack]]),"")</f>
        <v/>
      </c>
      <c r="AO619" s="30"/>
      <c r="AP619" s="44">
        <f>IF(AND(MIP[Exc]=0,MIP[Previsto / Realizado]="Realizado"),MIP[Sem],0)</f>
        <v>40</v>
      </c>
      <c r="AQ619" s="29">
        <f>IF(AND(MIP[Exc]=0,MIP[Previsto / Realizado]="Realizado",ISBLANK(MIP[[#This Row],[S.B Sitrack]])=FALSE,ISBLANK(MIP[[#This Row],[C.B Sitrack]])=FALSE),MIP[Sem],0)</f>
        <v>0</v>
      </c>
    </row>
    <row r="620" spans="2:43" x14ac:dyDescent="0.25">
      <c r="B620" s="44">
        <f>WEEKNUM(MIP[[#This Row],[Data]])</f>
        <v>40</v>
      </c>
      <c r="C620" s="45">
        <v>43012</v>
      </c>
      <c r="D620" s="45"/>
      <c r="E620" s="35" t="s">
        <v>33</v>
      </c>
      <c r="F620" s="35" t="s">
        <v>5</v>
      </c>
      <c r="G620" s="35"/>
      <c r="H620" s="44">
        <v>2</v>
      </c>
      <c r="I620" s="44">
        <v>7</v>
      </c>
      <c r="J620" s="44">
        <v>0</v>
      </c>
      <c r="K620" s="44">
        <v>1</v>
      </c>
      <c r="L620" s="44">
        <v>0</v>
      </c>
      <c r="M620" s="43">
        <v>0.25</v>
      </c>
      <c r="N620" s="43">
        <v>0.27083333333333331</v>
      </c>
      <c r="O620" s="43">
        <v>0.63750000000000007</v>
      </c>
      <c r="P620" s="43">
        <v>0.65833333333333333</v>
      </c>
      <c r="Q620" s="39"/>
      <c r="R620" s="42" t="s">
        <v>201</v>
      </c>
      <c r="S620" s="29">
        <f>MIP[[#This Row],[PT-1]]+MIP[[#This Row],[PT-2]]*2+MIP[[#This Row],[PT-3]]*3+MIP[[#This Row],[PT &gt; 3 Pontos]]</f>
        <v>10</v>
      </c>
      <c r="T62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620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620" s="41">
        <f>MIP[[#This Row],[Eficiência]]</f>
        <v>0.7322235383376684</v>
      </c>
      <c r="W62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20" s="39">
        <f>IF(MIP[[#This Row],[P.S]]-MIP[[#This Row],[P.E]]&lt;0,1+MIP[[#This Row],[P.S]]-MIP[[#This Row],[P.E]]-1/24,MIP[[#This Row],[P.S]]-MIP[[#This Row],[P.E]]-1/24)</f>
        <v>0.36666666666666664</v>
      </c>
      <c r="Y620" s="39">
        <f>MIP[[#This Row],[PT-1]]*$S$3+MIP[[#This Row],[PT-2]]*$T$3+MIP[[#This Row],[PT-3]]*$U$3+MIP[[#This Row],[PT &gt; 3 Pontos]]*$V$3</f>
        <v>0.23797264995974227</v>
      </c>
      <c r="Z620" s="39">
        <f>MIP[[#This Row],[HH disponível]]-MIP[[#This Row],[HH AC TOT]]</f>
        <v>0.32500000000000007</v>
      </c>
      <c r="AA620" s="38">
        <f>MIP[[#This Row],[HH Produtivo
Total]]/MIP[[#This Row],[HH Trabalhado]]</f>
        <v>0.7322235383376684</v>
      </c>
      <c r="AB620" s="38">
        <f>MIP[[#This Row],[HH Produtivo
Total]]/MIP[[#This Row],[HH disponível]]</f>
        <v>0.64901631807202442</v>
      </c>
      <c r="AC620" s="38">
        <f>MIP[[#This Row],[HH Trabalhado]]/MIP[[#This Row],[HH disponível]]</f>
        <v>0.88636363636363658</v>
      </c>
      <c r="AD620" s="37" t="str">
        <f>LEFT(MIP[[#This Row],[Equipe]], SEARCH("/",MIP[[#This Row],[Equipe]],1)-1)</f>
        <v xml:space="preserve">JOILSON </v>
      </c>
      <c r="AE620" s="37" t="str">
        <f>RIGHT(MIP[[#This Row],[Equipe]], LEN(MIP[[#This Row],[Equipe]])-SEARCH("/",MIP[[#This Row],[Equipe]],1))</f>
        <v xml:space="preserve"> HERVAL</v>
      </c>
      <c r="AF620" s="44">
        <f>COUNTIFS('[1]Tempo parado'!H:H,"&gt;="&amp;MIP[[#This Row],[S.B Sitrack]],'[1]Tempo parado'!I:I,"&lt;="&amp;MIP[[#This Row],[C.B Sitrack]],'[1]Tempo parado'!B:B,MIP[[#This Row],[Placa]])</f>
        <v>0</v>
      </c>
      <c r="AG620" s="36"/>
      <c r="AH620" s="35"/>
      <c r="AI620" s="34"/>
      <c r="AJ620" s="34"/>
      <c r="AK62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2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20" s="32">
        <f>SUMIFS('[1]Tempo parado'!J:J,'[1]Tempo parado'!H:H,"&gt;="&amp;MIP[[#This Row],[S.B Sitrack]],'[1]Tempo parado'!I:I,"&lt;="&amp;MIP[[#This Row],[C.B Sitrack]],'[1]Tempo parado'!B:B,MIP[[#This Row],[Placa]])</f>
        <v>0</v>
      </c>
      <c r="AN620" s="32" t="str">
        <f>IFERROR(MIP[[#This Row],[Tempo parado]]/(MIP[[#This Row],[C.B Sitrack]]-MIP[[#This Row],[S.B Sitrack]]),"")</f>
        <v/>
      </c>
      <c r="AO620" s="30"/>
      <c r="AP620" s="44">
        <f>IF(AND(MIP[Exc]=0,MIP[Previsto / Realizado]="Realizado"),MIP[Sem],0)</f>
        <v>0</v>
      </c>
      <c r="AQ620" s="29">
        <f>IF(AND(MIP[Exc]=0,MIP[Previsto / Realizado]="Realizado",ISBLANK(MIP[[#This Row],[S.B Sitrack]])=FALSE,ISBLANK(MIP[[#This Row],[C.B Sitrack]])=FALSE),MIP[Sem],0)</f>
        <v>0</v>
      </c>
    </row>
    <row r="621" spans="2:43" x14ac:dyDescent="0.25">
      <c r="B621" s="44">
        <f>WEEKNUM(MIP[[#This Row],[Data]])</f>
        <v>40</v>
      </c>
      <c r="C621" s="45">
        <v>43012</v>
      </c>
      <c r="D621" s="45"/>
      <c r="E621" s="35" t="s">
        <v>33</v>
      </c>
      <c r="F621" s="35" t="s">
        <v>2</v>
      </c>
      <c r="G621" s="35"/>
      <c r="H621" s="44">
        <v>2</v>
      </c>
      <c r="I621" s="44">
        <v>9</v>
      </c>
      <c r="J621" s="44">
        <v>0</v>
      </c>
      <c r="K621" s="44">
        <v>1</v>
      </c>
      <c r="L621" s="44">
        <v>0</v>
      </c>
      <c r="M621" s="43">
        <v>0.24722222222222223</v>
      </c>
      <c r="N621" s="43">
        <v>0.27638888888888885</v>
      </c>
      <c r="O621" s="43">
        <v>0.61805555555555558</v>
      </c>
      <c r="P621" s="43">
        <v>0.65833333333333333</v>
      </c>
      <c r="Q621" s="39"/>
      <c r="R621" s="42" t="s">
        <v>34</v>
      </c>
      <c r="S621" s="29">
        <f>MIP[[#This Row],[PT-1]]+MIP[[#This Row],[PT-2]]*2+MIP[[#This Row],[PT-3]]*3+MIP[[#This Row],[PT &gt; 3 Pontos]]</f>
        <v>12</v>
      </c>
      <c r="T62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6.9444444444444364E-2</v>
      </c>
      <c r="U621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6.9444444444444364E-2</v>
      </c>
      <c r="V621" s="41">
        <f>MIP[[#This Row],[Eficiência]]</f>
        <v>0.96008118625872185</v>
      </c>
      <c r="W62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21" s="39">
        <f>IF(MIP[[#This Row],[P.S]]-MIP[[#This Row],[P.E]]&lt;0,1+MIP[[#This Row],[P.S]]-MIP[[#This Row],[P.E]]-1/24,MIP[[#This Row],[P.S]]-MIP[[#This Row],[P.E]]-1/24)</f>
        <v>0.36944444444444441</v>
      </c>
      <c r="Y621" s="39">
        <f>MIP[[#This Row],[PT-1]]*$S$3+MIP[[#This Row],[PT-2]]*$T$3+MIP[[#This Row],[PT-3]]*$U$3+MIP[[#This Row],[PT &gt; 3 Pontos]]*$V$3</f>
        <v>0.2880243558776166</v>
      </c>
      <c r="Z621" s="39">
        <f>MIP[[#This Row],[HH disponível]]-MIP[[#This Row],[HH AC TOT]]</f>
        <v>0.30000000000000004</v>
      </c>
      <c r="AA621" s="38">
        <f>MIP[[#This Row],[HH Produtivo
Total]]/MIP[[#This Row],[HH Trabalhado]]</f>
        <v>0.96008118625872185</v>
      </c>
      <c r="AB621" s="38">
        <f>MIP[[#This Row],[HH Produtivo
Total]]/MIP[[#This Row],[HH disponível]]</f>
        <v>0.77961479786422549</v>
      </c>
      <c r="AC621" s="38">
        <f>MIP[[#This Row],[HH Trabalhado]]/MIP[[#This Row],[HH disponível]]</f>
        <v>0.8120300751879701</v>
      </c>
      <c r="AD621" s="37" t="str">
        <f>LEFT(MIP[[#This Row],[Equipe]], SEARCH("/",MIP[[#This Row],[Equipe]],1)-1)</f>
        <v xml:space="preserve">JOILSON </v>
      </c>
      <c r="AE621" s="37" t="str">
        <f>RIGHT(MIP[[#This Row],[Equipe]], LEN(MIP[[#This Row],[Equipe]])-SEARCH("/",MIP[[#This Row],[Equipe]],1))</f>
        <v xml:space="preserve"> HERVAL</v>
      </c>
      <c r="AF621" s="44">
        <f>COUNTIFS('[1]Tempo parado'!H:H,"&gt;="&amp;MIP[[#This Row],[S.B Sitrack]],'[1]Tempo parado'!I:I,"&lt;="&amp;MIP[[#This Row],[C.B Sitrack]],'[1]Tempo parado'!B:B,MIP[[#This Row],[Placa]])</f>
        <v>0</v>
      </c>
      <c r="AG621" s="36"/>
      <c r="AH621" s="35"/>
      <c r="AI621" s="34"/>
      <c r="AJ621" s="34"/>
      <c r="AK62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2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21" s="32">
        <f>SUMIFS('[1]Tempo parado'!J:J,'[1]Tempo parado'!H:H,"&gt;="&amp;MIP[[#This Row],[S.B Sitrack]],'[1]Tempo parado'!I:I,"&lt;="&amp;MIP[[#This Row],[C.B Sitrack]],'[1]Tempo parado'!B:B,MIP[[#This Row],[Placa]])</f>
        <v>0</v>
      </c>
      <c r="AN621" s="32" t="str">
        <f>IFERROR(MIP[[#This Row],[Tempo parado]]/(MIP[[#This Row],[C.B Sitrack]]-MIP[[#This Row],[S.B Sitrack]]),"")</f>
        <v/>
      </c>
      <c r="AO621" s="30"/>
      <c r="AP621" s="44">
        <f>IF(AND(MIP[Exc]=0,MIP[Previsto / Realizado]="Realizado"),MIP[Sem],0)</f>
        <v>40</v>
      </c>
      <c r="AQ621" s="29">
        <f>IF(AND(MIP[Exc]=0,MIP[Previsto / Realizado]="Realizado",ISBLANK(MIP[[#This Row],[S.B Sitrack]])=FALSE,ISBLANK(MIP[[#This Row],[C.B Sitrack]])=FALSE),MIP[Sem],0)</f>
        <v>0</v>
      </c>
    </row>
    <row r="622" spans="2:43" x14ac:dyDescent="0.25">
      <c r="B622" s="44">
        <f>WEEKNUM(MIP[[#This Row],[Data]])</f>
        <v>40</v>
      </c>
      <c r="C622" s="45">
        <v>43012</v>
      </c>
      <c r="D622" s="45"/>
      <c r="E622" s="35" t="s">
        <v>3</v>
      </c>
      <c r="F622" s="35" t="s">
        <v>5</v>
      </c>
      <c r="G622" s="35"/>
      <c r="H622" s="44">
        <v>2</v>
      </c>
      <c r="I622" s="44">
        <v>8</v>
      </c>
      <c r="J622" s="44">
        <v>2</v>
      </c>
      <c r="K622" s="44">
        <v>0</v>
      </c>
      <c r="L622" s="44">
        <v>0</v>
      </c>
      <c r="M622" s="43">
        <v>0.625</v>
      </c>
      <c r="N622" s="43">
        <v>0.64583333333333337</v>
      </c>
      <c r="O622" s="43">
        <v>1.0125</v>
      </c>
      <c r="P622" s="43">
        <v>1.0333333333333334</v>
      </c>
      <c r="Q622" s="39"/>
      <c r="R622" s="42" t="s">
        <v>201</v>
      </c>
      <c r="S622" s="29">
        <f>MIP[[#This Row],[PT-1]]+MIP[[#This Row],[PT-2]]*2+MIP[[#This Row],[PT-3]]*3+MIP[[#This Row],[PT &gt; 3 Pontos]]</f>
        <v>12</v>
      </c>
      <c r="T62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622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622" s="41">
        <f>MIP[[#This Row],[Eficiência]]</f>
        <v>0.88622878731574362</v>
      </c>
      <c r="W62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22" s="39">
        <f>IF(MIP[[#This Row],[P.S]]-MIP[[#This Row],[P.E]]&lt;0,1+MIP[[#This Row],[P.S]]-MIP[[#This Row],[P.E]]-1/24,MIP[[#This Row],[P.S]]-MIP[[#This Row],[P.E]]-1/24)</f>
        <v>0.36666666666666675</v>
      </c>
      <c r="Y622" s="39">
        <f>MIP[[#This Row],[PT-1]]*$S$3+MIP[[#This Row],[PT-2]]*$T$3+MIP[[#This Row],[PT-3]]*$U$3+MIP[[#This Row],[PT &gt; 3 Pontos]]*$V$3</f>
        <v>0.2880243558776166</v>
      </c>
      <c r="Z622" s="39">
        <f>MIP[[#This Row],[HH disponível]]-MIP[[#This Row],[HH AC TOT]]</f>
        <v>0.3249999999999999</v>
      </c>
      <c r="AA622" s="38">
        <f>MIP[[#This Row],[HH Produtivo
Total]]/MIP[[#This Row],[HH Trabalhado]]</f>
        <v>0.88622878731574362</v>
      </c>
      <c r="AB622" s="38">
        <f>MIP[[#This Row],[HH Produtivo
Total]]/MIP[[#This Row],[HH disponível]]</f>
        <v>0.78552097057531778</v>
      </c>
      <c r="AC622" s="38">
        <f>MIP[[#This Row],[HH Trabalhado]]/MIP[[#This Row],[HH disponível]]</f>
        <v>0.88636363636363591</v>
      </c>
      <c r="AD622" s="37" t="str">
        <f>LEFT(MIP[[#This Row],[Equipe]], SEARCH("/",MIP[[#This Row],[Equipe]],1)-1)</f>
        <v xml:space="preserve">EDILTON </v>
      </c>
      <c r="AE622" s="37" t="str">
        <f>RIGHT(MIP[[#This Row],[Equipe]], LEN(MIP[[#This Row],[Equipe]])-SEARCH("/",MIP[[#This Row],[Equipe]],1))</f>
        <v xml:space="preserve"> GECIVALDO</v>
      </c>
      <c r="AF622" s="44">
        <f>COUNTIFS('[1]Tempo parado'!H:H,"&gt;="&amp;MIP[[#This Row],[S.B Sitrack]],'[1]Tempo parado'!I:I,"&lt;="&amp;MIP[[#This Row],[C.B Sitrack]],'[1]Tempo parado'!B:B,MIP[[#This Row],[Placa]])</f>
        <v>0</v>
      </c>
      <c r="AG622" s="36"/>
      <c r="AH622" s="35"/>
      <c r="AI622" s="34"/>
      <c r="AJ622" s="34"/>
      <c r="AK62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2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22" s="32">
        <f>SUMIFS('[1]Tempo parado'!J:J,'[1]Tempo parado'!H:H,"&gt;="&amp;MIP[[#This Row],[S.B Sitrack]],'[1]Tempo parado'!I:I,"&lt;="&amp;MIP[[#This Row],[C.B Sitrack]],'[1]Tempo parado'!B:B,MIP[[#This Row],[Placa]])</f>
        <v>0</v>
      </c>
      <c r="AN622" s="32" t="str">
        <f>IFERROR(MIP[[#This Row],[Tempo parado]]/(MIP[[#This Row],[C.B Sitrack]]-MIP[[#This Row],[S.B Sitrack]]),"")</f>
        <v/>
      </c>
      <c r="AO622" s="30"/>
      <c r="AP622" s="44">
        <f>IF(AND(MIP[Exc]=0,MIP[Previsto / Realizado]="Realizado"),MIP[Sem],0)</f>
        <v>0</v>
      </c>
      <c r="AQ622" s="29">
        <f>IF(AND(MIP[Exc]=0,MIP[Previsto / Realizado]="Realizado",ISBLANK(MIP[[#This Row],[S.B Sitrack]])=FALSE,ISBLANK(MIP[[#This Row],[C.B Sitrack]])=FALSE),MIP[Sem],0)</f>
        <v>0</v>
      </c>
    </row>
    <row r="623" spans="2:43" x14ac:dyDescent="0.25">
      <c r="B623" s="44">
        <f>WEEKNUM(MIP[[#This Row],[Data]])</f>
        <v>40</v>
      </c>
      <c r="C623" s="45">
        <v>43012</v>
      </c>
      <c r="D623" s="45"/>
      <c r="E623" s="35" t="s">
        <v>3</v>
      </c>
      <c r="F623" s="35" t="s">
        <v>2</v>
      </c>
      <c r="G623" s="35"/>
      <c r="H623" s="44">
        <v>2</v>
      </c>
      <c r="I623" s="44">
        <v>10</v>
      </c>
      <c r="J623" s="44">
        <v>2</v>
      </c>
      <c r="K623" s="44">
        <v>0</v>
      </c>
      <c r="L623" s="44">
        <v>0</v>
      </c>
      <c r="M623" s="43">
        <v>0.61805555555555558</v>
      </c>
      <c r="N623" s="43">
        <v>0.67013888888888884</v>
      </c>
      <c r="O623" s="43">
        <v>0.99791666666666667</v>
      </c>
      <c r="P623" s="43">
        <v>1.0354166666666667</v>
      </c>
      <c r="Q623" s="39"/>
      <c r="R623" s="42"/>
      <c r="S623" s="29">
        <f>MIP[[#This Row],[PT-1]]+MIP[[#This Row],[PT-2]]*2+MIP[[#This Row],[PT-3]]*3+MIP[[#This Row],[PT &gt; 3 Pontos]]</f>
        <v>14</v>
      </c>
      <c r="T62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8.9583333333333237E-2</v>
      </c>
      <c r="U623" s="39">
        <f>IF(MIP[[#This Row],[P.S]]-MIP[[#This Row],[U.P]]&gt;=0,MIP[[#This Row],[P.S]]-MIP[[#This Row],[U.P]]+MIP[[#This Row],[S.B]]-MIP[[#This Row],[P.E]],1+MIP[[#This Row],[P.S]]-MIP[[#This Row],[U.P]]+MIP[[#This Row],[S.B]]-MIP[[#This Row],[P.E]])</f>
        <v>8.9583333333333237E-2</v>
      </c>
      <c r="V623" s="41">
        <f>MIP[[#This Row],[Eficiência]]</f>
        <v>1.1816250703531721</v>
      </c>
      <c r="W62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23" s="39">
        <f>IF(MIP[[#This Row],[P.S]]-MIP[[#This Row],[P.E]]&lt;0,1+MIP[[#This Row],[P.S]]-MIP[[#This Row],[P.E]]-1/24,MIP[[#This Row],[P.S]]-MIP[[#This Row],[P.E]]-1/24)</f>
        <v>0.37569444444444439</v>
      </c>
      <c r="Y623" s="39">
        <f>MIP[[#This Row],[PT-1]]*$S$3+MIP[[#This Row],[PT-2]]*$T$3+MIP[[#This Row],[PT-3]]*$U$3+MIP[[#This Row],[PT &gt; 3 Pontos]]*$V$3</f>
        <v>0.33807606179549093</v>
      </c>
      <c r="Z623" s="39">
        <f>MIP[[#This Row],[HH disponível]]-MIP[[#This Row],[HH AC TOT]]</f>
        <v>0.28611111111111115</v>
      </c>
      <c r="AA623" s="38">
        <f>MIP[[#This Row],[HH Produtivo
Total]]/MIP[[#This Row],[HH Trabalhado]]</f>
        <v>1.1816250703531721</v>
      </c>
      <c r="AB623" s="38">
        <f>MIP[[#This Row],[HH Produtivo
Total]]/MIP[[#This Row],[HH disponível]]</f>
        <v>0.8998697393447449</v>
      </c>
      <c r="AC623" s="38">
        <f>MIP[[#This Row],[HH Trabalhado]]/MIP[[#This Row],[HH disponível]]</f>
        <v>0.76155268022181166</v>
      </c>
      <c r="AD623" s="37" t="str">
        <f>LEFT(MIP[[#This Row],[Equipe]], SEARCH("/",MIP[[#This Row],[Equipe]],1)-1)</f>
        <v xml:space="preserve">EDILTON </v>
      </c>
      <c r="AE623" s="37" t="str">
        <f>RIGHT(MIP[[#This Row],[Equipe]], LEN(MIP[[#This Row],[Equipe]])-SEARCH("/",MIP[[#This Row],[Equipe]],1))</f>
        <v xml:space="preserve"> GECIVALDO</v>
      </c>
      <c r="AF623" s="44">
        <f>COUNTIFS('[1]Tempo parado'!H:H,"&gt;="&amp;MIP[[#This Row],[S.B Sitrack]],'[1]Tempo parado'!I:I,"&lt;="&amp;MIP[[#This Row],[C.B Sitrack]],'[1]Tempo parado'!B:B,MIP[[#This Row],[Placa]])</f>
        <v>0</v>
      </c>
      <c r="AG623" s="36"/>
      <c r="AH623" s="35"/>
      <c r="AI623" s="34"/>
      <c r="AJ623" s="34"/>
      <c r="AK62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2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23" s="32">
        <f>SUMIFS('[1]Tempo parado'!J:J,'[1]Tempo parado'!H:H,"&gt;="&amp;MIP[[#This Row],[S.B Sitrack]],'[1]Tempo parado'!I:I,"&lt;="&amp;MIP[[#This Row],[C.B Sitrack]],'[1]Tempo parado'!B:B,MIP[[#This Row],[Placa]])</f>
        <v>0</v>
      </c>
      <c r="AN623" s="32" t="str">
        <f>IFERROR(MIP[[#This Row],[Tempo parado]]/(MIP[[#This Row],[C.B Sitrack]]-MIP[[#This Row],[S.B Sitrack]]),"")</f>
        <v/>
      </c>
      <c r="AO623" s="30"/>
      <c r="AP623" s="44">
        <f>IF(AND(MIP[Exc]=0,MIP[Previsto / Realizado]="Realizado"),MIP[Sem],0)</f>
        <v>40</v>
      </c>
      <c r="AQ623" s="29">
        <f>IF(AND(MIP[Exc]=0,MIP[Previsto / Realizado]="Realizado",ISBLANK(MIP[[#This Row],[S.B Sitrack]])=FALSE,ISBLANK(MIP[[#This Row],[C.B Sitrack]])=FALSE),MIP[Sem],0)</f>
        <v>0</v>
      </c>
    </row>
    <row r="624" spans="2:43" x14ac:dyDescent="0.25">
      <c r="B624" s="44">
        <f>WEEKNUM(MIP[[#This Row],[Data]])</f>
        <v>40</v>
      </c>
      <c r="C624" s="45">
        <v>43013</v>
      </c>
      <c r="D624" s="45"/>
      <c r="E624" s="35" t="s">
        <v>33</v>
      </c>
      <c r="F624" s="35" t="s">
        <v>5</v>
      </c>
      <c r="G624" s="35"/>
      <c r="H624" s="44">
        <v>2</v>
      </c>
      <c r="I624" s="44">
        <v>3</v>
      </c>
      <c r="J624" s="44">
        <v>2</v>
      </c>
      <c r="K624" s="44">
        <v>0</v>
      </c>
      <c r="L624" s="44">
        <v>4</v>
      </c>
      <c r="M624" s="43">
        <v>0.25</v>
      </c>
      <c r="N624" s="43">
        <v>0.27083333333333331</v>
      </c>
      <c r="O624" s="43">
        <v>0.63750000000000007</v>
      </c>
      <c r="P624" s="43">
        <v>0.65833333333333333</v>
      </c>
      <c r="Q624" s="39"/>
      <c r="R624" s="42" t="s">
        <v>209</v>
      </c>
      <c r="S624" s="29">
        <f>MIP[[#This Row],[PT-1]]+MIP[[#This Row],[PT-2]]*2+MIP[[#This Row],[PT-3]]*3+MIP[[#This Row],[PT &gt; 3 Pontos]]</f>
        <v>11</v>
      </c>
      <c r="T62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624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624" s="41">
        <f>MIP[[#This Row],[Eficiência]]</f>
        <v>0.75042195263360711</v>
      </c>
      <c r="W62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24" s="39">
        <f>IF(MIP[[#This Row],[P.S]]-MIP[[#This Row],[P.E]]&lt;0,1+MIP[[#This Row],[P.S]]-MIP[[#This Row],[P.E]]-1/24,MIP[[#This Row],[P.S]]-MIP[[#This Row],[P.E]]-1/24)</f>
        <v>0.36666666666666664</v>
      </c>
      <c r="Y624" s="39">
        <f>MIP[[#This Row],[PT-1]]*$S$3+MIP[[#This Row],[PT-2]]*$T$3+MIP[[#This Row],[PT-3]]*$U$3+MIP[[#This Row],[PT &gt; 3 Pontos]]*$V$3</f>
        <v>0.24388713460592235</v>
      </c>
      <c r="Z624" s="39">
        <f>MIP[[#This Row],[HH disponível]]-MIP[[#This Row],[HH AC TOT]]</f>
        <v>0.32500000000000007</v>
      </c>
      <c r="AA624" s="38">
        <f>MIP[[#This Row],[HH Produtivo
Total]]/MIP[[#This Row],[HH Trabalhado]]</f>
        <v>0.75042195263360711</v>
      </c>
      <c r="AB624" s="38">
        <f>MIP[[#This Row],[HH Produtivo
Total]]/MIP[[#This Row],[HH disponível]]</f>
        <v>0.66514673074342467</v>
      </c>
      <c r="AC624" s="38">
        <f>MIP[[#This Row],[HH Trabalhado]]/MIP[[#This Row],[HH disponível]]</f>
        <v>0.88636363636363658</v>
      </c>
      <c r="AD624" s="37" t="str">
        <f>LEFT(MIP[[#This Row],[Equipe]], SEARCH("/",MIP[[#This Row],[Equipe]],1)-1)</f>
        <v xml:space="preserve">JOILSON </v>
      </c>
      <c r="AE624" s="37" t="str">
        <f>RIGHT(MIP[[#This Row],[Equipe]], LEN(MIP[[#This Row],[Equipe]])-SEARCH("/",MIP[[#This Row],[Equipe]],1))</f>
        <v xml:space="preserve"> HERVAL</v>
      </c>
      <c r="AF624" s="44">
        <f>COUNTIFS('[1]Tempo parado'!H:H,"&gt;="&amp;MIP[[#This Row],[S.B Sitrack]],'[1]Tempo parado'!I:I,"&lt;="&amp;MIP[[#This Row],[C.B Sitrack]],'[1]Tempo parado'!B:B,MIP[[#This Row],[Placa]])</f>
        <v>0</v>
      </c>
      <c r="AG624" s="36"/>
      <c r="AH624" s="35"/>
      <c r="AI624" s="34"/>
      <c r="AJ624" s="34"/>
      <c r="AK62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2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24" s="32">
        <f>SUMIFS('[1]Tempo parado'!J:J,'[1]Tempo parado'!H:H,"&gt;="&amp;MIP[[#This Row],[S.B Sitrack]],'[1]Tempo parado'!I:I,"&lt;="&amp;MIP[[#This Row],[C.B Sitrack]],'[1]Tempo parado'!B:B,MIP[[#This Row],[Placa]])</f>
        <v>0</v>
      </c>
      <c r="AN624" s="32" t="str">
        <f>IFERROR(MIP[[#This Row],[Tempo parado]]/(MIP[[#This Row],[C.B Sitrack]]-MIP[[#This Row],[S.B Sitrack]]),"")</f>
        <v/>
      </c>
      <c r="AO624" s="30"/>
      <c r="AP624" s="44">
        <f>IF(AND(MIP[Exc]=0,MIP[Previsto / Realizado]="Realizado"),MIP[Sem],0)</f>
        <v>0</v>
      </c>
      <c r="AQ624" s="29">
        <f>IF(AND(MIP[Exc]=0,MIP[Previsto / Realizado]="Realizado",ISBLANK(MIP[[#This Row],[S.B Sitrack]])=FALSE,ISBLANK(MIP[[#This Row],[C.B Sitrack]])=FALSE),MIP[Sem],0)</f>
        <v>0</v>
      </c>
    </row>
    <row r="625" spans="2:43" x14ac:dyDescent="0.25">
      <c r="B625" s="44">
        <f>WEEKNUM(MIP[[#This Row],[Data]])</f>
        <v>40</v>
      </c>
      <c r="C625" s="45">
        <v>43013</v>
      </c>
      <c r="D625" s="45"/>
      <c r="E625" s="35" t="s">
        <v>33</v>
      </c>
      <c r="F625" s="35" t="s">
        <v>2</v>
      </c>
      <c r="G625" s="35"/>
      <c r="H625" s="44">
        <v>2</v>
      </c>
      <c r="I625" s="44">
        <v>2</v>
      </c>
      <c r="J625" s="44">
        <v>1</v>
      </c>
      <c r="K625" s="44">
        <v>0</v>
      </c>
      <c r="L625" s="44">
        <v>4</v>
      </c>
      <c r="M625" s="43">
        <v>0.25138888888888888</v>
      </c>
      <c r="N625" s="43">
        <v>0.29166666666666669</v>
      </c>
      <c r="O625" s="43">
        <v>0.61111111111111105</v>
      </c>
      <c r="P625" s="43">
        <v>0.65833333333333333</v>
      </c>
      <c r="Q625" s="39">
        <v>7.9166666666666663E-2</v>
      </c>
      <c r="R625" s="42" t="s">
        <v>208</v>
      </c>
      <c r="S625" s="29">
        <f>MIP[[#This Row],[PT-1]]+MIP[[#This Row],[PT-2]]*2+MIP[[#This Row],[PT-3]]*3+MIP[[#This Row],[PT &gt; 3 Pontos]]</f>
        <v>8</v>
      </c>
      <c r="T62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0.16666666666666674</v>
      </c>
      <c r="U625" s="39">
        <f>IF(MIP[[#This Row],[P.S]]-MIP[[#This Row],[U.P]]&gt;=0,MIP[[#This Row],[P.S]]-MIP[[#This Row],[U.P]]+MIP[[#This Row],[S.B]]-MIP[[#This Row],[P.E]],1+MIP[[#This Row],[P.S]]-MIP[[#This Row],[U.P]]+MIP[[#This Row],[S.B]]-MIP[[#This Row],[P.E]])</f>
        <v>8.7500000000000078E-2</v>
      </c>
      <c r="V625" s="41">
        <f>MIP[[#This Row],[Eficiência]]</f>
        <v>0.88087979854284248</v>
      </c>
      <c r="W62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25" s="39">
        <f>IF(MIP[[#This Row],[P.S]]-MIP[[#This Row],[P.E]]&lt;0,1+MIP[[#This Row],[P.S]]-MIP[[#This Row],[P.E]]-1/24,MIP[[#This Row],[P.S]]-MIP[[#This Row],[P.E]]-1/24)</f>
        <v>0.36527777777777776</v>
      </c>
      <c r="Y625" s="39">
        <f>MIP[[#This Row],[PT-1]]*$S$3+MIP[[#This Row],[PT-2]]*$T$3+MIP[[#This Row],[PT-3]]*$U$3+MIP[[#This Row],[PT &gt; 3 Pontos]]*$V$3</f>
        <v>0.17495251554392557</v>
      </c>
      <c r="Z625" s="39">
        <f>MIP[[#This Row],[HH disponível]]-MIP[[#This Row],[HH AC TOT]]</f>
        <v>0.19861111111111102</v>
      </c>
      <c r="AA625" s="38">
        <f>MIP[[#This Row],[HH Produtivo
Total]]/MIP[[#This Row],[HH Trabalhado]]</f>
        <v>0.88087979854284248</v>
      </c>
      <c r="AB625" s="38">
        <f>MIP[[#This Row],[HH Produtivo
Total]]/MIP[[#This Row],[HH disponível]]</f>
        <v>0.47895745700238185</v>
      </c>
      <c r="AC625" s="38">
        <f>MIP[[#This Row],[HH Trabalhado]]/MIP[[#This Row],[HH disponível]]</f>
        <v>0.54372623574144463</v>
      </c>
      <c r="AD625" s="37" t="str">
        <f>LEFT(MIP[[#This Row],[Equipe]], SEARCH("/",MIP[[#This Row],[Equipe]],1)-1)</f>
        <v xml:space="preserve">JOILSON </v>
      </c>
      <c r="AE625" s="37" t="str">
        <f>RIGHT(MIP[[#This Row],[Equipe]], LEN(MIP[[#This Row],[Equipe]])-SEARCH("/",MIP[[#This Row],[Equipe]],1))</f>
        <v xml:space="preserve"> HERVAL</v>
      </c>
      <c r="AF625" s="44">
        <f>COUNTIFS('[1]Tempo parado'!H:H,"&gt;="&amp;MIP[[#This Row],[S.B Sitrack]],'[1]Tempo parado'!I:I,"&lt;="&amp;MIP[[#This Row],[C.B Sitrack]],'[1]Tempo parado'!B:B,MIP[[#This Row],[Placa]])</f>
        <v>0</v>
      </c>
      <c r="AG625" s="36"/>
      <c r="AH625" s="35"/>
      <c r="AI625" s="34"/>
      <c r="AJ625" s="34"/>
      <c r="AK62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2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25" s="32">
        <f>SUMIFS('[1]Tempo parado'!J:J,'[1]Tempo parado'!H:H,"&gt;="&amp;MIP[[#This Row],[S.B Sitrack]],'[1]Tempo parado'!I:I,"&lt;="&amp;MIP[[#This Row],[C.B Sitrack]],'[1]Tempo parado'!B:B,MIP[[#This Row],[Placa]])</f>
        <v>0</v>
      </c>
      <c r="AN625" s="32" t="str">
        <f>IFERROR(MIP[[#This Row],[Tempo parado]]/(MIP[[#This Row],[C.B Sitrack]]-MIP[[#This Row],[S.B Sitrack]]),"")</f>
        <v/>
      </c>
      <c r="AO625" s="30"/>
      <c r="AP625" s="44">
        <f>IF(AND(MIP[Exc]=0,MIP[Previsto / Realizado]="Realizado"),MIP[Sem],0)</f>
        <v>40</v>
      </c>
      <c r="AQ625" s="29">
        <f>IF(AND(MIP[Exc]=0,MIP[Previsto / Realizado]="Realizado",ISBLANK(MIP[[#This Row],[S.B Sitrack]])=FALSE,ISBLANK(MIP[[#This Row],[C.B Sitrack]])=FALSE),MIP[Sem],0)</f>
        <v>0</v>
      </c>
    </row>
    <row r="626" spans="2:43" x14ac:dyDescent="0.25">
      <c r="B626" s="44">
        <f>WEEKNUM(MIP[[#This Row],[Data]])</f>
        <v>40</v>
      </c>
      <c r="C626" s="45">
        <v>43013</v>
      </c>
      <c r="D626" s="45"/>
      <c r="E626" s="35" t="s">
        <v>19</v>
      </c>
      <c r="F626" s="35" t="s">
        <v>5</v>
      </c>
      <c r="G626" s="35"/>
      <c r="H626" s="44">
        <v>2</v>
      </c>
      <c r="I626" s="44">
        <v>1</v>
      </c>
      <c r="J626" s="44">
        <v>0</v>
      </c>
      <c r="K626" s="44">
        <v>0</v>
      </c>
      <c r="L626" s="44">
        <v>15</v>
      </c>
      <c r="M626" s="43">
        <v>0.625</v>
      </c>
      <c r="N626" s="43">
        <v>0.64583333333333337</v>
      </c>
      <c r="O626" s="43">
        <v>1.0125</v>
      </c>
      <c r="P626" s="43">
        <v>1.0333333333333334</v>
      </c>
      <c r="Q626" s="39"/>
      <c r="R626" s="42"/>
      <c r="S626" s="29">
        <f>MIP[[#This Row],[PT-1]]+MIP[[#This Row],[PT-2]]*2+MIP[[#This Row],[PT-3]]*3+MIP[[#This Row],[PT &gt; 3 Pontos]]</f>
        <v>16</v>
      </c>
      <c r="T62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626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626" s="41">
        <f>MIP[[#This Row],[Eficiência]]</f>
        <v>1.0115262036004797</v>
      </c>
      <c r="W62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26" s="39">
        <f>IF(MIP[[#This Row],[P.S]]-MIP[[#This Row],[P.E]]&lt;0,1+MIP[[#This Row],[P.S]]-MIP[[#This Row],[P.E]]-1/24,MIP[[#This Row],[P.S]]-MIP[[#This Row],[P.E]]-1/24)</f>
        <v>0.36666666666666675</v>
      </c>
      <c r="Y626" s="39">
        <f>MIP[[#This Row],[PT-1]]*$S$3+MIP[[#This Row],[PT-2]]*$T$3+MIP[[#This Row],[PT-3]]*$U$3+MIP[[#This Row],[PT &gt; 3 Pontos]]*$V$3</f>
        <v>0.32874601617015581</v>
      </c>
      <c r="Z626" s="39">
        <f>MIP[[#This Row],[HH disponível]]-MIP[[#This Row],[HH AC TOT]]</f>
        <v>0.3249999999999999</v>
      </c>
      <c r="AA626" s="38">
        <f>MIP[[#This Row],[HH Produtivo
Total]]/MIP[[#This Row],[HH Trabalhado]]</f>
        <v>1.0115262036004797</v>
      </c>
      <c r="AB626" s="38">
        <f>MIP[[#This Row],[HH Produtivo
Total]]/MIP[[#This Row],[HH disponível]]</f>
        <v>0.89658004410042469</v>
      </c>
      <c r="AC626" s="38">
        <f>MIP[[#This Row],[HH Trabalhado]]/MIP[[#This Row],[HH disponível]]</f>
        <v>0.88636363636363591</v>
      </c>
      <c r="AD626" s="37" t="str">
        <f>LEFT(MIP[[#This Row],[Equipe]], SEARCH("/",MIP[[#This Row],[Equipe]],1)-1)</f>
        <v xml:space="preserve">ADEMÁRIO </v>
      </c>
      <c r="AE626" s="37" t="str">
        <f>RIGHT(MIP[[#This Row],[Equipe]], LEN(MIP[[#This Row],[Equipe]])-SEARCH("/",MIP[[#This Row],[Equipe]],1))</f>
        <v xml:space="preserve"> RONALDO</v>
      </c>
      <c r="AF626" s="44">
        <f>COUNTIFS('[1]Tempo parado'!H:H,"&gt;="&amp;MIP[[#This Row],[S.B Sitrack]],'[1]Tempo parado'!I:I,"&lt;="&amp;MIP[[#This Row],[C.B Sitrack]],'[1]Tempo parado'!B:B,MIP[[#This Row],[Placa]])</f>
        <v>0</v>
      </c>
      <c r="AG626" s="36"/>
      <c r="AH626" s="35"/>
      <c r="AI626" s="34"/>
      <c r="AJ626" s="34"/>
      <c r="AK62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2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26" s="32">
        <f>SUMIFS('[1]Tempo parado'!J:J,'[1]Tempo parado'!H:H,"&gt;="&amp;MIP[[#This Row],[S.B Sitrack]],'[1]Tempo parado'!I:I,"&lt;="&amp;MIP[[#This Row],[C.B Sitrack]],'[1]Tempo parado'!B:B,MIP[[#This Row],[Placa]])</f>
        <v>0</v>
      </c>
      <c r="AN626" s="32" t="str">
        <f>IFERROR(MIP[[#This Row],[Tempo parado]]/(MIP[[#This Row],[C.B Sitrack]]-MIP[[#This Row],[S.B Sitrack]]),"")</f>
        <v/>
      </c>
      <c r="AO626" s="30"/>
      <c r="AP626" s="44">
        <f>IF(AND(MIP[Exc]=0,MIP[Previsto / Realizado]="Realizado"),MIP[Sem],0)</f>
        <v>0</v>
      </c>
      <c r="AQ626" s="29">
        <f>IF(AND(MIP[Exc]=0,MIP[Previsto / Realizado]="Realizado",ISBLANK(MIP[[#This Row],[S.B Sitrack]])=FALSE,ISBLANK(MIP[[#This Row],[C.B Sitrack]])=FALSE),MIP[Sem],0)</f>
        <v>0</v>
      </c>
    </row>
    <row r="627" spans="2:43" x14ac:dyDescent="0.25">
      <c r="B627" s="44">
        <f>WEEKNUM(MIP[[#This Row],[Data]])</f>
        <v>40</v>
      </c>
      <c r="C627" s="45">
        <v>43013</v>
      </c>
      <c r="D627" s="45"/>
      <c r="E627" s="35" t="s">
        <v>19</v>
      </c>
      <c r="F627" s="35" t="s">
        <v>2</v>
      </c>
      <c r="G627" s="35"/>
      <c r="H627" s="44">
        <v>2</v>
      </c>
      <c r="I627" s="44">
        <v>1</v>
      </c>
      <c r="J627" s="44">
        <v>0</v>
      </c>
      <c r="K627" s="44">
        <v>0</v>
      </c>
      <c r="L627" s="44">
        <v>15</v>
      </c>
      <c r="M627" s="43">
        <v>0.625</v>
      </c>
      <c r="N627" s="43">
        <v>0.6791666666666667</v>
      </c>
      <c r="O627" s="43">
        <v>0.99791666666666667</v>
      </c>
      <c r="P627" s="43">
        <v>1.0333333333333334</v>
      </c>
      <c r="Q627" s="39"/>
      <c r="R627" s="42"/>
      <c r="S627" s="29">
        <f>MIP[[#This Row],[PT-1]]+MIP[[#This Row],[PT-2]]*2+MIP[[#This Row],[PT-3]]*3+MIP[[#This Row],[PT &gt; 3 Pontos]]</f>
        <v>16</v>
      </c>
      <c r="T62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8.9583333333333459E-2</v>
      </c>
      <c r="U627" s="39">
        <f>IF(MIP[[#This Row],[P.S]]-MIP[[#This Row],[U.P]]&gt;=0,MIP[[#This Row],[P.S]]-MIP[[#This Row],[U.P]]+MIP[[#This Row],[S.B]]-MIP[[#This Row],[P.E]],1+MIP[[#This Row],[P.S]]-MIP[[#This Row],[U.P]]+MIP[[#This Row],[S.B]]-MIP[[#This Row],[P.E]])</f>
        <v>8.9583333333333459E-2</v>
      </c>
      <c r="V627" s="41">
        <f>MIP[[#This Row],[Eficiência]]</f>
        <v>1.1864517876817655</v>
      </c>
      <c r="W62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27" s="39">
        <f>IF(MIP[[#This Row],[P.S]]-MIP[[#This Row],[P.E]]&lt;0,1+MIP[[#This Row],[P.S]]-MIP[[#This Row],[P.E]]-1/24,MIP[[#This Row],[P.S]]-MIP[[#This Row],[P.E]]-1/24)</f>
        <v>0.36666666666666675</v>
      </c>
      <c r="Y627" s="39">
        <f>MIP[[#This Row],[PT-1]]*$S$3+MIP[[#This Row],[PT-2]]*$T$3+MIP[[#This Row],[PT-3]]*$U$3+MIP[[#This Row],[PT &gt; 3 Pontos]]*$V$3</f>
        <v>0.32874601617015581</v>
      </c>
      <c r="Z627" s="39">
        <f>MIP[[#This Row],[HH disponível]]-MIP[[#This Row],[HH AC TOT]]</f>
        <v>0.27708333333333329</v>
      </c>
      <c r="AA627" s="38">
        <f>MIP[[#This Row],[HH Produtivo
Total]]/MIP[[#This Row],[HH Trabalhado]]</f>
        <v>1.1864517876817655</v>
      </c>
      <c r="AB627" s="38">
        <f>MIP[[#This Row],[HH Produtivo
Total]]/MIP[[#This Row],[HH disponível]]</f>
        <v>0.89658004410042469</v>
      </c>
      <c r="AC627" s="38">
        <f>MIP[[#This Row],[HH Trabalhado]]/MIP[[#This Row],[HH disponível]]</f>
        <v>0.7556818181818179</v>
      </c>
      <c r="AD627" s="37" t="str">
        <f>LEFT(MIP[[#This Row],[Equipe]], SEARCH("/",MIP[[#This Row],[Equipe]],1)-1)</f>
        <v xml:space="preserve">ADEMÁRIO </v>
      </c>
      <c r="AE627" s="37" t="str">
        <f>RIGHT(MIP[[#This Row],[Equipe]], LEN(MIP[[#This Row],[Equipe]])-SEARCH("/",MIP[[#This Row],[Equipe]],1))</f>
        <v xml:space="preserve"> RONALDO</v>
      </c>
      <c r="AF627" s="44">
        <f>COUNTIFS('[1]Tempo parado'!H:H,"&gt;="&amp;MIP[[#This Row],[S.B Sitrack]],'[1]Tempo parado'!I:I,"&lt;="&amp;MIP[[#This Row],[C.B Sitrack]],'[1]Tempo parado'!B:B,MIP[[#This Row],[Placa]])</f>
        <v>0</v>
      </c>
      <c r="AG627" s="36"/>
      <c r="AH627" s="35"/>
      <c r="AI627" s="34"/>
      <c r="AJ627" s="34"/>
      <c r="AK62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2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27" s="32">
        <f>SUMIFS('[1]Tempo parado'!J:J,'[1]Tempo parado'!H:H,"&gt;="&amp;MIP[[#This Row],[S.B Sitrack]],'[1]Tempo parado'!I:I,"&lt;="&amp;MIP[[#This Row],[C.B Sitrack]],'[1]Tempo parado'!B:B,MIP[[#This Row],[Placa]])</f>
        <v>0</v>
      </c>
      <c r="AN627" s="32" t="str">
        <f>IFERROR(MIP[[#This Row],[Tempo parado]]/(MIP[[#This Row],[C.B Sitrack]]-MIP[[#This Row],[S.B Sitrack]]),"")</f>
        <v/>
      </c>
      <c r="AO627" s="30"/>
      <c r="AP627" s="44">
        <f>IF(AND(MIP[Exc]=0,MIP[Previsto / Realizado]="Realizado"),MIP[Sem],0)</f>
        <v>40</v>
      </c>
      <c r="AQ627" s="29">
        <f>IF(AND(MIP[Exc]=0,MIP[Previsto / Realizado]="Realizado",ISBLANK(MIP[[#This Row],[S.B Sitrack]])=FALSE,ISBLANK(MIP[[#This Row],[C.B Sitrack]])=FALSE),MIP[Sem],0)</f>
        <v>0</v>
      </c>
    </row>
    <row r="628" spans="2:43" x14ac:dyDescent="0.25">
      <c r="B628" s="44">
        <f>WEEKNUM(MIP[[#This Row],[Data]])</f>
        <v>40</v>
      </c>
      <c r="C628" s="45">
        <v>43013</v>
      </c>
      <c r="D628" s="45"/>
      <c r="E628" s="35" t="s">
        <v>7</v>
      </c>
      <c r="F628" s="35" t="s">
        <v>5</v>
      </c>
      <c r="G628" s="35"/>
      <c r="H628" s="44">
        <v>2</v>
      </c>
      <c r="I628" s="44">
        <v>6</v>
      </c>
      <c r="J628" s="44">
        <v>2</v>
      </c>
      <c r="K628" s="44">
        <v>0</v>
      </c>
      <c r="L628" s="44">
        <v>5</v>
      </c>
      <c r="M628" s="43">
        <v>0.625</v>
      </c>
      <c r="N628" s="43">
        <v>0.64583333333333337</v>
      </c>
      <c r="O628" s="43">
        <v>1.0125</v>
      </c>
      <c r="P628" s="43">
        <v>1.0333333333333334</v>
      </c>
      <c r="Q628" s="39"/>
      <c r="R628" s="42"/>
      <c r="S628" s="29">
        <f>MIP[[#This Row],[PT-1]]+MIP[[#This Row],[PT-2]]*2+MIP[[#This Row],[PT-3]]*3+MIP[[#This Row],[PT &gt; 3 Pontos]]</f>
        <v>15</v>
      </c>
      <c r="T62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628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628" s="41">
        <f>MIP[[#This Row],[Eficiência]]</f>
        <v>1.0437313980414828</v>
      </c>
      <c r="W62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28" s="39">
        <f>IF(MIP[[#This Row],[P.S]]-MIP[[#This Row],[P.E]]&lt;0,1+MIP[[#This Row],[P.S]]-MIP[[#This Row],[P.E]]-1/24,MIP[[#This Row],[P.S]]-MIP[[#This Row],[P.E]]-1/24)</f>
        <v>0.36666666666666675</v>
      </c>
      <c r="Y628" s="39">
        <f>MIP[[#This Row],[PT-1]]*$S$3+MIP[[#This Row],[PT-2]]*$T$3+MIP[[#This Row],[PT-3]]*$U$3+MIP[[#This Row],[PT &gt; 3 Pontos]]*$V$3</f>
        <v>0.33921270436348183</v>
      </c>
      <c r="Z628" s="39">
        <f>MIP[[#This Row],[HH disponível]]-MIP[[#This Row],[HH AC TOT]]</f>
        <v>0.3249999999999999</v>
      </c>
      <c r="AA628" s="38">
        <f>MIP[[#This Row],[HH Produtivo
Total]]/MIP[[#This Row],[HH Trabalhado]]</f>
        <v>1.0437313980414828</v>
      </c>
      <c r="AB628" s="38">
        <f>MIP[[#This Row],[HH Produtivo
Total]]/MIP[[#This Row],[HH disponível]]</f>
        <v>0.92512555735495028</v>
      </c>
      <c r="AC628" s="38">
        <f>MIP[[#This Row],[HH Trabalhado]]/MIP[[#This Row],[HH disponível]]</f>
        <v>0.88636363636363591</v>
      </c>
      <c r="AD628" s="37" t="str">
        <f>LEFT(MIP[[#This Row],[Equipe]], SEARCH("/",MIP[[#This Row],[Equipe]],1)-1)</f>
        <v xml:space="preserve">ANDERSON </v>
      </c>
      <c r="AE628" s="37" t="str">
        <f>RIGHT(MIP[[#This Row],[Equipe]], LEN(MIP[[#This Row],[Equipe]])-SEARCH("/",MIP[[#This Row],[Equipe]],1))</f>
        <v xml:space="preserve"> MARCO</v>
      </c>
      <c r="AF628" s="44">
        <f>COUNTIFS('[1]Tempo parado'!H:H,"&gt;="&amp;MIP[[#This Row],[S.B Sitrack]],'[1]Tempo parado'!I:I,"&lt;="&amp;MIP[[#This Row],[C.B Sitrack]],'[1]Tempo parado'!B:B,MIP[[#This Row],[Placa]])</f>
        <v>0</v>
      </c>
      <c r="AG628" s="36"/>
      <c r="AH628" s="35"/>
      <c r="AI628" s="34"/>
      <c r="AJ628" s="34"/>
      <c r="AK62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2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28" s="32">
        <f>SUMIFS('[1]Tempo parado'!J:J,'[1]Tempo parado'!H:H,"&gt;="&amp;MIP[[#This Row],[S.B Sitrack]],'[1]Tempo parado'!I:I,"&lt;="&amp;MIP[[#This Row],[C.B Sitrack]],'[1]Tempo parado'!B:B,MIP[[#This Row],[Placa]])</f>
        <v>0</v>
      </c>
      <c r="AN628" s="32" t="str">
        <f>IFERROR(MIP[[#This Row],[Tempo parado]]/(MIP[[#This Row],[C.B Sitrack]]-MIP[[#This Row],[S.B Sitrack]]),"")</f>
        <v/>
      </c>
      <c r="AO628" s="30"/>
      <c r="AP628" s="44">
        <f>IF(AND(MIP[Exc]=0,MIP[Previsto / Realizado]="Realizado"),MIP[Sem],0)</f>
        <v>0</v>
      </c>
      <c r="AQ628" s="29">
        <f>IF(AND(MIP[Exc]=0,MIP[Previsto / Realizado]="Realizado",ISBLANK(MIP[[#This Row],[S.B Sitrack]])=FALSE,ISBLANK(MIP[[#This Row],[C.B Sitrack]])=FALSE),MIP[Sem],0)</f>
        <v>0</v>
      </c>
    </row>
    <row r="629" spans="2:43" x14ac:dyDescent="0.25">
      <c r="B629" s="44">
        <f>WEEKNUM(MIP[[#This Row],[Data]])</f>
        <v>40</v>
      </c>
      <c r="C629" s="45">
        <v>43013</v>
      </c>
      <c r="D629" s="45"/>
      <c r="E629" s="35" t="s">
        <v>7</v>
      </c>
      <c r="F629" s="35" t="s">
        <v>2</v>
      </c>
      <c r="G629" s="35"/>
      <c r="H629" s="44">
        <v>2</v>
      </c>
      <c r="I629" s="44">
        <v>7</v>
      </c>
      <c r="J629" s="44">
        <v>2</v>
      </c>
      <c r="K629" s="44">
        <v>0</v>
      </c>
      <c r="L629" s="44">
        <v>5</v>
      </c>
      <c r="M629" s="43">
        <v>0.625</v>
      </c>
      <c r="N629" s="43">
        <v>0.67361111111111116</v>
      </c>
      <c r="O629" s="43">
        <v>1.0104166666666667</v>
      </c>
      <c r="P629" s="43">
        <v>1.0333333333333334</v>
      </c>
      <c r="Q629" s="39"/>
      <c r="R629" s="42" t="s">
        <v>161</v>
      </c>
      <c r="S629" s="29">
        <f>MIP[[#This Row],[PT-1]]+MIP[[#This Row],[PT-2]]*2+MIP[[#This Row],[PT-3]]*3+MIP[[#This Row],[PT &gt; 3 Pontos]]</f>
        <v>16</v>
      </c>
      <c r="T62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7.1527777777777857E-2</v>
      </c>
      <c r="U629" s="39">
        <f>IF(MIP[[#This Row],[P.S]]-MIP[[#This Row],[U.P]]&gt;=0,MIP[[#This Row],[P.S]]-MIP[[#This Row],[U.P]]+MIP[[#This Row],[S.B]]-MIP[[#This Row],[P.E]],1+MIP[[#This Row],[P.S]]-MIP[[#This Row],[U.P]]+MIP[[#This Row],[S.B]]-MIP[[#This Row],[P.E]])</f>
        <v>7.1527777777777857E-2</v>
      </c>
      <c r="V629" s="41">
        <f>MIP[[#This Row],[Eficiência]]</f>
        <v>1.2341259353983136</v>
      </c>
      <c r="W62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29" s="39">
        <f>IF(MIP[[#This Row],[P.S]]-MIP[[#This Row],[P.E]]&lt;0,1+MIP[[#This Row],[P.S]]-MIP[[#This Row],[P.E]]-1/24,MIP[[#This Row],[P.S]]-MIP[[#This Row],[P.E]]-1/24)</f>
        <v>0.36666666666666675</v>
      </c>
      <c r="Y629" s="39">
        <f>MIP[[#This Row],[PT-1]]*$S$3+MIP[[#This Row],[PT-2]]*$T$3+MIP[[#This Row],[PT-3]]*$U$3+MIP[[#This Row],[PT &gt; 3 Pontos]]*$V$3</f>
        <v>0.36423855732241894</v>
      </c>
      <c r="Z629" s="39">
        <f>MIP[[#This Row],[HH disponível]]-MIP[[#This Row],[HH AC TOT]]</f>
        <v>0.2951388888888889</v>
      </c>
      <c r="AA629" s="38">
        <f>MIP[[#This Row],[HH Produtivo
Total]]/MIP[[#This Row],[HH Trabalhado]]</f>
        <v>1.2341259353983136</v>
      </c>
      <c r="AB629" s="38">
        <f>MIP[[#This Row],[HH Produtivo
Total]]/MIP[[#This Row],[HH disponível]]</f>
        <v>0.99337788360659685</v>
      </c>
      <c r="AC629" s="38">
        <f>MIP[[#This Row],[HH Trabalhado]]/MIP[[#This Row],[HH disponível]]</f>
        <v>0.80492424242424221</v>
      </c>
      <c r="AD629" s="37" t="str">
        <f>LEFT(MIP[[#This Row],[Equipe]], SEARCH("/",MIP[[#This Row],[Equipe]],1)-1)</f>
        <v xml:space="preserve">ANDERSON </v>
      </c>
      <c r="AE629" s="37" t="str">
        <f>RIGHT(MIP[[#This Row],[Equipe]], LEN(MIP[[#This Row],[Equipe]])-SEARCH("/",MIP[[#This Row],[Equipe]],1))</f>
        <v xml:space="preserve"> MARCO</v>
      </c>
      <c r="AF629" s="44">
        <f>COUNTIFS('[1]Tempo parado'!H:H,"&gt;="&amp;MIP[[#This Row],[S.B Sitrack]],'[1]Tempo parado'!I:I,"&lt;="&amp;MIP[[#This Row],[C.B Sitrack]],'[1]Tempo parado'!B:B,MIP[[#This Row],[Placa]])</f>
        <v>0</v>
      </c>
      <c r="AG629" s="36"/>
      <c r="AH629" s="35"/>
      <c r="AI629" s="34"/>
      <c r="AJ629" s="34"/>
      <c r="AK62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2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29" s="32">
        <f>SUMIFS('[1]Tempo parado'!J:J,'[1]Tempo parado'!H:H,"&gt;="&amp;MIP[[#This Row],[S.B Sitrack]],'[1]Tempo parado'!I:I,"&lt;="&amp;MIP[[#This Row],[C.B Sitrack]],'[1]Tempo parado'!B:B,MIP[[#This Row],[Placa]])</f>
        <v>0</v>
      </c>
      <c r="AN629" s="32" t="str">
        <f>IFERROR(MIP[[#This Row],[Tempo parado]]/(MIP[[#This Row],[C.B Sitrack]]-MIP[[#This Row],[S.B Sitrack]]),"")</f>
        <v/>
      </c>
      <c r="AO629" s="30"/>
      <c r="AP629" s="44">
        <f>IF(AND(MIP[Exc]=0,MIP[Previsto / Realizado]="Realizado"),MIP[Sem],0)</f>
        <v>40</v>
      </c>
      <c r="AQ629" s="29">
        <f>IF(AND(MIP[Exc]=0,MIP[Previsto / Realizado]="Realizado",ISBLANK(MIP[[#This Row],[S.B Sitrack]])=FALSE,ISBLANK(MIP[[#This Row],[C.B Sitrack]])=FALSE),MIP[Sem],0)</f>
        <v>0</v>
      </c>
    </row>
    <row r="630" spans="2:43" x14ac:dyDescent="0.25">
      <c r="B630" s="44">
        <f>WEEKNUM(MIP[[#This Row],[Data]])</f>
        <v>40</v>
      </c>
      <c r="C630" s="45">
        <v>43014</v>
      </c>
      <c r="D630" s="45"/>
      <c r="E630" s="35" t="s">
        <v>33</v>
      </c>
      <c r="F630" s="35" t="s">
        <v>5</v>
      </c>
      <c r="G630" s="35"/>
      <c r="H630" s="44">
        <v>2</v>
      </c>
      <c r="I630" s="44">
        <v>5</v>
      </c>
      <c r="J630" s="44">
        <v>0</v>
      </c>
      <c r="K630" s="44">
        <v>0</v>
      </c>
      <c r="L630" s="44">
        <v>3</v>
      </c>
      <c r="M630" s="43">
        <v>0.25</v>
      </c>
      <c r="N630" s="43">
        <v>0.27083333333333331</v>
      </c>
      <c r="O630" s="43">
        <v>0.63750000000000007</v>
      </c>
      <c r="P630" s="43">
        <v>0.65833333333333333</v>
      </c>
      <c r="Q630" s="39"/>
      <c r="R630" s="42" t="s">
        <v>201</v>
      </c>
      <c r="S630" s="29">
        <f>MIP[[#This Row],[PT-1]]+MIP[[#This Row],[PT-2]]*2+MIP[[#This Row],[PT-3]]*3+MIP[[#This Row],[PT &gt; 3 Pontos]]</f>
        <v>8</v>
      </c>
      <c r="T63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630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630" s="41">
        <f>MIP[[#This Row],[Eficiência]]</f>
        <v>0.57191783826747566</v>
      </c>
      <c r="W63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30" s="39">
        <f>IF(MIP[[#This Row],[P.S]]-MIP[[#This Row],[P.E]]&lt;0,1+MIP[[#This Row],[P.S]]-MIP[[#This Row],[P.E]]-1/24,MIP[[#This Row],[P.S]]-MIP[[#This Row],[P.E]]-1/24)</f>
        <v>0.36666666666666664</v>
      </c>
      <c r="Y630" s="39">
        <f>MIP[[#This Row],[PT-1]]*$S$3+MIP[[#This Row],[PT-2]]*$T$3+MIP[[#This Row],[PT-3]]*$U$3+MIP[[#This Row],[PT &gt; 3 Pontos]]*$V$3</f>
        <v>0.18587329743692962</v>
      </c>
      <c r="Z630" s="39">
        <f>MIP[[#This Row],[HH disponível]]-MIP[[#This Row],[HH AC TOT]]</f>
        <v>0.32500000000000007</v>
      </c>
      <c r="AA630" s="38">
        <f>MIP[[#This Row],[HH Produtivo
Total]]/MIP[[#This Row],[HH Trabalhado]]</f>
        <v>0.57191783826747566</v>
      </c>
      <c r="AB630" s="38">
        <f>MIP[[#This Row],[HH Produtivo
Total]]/MIP[[#This Row],[HH disponível]]</f>
        <v>0.50692717482798988</v>
      </c>
      <c r="AC630" s="38">
        <f>MIP[[#This Row],[HH Trabalhado]]/MIP[[#This Row],[HH disponível]]</f>
        <v>0.88636363636363658</v>
      </c>
      <c r="AD630" s="37" t="str">
        <f>LEFT(MIP[[#This Row],[Equipe]], SEARCH("/",MIP[[#This Row],[Equipe]],1)-1)</f>
        <v xml:space="preserve">JOILSON </v>
      </c>
      <c r="AE630" s="37" t="str">
        <f>RIGHT(MIP[[#This Row],[Equipe]], LEN(MIP[[#This Row],[Equipe]])-SEARCH("/",MIP[[#This Row],[Equipe]],1))</f>
        <v xml:space="preserve"> HERVAL</v>
      </c>
      <c r="AF630" s="44">
        <f>COUNTIFS('[1]Tempo parado'!H:H,"&gt;="&amp;MIP[[#This Row],[S.B Sitrack]],'[1]Tempo parado'!I:I,"&lt;="&amp;MIP[[#This Row],[C.B Sitrack]],'[1]Tempo parado'!B:B,MIP[[#This Row],[Placa]])</f>
        <v>0</v>
      </c>
      <c r="AG630" s="36"/>
      <c r="AH630" s="35"/>
      <c r="AI630" s="34"/>
      <c r="AJ630" s="34"/>
      <c r="AK63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3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30" s="32">
        <f>SUMIFS('[1]Tempo parado'!J:J,'[1]Tempo parado'!H:H,"&gt;="&amp;MIP[[#This Row],[S.B Sitrack]],'[1]Tempo parado'!I:I,"&lt;="&amp;MIP[[#This Row],[C.B Sitrack]],'[1]Tempo parado'!B:B,MIP[[#This Row],[Placa]])</f>
        <v>0</v>
      </c>
      <c r="AN630" s="32" t="str">
        <f>IFERROR(MIP[[#This Row],[Tempo parado]]/(MIP[[#This Row],[C.B Sitrack]]-MIP[[#This Row],[S.B Sitrack]]),"")</f>
        <v/>
      </c>
      <c r="AO630" s="30"/>
      <c r="AP630" s="44">
        <f>IF(AND(MIP[Exc]=0,MIP[Previsto / Realizado]="Realizado"),MIP[Sem],0)</f>
        <v>0</v>
      </c>
      <c r="AQ630" s="29">
        <f>IF(AND(MIP[Exc]=0,MIP[Previsto / Realizado]="Realizado",ISBLANK(MIP[[#This Row],[S.B Sitrack]])=FALSE,ISBLANK(MIP[[#This Row],[C.B Sitrack]])=FALSE),MIP[Sem],0)</f>
        <v>0</v>
      </c>
    </row>
    <row r="631" spans="2:43" x14ac:dyDescent="0.25">
      <c r="B631" s="44">
        <f>WEEKNUM(MIP[[#This Row],[Data]])</f>
        <v>40</v>
      </c>
      <c r="C631" s="45">
        <v>43014</v>
      </c>
      <c r="D631" s="45"/>
      <c r="E631" s="35" t="s">
        <v>33</v>
      </c>
      <c r="F631" s="35" t="s">
        <v>2</v>
      </c>
      <c r="G631" s="35"/>
      <c r="H631" s="44">
        <v>2</v>
      </c>
      <c r="I631" s="44">
        <v>9</v>
      </c>
      <c r="J631" s="44">
        <v>1</v>
      </c>
      <c r="K631" s="44">
        <v>0</v>
      </c>
      <c r="L631" s="44">
        <v>3</v>
      </c>
      <c r="M631" s="43">
        <v>0.25138888888888888</v>
      </c>
      <c r="N631" s="43">
        <v>0.27777777777777779</v>
      </c>
      <c r="O631" s="43">
        <v>0.625</v>
      </c>
      <c r="P631" s="43">
        <v>0.66875000000000007</v>
      </c>
      <c r="Q631" s="39"/>
      <c r="R631" s="42" t="s">
        <v>17</v>
      </c>
      <c r="S631" s="29">
        <f>MIP[[#This Row],[PT-1]]+MIP[[#This Row],[PT-2]]*2+MIP[[#This Row],[PT-3]]*3+MIP[[#This Row],[PT &gt; 3 Pontos]]</f>
        <v>14</v>
      </c>
      <c r="T63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7.0138888888888973E-2</v>
      </c>
      <c r="U631" s="39">
        <f>IF(MIP[[#This Row],[P.S]]-MIP[[#This Row],[U.P]]&gt;=0,MIP[[#This Row],[P.S]]-MIP[[#This Row],[U.P]]+MIP[[#This Row],[S.B]]-MIP[[#This Row],[P.E]],1+MIP[[#This Row],[P.S]]-MIP[[#This Row],[U.P]]+MIP[[#This Row],[S.B]]-MIP[[#This Row],[P.E]])</f>
        <v>7.0138888888888973E-2</v>
      </c>
      <c r="V631" s="41">
        <f>MIP[[#This Row],[Eficiência]]</f>
        <v>1.0796251921387787</v>
      </c>
      <c r="W63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31" s="39">
        <f>IF(MIP[[#This Row],[P.S]]-MIP[[#This Row],[P.E]]&lt;0,1+MIP[[#This Row],[P.S]]-MIP[[#This Row],[P.E]]-1/24,MIP[[#This Row],[P.S]]-MIP[[#This Row],[P.E]]-1/24)</f>
        <v>0.3756944444444445</v>
      </c>
      <c r="Y631" s="39">
        <f>MIP[[#This Row],[PT-1]]*$S$3+MIP[[#This Row],[PT-2]]*$T$3+MIP[[#This Row],[PT-3]]*$U$3+MIP[[#This Row],[PT &gt; 3 Pontos]]*$V$3</f>
        <v>0.32988547537573792</v>
      </c>
      <c r="Z631" s="39">
        <f>MIP[[#This Row],[HH disponível]]-MIP[[#This Row],[HH AC TOT]]</f>
        <v>0.30555555555555552</v>
      </c>
      <c r="AA631" s="38">
        <f>MIP[[#This Row],[HH Produtivo
Total]]/MIP[[#This Row],[HH Trabalhado]]</f>
        <v>1.0796251921387787</v>
      </c>
      <c r="AB631" s="38">
        <f>MIP[[#This Row],[HH Produtivo
Total]]/MIP[[#This Row],[HH disponível]]</f>
        <v>0.87806854813505086</v>
      </c>
      <c r="AC631" s="38">
        <f>MIP[[#This Row],[HH Trabalhado]]/MIP[[#This Row],[HH disponível]]</f>
        <v>0.81330868761552666</v>
      </c>
      <c r="AD631" s="37" t="str">
        <f>LEFT(MIP[[#This Row],[Equipe]], SEARCH("/",MIP[[#This Row],[Equipe]],1)-1)</f>
        <v xml:space="preserve">JOILSON </v>
      </c>
      <c r="AE631" s="37" t="str">
        <f>RIGHT(MIP[[#This Row],[Equipe]], LEN(MIP[[#This Row],[Equipe]])-SEARCH("/",MIP[[#This Row],[Equipe]],1))</f>
        <v xml:space="preserve"> HERVAL</v>
      </c>
      <c r="AF631" s="44">
        <f>COUNTIFS('[1]Tempo parado'!H:H,"&gt;="&amp;MIP[[#This Row],[S.B Sitrack]],'[1]Tempo parado'!I:I,"&lt;="&amp;MIP[[#This Row],[C.B Sitrack]],'[1]Tempo parado'!B:B,MIP[[#This Row],[Placa]])</f>
        <v>0</v>
      </c>
      <c r="AG631" s="36"/>
      <c r="AH631" s="35"/>
      <c r="AI631" s="34"/>
      <c r="AJ631" s="34"/>
      <c r="AK63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3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31" s="32">
        <f>SUMIFS('[1]Tempo parado'!J:J,'[1]Tempo parado'!H:H,"&gt;="&amp;MIP[[#This Row],[S.B Sitrack]],'[1]Tempo parado'!I:I,"&lt;="&amp;MIP[[#This Row],[C.B Sitrack]],'[1]Tempo parado'!B:B,MIP[[#This Row],[Placa]])</f>
        <v>0</v>
      </c>
      <c r="AN631" s="32" t="str">
        <f>IFERROR(MIP[[#This Row],[Tempo parado]]/(MIP[[#This Row],[C.B Sitrack]]-MIP[[#This Row],[S.B Sitrack]]),"")</f>
        <v/>
      </c>
      <c r="AO631" s="30"/>
      <c r="AP631" s="44">
        <f>IF(AND(MIP[Exc]=0,MIP[Previsto / Realizado]="Realizado"),MIP[Sem],0)</f>
        <v>40</v>
      </c>
      <c r="AQ631" s="29">
        <f>IF(AND(MIP[Exc]=0,MIP[Previsto / Realizado]="Realizado",ISBLANK(MIP[[#This Row],[S.B Sitrack]])=FALSE,ISBLANK(MIP[[#This Row],[C.B Sitrack]])=FALSE),MIP[Sem],0)</f>
        <v>0</v>
      </c>
    </row>
    <row r="632" spans="2:43" x14ac:dyDescent="0.25">
      <c r="B632" s="44">
        <f>WEEKNUM(MIP[[#This Row],[Data]])</f>
        <v>40</v>
      </c>
      <c r="C632" s="45">
        <v>43014</v>
      </c>
      <c r="D632" s="45"/>
      <c r="E632" s="35" t="s">
        <v>7</v>
      </c>
      <c r="F632" s="35" t="s">
        <v>5</v>
      </c>
      <c r="G632" s="35"/>
      <c r="H632" s="44">
        <v>2</v>
      </c>
      <c r="I632" s="44">
        <v>1</v>
      </c>
      <c r="J632" s="44">
        <v>2</v>
      </c>
      <c r="K632" s="44">
        <v>1</v>
      </c>
      <c r="L632" s="44">
        <v>0</v>
      </c>
      <c r="M632" s="43">
        <v>0.625</v>
      </c>
      <c r="N632" s="43">
        <v>0.64583333333333337</v>
      </c>
      <c r="O632" s="43">
        <v>1.0125</v>
      </c>
      <c r="P632" s="43">
        <v>1.0333333333333334</v>
      </c>
      <c r="Q632" s="39"/>
      <c r="R632" s="42" t="s">
        <v>207</v>
      </c>
      <c r="S632" s="29">
        <f>MIP[[#This Row],[PT-1]]+MIP[[#This Row],[PT-2]]*2+MIP[[#This Row],[PT-3]]*3+MIP[[#This Row],[PT &gt; 3 Pontos]]</f>
        <v>8</v>
      </c>
      <c r="T63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632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632" s="41">
        <f>MIP[[#This Row],[Eficiência]]</f>
        <v>0.5404155828068874</v>
      </c>
      <c r="W63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32" s="39">
        <f>IF(MIP[[#This Row],[P.S]]-MIP[[#This Row],[P.E]]&lt;0,1+MIP[[#This Row],[P.S]]-MIP[[#This Row],[P.E]]-1/24,MIP[[#This Row],[P.S]]-MIP[[#This Row],[P.E]]-1/24)</f>
        <v>0.36666666666666675</v>
      </c>
      <c r="Y632" s="39">
        <f>MIP[[#This Row],[PT-1]]*$S$3+MIP[[#This Row],[PT-2]]*$T$3+MIP[[#This Row],[PT-3]]*$U$3+MIP[[#This Row],[PT &gt; 3 Pontos]]*$V$3</f>
        <v>0.17563506441223833</v>
      </c>
      <c r="Z632" s="39">
        <f>MIP[[#This Row],[HH disponível]]-MIP[[#This Row],[HH AC TOT]]</f>
        <v>0.3249999999999999</v>
      </c>
      <c r="AA632" s="38">
        <f>MIP[[#This Row],[HH Produtivo
Total]]/MIP[[#This Row],[HH Trabalhado]]</f>
        <v>0.5404155828068874</v>
      </c>
      <c r="AB632" s="38">
        <f>MIP[[#This Row],[HH Produtivo
Total]]/MIP[[#This Row],[HH disponível]]</f>
        <v>0.47900472112428627</v>
      </c>
      <c r="AC632" s="38">
        <f>MIP[[#This Row],[HH Trabalhado]]/MIP[[#This Row],[HH disponível]]</f>
        <v>0.88636363636363591</v>
      </c>
      <c r="AD632" s="37" t="str">
        <f>LEFT(MIP[[#This Row],[Equipe]], SEARCH("/",MIP[[#This Row],[Equipe]],1)-1)</f>
        <v xml:space="preserve">ANDERSON </v>
      </c>
      <c r="AE632" s="37" t="str">
        <f>RIGHT(MIP[[#This Row],[Equipe]], LEN(MIP[[#This Row],[Equipe]])-SEARCH("/",MIP[[#This Row],[Equipe]],1))</f>
        <v xml:space="preserve"> MARCO</v>
      </c>
      <c r="AF632" s="44">
        <f>COUNTIFS('[1]Tempo parado'!H:H,"&gt;="&amp;MIP[[#This Row],[S.B Sitrack]],'[1]Tempo parado'!I:I,"&lt;="&amp;MIP[[#This Row],[C.B Sitrack]],'[1]Tempo parado'!B:B,MIP[[#This Row],[Placa]])</f>
        <v>0</v>
      </c>
      <c r="AG632" s="36"/>
      <c r="AH632" s="35"/>
      <c r="AI632" s="34"/>
      <c r="AJ632" s="34"/>
      <c r="AK63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3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32" s="32">
        <f>SUMIFS('[1]Tempo parado'!J:J,'[1]Tempo parado'!H:H,"&gt;="&amp;MIP[[#This Row],[S.B Sitrack]],'[1]Tempo parado'!I:I,"&lt;="&amp;MIP[[#This Row],[C.B Sitrack]],'[1]Tempo parado'!B:B,MIP[[#This Row],[Placa]])</f>
        <v>0</v>
      </c>
      <c r="AN632" s="32" t="str">
        <f>IFERROR(MIP[[#This Row],[Tempo parado]]/(MIP[[#This Row],[C.B Sitrack]]-MIP[[#This Row],[S.B Sitrack]]),"")</f>
        <v/>
      </c>
      <c r="AO632" s="30"/>
      <c r="AP632" s="44">
        <f>IF(AND(MIP[Exc]=0,MIP[Previsto / Realizado]="Realizado"),MIP[Sem],0)</f>
        <v>0</v>
      </c>
      <c r="AQ632" s="29">
        <f>IF(AND(MIP[Exc]=0,MIP[Previsto / Realizado]="Realizado",ISBLANK(MIP[[#This Row],[S.B Sitrack]])=FALSE,ISBLANK(MIP[[#This Row],[C.B Sitrack]])=FALSE),MIP[Sem],0)</f>
        <v>0</v>
      </c>
    </row>
    <row r="633" spans="2:43" x14ac:dyDescent="0.25">
      <c r="B633" s="44">
        <f>WEEKNUM(MIP[[#This Row],[Data]])</f>
        <v>40</v>
      </c>
      <c r="C633" s="45">
        <v>43014</v>
      </c>
      <c r="D633" s="45"/>
      <c r="E633" s="35" t="s">
        <v>7</v>
      </c>
      <c r="F633" s="35" t="s">
        <v>2</v>
      </c>
      <c r="G633" s="35"/>
      <c r="H633" s="44">
        <v>2</v>
      </c>
      <c r="I633" s="44">
        <v>6</v>
      </c>
      <c r="J633" s="44">
        <v>1</v>
      </c>
      <c r="K633" s="44">
        <v>1</v>
      </c>
      <c r="L633" s="44">
        <v>0</v>
      </c>
      <c r="M633" s="43">
        <v>0.62361111111111112</v>
      </c>
      <c r="N633" s="43">
        <v>0.6875</v>
      </c>
      <c r="O633" s="43">
        <v>1.0138888888888888</v>
      </c>
      <c r="P633" s="43">
        <v>1.0333333333333334</v>
      </c>
      <c r="Q633" s="39">
        <v>0.11458333333333333</v>
      </c>
      <c r="R633" s="42" t="s">
        <v>206</v>
      </c>
      <c r="S633" s="29">
        <f>MIP[[#This Row],[PT-1]]+MIP[[#This Row],[PT-2]]*2+MIP[[#This Row],[PT-3]]*3+MIP[[#This Row],[PT &gt; 3 Pontos]]</f>
        <v>11</v>
      </c>
      <c r="T63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0.1979166666666668</v>
      </c>
      <c r="U633" s="39">
        <f>IF(MIP[[#This Row],[P.S]]-MIP[[#This Row],[U.P]]&gt;=0,MIP[[#This Row],[P.S]]-MIP[[#This Row],[U.P]]+MIP[[#This Row],[S.B]]-MIP[[#This Row],[P.E]],1+MIP[[#This Row],[P.S]]-MIP[[#This Row],[U.P]]+MIP[[#This Row],[S.B]]-MIP[[#This Row],[P.E]])</f>
        <v>8.3333333333333481E-2</v>
      </c>
      <c r="V633" s="41">
        <f>MIP[[#This Row],[Eficiência]]</f>
        <v>1.5096816770186334</v>
      </c>
      <c r="W63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33" s="39">
        <f>IF(MIP[[#This Row],[P.S]]-MIP[[#This Row],[P.E]]&lt;0,1+MIP[[#This Row],[P.S]]-MIP[[#This Row],[P.E]]-1/24,MIP[[#This Row],[P.S]]-MIP[[#This Row],[P.E]]-1/24)</f>
        <v>0.36805555555555564</v>
      </c>
      <c r="Y633" s="39">
        <f>MIP[[#This Row],[PT-1]]*$S$3+MIP[[#This Row],[PT-2]]*$T$3+MIP[[#This Row],[PT-3]]*$U$3+MIP[[#This Row],[PT &gt; 3 Pontos]]*$V$3</f>
        <v>0.25685556310386465</v>
      </c>
      <c r="Z633" s="39">
        <f>MIP[[#This Row],[HH disponível]]-MIP[[#This Row],[HH AC TOT]]</f>
        <v>0.17013888888888884</v>
      </c>
      <c r="AA633" s="38">
        <f>MIP[[#This Row],[HH Produtivo
Total]]/MIP[[#This Row],[HH Trabalhado]]</f>
        <v>1.5096816770186334</v>
      </c>
      <c r="AB633" s="38">
        <f>MIP[[#This Row],[HH Produtivo
Total]]/MIP[[#This Row],[HH disponível]]</f>
        <v>0.69787171862182074</v>
      </c>
      <c r="AC633" s="38">
        <f>MIP[[#This Row],[HH Trabalhado]]/MIP[[#This Row],[HH disponível]]</f>
        <v>0.46226415094339601</v>
      </c>
      <c r="AD633" s="37" t="str">
        <f>LEFT(MIP[[#This Row],[Equipe]], SEARCH("/",MIP[[#This Row],[Equipe]],1)-1)</f>
        <v xml:space="preserve">ANDERSON </v>
      </c>
      <c r="AE633" s="37" t="str">
        <f>RIGHT(MIP[[#This Row],[Equipe]], LEN(MIP[[#This Row],[Equipe]])-SEARCH("/",MIP[[#This Row],[Equipe]],1))</f>
        <v xml:space="preserve"> MARCO</v>
      </c>
      <c r="AF633" s="44">
        <f>COUNTIFS('[1]Tempo parado'!H:H,"&gt;="&amp;MIP[[#This Row],[S.B Sitrack]],'[1]Tempo parado'!I:I,"&lt;="&amp;MIP[[#This Row],[C.B Sitrack]],'[1]Tempo parado'!B:B,MIP[[#This Row],[Placa]])</f>
        <v>0</v>
      </c>
      <c r="AG633" s="36"/>
      <c r="AH633" s="35"/>
      <c r="AI633" s="34"/>
      <c r="AJ633" s="34"/>
      <c r="AK63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3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33" s="32">
        <f>SUMIFS('[1]Tempo parado'!J:J,'[1]Tempo parado'!H:H,"&gt;="&amp;MIP[[#This Row],[S.B Sitrack]],'[1]Tempo parado'!I:I,"&lt;="&amp;MIP[[#This Row],[C.B Sitrack]],'[1]Tempo parado'!B:B,MIP[[#This Row],[Placa]])</f>
        <v>0</v>
      </c>
      <c r="AN633" s="32" t="str">
        <f>IFERROR(MIP[[#This Row],[Tempo parado]]/(MIP[[#This Row],[C.B Sitrack]]-MIP[[#This Row],[S.B Sitrack]]),"")</f>
        <v/>
      </c>
      <c r="AO633" s="30"/>
      <c r="AP633" s="44">
        <f>IF(AND(MIP[Exc]=0,MIP[Previsto / Realizado]="Realizado"),MIP[Sem],0)</f>
        <v>40</v>
      </c>
      <c r="AQ633" s="29">
        <f>IF(AND(MIP[Exc]=0,MIP[Previsto / Realizado]="Realizado",ISBLANK(MIP[[#This Row],[S.B Sitrack]])=FALSE,ISBLANK(MIP[[#This Row],[C.B Sitrack]])=FALSE),MIP[Sem],0)</f>
        <v>0</v>
      </c>
    </row>
    <row r="634" spans="2:43" x14ac:dyDescent="0.25">
      <c r="B634" s="44">
        <f>WEEKNUM(MIP[[#This Row],[Data]])</f>
        <v>40</v>
      </c>
      <c r="C634" s="45">
        <v>43014</v>
      </c>
      <c r="D634" s="45"/>
      <c r="E634" s="35" t="s">
        <v>3</v>
      </c>
      <c r="F634" s="35" t="s">
        <v>5</v>
      </c>
      <c r="G634" s="35"/>
      <c r="H634" s="44">
        <v>2</v>
      </c>
      <c r="I634" s="44">
        <v>7</v>
      </c>
      <c r="J634" s="44">
        <v>0</v>
      </c>
      <c r="K634" s="44">
        <v>0</v>
      </c>
      <c r="L634" s="44">
        <v>0</v>
      </c>
      <c r="M634" s="43">
        <v>0.625</v>
      </c>
      <c r="N634" s="43">
        <v>0.64583333333333337</v>
      </c>
      <c r="O634" s="43">
        <v>1.0125</v>
      </c>
      <c r="P634" s="43">
        <v>1.0333333333333334</v>
      </c>
      <c r="Q634" s="39"/>
      <c r="R634" s="42" t="s">
        <v>205</v>
      </c>
      <c r="S634" s="29">
        <f>MIP[[#This Row],[PT-1]]+MIP[[#This Row],[PT-2]]*2+MIP[[#This Row],[PT-3]]*3+MIP[[#This Row],[PT &gt; 3 Pontos]]</f>
        <v>7</v>
      </c>
      <c r="T63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634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634" s="41">
        <f>MIP[[#This Row],[Eficiência]]</f>
        <v>0.53901837142326259</v>
      </c>
      <c r="W63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34" s="39">
        <f>IF(MIP[[#This Row],[P.S]]-MIP[[#This Row],[P.E]]&lt;0,1+MIP[[#This Row],[P.S]]-MIP[[#This Row],[P.E]]-1/24,MIP[[#This Row],[P.S]]-MIP[[#This Row],[P.E]]-1/24)</f>
        <v>0.36666666666666675</v>
      </c>
      <c r="Y634" s="39">
        <f>MIP[[#This Row],[PT-1]]*$S$3+MIP[[#This Row],[PT-2]]*$T$3+MIP[[#This Row],[PT-3]]*$U$3+MIP[[#This Row],[PT &gt; 3 Pontos]]*$V$3</f>
        <v>0.17518097071256028</v>
      </c>
      <c r="Z634" s="39">
        <f>MIP[[#This Row],[HH disponível]]-MIP[[#This Row],[HH AC TOT]]</f>
        <v>0.3249999999999999</v>
      </c>
      <c r="AA634" s="38">
        <f>MIP[[#This Row],[HH Produtivo
Total]]/MIP[[#This Row],[HH Trabalhado]]</f>
        <v>0.53901837142326259</v>
      </c>
      <c r="AB634" s="38">
        <f>MIP[[#This Row],[HH Produtivo
Total]]/MIP[[#This Row],[HH disponível]]</f>
        <v>0.47776628376152791</v>
      </c>
      <c r="AC634" s="38">
        <f>MIP[[#This Row],[HH Trabalhado]]/MIP[[#This Row],[HH disponível]]</f>
        <v>0.88636363636363591</v>
      </c>
      <c r="AD634" s="37" t="str">
        <f>LEFT(MIP[[#This Row],[Equipe]], SEARCH("/",MIP[[#This Row],[Equipe]],1)-1)</f>
        <v xml:space="preserve">EDILTON </v>
      </c>
      <c r="AE634" s="37" t="str">
        <f>RIGHT(MIP[[#This Row],[Equipe]], LEN(MIP[[#This Row],[Equipe]])-SEARCH("/",MIP[[#This Row],[Equipe]],1))</f>
        <v xml:space="preserve"> GECIVALDO</v>
      </c>
      <c r="AF634" s="44">
        <f>COUNTIFS('[1]Tempo parado'!H:H,"&gt;="&amp;MIP[[#This Row],[S.B Sitrack]],'[1]Tempo parado'!I:I,"&lt;="&amp;MIP[[#This Row],[C.B Sitrack]],'[1]Tempo parado'!B:B,MIP[[#This Row],[Placa]])</f>
        <v>0</v>
      </c>
      <c r="AG634" s="36"/>
      <c r="AH634" s="35"/>
      <c r="AI634" s="34"/>
      <c r="AJ634" s="34"/>
      <c r="AK63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3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34" s="32">
        <f>SUMIFS('[1]Tempo parado'!J:J,'[1]Tempo parado'!H:H,"&gt;="&amp;MIP[[#This Row],[S.B Sitrack]],'[1]Tempo parado'!I:I,"&lt;="&amp;MIP[[#This Row],[C.B Sitrack]],'[1]Tempo parado'!B:B,MIP[[#This Row],[Placa]])</f>
        <v>0</v>
      </c>
      <c r="AN634" s="32" t="str">
        <f>IFERROR(MIP[[#This Row],[Tempo parado]]/(MIP[[#This Row],[C.B Sitrack]]-MIP[[#This Row],[S.B Sitrack]]),"")</f>
        <v/>
      </c>
      <c r="AO634" s="30"/>
      <c r="AP634" s="44">
        <f>IF(AND(MIP[Exc]=0,MIP[Previsto / Realizado]="Realizado"),MIP[Sem],0)</f>
        <v>0</v>
      </c>
      <c r="AQ634" s="29">
        <f>IF(AND(MIP[Exc]=0,MIP[Previsto / Realizado]="Realizado",ISBLANK(MIP[[#This Row],[S.B Sitrack]])=FALSE,ISBLANK(MIP[[#This Row],[C.B Sitrack]])=FALSE),MIP[Sem],0)</f>
        <v>0</v>
      </c>
    </row>
    <row r="635" spans="2:43" x14ac:dyDescent="0.25">
      <c r="B635" s="44">
        <f>WEEKNUM(MIP[[#This Row],[Data]])</f>
        <v>40</v>
      </c>
      <c r="C635" s="45">
        <v>43014</v>
      </c>
      <c r="D635" s="45"/>
      <c r="E635" s="35" t="s">
        <v>3</v>
      </c>
      <c r="F635" s="35" t="s">
        <v>2</v>
      </c>
      <c r="G635" s="35"/>
      <c r="H635" s="44">
        <v>2</v>
      </c>
      <c r="I635" s="44">
        <v>9</v>
      </c>
      <c r="J635" s="44">
        <v>1</v>
      </c>
      <c r="K635" s="44">
        <v>0</v>
      </c>
      <c r="L635" s="44">
        <v>0</v>
      </c>
      <c r="M635" s="43">
        <v>0.61944444444444446</v>
      </c>
      <c r="N635" s="43">
        <v>0.68055555555555547</v>
      </c>
      <c r="O635" s="43">
        <v>0.9916666666666667</v>
      </c>
      <c r="P635" s="43">
        <v>1.0333333333333334</v>
      </c>
      <c r="Q635" s="39">
        <v>1.7361111111111112E-2</v>
      </c>
      <c r="R635" s="42" t="s">
        <v>204</v>
      </c>
      <c r="S635" s="29">
        <f>MIP[[#This Row],[PT-1]]+MIP[[#This Row],[PT-2]]*2+MIP[[#This Row],[PT-3]]*3+MIP[[#This Row],[PT &gt; 3 Pontos]]</f>
        <v>11</v>
      </c>
      <c r="T63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0.12013888888888885</v>
      </c>
      <c r="U635" s="39">
        <f>IF(MIP[[#This Row],[P.S]]-MIP[[#This Row],[U.P]]&gt;=0,MIP[[#This Row],[P.S]]-MIP[[#This Row],[U.P]]+MIP[[#This Row],[S.B]]-MIP[[#This Row],[P.E]],1+MIP[[#This Row],[P.S]]-MIP[[#This Row],[U.P]]+MIP[[#This Row],[S.B]]-MIP[[#This Row],[P.E]])</f>
        <v>0.10277777777777775</v>
      </c>
      <c r="V635" s="41">
        <f>MIP[[#This Row],[Eficiência]]</f>
        <v>1.0676685331576625</v>
      </c>
      <c r="W63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35" s="39">
        <f>IF(MIP[[#This Row],[P.S]]-MIP[[#This Row],[P.E]]&lt;0,1+MIP[[#This Row],[P.S]]-MIP[[#This Row],[P.E]]-1/24,MIP[[#This Row],[P.S]]-MIP[[#This Row],[P.E]]-1/24)</f>
        <v>0.37222222222222229</v>
      </c>
      <c r="Y635" s="39">
        <f>MIP[[#This Row],[PT-1]]*$S$3+MIP[[#This Row],[PT-2]]*$T$3+MIP[[#This Row],[PT-3]]*$U$3+MIP[[#This Row],[PT &gt; 3 Pontos]]*$V$3</f>
        <v>0.26914144273349422</v>
      </c>
      <c r="Z635" s="39">
        <f>MIP[[#This Row],[HH disponível]]-MIP[[#This Row],[HH AC TOT]]</f>
        <v>0.25208333333333344</v>
      </c>
      <c r="AA635" s="38">
        <f>MIP[[#This Row],[HH Produtivo
Total]]/MIP[[#This Row],[HH Trabalhado]]</f>
        <v>1.0676685331576625</v>
      </c>
      <c r="AB635" s="38">
        <f>MIP[[#This Row],[HH Produtivo
Total]]/MIP[[#This Row],[HH disponível]]</f>
        <v>0.72306656256759627</v>
      </c>
      <c r="AC635" s="38">
        <f>MIP[[#This Row],[HH Trabalhado]]/MIP[[#This Row],[HH disponível]]</f>
        <v>0.6772388059701494</v>
      </c>
      <c r="AD635" s="37" t="str">
        <f>LEFT(MIP[[#This Row],[Equipe]], SEARCH("/",MIP[[#This Row],[Equipe]],1)-1)</f>
        <v xml:space="preserve">EDILTON </v>
      </c>
      <c r="AE635" s="37" t="str">
        <f>RIGHT(MIP[[#This Row],[Equipe]], LEN(MIP[[#This Row],[Equipe]])-SEARCH("/",MIP[[#This Row],[Equipe]],1))</f>
        <v xml:space="preserve"> GECIVALDO</v>
      </c>
      <c r="AF635" s="44">
        <f>COUNTIFS('[1]Tempo parado'!H:H,"&gt;="&amp;MIP[[#This Row],[S.B Sitrack]],'[1]Tempo parado'!I:I,"&lt;="&amp;MIP[[#This Row],[C.B Sitrack]],'[1]Tempo parado'!B:B,MIP[[#This Row],[Placa]])</f>
        <v>0</v>
      </c>
      <c r="AG635" s="36"/>
      <c r="AH635" s="35"/>
      <c r="AI635" s="34"/>
      <c r="AJ635" s="34"/>
      <c r="AK63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3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35" s="32">
        <f>SUMIFS('[1]Tempo parado'!J:J,'[1]Tempo parado'!H:H,"&gt;="&amp;MIP[[#This Row],[S.B Sitrack]],'[1]Tempo parado'!I:I,"&lt;="&amp;MIP[[#This Row],[C.B Sitrack]],'[1]Tempo parado'!B:B,MIP[[#This Row],[Placa]])</f>
        <v>0</v>
      </c>
      <c r="AN635" s="32" t="str">
        <f>IFERROR(MIP[[#This Row],[Tempo parado]]/(MIP[[#This Row],[C.B Sitrack]]-MIP[[#This Row],[S.B Sitrack]]),"")</f>
        <v/>
      </c>
      <c r="AO635" s="30"/>
      <c r="AP635" s="44">
        <f>IF(AND(MIP[Exc]=0,MIP[Previsto / Realizado]="Realizado"),MIP[Sem],0)</f>
        <v>40</v>
      </c>
      <c r="AQ635" s="29">
        <f>IF(AND(MIP[Exc]=0,MIP[Previsto / Realizado]="Realizado",ISBLANK(MIP[[#This Row],[S.B Sitrack]])=FALSE,ISBLANK(MIP[[#This Row],[C.B Sitrack]])=FALSE),MIP[Sem],0)</f>
        <v>0</v>
      </c>
    </row>
    <row r="636" spans="2:43" x14ac:dyDescent="0.25">
      <c r="B636" s="44">
        <f>WEEKNUM(MIP[[#This Row],[Data]])</f>
        <v>40</v>
      </c>
      <c r="C636" s="45">
        <v>43015</v>
      </c>
      <c r="D636" s="45"/>
      <c r="E636" s="35" t="s">
        <v>3</v>
      </c>
      <c r="F636" s="35" t="s">
        <v>5</v>
      </c>
      <c r="G636" s="35"/>
      <c r="H636" s="44">
        <v>2</v>
      </c>
      <c r="I636" s="44">
        <v>2</v>
      </c>
      <c r="J636" s="44">
        <v>0</v>
      </c>
      <c r="K636" s="44">
        <v>1</v>
      </c>
      <c r="L636" s="44">
        <v>0</v>
      </c>
      <c r="M636" s="43">
        <v>0.625</v>
      </c>
      <c r="N636" s="43">
        <v>0.64583333333333337</v>
      </c>
      <c r="O636" s="43">
        <v>1.0125</v>
      </c>
      <c r="P636" s="43">
        <v>1.0333333333333334</v>
      </c>
      <c r="Q636" s="39"/>
      <c r="R636" s="42" t="s">
        <v>203</v>
      </c>
      <c r="S636" s="29">
        <f>MIP[[#This Row],[PT-1]]+MIP[[#This Row],[PT-2]]*2+MIP[[#This Row],[PT-3]]*3+MIP[[#This Row],[PT &gt; 3 Pontos]]</f>
        <v>5</v>
      </c>
      <c r="T63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636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636" s="41">
        <f>MIP[[#This Row],[Eficiência]]</f>
        <v>0.34721041589248119</v>
      </c>
      <c r="W63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36" s="39">
        <f>IF(MIP[[#This Row],[P.S]]-MIP[[#This Row],[P.E]]&lt;0,1+MIP[[#This Row],[P.S]]-MIP[[#This Row],[P.E]]-1/24,MIP[[#This Row],[P.S]]-MIP[[#This Row],[P.E]]-1/24)</f>
        <v>0.36666666666666675</v>
      </c>
      <c r="Y636" s="39">
        <f>MIP[[#This Row],[PT-1]]*$S$3+MIP[[#This Row],[PT-2]]*$T$3+MIP[[#This Row],[PT-3]]*$U$3+MIP[[#This Row],[PT &gt; 3 Pontos]]*$V$3</f>
        <v>0.11284338516505635</v>
      </c>
      <c r="Z636" s="39">
        <f>MIP[[#This Row],[HH disponível]]-MIP[[#This Row],[HH AC TOT]]</f>
        <v>0.3249999999999999</v>
      </c>
      <c r="AA636" s="38">
        <f>MIP[[#This Row],[HH Produtivo
Total]]/MIP[[#This Row],[HH Trabalhado]]</f>
        <v>0.34721041589248119</v>
      </c>
      <c r="AB636" s="38">
        <f>MIP[[#This Row],[HH Produtivo
Total]]/MIP[[#This Row],[HH disponível]]</f>
        <v>0.30775468681378998</v>
      </c>
      <c r="AC636" s="38">
        <f>MIP[[#This Row],[HH Trabalhado]]/MIP[[#This Row],[HH disponível]]</f>
        <v>0.88636363636363591</v>
      </c>
      <c r="AD636" s="37" t="str">
        <f>LEFT(MIP[[#This Row],[Equipe]], SEARCH("/",MIP[[#This Row],[Equipe]],1)-1)</f>
        <v xml:space="preserve">EDILTON </v>
      </c>
      <c r="AE636" s="37" t="str">
        <f>RIGHT(MIP[[#This Row],[Equipe]], LEN(MIP[[#This Row],[Equipe]])-SEARCH("/",MIP[[#This Row],[Equipe]],1))</f>
        <v xml:space="preserve"> GECIVALDO</v>
      </c>
      <c r="AF636" s="44">
        <f>COUNTIFS('[1]Tempo parado'!H:H,"&gt;="&amp;MIP[[#This Row],[S.B Sitrack]],'[1]Tempo parado'!I:I,"&lt;="&amp;MIP[[#This Row],[C.B Sitrack]],'[1]Tempo parado'!B:B,MIP[[#This Row],[Placa]])</f>
        <v>0</v>
      </c>
      <c r="AG636" s="36"/>
      <c r="AH636" s="35"/>
      <c r="AI636" s="34"/>
      <c r="AJ636" s="34"/>
      <c r="AK63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3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36" s="32">
        <f>SUMIFS('[1]Tempo parado'!J:J,'[1]Tempo parado'!H:H,"&gt;="&amp;MIP[[#This Row],[S.B Sitrack]],'[1]Tempo parado'!I:I,"&lt;="&amp;MIP[[#This Row],[C.B Sitrack]],'[1]Tempo parado'!B:B,MIP[[#This Row],[Placa]])</f>
        <v>0</v>
      </c>
      <c r="AN636" s="32" t="str">
        <f>IFERROR(MIP[[#This Row],[Tempo parado]]/(MIP[[#This Row],[C.B Sitrack]]-MIP[[#This Row],[S.B Sitrack]]),"")</f>
        <v/>
      </c>
      <c r="AO636" s="30"/>
      <c r="AP636" s="44">
        <f>IF(AND(MIP[Exc]=0,MIP[Previsto / Realizado]="Realizado"),MIP[Sem],0)</f>
        <v>0</v>
      </c>
      <c r="AQ636" s="29">
        <f>IF(AND(MIP[Exc]=0,MIP[Previsto / Realizado]="Realizado",ISBLANK(MIP[[#This Row],[S.B Sitrack]])=FALSE,ISBLANK(MIP[[#This Row],[C.B Sitrack]])=FALSE),MIP[Sem],0)</f>
        <v>0</v>
      </c>
    </row>
    <row r="637" spans="2:43" x14ac:dyDescent="0.25">
      <c r="B637" s="44">
        <f>WEEKNUM(MIP[[#This Row],[Data]])</f>
        <v>40</v>
      </c>
      <c r="C637" s="45">
        <v>43015</v>
      </c>
      <c r="D637" s="45"/>
      <c r="E637" s="35" t="s">
        <v>3</v>
      </c>
      <c r="F637" s="35" t="s">
        <v>2</v>
      </c>
      <c r="G637" s="35"/>
      <c r="H637" s="44">
        <v>2</v>
      </c>
      <c r="I637" s="44">
        <v>7</v>
      </c>
      <c r="J637" s="44">
        <v>1</v>
      </c>
      <c r="K637" s="44">
        <v>1</v>
      </c>
      <c r="L637" s="44">
        <v>0</v>
      </c>
      <c r="M637" s="43">
        <v>0.63055555555555554</v>
      </c>
      <c r="N637" s="43">
        <v>0.65972222222222221</v>
      </c>
      <c r="O637" s="43">
        <v>1.0104166666666667</v>
      </c>
      <c r="P637" s="43">
        <v>1.0368055555555555</v>
      </c>
      <c r="Q637" s="39">
        <v>3.4722222222222224E-2</v>
      </c>
      <c r="R637" s="42" t="s">
        <v>202</v>
      </c>
      <c r="S637" s="29">
        <f>MIP[[#This Row],[PT-1]]+MIP[[#This Row],[PT-2]]*2+MIP[[#This Row],[PT-3]]*3+MIP[[#This Row],[PT &gt; 3 Pontos]]</f>
        <v>12</v>
      </c>
      <c r="T63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9.0277777777777693E-2</v>
      </c>
      <c r="U637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5.5555555555555469E-2</v>
      </c>
      <c r="V637" s="41">
        <f>MIP[[#This Row],[Eficiência]]</f>
        <v>1.0276183269124923</v>
      </c>
      <c r="W63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37" s="39">
        <f>IF(MIP[[#This Row],[P.S]]-MIP[[#This Row],[P.E]]&lt;0,1+MIP[[#This Row],[P.S]]-MIP[[#This Row],[P.E]]-1/24,MIP[[#This Row],[P.S]]-MIP[[#This Row],[P.E]]-1/24)</f>
        <v>0.36458333333333331</v>
      </c>
      <c r="Y637" s="39">
        <f>MIP[[#This Row],[PT-1]]*$S$3+MIP[[#This Row],[PT-2]]*$T$3+MIP[[#This Row],[PT-3]]*$U$3+MIP[[#This Row],[PT &gt; 3 Pontos]]*$V$3</f>
        <v>0.28188141606280182</v>
      </c>
      <c r="Z637" s="39">
        <f>MIP[[#This Row],[HH disponível]]-MIP[[#This Row],[HH AC TOT]]</f>
        <v>0.27430555555555564</v>
      </c>
      <c r="AA637" s="38">
        <f>MIP[[#This Row],[HH Produtivo
Total]]/MIP[[#This Row],[HH Trabalhado]]</f>
        <v>1.0276183269124923</v>
      </c>
      <c r="AB637" s="38">
        <f>MIP[[#This Row],[HH Produtivo
Total]]/MIP[[#This Row],[HH disponível]]</f>
        <v>0.77316045548654211</v>
      </c>
      <c r="AC637" s="38">
        <f>MIP[[#This Row],[HH Trabalhado]]/MIP[[#This Row],[HH disponível]]</f>
        <v>0.75238095238095259</v>
      </c>
      <c r="AD637" s="37" t="str">
        <f>LEFT(MIP[[#This Row],[Equipe]], SEARCH("/",MIP[[#This Row],[Equipe]],1)-1)</f>
        <v xml:space="preserve">EDILTON </v>
      </c>
      <c r="AE637" s="37" t="str">
        <f>RIGHT(MIP[[#This Row],[Equipe]], LEN(MIP[[#This Row],[Equipe]])-SEARCH("/",MIP[[#This Row],[Equipe]],1))</f>
        <v xml:space="preserve"> GECIVALDO</v>
      </c>
      <c r="AF637" s="44">
        <f>COUNTIFS('[1]Tempo parado'!H:H,"&gt;="&amp;MIP[[#This Row],[S.B Sitrack]],'[1]Tempo parado'!I:I,"&lt;="&amp;MIP[[#This Row],[C.B Sitrack]],'[1]Tempo parado'!B:B,MIP[[#This Row],[Placa]])</f>
        <v>0</v>
      </c>
      <c r="AG637" s="36"/>
      <c r="AH637" s="35"/>
      <c r="AI637" s="34"/>
      <c r="AJ637" s="34"/>
      <c r="AK63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3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37" s="32">
        <f>SUMIFS('[1]Tempo parado'!J:J,'[1]Tempo parado'!H:H,"&gt;="&amp;MIP[[#This Row],[S.B Sitrack]],'[1]Tempo parado'!I:I,"&lt;="&amp;MIP[[#This Row],[C.B Sitrack]],'[1]Tempo parado'!B:B,MIP[[#This Row],[Placa]])</f>
        <v>0</v>
      </c>
      <c r="AN637" s="32" t="str">
        <f>IFERROR(MIP[[#This Row],[Tempo parado]]/(MIP[[#This Row],[C.B Sitrack]]-MIP[[#This Row],[S.B Sitrack]]),"")</f>
        <v/>
      </c>
      <c r="AO637" s="30"/>
      <c r="AP637" s="44">
        <f>IF(AND(MIP[Exc]=0,MIP[Previsto / Realizado]="Realizado"),MIP[Sem],0)</f>
        <v>40</v>
      </c>
      <c r="AQ637" s="29">
        <f>IF(AND(MIP[Exc]=0,MIP[Previsto / Realizado]="Realizado",ISBLANK(MIP[[#This Row],[S.B Sitrack]])=FALSE,ISBLANK(MIP[[#This Row],[C.B Sitrack]])=FALSE),MIP[Sem],0)</f>
        <v>0</v>
      </c>
    </row>
    <row r="638" spans="2:43" x14ac:dyDescent="0.25">
      <c r="B638" s="44">
        <f>WEEKNUM(MIP[[#This Row],[Data]])</f>
        <v>41</v>
      </c>
      <c r="C638" s="45">
        <v>43016</v>
      </c>
      <c r="D638" s="45"/>
      <c r="E638" s="35" t="s">
        <v>3</v>
      </c>
      <c r="F638" s="35" t="s">
        <v>5</v>
      </c>
      <c r="G638" s="35"/>
      <c r="H638" s="44">
        <v>2</v>
      </c>
      <c r="I638" s="44">
        <v>0</v>
      </c>
      <c r="J638" s="44">
        <v>0</v>
      </c>
      <c r="K638" s="44">
        <v>0</v>
      </c>
      <c r="L638" s="44">
        <v>0</v>
      </c>
      <c r="M638" s="43">
        <v>0.625</v>
      </c>
      <c r="N638" s="43">
        <v>0.64583333333333337</v>
      </c>
      <c r="O638" s="43">
        <v>1.0125</v>
      </c>
      <c r="P638" s="43">
        <v>1.0333333333333334</v>
      </c>
      <c r="Q638" s="39"/>
      <c r="R638" s="42" t="s">
        <v>201</v>
      </c>
      <c r="S638" s="29">
        <f>MIP[[#This Row],[PT-1]]+MIP[[#This Row],[PT-2]]*2+MIP[[#This Row],[PT-3]]*3+MIP[[#This Row],[PT &gt; 3 Pontos]]</f>
        <v>0</v>
      </c>
      <c r="T63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638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638" s="41">
        <f>MIP[[#This Row],[Eficiência]]</f>
        <v>0</v>
      </c>
      <c r="W63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38" s="39">
        <f>IF(MIP[[#This Row],[P.S]]-MIP[[#This Row],[P.E]]&lt;0,1+MIP[[#This Row],[P.S]]-MIP[[#This Row],[P.E]]-1/24,MIP[[#This Row],[P.S]]-MIP[[#This Row],[P.E]]-1/24)</f>
        <v>0.36666666666666675</v>
      </c>
      <c r="Y638" s="39">
        <f>MIP[[#This Row],[PT-1]]*$S$3+MIP[[#This Row],[PT-2]]*$T$3+MIP[[#This Row],[PT-3]]*$U$3+MIP[[#This Row],[PT &gt; 3 Pontos]]*$V$3</f>
        <v>0</v>
      </c>
      <c r="Z638" s="39">
        <f>MIP[[#This Row],[HH disponível]]-MIP[[#This Row],[HH AC TOT]]</f>
        <v>0.3249999999999999</v>
      </c>
      <c r="AA638" s="38">
        <f>MIP[[#This Row],[HH Produtivo
Total]]/MIP[[#This Row],[HH Trabalhado]]</f>
        <v>0</v>
      </c>
      <c r="AB638" s="38">
        <f>MIP[[#This Row],[HH Produtivo
Total]]/MIP[[#This Row],[HH disponível]]</f>
        <v>0</v>
      </c>
      <c r="AC638" s="38">
        <f>MIP[[#This Row],[HH Trabalhado]]/MIP[[#This Row],[HH disponível]]</f>
        <v>0.88636363636363591</v>
      </c>
      <c r="AD638" s="37" t="str">
        <f>LEFT(MIP[[#This Row],[Equipe]], SEARCH("/",MIP[[#This Row],[Equipe]],1)-1)</f>
        <v xml:space="preserve">EDILTON </v>
      </c>
      <c r="AE638" s="37" t="str">
        <f>RIGHT(MIP[[#This Row],[Equipe]], LEN(MIP[[#This Row],[Equipe]])-SEARCH("/",MIP[[#This Row],[Equipe]],1))</f>
        <v xml:space="preserve"> GECIVALDO</v>
      </c>
      <c r="AF638" s="44">
        <f>COUNTIFS('[1]Tempo parado'!H:H,"&gt;="&amp;MIP[[#This Row],[S.B Sitrack]],'[1]Tempo parado'!I:I,"&lt;="&amp;MIP[[#This Row],[C.B Sitrack]],'[1]Tempo parado'!B:B,MIP[[#This Row],[Placa]])</f>
        <v>0</v>
      </c>
      <c r="AG638" s="36"/>
      <c r="AH638" s="35"/>
      <c r="AI638" s="34"/>
      <c r="AJ638" s="34"/>
      <c r="AK63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3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38" s="32">
        <f>SUMIFS('[1]Tempo parado'!J:J,'[1]Tempo parado'!H:H,"&gt;="&amp;MIP[[#This Row],[S.B Sitrack]],'[1]Tempo parado'!I:I,"&lt;="&amp;MIP[[#This Row],[C.B Sitrack]],'[1]Tempo parado'!B:B,MIP[[#This Row],[Placa]])</f>
        <v>0</v>
      </c>
      <c r="AN638" s="32" t="str">
        <f>IFERROR(MIP[[#This Row],[Tempo parado]]/(MIP[[#This Row],[C.B Sitrack]]-MIP[[#This Row],[S.B Sitrack]]),"")</f>
        <v/>
      </c>
      <c r="AO638" s="30"/>
      <c r="AP638" s="44">
        <f>IF(AND(MIP[Exc]=0,MIP[Previsto / Realizado]="Realizado"),MIP[Sem],0)</f>
        <v>0</v>
      </c>
      <c r="AQ638" s="29">
        <f>IF(AND(MIP[Exc]=0,MIP[Previsto / Realizado]="Realizado",ISBLANK(MIP[[#This Row],[S.B Sitrack]])=FALSE,ISBLANK(MIP[[#This Row],[C.B Sitrack]])=FALSE),MIP[Sem],0)</f>
        <v>0</v>
      </c>
    </row>
    <row r="639" spans="2:43" x14ac:dyDescent="0.25">
      <c r="B639" s="44">
        <f>WEEKNUM(MIP[[#This Row],[Data]])</f>
        <v>41</v>
      </c>
      <c r="C639" s="45">
        <v>43016</v>
      </c>
      <c r="D639" s="45"/>
      <c r="E639" s="35" t="s">
        <v>3</v>
      </c>
      <c r="F639" s="35" t="s">
        <v>2</v>
      </c>
      <c r="G639" s="35"/>
      <c r="H639" s="44">
        <v>2</v>
      </c>
      <c r="I639" s="44">
        <v>10</v>
      </c>
      <c r="J639" s="44">
        <v>2</v>
      </c>
      <c r="K639" s="44">
        <v>0</v>
      </c>
      <c r="L639" s="44">
        <v>0</v>
      </c>
      <c r="M639" s="43">
        <v>0.62222222222222223</v>
      </c>
      <c r="N639" s="43">
        <v>0.64583333333333337</v>
      </c>
      <c r="O639" s="43">
        <v>1.0138888888888888</v>
      </c>
      <c r="P639" s="43">
        <v>1.0333333333333334</v>
      </c>
      <c r="Q639" s="39"/>
      <c r="R639" s="42" t="s">
        <v>92</v>
      </c>
      <c r="S639" s="29">
        <f>MIP[[#This Row],[PT-1]]+MIP[[#This Row],[PT-2]]*2+MIP[[#This Row],[PT-3]]*3+MIP[[#This Row],[PT &gt; 3 Pontos]]</f>
        <v>14</v>
      </c>
      <c r="T63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4.3055555555555736E-2</v>
      </c>
      <c r="U639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4.3055555555555736E-2</v>
      </c>
      <c r="V639" s="41">
        <f>MIP[[#This Row],[Eficiência]]</f>
        <v>1.0358075084798024</v>
      </c>
      <c r="W63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39" s="39">
        <f>IF(MIP[[#This Row],[P.S]]-MIP[[#This Row],[P.E]]&lt;0,1+MIP[[#This Row],[P.S]]-MIP[[#This Row],[P.E]]-1/24,MIP[[#This Row],[P.S]]-MIP[[#This Row],[P.E]]-1/24)</f>
        <v>0.36944444444444452</v>
      </c>
      <c r="Y639" s="39">
        <f>MIP[[#This Row],[PT-1]]*$S$3+MIP[[#This Row],[PT-2]]*$T$3+MIP[[#This Row],[PT-3]]*$U$3+MIP[[#This Row],[PT &gt; 3 Pontos]]*$V$3</f>
        <v>0.33807606179549093</v>
      </c>
      <c r="Z639" s="39">
        <f>MIP[[#This Row],[HH disponível]]-MIP[[#This Row],[HH AC TOT]]</f>
        <v>0.32638888888888878</v>
      </c>
      <c r="AA639" s="38">
        <f>MIP[[#This Row],[HH Produtivo
Total]]/MIP[[#This Row],[HH Trabalhado]]</f>
        <v>1.0358075084798024</v>
      </c>
      <c r="AB639" s="38">
        <f>MIP[[#This Row],[HH Produtivo
Total]]/MIP[[#This Row],[HH disponível]]</f>
        <v>0.91509309959681739</v>
      </c>
      <c r="AC639" s="38">
        <f>MIP[[#This Row],[HH Trabalhado]]/MIP[[#This Row],[HH disponível]]</f>
        <v>0.88345864661654094</v>
      </c>
      <c r="AD639" s="37" t="str">
        <f>LEFT(MIP[[#This Row],[Equipe]], SEARCH("/",MIP[[#This Row],[Equipe]],1)-1)</f>
        <v xml:space="preserve">EDILTON </v>
      </c>
      <c r="AE639" s="37" t="str">
        <f>RIGHT(MIP[[#This Row],[Equipe]], LEN(MIP[[#This Row],[Equipe]])-SEARCH("/",MIP[[#This Row],[Equipe]],1))</f>
        <v xml:space="preserve"> GECIVALDO</v>
      </c>
      <c r="AF639" s="44">
        <f>COUNTIFS('[1]Tempo parado'!H:H,"&gt;="&amp;MIP[[#This Row],[S.B Sitrack]],'[1]Tempo parado'!I:I,"&lt;="&amp;MIP[[#This Row],[C.B Sitrack]],'[1]Tempo parado'!B:B,MIP[[#This Row],[Placa]])</f>
        <v>0</v>
      </c>
      <c r="AG639" s="36"/>
      <c r="AH639" s="35"/>
      <c r="AI639" s="34"/>
      <c r="AJ639" s="34"/>
      <c r="AK63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3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39" s="32">
        <f>SUMIFS('[1]Tempo parado'!J:J,'[1]Tempo parado'!H:H,"&gt;="&amp;MIP[[#This Row],[S.B Sitrack]],'[1]Tempo parado'!I:I,"&lt;="&amp;MIP[[#This Row],[C.B Sitrack]],'[1]Tempo parado'!B:B,MIP[[#This Row],[Placa]])</f>
        <v>0</v>
      </c>
      <c r="AN639" s="32" t="str">
        <f>IFERROR(MIP[[#This Row],[Tempo parado]]/(MIP[[#This Row],[C.B Sitrack]]-MIP[[#This Row],[S.B Sitrack]]),"")</f>
        <v/>
      </c>
      <c r="AO639" s="30"/>
      <c r="AP639" s="44">
        <f>IF(AND(MIP[Exc]=0,MIP[Previsto / Realizado]="Realizado"),MIP[Sem],0)</f>
        <v>41</v>
      </c>
      <c r="AQ639" s="29">
        <f>IF(AND(MIP[Exc]=0,MIP[Previsto / Realizado]="Realizado",ISBLANK(MIP[[#This Row],[S.B Sitrack]])=FALSE,ISBLANK(MIP[[#This Row],[C.B Sitrack]])=FALSE),MIP[Sem],0)</f>
        <v>0</v>
      </c>
    </row>
    <row r="640" spans="2:43" x14ac:dyDescent="0.25">
      <c r="B640" s="44">
        <f>WEEKNUM(MIP[[#This Row],[Data]])</f>
        <v>41</v>
      </c>
      <c r="C640" s="45">
        <v>43017</v>
      </c>
      <c r="D640" s="45"/>
      <c r="E640" s="35" t="s">
        <v>7</v>
      </c>
      <c r="F640" s="35" t="s">
        <v>5</v>
      </c>
      <c r="G640" s="35"/>
      <c r="H640" s="44">
        <v>2</v>
      </c>
      <c r="I640" s="44">
        <v>3</v>
      </c>
      <c r="J640" s="44">
        <v>5</v>
      </c>
      <c r="K640" s="44">
        <v>0</v>
      </c>
      <c r="L640" s="44">
        <v>0</v>
      </c>
      <c r="M640" s="43">
        <v>0.625</v>
      </c>
      <c r="N640" s="43">
        <v>0.64583333333333337</v>
      </c>
      <c r="O640" s="43">
        <v>1.0125</v>
      </c>
      <c r="P640" s="43">
        <v>1.0333333333333334</v>
      </c>
      <c r="Q640" s="39"/>
      <c r="R640" s="67"/>
      <c r="S640" s="29">
        <v>13</v>
      </c>
      <c r="T64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640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640" s="41">
        <f>MIP[[#This Row],[Eficiência]]</f>
        <v>0.90652735197572176</v>
      </c>
      <c r="W64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40" s="39">
        <f>IF(MIP[[#This Row],[P.S]]-MIP[[#This Row],[P.E]]&lt;0,1+MIP[[#This Row],[P.S]]-MIP[[#This Row],[P.E]]-1/24,MIP[[#This Row],[P.S]]-MIP[[#This Row],[P.E]]-1/24)</f>
        <v>0.36666666666666675</v>
      </c>
      <c r="Y640" s="39">
        <f>MIP[[#This Row],[PT-1]]*$S$3+MIP[[#This Row],[PT-2]]*$T$3+MIP[[#This Row],[PT-3]]*$U$3+MIP[[#This Row],[PT &gt; 3 Pontos]]*$V$3</f>
        <v>0.29462138939210947</v>
      </c>
      <c r="Z640" s="39">
        <f>MIP[[#This Row],[HH disponível]]-MIP[[#This Row],[HH AC TOT]]</f>
        <v>0.3249999999999999</v>
      </c>
      <c r="AA640" s="38">
        <f>MIP[[#This Row],[HH Produtivo
Total]]/MIP[[#This Row],[HH Trabalhado]]</f>
        <v>0.90652735197572176</v>
      </c>
      <c r="AB640" s="38">
        <f>MIP[[#This Row],[HH Produtivo
Total]]/MIP[[#This Row],[HH disponível]]</f>
        <v>0.80351288016029832</v>
      </c>
      <c r="AC640" s="38">
        <f>MIP[[#This Row],[HH Trabalhado]]/MIP[[#This Row],[HH disponível]]</f>
        <v>0.88636363636363591</v>
      </c>
      <c r="AD640" s="37" t="str">
        <f>LEFT(MIP[[#This Row],[Equipe]], SEARCH("/",MIP[[#This Row],[Equipe]],1)-1)</f>
        <v xml:space="preserve">ANDERSON </v>
      </c>
      <c r="AE640" s="37" t="str">
        <f>RIGHT(MIP[[#This Row],[Equipe]], LEN(MIP[[#This Row],[Equipe]])-SEARCH("/",MIP[[#This Row],[Equipe]],1))</f>
        <v xml:space="preserve"> MARCO</v>
      </c>
      <c r="AF640" s="44">
        <f>COUNTIFS('[1]Tempo parado'!H:H,"&gt;="&amp;MIP[[#This Row],[S.B Sitrack]],'[1]Tempo parado'!I:I,"&lt;="&amp;MIP[[#This Row],[C.B Sitrack]],'[1]Tempo parado'!B:B,MIP[[#This Row],[Placa]])</f>
        <v>0</v>
      </c>
      <c r="AG640" s="36"/>
      <c r="AH640" s="35"/>
      <c r="AI640" s="34"/>
      <c r="AJ640" s="34"/>
      <c r="AK64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4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40" s="32">
        <f>SUMIFS('[1]Tempo parado'!J:J,'[1]Tempo parado'!H:H,"&gt;="&amp;MIP[[#This Row],[S.B Sitrack]],'[1]Tempo parado'!I:I,"&lt;="&amp;MIP[[#This Row],[C.B Sitrack]],'[1]Tempo parado'!B:B,MIP[[#This Row],[Placa]])</f>
        <v>0</v>
      </c>
      <c r="AN640" s="32" t="str">
        <f>IFERROR(MIP[[#This Row],[Tempo parado]]/(MIP[[#This Row],[C.B Sitrack]]-MIP[[#This Row],[S.B Sitrack]]),"")</f>
        <v/>
      </c>
      <c r="AO640" s="30"/>
      <c r="AP640" s="44">
        <f>IF(AND(MIP[Exc]=0,MIP[Previsto / Realizado]="Realizado"),MIP[Sem],0)</f>
        <v>0</v>
      </c>
      <c r="AQ640" s="29">
        <f>IF(AND(MIP[Exc]=0,MIP[Previsto / Realizado]="Realizado",ISBLANK(MIP[[#This Row],[S.B Sitrack]])=FALSE,ISBLANK(MIP[[#This Row],[C.B Sitrack]])=FALSE),MIP[Sem],0)</f>
        <v>0</v>
      </c>
    </row>
    <row r="641" spans="2:43" x14ac:dyDescent="0.25">
      <c r="B641" s="44">
        <f>WEEKNUM(MIP[[#This Row],[Data]])</f>
        <v>41</v>
      </c>
      <c r="C641" s="45">
        <v>43017</v>
      </c>
      <c r="D641" s="45"/>
      <c r="E641" s="35" t="s">
        <v>7</v>
      </c>
      <c r="F641" s="35" t="s">
        <v>2</v>
      </c>
      <c r="G641" s="35"/>
      <c r="H641" s="44">
        <v>2</v>
      </c>
      <c r="I641" s="44">
        <v>5</v>
      </c>
      <c r="J641" s="44">
        <v>5</v>
      </c>
      <c r="K641" s="44">
        <v>0</v>
      </c>
      <c r="L641" s="44">
        <v>0</v>
      </c>
      <c r="M641" s="43">
        <v>0.62361111111111112</v>
      </c>
      <c r="N641" s="43">
        <v>0.66319444444444442</v>
      </c>
      <c r="O641" s="43">
        <v>1.0104166666666667</v>
      </c>
      <c r="P641" s="43">
        <v>1.0333333333333334</v>
      </c>
      <c r="Q641" s="39"/>
      <c r="R641" s="42" t="s">
        <v>200</v>
      </c>
      <c r="S641" s="29">
        <v>15</v>
      </c>
      <c r="T64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6.25E-2</v>
      </c>
      <c r="U641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6.25E-2</v>
      </c>
      <c r="V641" s="41">
        <f>MIP[[#This Row],[Eficiência]]</f>
        <v>1.1280210391963104</v>
      </c>
      <c r="W64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41" s="39">
        <f>IF(MIP[[#This Row],[P.S]]-MIP[[#This Row],[P.E]]&lt;0,1+MIP[[#This Row],[P.S]]-MIP[[#This Row],[P.E]]-1/24,MIP[[#This Row],[P.S]]-MIP[[#This Row],[P.E]]-1/24)</f>
        <v>0.36805555555555564</v>
      </c>
      <c r="Y641" s="39">
        <f>MIP[[#This Row],[PT-1]]*$S$3+MIP[[#This Row],[PT-2]]*$T$3+MIP[[#This Row],[PT-3]]*$U$3+MIP[[#This Row],[PT &gt; 3 Pontos]]*$V$3</f>
        <v>0.3446730953099838</v>
      </c>
      <c r="Z641" s="39">
        <f>MIP[[#This Row],[HH disponível]]-MIP[[#This Row],[HH AC TOT]]</f>
        <v>0.30555555555555564</v>
      </c>
      <c r="AA641" s="38">
        <f>MIP[[#This Row],[HH Produtivo
Total]]/MIP[[#This Row],[HH Trabalhado]]</f>
        <v>1.1280210391963104</v>
      </c>
      <c r="AB641" s="38">
        <f>MIP[[#This Row],[HH Produtivo
Total]]/MIP[[#This Row],[HH disponível]]</f>
        <v>0.93647029669127657</v>
      </c>
      <c r="AC641" s="38">
        <f>MIP[[#This Row],[HH Trabalhado]]/MIP[[#This Row],[HH disponível]]</f>
        <v>0.83018867924528306</v>
      </c>
      <c r="AD641" s="37" t="str">
        <f>LEFT(MIP[[#This Row],[Equipe]], SEARCH("/",MIP[[#This Row],[Equipe]],1)-1)</f>
        <v xml:space="preserve">ANDERSON </v>
      </c>
      <c r="AE641" s="37" t="str">
        <f>RIGHT(MIP[[#This Row],[Equipe]], LEN(MIP[[#This Row],[Equipe]])-SEARCH("/",MIP[[#This Row],[Equipe]],1))</f>
        <v xml:space="preserve"> MARCO</v>
      </c>
      <c r="AF641" s="44">
        <f>COUNTIFS('[1]Tempo parado'!H:H,"&gt;="&amp;MIP[[#This Row],[S.B Sitrack]],'[1]Tempo parado'!I:I,"&lt;="&amp;MIP[[#This Row],[C.B Sitrack]],'[1]Tempo parado'!B:B,MIP[[#This Row],[Placa]])</f>
        <v>0</v>
      </c>
      <c r="AG641" s="36"/>
      <c r="AH641" s="35"/>
      <c r="AI641" s="34"/>
      <c r="AJ641" s="34"/>
      <c r="AK64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4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41" s="32">
        <f>SUMIFS('[1]Tempo parado'!J:J,'[1]Tempo parado'!H:H,"&gt;="&amp;MIP[[#This Row],[S.B Sitrack]],'[1]Tempo parado'!I:I,"&lt;="&amp;MIP[[#This Row],[C.B Sitrack]],'[1]Tempo parado'!B:B,MIP[[#This Row],[Placa]])</f>
        <v>0</v>
      </c>
      <c r="AN641" s="32" t="str">
        <f>IFERROR(MIP[[#This Row],[Tempo parado]]/(MIP[[#This Row],[C.B Sitrack]]-MIP[[#This Row],[S.B Sitrack]]),"")</f>
        <v/>
      </c>
      <c r="AO641" s="30"/>
      <c r="AP641" s="44">
        <f>IF(AND(MIP[Exc]=0,MIP[Previsto / Realizado]="Realizado"),MIP[Sem],0)</f>
        <v>41</v>
      </c>
      <c r="AQ641" s="29">
        <f>IF(AND(MIP[Exc]=0,MIP[Previsto / Realizado]="Realizado",ISBLANK(MIP[[#This Row],[S.B Sitrack]])=FALSE,ISBLANK(MIP[[#This Row],[C.B Sitrack]])=FALSE),MIP[Sem],0)</f>
        <v>0</v>
      </c>
    </row>
    <row r="642" spans="2:43" x14ac:dyDescent="0.25">
      <c r="B642" s="44">
        <f>WEEKNUM(MIP[[#This Row],[Data]])</f>
        <v>41</v>
      </c>
      <c r="C642" s="45">
        <v>43018</v>
      </c>
      <c r="D642" s="45"/>
      <c r="E642" s="35" t="s">
        <v>33</v>
      </c>
      <c r="F642" s="35" t="s">
        <v>5</v>
      </c>
      <c r="G642" s="35"/>
      <c r="H642" s="44">
        <v>2</v>
      </c>
      <c r="I642" s="44">
        <v>4</v>
      </c>
      <c r="J642" s="44">
        <v>2</v>
      </c>
      <c r="K642" s="44">
        <v>0</v>
      </c>
      <c r="L642" s="44">
        <v>0</v>
      </c>
      <c r="M642" s="43">
        <v>0.25</v>
      </c>
      <c r="N642" s="43">
        <v>0.27083333333333331</v>
      </c>
      <c r="O642" s="43">
        <v>0.63750000000000007</v>
      </c>
      <c r="P642" s="43">
        <v>0.65833333333333333</v>
      </c>
      <c r="Q642" s="39"/>
      <c r="R642" s="67"/>
      <c r="S642" s="29">
        <v>8</v>
      </c>
      <c r="T64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642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642" s="41">
        <f>MIP[[#This Row],[Eficiência]]</f>
        <v>0.5782182893595933</v>
      </c>
      <c r="W64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42" s="39">
        <f>IF(MIP[[#This Row],[P.S]]-MIP[[#This Row],[P.E]]&lt;0,1+MIP[[#This Row],[P.S]]-MIP[[#This Row],[P.E]]-1/24,MIP[[#This Row],[P.S]]-MIP[[#This Row],[P.E]]-1/24)</f>
        <v>0.36666666666666664</v>
      </c>
      <c r="Y642" s="39">
        <f>MIP[[#This Row],[PT-1]]*$S$3+MIP[[#This Row],[PT-2]]*$T$3+MIP[[#This Row],[PT-3]]*$U$3+MIP[[#This Row],[PT &gt; 3 Pontos]]*$V$3</f>
        <v>0.18792094404186788</v>
      </c>
      <c r="Z642" s="39">
        <f>MIP[[#This Row],[HH disponível]]-MIP[[#This Row],[HH AC TOT]]</f>
        <v>0.32500000000000007</v>
      </c>
      <c r="AA642" s="38">
        <f>MIP[[#This Row],[HH Produtivo
Total]]/MIP[[#This Row],[HH Trabalhado]]</f>
        <v>0.5782182893595933</v>
      </c>
      <c r="AB642" s="38">
        <f>MIP[[#This Row],[HH Produtivo
Total]]/MIP[[#This Row],[HH disponível]]</f>
        <v>0.51251166556873062</v>
      </c>
      <c r="AC642" s="38">
        <f>MIP[[#This Row],[HH Trabalhado]]/MIP[[#This Row],[HH disponível]]</f>
        <v>0.88636363636363658</v>
      </c>
      <c r="AD642" s="37" t="str">
        <f>LEFT(MIP[[#This Row],[Equipe]], SEARCH("/",MIP[[#This Row],[Equipe]],1)-1)</f>
        <v xml:space="preserve">JOILSON </v>
      </c>
      <c r="AE642" s="37" t="str">
        <f>RIGHT(MIP[[#This Row],[Equipe]], LEN(MIP[[#This Row],[Equipe]])-SEARCH("/",MIP[[#This Row],[Equipe]],1))</f>
        <v xml:space="preserve"> HERVAL</v>
      </c>
      <c r="AF642" s="44">
        <f>COUNTIFS('[1]Tempo parado'!H:H,"&gt;="&amp;MIP[[#This Row],[S.B Sitrack]],'[1]Tempo parado'!I:I,"&lt;="&amp;MIP[[#This Row],[C.B Sitrack]],'[1]Tempo parado'!B:B,MIP[[#This Row],[Placa]])</f>
        <v>0</v>
      </c>
      <c r="AG642" s="36"/>
      <c r="AH642" s="35"/>
      <c r="AI642" s="34"/>
      <c r="AJ642" s="34"/>
      <c r="AK64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4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42" s="32">
        <f>SUMIFS('[1]Tempo parado'!J:J,'[1]Tempo parado'!H:H,"&gt;="&amp;MIP[[#This Row],[S.B Sitrack]],'[1]Tempo parado'!I:I,"&lt;="&amp;MIP[[#This Row],[C.B Sitrack]],'[1]Tempo parado'!B:B,MIP[[#This Row],[Placa]])</f>
        <v>0</v>
      </c>
      <c r="AN642" s="32" t="str">
        <f>IFERROR(MIP[[#This Row],[Tempo parado]]/(MIP[[#This Row],[C.B Sitrack]]-MIP[[#This Row],[S.B Sitrack]]),"")</f>
        <v/>
      </c>
      <c r="AO642" s="30"/>
      <c r="AP642" s="44">
        <f>IF(AND(MIP[Exc]=0,MIP[Previsto / Realizado]="Realizado"),MIP[Sem],0)</f>
        <v>0</v>
      </c>
      <c r="AQ642" s="29">
        <f>IF(AND(MIP[Exc]=0,MIP[Previsto / Realizado]="Realizado",ISBLANK(MIP[[#This Row],[S.B Sitrack]])=FALSE,ISBLANK(MIP[[#This Row],[C.B Sitrack]])=FALSE),MIP[Sem],0)</f>
        <v>0</v>
      </c>
    </row>
    <row r="643" spans="2:43" x14ac:dyDescent="0.25">
      <c r="B643" s="44">
        <f>WEEKNUM(MIP[[#This Row],[Data]])</f>
        <v>41</v>
      </c>
      <c r="C643" s="45">
        <v>43018</v>
      </c>
      <c r="D643" s="45"/>
      <c r="E643" s="35" t="s">
        <v>33</v>
      </c>
      <c r="F643" s="35" t="s">
        <v>2</v>
      </c>
      <c r="G643" s="35"/>
      <c r="H643" s="44">
        <v>2</v>
      </c>
      <c r="I643" s="44">
        <v>10</v>
      </c>
      <c r="J643" s="44">
        <v>1</v>
      </c>
      <c r="K643" s="44">
        <v>0</v>
      </c>
      <c r="L643" s="44">
        <v>0</v>
      </c>
      <c r="M643" s="43">
        <v>0.25069444444444444</v>
      </c>
      <c r="N643" s="43">
        <v>0.27986111111111112</v>
      </c>
      <c r="O643" s="43">
        <v>0.60972222222222217</v>
      </c>
      <c r="P643" s="43">
        <v>0.65833333333333333</v>
      </c>
      <c r="Q643" s="39"/>
      <c r="R643" s="42" t="s">
        <v>199</v>
      </c>
      <c r="S643" s="29">
        <v>12</v>
      </c>
      <c r="T64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7.7777777777777835E-2</v>
      </c>
      <c r="U643" s="39">
        <f>IF(MIP[[#This Row],[P.S]]-MIP[[#This Row],[U.P]]&gt;=0,MIP[[#This Row],[P.S]]-MIP[[#This Row],[U.P]]+MIP[[#This Row],[S.B]]-MIP[[#This Row],[P.E]],1+MIP[[#This Row],[P.S]]-MIP[[#This Row],[U.P]]+MIP[[#This Row],[S.B]]-MIP[[#This Row],[P.E]])</f>
        <v>7.7777777777777835E-2</v>
      </c>
      <c r="V643" s="41">
        <f>MIP[[#This Row],[Eficiência]]</f>
        <v>1.0207250742098828</v>
      </c>
      <c r="W64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43" s="39">
        <f>IF(MIP[[#This Row],[P.S]]-MIP[[#This Row],[P.E]]&lt;0,1+MIP[[#This Row],[P.S]]-MIP[[#This Row],[P.E]]-1/24,MIP[[#This Row],[P.S]]-MIP[[#This Row],[P.E]]-1/24)</f>
        <v>0.3659722222222222</v>
      </c>
      <c r="Y643" s="39">
        <f>MIP[[#This Row],[PT-1]]*$S$3+MIP[[#This Row],[PT-2]]*$T$3+MIP[[#This Row],[PT-3]]*$U$3+MIP[[#This Row],[PT &gt; 3 Pontos]]*$V$3</f>
        <v>0.29416729569243139</v>
      </c>
      <c r="Z643" s="39">
        <f>MIP[[#This Row],[HH disponível]]-MIP[[#This Row],[HH AC TOT]]</f>
        <v>0.28819444444444436</v>
      </c>
      <c r="AA643" s="38">
        <f>MIP[[#This Row],[HH Produtivo
Total]]/MIP[[#This Row],[HH Trabalhado]]</f>
        <v>1.0207250742098828</v>
      </c>
      <c r="AB643" s="38">
        <f>MIP[[#This Row],[HH Produtivo
Total]]/MIP[[#This Row],[HH disponível]]</f>
        <v>0.80379678519374043</v>
      </c>
      <c r="AC643" s="38">
        <f>MIP[[#This Row],[HH Trabalhado]]/MIP[[#This Row],[HH disponível]]</f>
        <v>0.78747628083491439</v>
      </c>
      <c r="AD643" s="37" t="str">
        <f>LEFT(MIP[[#This Row],[Equipe]], SEARCH("/",MIP[[#This Row],[Equipe]],1)-1)</f>
        <v xml:space="preserve">JOILSON </v>
      </c>
      <c r="AE643" s="37" t="str">
        <f>RIGHT(MIP[[#This Row],[Equipe]], LEN(MIP[[#This Row],[Equipe]])-SEARCH("/",MIP[[#This Row],[Equipe]],1))</f>
        <v xml:space="preserve"> HERVAL</v>
      </c>
      <c r="AF643" s="44">
        <f>COUNTIFS('[1]Tempo parado'!H:H,"&gt;="&amp;MIP[[#This Row],[S.B Sitrack]],'[1]Tempo parado'!I:I,"&lt;="&amp;MIP[[#This Row],[C.B Sitrack]],'[1]Tempo parado'!B:B,MIP[[#This Row],[Placa]])</f>
        <v>0</v>
      </c>
      <c r="AG643" s="36"/>
      <c r="AH643" s="35"/>
      <c r="AI643" s="34"/>
      <c r="AJ643" s="34"/>
      <c r="AK64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4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43" s="32">
        <f>SUMIFS('[1]Tempo parado'!J:J,'[1]Tempo parado'!H:H,"&gt;="&amp;MIP[[#This Row],[S.B Sitrack]],'[1]Tempo parado'!I:I,"&lt;="&amp;MIP[[#This Row],[C.B Sitrack]],'[1]Tempo parado'!B:B,MIP[[#This Row],[Placa]])</f>
        <v>0</v>
      </c>
      <c r="AN643" s="32" t="str">
        <f>IFERROR(MIP[[#This Row],[Tempo parado]]/(MIP[[#This Row],[C.B Sitrack]]-MIP[[#This Row],[S.B Sitrack]]),"")</f>
        <v/>
      </c>
      <c r="AO643" s="30"/>
      <c r="AP643" s="44">
        <f>IF(AND(MIP[Exc]=0,MIP[Previsto / Realizado]="Realizado"),MIP[Sem],0)</f>
        <v>41</v>
      </c>
      <c r="AQ643" s="29">
        <f>IF(AND(MIP[Exc]=0,MIP[Previsto / Realizado]="Realizado",ISBLANK(MIP[[#This Row],[S.B Sitrack]])=FALSE,ISBLANK(MIP[[#This Row],[C.B Sitrack]])=FALSE),MIP[Sem],0)</f>
        <v>0</v>
      </c>
    </row>
    <row r="644" spans="2:43" x14ac:dyDescent="0.25">
      <c r="B644" s="44">
        <f>WEEKNUM(MIP[[#This Row],[Data]])</f>
        <v>41</v>
      </c>
      <c r="C644" s="45">
        <v>43018</v>
      </c>
      <c r="D644" s="45"/>
      <c r="E644" s="35" t="s">
        <v>3</v>
      </c>
      <c r="F644" s="35" t="s">
        <v>5</v>
      </c>
      <c r="G644" s="35"/>
      <c r="H644" s="44">
        <v>2</v>
      </c>
      <c r="I644" s="44">
        <v>3</v>
      </c>
      <c r="J644" s="44">
        <v>1</v>
      </c>
      <c r="K644" s="44">
        <v>0</v>
      </c>
      <c r="L644" s="44">
        <v>0</v>
      </c>
      <c r="M644" s="43">
        <v>0.625</v>
      </c>
      <c r="N644" s="43">
        <v>0.64583333333333337</v>
      </c>
      <c r="O644" s="43">
        <v>1.0125</v>
      </c>
      <c r="P644" s="43">
        <v>1.0333333333333334</v>
      </c>
      <c r="Q644" s="39"/>
      <c r="R644" s="67" t="s">
        <v>36</v>
      </c>
      <c r="S644" s="29">
        <v>5</v>
      </c>
      <c r="T64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644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644" s="41">
        <f>MIP[[#This Row],[Eficiência]]</f>
        <v>0.36611176916883437</v>
      </c>
      <c r="W64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44" s="39">
        <f>IF(MIP[[#This Row],[P.S]]-MIP[[#This Row],[P.E]]&lt;0,1+MIP[[#This Row],[P.S]]-MIP[[#This Row],[P.E]]-1/24,MIP[[#This Row],[P.S]]-MIP[[#This Row],[P.E]]-1/24)</f>
        <v>0.36666666666666675</v>
      </c>
      <c r="Y644" s="39">
        <f>MIP[[#This Row],[PT-1]]*$S$3+MIP[[#This Row],[PT-2]]*$T$3+MIP[[#This Row],[PT-3]]*$U$3+MIP[[#This Row],[PT &gt; 3 Pontos]]*$V$3</f>
        <v>0.11898632497987113</v>
      </c>
      <c r="Z644" s="39">
        <f>MIP[[#This Row],[HH disponível]]-MIP[[#This Row],[HH AC TOT]]</f>
        <v>0.3249999999999999</v>
      </c>
      <c r="AA644" s="38">
        <f>MIP[[#This Row],[HH Produtivo
Total]]/MIP[[#This Row],[HH Trabalhado]]</f>
        <v>0.36611176916883437</v>
      </c>
      <c r="AB644" s="38">
        <f>MIP[[#This Row],[HH Produtivo
Total]]/MIP[[#This Row],[HH disponível]]</f>
        <v>0.3245081590360121</v>
      </c>
      <c r="AC644" s="38">
        <f>MIP[[#This Row],[HH Trabalhado]]/MIP[[#This Row],[HH disponível]]</f>
        <v>0.88636363636363591</v>
      </c>
      <c r="AD644" s="37" t="str">
        <f>LEFT(MIP[[#This Row],[Equipe]], SEARCH("/",MIP[[#This Row],[Equipe]],1)-1)</f>
        <v xml:space="preserve">EDILTON </v>
      </c>
      <c r="AE644" s="37" t="str">
        <f>RIGHT(MIP[[#This Row],[Equipe]], LEN(MIP[[#This Row],[Equipe]])-SEARCH("/",MIP[[#This Row],[Equipe]],1))</f>
        <v xml:space="preserve"> GECIVALDO</v>
      </c>
      <c r="AF644" s="44">
        <f>COUNTIFS('[1]Tempo parado'!H:H,"&gt;="&amp;MIP[[#This Row],[S.B Sitrack]],'[1]Tempo parado'!I:I,"&lt;="&amp;MIP[[#This Row],[C.B Sitrack]],'[1]Tempo parado'!B:B,MIP[[#This Row],[Placa]])</f>
        <v>0</v>
      </c>
      <c r="AG644" s="36"/>
      <c r="AH644" s="35"/>
      <c r="AI644" s="34"/>
      <c r="AJ644" s="34"/>
      <c r="AK64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4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44" s="32">
        <f>SUMIFS('[1]Tempo parado'!J:J,'[1]Tempo parado'!H:H,"&gt;="&amp;MIP[[#This Row],[S.B Sitrack]],'[1]Tempo parado'!I:I,"&lt;="&amp;MIP[[#This Row],[C.B Sitrack]],'[1]Tempo parado'!B:B,MIP[[#This Row],[Placa]])</f>
        <v>0</v>
      </c>
      <c r="AN644" s="32" t="str">
        <f>IFERROR(MIP[[#This Row],[Tempo parado]]/(MIP[[#This Row],[C.B Sitrack]]-MIP[[#This Row],[S.B Sitrack]]),"")</f>
        <v/>
      </c>
      <c r="AO644" s="30"/>
      <c r="AP644" s="44">
        <f>IF(AND(MIP[Exc]=0,MIP[Previsto / Realizado]="Realizado"),MIP[Sem],0)</f>
        <v>0</v>
      </c>
      <c r="AQ644" s="29">
        <f>IF(AND(MIP[Exc]=0,MIP[Previsto / Realizado]="Realizado",ISBLANK(MIP[[#This Row],[S.B Sitrack]])=FALSE,ISBLANK(MIP[[#This Row],[C.B Sitrack]])=FALSE),MIP[Sem],0)</f>
        <v>0</v>
      </c>
    </row>
    <row r="645" spans="2:43" x14ac:dyDescent="0.25">
      <c r="B645" s="44">
        <f>WEEKNUM(MIP[[#This Row],[Data]])</f>
        <v>41</v>
      </c>
      <c r="C645" s="45">
        <v>43018</v>
      </c>
      <c r="D645" s="45"/>
      <c r="E645" s="35" t="s">
        <v>3</v>
      </c>
      <c r="F645" s="35" t="s">
        <v>2</v>
      </c>
      <c r="G645" s="35"/>
      <c r="H645" s="44">
        <v>2</v>
      </c>
      <c r="I645" s="44">
        <v>6</v>
      </c>
      <c r="J645" s="44">
        <v>2</v>
      </c>
      <c r="K645" s="44">
        <v>0</v>
      </c>
      <c r="L645" s="44">
        <v>5</v>
      </c>
      <c r="M645" s="43">
        <v>0.62569444444444444</v>
      </c>
      <c r="N645" s="43">
        <v>0.66319444444444442</v>
      </c>
      <c r="O645" s="43">
        <v>1.0152777777777777</v>
      </c>
      <c r="P645" s="43">
        <v>1.0333333333333334</v>
      </c>
      <c r="Q645" s="39"/>
      <c r="R645" s="42" t="s">
        <v>191</v>
      </c>
      <c r="S645" s="29">
        <v>15</v>
      </c>
      <c r="T64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5.5555555555555691E-2</v>
      </c>
      <c r="U645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5.5555555555555691E-2</v>
      </c>
      <c r="V645" s="41">
        <f>MIP[[#This Row],[Eficiência]]</f>
        <v>1.0927657590232973</v>
      </c>
      <c r="W64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45" s="39">
        <f>IF(MIP[[#This Row],[P.S]]-MIP[[#This Row],[P.E]]&lt;0,1+MIP[[#This Row],[P.S]]-MIP[[#This Row],[P.E]]-1/24,MIP[[#This Row],[P.S]]-MIP[[#This Row],[P.E]]-1/24)</f>
        <v>0.36597222222222231</v>
      </c>
      <c r="Y645" s="39">
        <f>MIP[[#This Row],[PT-1]]*$S$3+MIP[[#This Row],[PT-2]]*$T$3+MIP[[#This Row],[PT-3]]*$U$3+MIP[[#This Row],[PT &gt; 3 Pontos]]*$V$3</f>
        <v>0.33921270436348183</v>
      </c>
      <c r="Z645" s="39">
        <f>MIP[[#This Row],[HH disponível]]-MIP[[#This Row],[HH AC TOT]]</f>
        <v>0.31041666666666662</v>
      </c>
      <c r="AA645" s="38">
        <f>MIP[[#This Row],[HH Produtivo
Total]]/MIP[[#This Row],[HH Trabalhado]]</f>
        <v>1.0927657590232973</v>
      </c>
      <c r="AB645" s="38">
        <f>MIP[[#This Row],[HH Produtivo
Total]]/MIP[[#This Row],[HH disponível]]</f>
        <v>0.92688101382051935</v>
      </c>
      <c r="AC645" s="38">
        <f>MIP[[#This Row],[HH Trabalhado]]/MIP[[#This Row],[HH disponível]]</f>
        <v>0.84819734345351006</v>
      </c>
      <c r="AD645" s="37" t="str">
        <f>LEFT(MIP[[#This Row],[Equipe]], SEARCH("/",MIP[[#This Row],[Equipe]],1)-1)</f>
        <v xml:space="preserve">EDILTON </v>
      </c>
      <c r="AE645" s="37" t="str">
        <f>RIGHT(MIP[[#This Row],[Equipe]], LEN(MIP[[#This Row],[Equipe]])-SEARCH("/",MIP[[#This Row],[Equipe]],1))</f>
        <v xml:space="preserve"> GECIVALDO</v>
      </c>
      <c r="AF645" s="44">
        <f>COUNTIFS('[1]Tempo parado'!H:H,"&gt;="&amp;MIP[[#This Row],[S.B Sitrack]],'[1]Tempo parado'!I:I,"&lt;="&amp;MIP[[#This Row],[C.B Sitrack]],'[1]Tempo parado'!B:B,MIP[[#This Row],[Placa]])</f>
        <v>0</v>
      </c>
      <c r="AG645" s="36"/>
      <c r="AH645" s="35"/>
      <c r="AI645" s="34"/>
      <c r="AJ645" s="34"/>
      <c r="AK64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4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45" s="32">
        <f>SUMIFS('[1]Tempo parado'!J:J,'[1]Tempo parado'!H:H,"&gt;="&amp;MIP[[#This Row],[S.B Sitrack]],'[1]Tempo parado'!I:I,"&lt;="&amp;MIP[[#This Row],[C.B Sitrack]],'[1]Tempo parado'!B:B,MIP[[#This Row],[Placa]])</f>
        <v>0</v>
      </c>
      <c r="AN645" s="32" t="str">
        <f>IFERROR(MIP[[#This Row],[Tempo parado]]/(MIP[[#This Row],[C.B Sitrack]]-MIP[[#This Row],[S.B Sitrack]]),"")</f>
        <v/>
      </c>
      <c r="AO645" s="30"/>
      <c r="AP645" s="44">
        <f>IF(AND(MIP[Exc]=0,MIP[Previsto / Realizado]="Realizado"),MIP[Sem],0)</f>
        <v>41</v>
      </c>
      <c r="AQ645" s="29">
        <f>IF(AND(MIP[Exc]=0,MIP[Previsto / Realizado]="Realizado",ISBLANK(MIP[[#This Row],[S.B Sitrack]])=FALSE,ISBLANK(MIP[[#This Row],[C.B Sitrack]])=FALSE),MIP[Sem],0)</f>
        <v>0</v>
      </c>
    </row>
    <row r="646" spans="2:43" x14ac:dyDescent="0.25">
      <c r="B646" s="44">
        <f>WEEKNUM(MIP[[#This Row],[Data]])</f>
        <v>41</v>
      </c>
      <c r="C646" s="45">
        <v>43018</v>
      </c>
      <c r="D646" s="45"/>
      <c r="E646" s="35" t="s">
        <v>19</v>
      </c>
      <c r="F646" s="35" t="s">
        <v>5</v>
      </c>
      <c r="G646" s="35"/>
      <c r="H646" s="44">
        <v>2</v>
      </c>
      <c r="I646" s="44">
        <v>0</v>
      </c>
      <c r="J646" s="44">
        <v>0</v>
      </c>
      <c r="K646" s="44">
        <v>0</v>
      </c>
      <c r="L646" s="44">
        <v>0</v>
      </c>
      <c r="M646" s="43">
        <v>0.625</v>
      </c>
      <c r="N646" s="43">
        <v>0.64583333333333337</v>
      </c>
      <c r="O646" s="43">
        <v>1.0125</v>
      </c>
      <c r="P646" s="43">
        <v>1.0333333333333334</v>
      </c>
      <c r="Q646" s="39"/>
      <c r="R646" s="67" t="s">
        <v>198</v>
      </c>
      <c r="S646" s="29">
        <v>0</v>
      </c>
      <c r="T64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646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646" s="41">
        <f>MIP[[#This Row],[Eficiência]]</f>
        <v>0</v>
      </c>
      <c r="W64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46" s="39">
        <f>IF(MIP[[#This Row],[P.S]]-MIP[[#This Row],[P.E]]&lt;0,1+MIP[[#This Row],[P.S]]-MIP[[#This Row],[P.E]]-1/24,MIP[[#This Row],[P.S]]-MIP[[#This Row],[P.E]]-1/24)</f>
        <v>0.36666666666666675</v>
      </c>
      <c r="Y646" s="39">
        <f>MIP[[#This Row],[PT-1]]*$S$3+MIP[[#This Row],[PT-2]]*$T$3+MIP[[#This Row],[PT-3]]*$U$3+MIP[[#This Row],[PT &gt; 3 Pontos]]*$V$3</f>
        <v>0</v>
      </c>
      <c r="Z646" s="39">
        <f>MIP[[#This Row],[HH disponível]]-MIP[[#This Row],[HH AC TOT]]</f>
        <v>0.3249999999999999</v>
      </c>
      <c r="AA646" s="38">
        <f>MIP[[#This Row],[HH Produtivo
Total]]/MIP[[#This Row],[HH Trabalhado]]</f>
        <v>0</v>
      </c>
      <c r="AB646" s="38">
        <f>MIP[[#This Row],[HH Produtivo
Total]]/MIP[[#This Row],[HH disponível]]</f>
        <v>0</v>
      </c>
      <c r="AC646" s="38">
        <f>MIP[[#This Row],[HH Trabalhado]]/MIP[[#This Row],[HH disponível]]</f>
        <v>0.88636363636363591</v>
      </c>
      <c r="AD646" s="37" t="str">
        <f>LEFT(MIP[[#This Row],[Equipe]], SEARCH("/",MIP[[#This Row],[Equipe]],1)-1)</f>
        <v xml:space="preserve">ADEMÁRIO </v>
      </c>
      <c r="AE646" s="37" t="str">
        <f>RIGHT(MIP[[#This Row],[Equipe]], LEN(MIP[[#This Row],[Equipe]])-SEARCH("/",MIP[[#This Row],[Equipe]],1))</f>
        <v xml:space="preserve"> RONALDO</v>
      </c>
      <c r="AF646" s="44">
        <f>COUNTIFS('[1]Tempo parado'!H:H,"&gt;="&amp;MIP[[#This Row],[S.B Sitrack]],'[1]Tempo parado'!I:I,"&lt;="&amp;MIP[[#This Row],[C.B Sitrack]],'[1]Tempo parado'!B:B,MIP[[#This Row],[Placa]])</f>
        <v>0</v>
      </c>
      <c r="AG646" s="36"/>
      <c r="AH646" s="35"/>
      <c r="AI646" s="34"/>
      <c r="AJ646" s="34"/>
      <c r="AK64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4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46" s="32">
        <f>SUMIFS('[1]Tempo parado'!J:J,'[1]Tempo parado'!H:H,"&gt;="&amp;MIP[[#This Row],[S.B Sitrack]],'[1]Tempo parado'!I:I,"&lt;="&amp;MIP[[#This Row],[C.B Sitrack]],'[1]Tempo parado'!B:B,MIP[[#This Row],[Placa]])</f>
        <v>0</v>
      </c>
      <c r="AN646" s="32" t="str">
        <f>IFERROR(MIP[[#This Row],[Tempo parado]]/(MIP[[#This Row],[C.B Sitrack]]-MIP[[#This Row],[S.B Sitrack]]),"")</f>
        <v/>
      </c>
      <c r="AO646" s="30"/>
      <c r="AP646" s="44">
        <f>IF(AND(MIP[Exc]=0,MIP[Previsto / Realizado]="Realizado"),MIP[Sem],0)</f>
        <v>0</v>
      </c>
      <c r="AQ646" s="29">
        <f>IF(AND(MIP[Exc]=0,MIP[Previsto / Realizado]="Realizado",ISBLANK(MIP[[#This Row],[S.B Sitrack]])=FALSE,ISBLANK(MIP[[#This Row],[C.B Sitrack]])=FALSE),MIP[Sem],0)</f>
        <v>0</v>
      </c>
    </row>
    <row r="647" spans="2:43" x14ac:dyDescent="0.25">
      <c r="B647" s="44">
        <f>WEEKNUM(MIP[[#This Row],[Data]])</f>
        <v>41</v>
      </c>
      <c r="C647" s="45">
        <v>43018</v>
      </c>
      <c r="D647" s="45"/>
      <c r="E647" s="35" t="s">
        <v>19</v>
      </c>
      <c r="F647" s="35" t="s">
        <v>2</v>
      </c>
      <c r="G647" s="35"/>
      <c r="H647" s="44">
        <v>2</v>
      </c>
      <c r="I647" s="44">
        <v>0</v>
      </c>
      <c r="J647" s="44">
        <v>0</v>
      </c>
      <c r="K647" s="44">
        <v>0</v>
      </c>
      <c r="L647" s="44">
        <v>15</v>
      </c>
      <c r="M647" s="43">
        <v>0.63888888888888895</v>
      </c>
      <c r="N647" s="43">
        <v>0.66666666666666663</v>
      </c>
      <c r="O647" s="43">
        <v>1.0125</v>
      </c>
      <c r="P647" s="43">
        <v>1.0395833333333333</v>
      </c>
      <c r="Q647" s="39"/>
      <c r="R647" s="42" t="s">
        <v>197</v>
      </c>
      <c r="S647" s="29">
        <v>15</v>
      </c>
      <c r="T64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5.4861111111111027E-2</v>
      </c>
      <c r="U647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5.4861111111111027E-2</v>
      </c>
      <c r="V647" s="41">
        <f>MIP[[#This Row],[Eficiência]]</f>
        <v>0.99853204343414359</v>
      </c>
      <c r="W64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47" s="39">
        <f>IF(MIP[[#This Row],[P.S]]-MIP[[#This Row],[P.E]]&lt;0,1+MIP[[#This Row],[P.S]]-MIP[[#This Row],[P.E]]-1/24,MIP[[#This Row],[P.S]]-MIP[[#This Row],[P.E]]-1/24)</f>
        <v>0.35902777777777767</v>
      </c>
      <c r="Y647" s="39">
        <f>MIP[[#This Row],[PT-1]]*$S$3+MIP[[#This Row],[PT-2]]*$T$3+MIP[[#This Row],[PT-3]]*$U$3+MIP[[#This Row],[PT &gt; 3 Pontos]]*$V$3</f>
        <v>0.30372016321121864</v>
      </c>
      <c r="Z647" s="39">
        <f>MIP[[#This Row],[HH disponível]]-MIP[[#This Row],[HH AC TOT]]</f>
        <v>0.30416666666666664</v>
      </c>
      <c r="AA647" s="38">
        <f>MIP[[#This Row],[HH Produtivo
Total]]/MIP[[#This Row],[HH Trabalhado]]</f>
        <v>0.99853204343414359</v>
      </c>
      <c r="AB647" s="38">
        <f>MIP[[#This Row],[HH Produtivo
Total]]/MIP[[#This Row],[HH disponível]]</f>
        <v>0.84595171184556084</v>
      </c>
      <c r="AC647" s="38">
        <f>MIP[[#This Row],[HH Trabalhado]]/MIP[[#This Row],[HH disponível]]</f>
        <v>0.84719535783365585</v>
      </c>
      <c r="AD647" s="37" t="str">
        <f>LEFT(MIP[[#This Row],[Equipe]], SEARCH("/",MIP[[#This Row],[Equipe]],1)-1)</f>
        <v xml:space="preserve">ADEMÁRIO </v>
      </c>
      <c r="AE647" s="37" t="str">
        <f>RIGHT(MIP[[#This Row],[Equipe]], LEN(MIP[[#This Row],[Equipe]])-SEARCH("/",MIP[[#This Row],[Equipe]],1))</f>
        <v xml:space="preserve"> RONALDO</v>
      </c>
      <c r="AF647" s="44">
        <f>COUNTIFS('[1]Tempo parado'!H:H,"&gt;="&amp;MIP[[#This Row],[S.B Sitrack]],'[1]Tempo parado'!I:I,"&lt;="&amp;MIP[[#This Row],[C.B Sitrack]],'[1]Tempo parado'!B:B,MIP[[#This Row],[Placa]])</f>
        <v>0</v>
      </c>
      <c r="AG647" s="36"/>
      <c r="AH647" s="35"/>
      <c r="AI647" s="34"/>
      <c r="AJ647" s="34"/>
      <c r="AK64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4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47" s="32">
        <f>SUMIFS('[1]Tempo parado'!J:J,'[1]Tempo parado'!H:H,"&gt;="&amp;MIP[[#This Row],[S.B Sitrack]],'[1]Tempo parado'!I:I,"&lt;="&amp;MIP[[#This Row],[C.B Sitrack]],'[1]Tempo parado'!B:B,MIP[[#This Row],[Placa]])</f>
        <v>0</v>
      </c>
      <c r="AN647" s="32" t="str">
        <f>IFERROR(MIP[[#This Row],[Tempo parado]]/(MIP[[#This Row],[C.B Sitrack]]-MIP[[#This Row],[S.B Sitrack]]),"")</f>
        <v/>
      </c>
      <c r="AO647" s="30"/>
      <c r="AP647" s="44">
        <f>IF(AND(MIP[Exc]=0,MIP[Previsto / Realizado]="Realizado"),MIP[Sem],0)</f>
        <v>41</v>
      </c>
      <c r="AQ647" s="29">
        <f>IF(AND(MIP[Exc]=0,MIP[Previsto / Realizado]="Realizado",ISBLANK(MIP[[#This Row],[S.B Sitrack]])=FALSE,ISBLANK(MIP[[#This Row],[C.B Sitrack]])=FALSE),MIP[Sem],0)</f>
        <v>0</v>
      </c>
    </row>
    <row r="648" spans="2:43" x14ac:dyDescent="0.25">
      <c r="B648" s="44">
        <f>WEEKNUM(MIP[[#This Row],[Data]])</f>
        <v>41</v>
      </c>
      <c r="C648" s="45">
        <v>43019</v>
      </c>
      <c r="D648" s="45"/>
      <c r="E648" s="35" t="s">
        <v>3</v>
      </c>
      <c r="F648" s="35" t="s">
        <v>5</v>
      </c>
      <c r="G648" s="35"/>
      <c r="H648" s="44">
        <v>2</v>
      </c>
      <c r="I648" s="44">
        <v>2</v>
      </c>
      <c r="J648" s="44">
        <v>6</v>
      </c>
      <c r="K648" s="44">
        <v>0</v>
      </c>
      <c r="L648" s="44">
        <v>0</v>
      </c>
      <c r="M648" s="43">
        <v>0.625</v>
      </c>
      <c r="N648" s="43">
        <v>0.64583333333333337</v>
      </c>
      <c r="O648" s="43">
        <v>1.0125</v>
      </c>
      <c r="P648" s="43">
        <v>1.0333333333333334</v>
      </c>
      <c r="Q648" s="39"/>
      <c r="R648" s="67" t="s">
        <v>196</v>
      </c>
      <c r="S648" s="29">
        <v>14</v>
      </c>
      <c r="T64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648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648" s="41">
        <f>MIP[[#This Row],[Eficiência]]</f>
        <v>0.96462862318840603</v>
      </c>
      <c r="W64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48" s="39">
        <f>IF(MIP[[#This Row],[P.S]]-MIP[[#This Row],[P.E]]&lt;0,1+MIP[[#This Row],[P.S]]-MIP[[#This Row],[P.E]]-1/24,MIP[[#This Row],[P.S]]-MIP[[#This Row],[P.E]]-1/24)</f>
        <v>0.36666666666666675</v>
      </c>
      <c r="Y648" s="39">
        <f>MIP[[#This Row],[PT-1]]*$S$3+MIP[[#This Row],[PT-2]]*$T$3+MIP[[#This Row],[PT-3]]*$U$3+MIP[[#This Row],[PT &gt; 3 Pontos]]*$V$3</f>
        <v>0.31350430253623185</v>
      </c>
      <c r="Z648" s="39">
        <f>MIP[[#This Row],[HH disponível]]-MIP[[#This Row],[HH AC TOT]]</f>
        <v>0.3249999999999999</v>
      </c>
      <c r="AA648" s="38">
        <f>MIP[[#This Row],[HH Produtivo
Total]]/MIP[[#This Row],[HH Trabalhado]]</f>
        <v>0.96462862318840603</v>
      </c>
      <c r="AB648" s="38">
        <f>MIP[[#This Row],[HH Produtivo
Total]]/MIP[[#This Row],[HH disponível]]</f>
        <v>0.85501173418972298</v>
      </c>
      <c r="AC648" s="38">
        <f>MIP[[#This Row],[HH Trabalhado]]/MIP[[#This Row],[HH disponível]]</f>
        <v>0.88636363636363591</v>
      </c>
      <c r="AD648" s="37" t="str">
        <f>LEFT(MIP[[#This Row],[Equipe]], SEARCH("/",MIP[[#This Row],[Equipe]],1)-1)</f>
        <v xml:space="preserve">EDILTON </v>
      </c>
      <c r="AE648" s="37" t="str">
        <f>RIGHT(MIP[[#This Row],[Equipe]], LEN(MIP[[#This Row],[Equipe]])-SEARCH("/",MIP[[#This Row],[Equipe]],1))</f>
        <v xml:space="preserve"> GECIVALDO</v>
      </c>
      <c r="AF648" s="44">
        <f>COUNTIFS('[1]Tempo parado'!H:H,"&gt;="&amp;MIP[[#This Row],[S.B Sitrack]],'[1]Tempo parado'!I:I,"&lt;="&amp;MIP[[#This Row],[C.B Sitrack]],'[1]Tempo parado'!B:B,MIP[[#This Row],[Placa]])</f>
        <v>0</v>
      </c>
      <c r="AG648" s="36"/>
      <c r="AH648" s="35"/>
      <c r="AI648" s="34"/>
      <c r="AJ648" s="34"/>
      <c r="AK64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4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48" s="32">
        <f>SUMIFS('[1]Tempo parado'!J:J,'[1]Tempo parado'!H:H,"&gt;="&amp;MIP[[#This Row],[S.B Sitrack]],'[1]Tempo parado'!I:I,"&lt;="&amp;MIP[[#This Row],[C.B Sitrack]],'[1]Tempo parado'!B:B,MIP[[#This Row],[Placa]])</f>
        <v>0</v>
      </c>
      <c r="AN648" s="32" t="str">
        <f>IFERROR(MIP[[#This Row],[Tempo parado]]/(MIP[[#This Row],[C.B Sitrack]]-MIP[[#This Row],[S.B Sitrack]]),"")</f>
        <v/>
      </c>
      <c r="AO648" s="30"/>
      <c r="AP648" s="44">
        <f>IF(AND(MIP[Exc]=0,MIP[Previsto / Realizado]="Realizado"),MIP[Sem],0)</f>
        <v>0</v>
      </c>
      <c r="AQ648" s="29">
        <f>IF(AND(MIP[Exc]=0,MIP[Previsto / Realizado]="Realizado",ISBLANK(MIP[[#This Row],[S.B Sitrack]])=FALSE,ISBLANK(MIP[[#This Row],[C.B Sitrack]])=FALSE),MIP[Sem],0)</f>
        <v>0</v>
      </c>
    </row>
    <row r="649" spans="2:43" x14ac:dyDescent="0.25">
      <c r="B649" s="44">
        <f>WEEKNUM(MIP[[#This Row],[Data]])</f>
        <v>41</v>
      </c>
      <c r="C649" s="45">
        <v>43019</v>
      </c>
      <c r="D649" s="45"/>
      <c r="E649" s="35" t="s">
        <v>3</v>
      </c>
      <c r="F649" s="35" t="s">
        <v>2</v>
      </c>
      <c r="G649" s="35"/>
      <c r="H649" s="44">
        <v>2</v>
      </c>
      <c r="I649" s="44">
        <v>1</v>
      </c>
      <c r="J649" s="44">
        <v>6</v>
      </c>
      <c r="K649" s="44">
        <v>0</v>
      </c>
      <c r="L649" s="44">
        <v>0</v>
      </c>
      <c r="M649" s="43">
        <v>0.62569444444444444</v>
      </c>
      <c r="N649" s="43">
        <v>0.67361111111111116</v>
      </c>
      <c r="O649" s="43">
        <v>1.0284722222222222</v>
      </c>
      <c r="P649" s="43">
        <v>1.0333333333333334</v>
      </c>
      <c r="Q649" s="39">
        <v>7.6388888888888886E-3</v>
      </c>
      <c r="R649" s="42" t="s">
        <v>194</v>
      </c>
      <c r="S649" s="29">
        <v>13</v>
      </c>
      <c r="T64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6.0416666666666813E-2</v>
      </c>
      <c r="U649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5.2777777777777923E-2</v>
      </c>
      <c r="V649" s="41">
        <f>MIP[[#This Row],[Eficiência]]</f>
        <v>0.9441112895256919</v>
      </c>
      <c r="W64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49" s="39">
        <f>IF(MIP[[#This Row],[P.S]]-MIP[[#This Row],[P.E]]&lt;0,1+MIP[[#This Row],[P.S]]-MIP[[#This Row],[P.E]]-1/24,MIP[[#This Row],[P.S]]-MIP[[#This Row],[P.E]]-1/24)</f>
        <v>0.36597222222222231</v>
      </c>
      <c r="Y649" s="39">
        <f>MIP[[#This Row],[PT-1]]*$S$3+MIP[[#This Row],[PT-2]]*$T$3+MIP[[#This Row],[PT-3]]*$U$3+MIP[[#This Row],[PT &gt; 3 Pontos]]*$V$3</f>
        <v>0.28847844957729468</v>
      </c>
      <c r="Z649" s="39">
        <f>MIP[[#This Row],[HH disponível]]-MIP[[#This Row],[HH AC TOT]]</f>
        <v>0.30555555555555547</v>
      </c>
      <c r="AA649" s="38">
        <f>MIP[[#This Row],[HH Produtivo
Total]]/MIP[[#This Row],[HH Trabalhado]]</f>
        <v>0.9441112895256919</v>
      </c>
      <c r="AB649" s="38">
        <f>MIP[[#This Row],[HH Produtivo
Total]]/MIP[[#This Row],[HH disponível]]</f>
        <v>0.78825231004042551</v>
      </c>
      <c r="AC649" s="38">
        <f>MIP[[#This Row],[HH Trabalhado]]/MIP[[#This Row],[HH disponível]]</f>
        <v>0.8349146110056922</v>
      </c>
      <c r="AD649" s="37" t="str">
        <f>LEFT(MIP[[#This Row],[Equipe]], SEARCH("/",MIP[[#This Row],[Equipe]],1)-1)</f>
        <v xml:space="preserve">EDILTON </v>
      </c>
      <c r="AE649" s="37" t="str">
        <f>RIGHT(MIP[[#This Row],[Equipe]], LEN(MIP[[#This Row],[Equipe]])-SEARCH("/",MIP[[#This Row],[Equipe]],1))</f>
        <v xml:space="preserve"> GECIVALDO</v>
      </c>
      <c r="AF649" s="44">
        <f>COUNTIFS('[1]Tempo parado'!H:H,"&gt;="&amp;MIP[[#This Row],[S.B Sitrack]],'[1]Tempo parado'!I:I,"&lt;="&amp;MIP[[#This Row],[C.B Sitrack]],'[1]Tempo parado'!B:B,MIP[[#This Row],[Placa]])</f>
        <v>0</v>
      </c>
      <c r="AG649" s="36"/>
      <c r="AH649" s="35"/>
      <c r="AI649" s="34"/>
      <c r="AJ649" s="34"/>
      <c r="AK64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4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49" s="32">
        <f>SUMIFS('[1]Tempo parado'!J:J,'[1]Tempo parado'!H:H,"&gt;="&amp;MIP[[#This Row],[S.B Sitrack]],'[1]Tempo parado'!I:I,"&lt;="&amp;MIP[[#This Row],[C.B Sitrack]],'[1]Tempo parado'!B:B,MIP[[#This Row],[Placa]])</f>
        <v>0</v>
      </c>
      <c r="AN649" s="32" t="str">
        <f>IFERROR(MIP[[#This Row],[Tempo parado]]/(MIP[[#This Row],[C.B Sitrack]]-MIP[[#This Row],[S.B Sitrack]]),"")</f>
        <v/>
      </c>
      <c r="AO649" s="30"/>
      <c r="AP649" s="44">
        <f>IF(AND(MIP[Exc]=0,MIP[Previsto / Realizado]="Realizado"),MIP[Sem],0)</f>
        <v>41</v>
      </c>
      <c r="AQ649" s="29">
        <f>IF(AND(MIP[Exc]=0,MIP[Previsto / Realizado]="Realizado",ISBLANK(MIP[[#This Row],[S.B Sitrack]])=FALSE,ISBLANK(MIP[[#This Row],[C.B Sitrack]])=FALSE),MIP[Sem],0)</f>
        <v>0</v>
      </c>
    </row>
    <row r="650" spans="2:43" x14ac:dyDescent="0.25">
      <c r="B650" s="44">
        <f>WEEKNUM(MIP[[#This Row],[Data]])</f>
        <v>41</v>
      </c>
      <c r="C650" s="45">
        <v>43019</v>
      </c>
      <c r="D650" s="45"/>
      <c r="E650" s="35" t="s">
        <v>7</v>
      </c>
      <c r="F650" s="35" t="s">
        <v>5</v>
      </c>
      <c r="G650" s="35"/>
      <c r="H650" s="44">
        <v>2</v>
      </c>
      <c r="I650" s="44">
        <v>3</v>
      </c>
      <c r="J650" s="44">
        <v>3</v>
      </c>
      <c r="K650" s="44">
        <v>1</v>
      </c>
      <c r="L650" s="44">
        <v>0</v>
      </c>
      <c r="M650" s="43">
        <v>0.625</v>
      </c>
      <c r="N650" s="43">
        <v>0.64583333333333337</v>
      </c>
      <c r="O650" s="43">
        <v>1.0125</v>
      </c>
      <c r="P650" s="43">
        <v>1.0333333333333334</v>
      </c>
      <c r="Q650" s="39"/>
      <c r="R650" s="67" t="s">
        <v>195</v>
      </c>
      <c r="S650" s="29">
        <v>12</v>
      </c>
      <c r="T65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650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650" s="41">
        <f>MIP[[#This Row],[Eficiência]]</f>
        <v>0.82952472748668427</v>
      </c>
      <c r="W65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50" s="39">
        <f>IF(MIP[[#This Row],[P.S]]-MIP[[#This Row],[P.E]]&lt;0,1+MIP[[#This Row],[P.S]]-MIP[[#This Row],[P.E]]-1/24,MIP[[#This Row],[P.S]]-MIP[[#This Row],[P.E]]-1/24)</f>
        <v>0.36666666666666675</v>
      </c>
      <c r="Y650" s="39">
        <f>MIP[[#This Row],[PT-1]]*$S$3+MIP[[#This Row],[PT-2]]*$T$3+MIP[[#This Row],[PT-3]]*$U$3+MIP[[#This Row],[PT &gt; 3 Pontos]]*$V$3</f>
        <v>0.2695955364331723</v>
      </c>
      <c r="Z650" s="39">
        <f>MIP[[#This Row],[HH disponível]]-MIP[[#This Row],[HH AC TOT]]</f>
        <v>0.3249999999999999</v>
      </c>
      <c r="AA650" s="38">
        <f>MIP[[#This Row],[HH Produtivo
Total]]/MIP[[#This Row],[HH Trabalhado]]</f>
        <v>0.82952472748668427</v>
      </c>
      <c r="AB650" s="38">
        <f>MIP[[#This Row],[HH Produtivo
Total]]/MIP[[#This Row],[HH disponível]]</f>
        <v>0.73526055390865153</v>
      </c>
      <c r="AC650" s="38">
        <f>MIP[[#This Row],[HH Trabalhado]]/MIP[[#This Row],[HH disponível]]</f>
        <v>0.88636363636363591</v>
      </c>
      <c r="AD650" s="37" t="str">
        <f>LEFT(MIP[[#This Row],[Equipe]], SEARCH("/",MIP[[#This Row],[Equipe]],1)-1)</f>
        <v xml:space="preserve">ANDERSON </v>
      </c>
      <c r="AE650" s="37" t="str">
        <f>RIGHT(MIP[[#This Row],[Equipe]], LEN(MIP[[#This Row],[Equipe]])-SEARCH("/",MIP[[#This Row],[Equipe]],1))</f>
        <v xml:space="preserve"> MARCO</v>
      </c>
      <c r="AF650" s="44">
        <f>COUNTIFS('[1]Tempo parado'!H:H,"&gt;="&amp;MIP[[#This Row],[S.B Sitrack]],'[1]Tempo parado'!I:I,"&lt;="&amp;MIP[[#This Row],[C.B Sitrack]],'[1]Tempo parado'!B:B,MIP[[#This Row],[Placa]])</f>
        <v>0</v>
      </c>
      <c r="AG650" s="36"/>
      <c r="AH650" s="35"/>
      <c r="AI650" s="34"/>
      <c r="AJ650" s="34"/>
      <c r="AK65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5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50" s="32">
        <f>SUMIFS('[1]Tempo parado'!J:J,'[1]Tempo parado'!H:H,"&gt;="&amp;MIP[[#This Row],[S.B Sitrack]],'[1]Tempo parado'!I:I,"&lt;="&amp;MIP[[#This Row],[C.B Sitrack]],'[1]Tempo parado'!B:B,MIP[[#This Row],[Placa]])</f>
        <v>0</v>
      </c>
      <c r="AN650" s="32" t="str">
        <f>IFERROR(MIP[[#This Row],[Tempo parado]]/(MIP[[#This Row],[C.B Sitrack]]-MIP[[#This Row],[S.B Sitrack]]),"")</f>
        <v/>
      </c>
      <c r="AO650" s="30"/>
      <c r="AP650" s="44">
        <f>IF(AND(MIP[Exc]=0,MIP[Previsto / Realizado]="Realizado"),MIP[Sem],0)</f>
        <v>0</v>
      </c>
      <c r="AQ650" s="29">
        <f>IF(AND(MIP[Exc]=0,MIP[Previsto / Realizado]="Realizado",ISBLANK(MIP[[#This Row],[S.B Sitrack]])=FALSE,ISBLANK(MIP[[#This Row],[C.B Sitrack]])=FALSE),MIP[Sem],0)</f>
        <v>0</v>
      </c>
    </row>
    <row r="651" spans="2:43" x14ac:dyDescent="0.25">
      <c r="B651" s="44">
        <f>WEEKNUM(MIP[[#This Row],[Data]])</f>
        <v>41</v>
      </c>
      <c r="C651" s="45">
        <v>43019</v>
      </c>
      <c r="D651" s="45"/>
      <c r="E651" s="35" t="s">
        <v>7</v>
      </c>
      <c r="F651" s="35" t="s">
        <v>2</v>
      </c>
      <c r="G651" s="35"/>
      <c r="H651" s="44">
        <v>2</v>
      </c>
      <c r="I651" s="44">
        <v>2</v>
      </c>
      <c r="J651" s="44">
        <v>3</v>
      </c>
      <c r="K651" s="44">
        <v>1</v>
      </c>
      <c r="L651" s="44">
        <v>0</v>
      </c>
      <c r="M651" s="43">
        <v>0.62430555555555556</v>
      </c>
      <c r="N651" s="43">
        <v>0.6791666666666667</v>
      </c>
      <c r="O651" s="43">
        <v>1.0069444444444444</v>
      </c>
      <c r="P651" s="43">
        <v>1.0333333333333334</v>
      </c>
      <c r="Q651" s="39">
        <v>2.1527777777777781E-2</v>
      </c>
      <c r="R651" s="42" t="s">
        <v>194</v>
      </c>
      <c r="S651" s="29">
        <v>11</v>
      </c>
      <c r="T65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0.10277777777777794</v>
      </c>
      <c r="U651" s="39">
        <f>IF(MIP[[#This Row],[P.S]]-MIP[[#This Row],[U.P]]&gt;=0,MIP[[#This Row],[P.S]]-MIP[[#This Row],[U.P]]+MIP[[#This Row],[S.B]]-MIP[[#This Row],[P.E]],1+MIP[[#This Row],[P.S]]-MIP[[#This Row],[U.P]]+MIP[[#This Row],[S.B]]-MIP[[#This Row],[P.E]])</f>
        <v>8.1250000000000155E-2</v>
      </c>
      <c r="V651" s="41">
        <f>MIP[[#This Row],[Eficiência]]</f>
        <v>0.92435785880025889</v>
      </c>
      <c r="W65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51" s="39">
        <f>IF(MIP[[#This Row],[P.S]]-MIP[[#This Row],[P.E]]&lt;0,1+MIP[[#This Row],[P.S]]-MIP[[#This Row],[P.E]]-1/24,MIP[[#This Row],[P.S]]-MIP[[#This Row],[P.E]]-1/24)</f>
        <v>0.36736111111111119</v>
      </c>
      <c r="Y651" s="39">
        <f>MIP[[#This Row],[PT-1]]*$S$3+MIP[[#This Row],[PT-2]]*$T$3+MIP[[#This Row],[PT-3]]*$U$3+MIP[[#This Row],[PT &gt; 3 Pontos]]*$V$3</f>
        <v>0.24456968347423511</v>
      </c>
      <c r="Z651" s="39">
        <f>MIP[[#This Row],[HH disponível]]-MIP[[#This Row],[HH AC TOT]]</f>
        <v>0.26458333333333328</v>
      </c>
      <c r="AA651" s="38">
        <f>MIP[[#This Row],[HH Produtivo
Total]]/MIP[[#This Row],[HH Trabalhado]]</f>
        <v>0.92435785880025889</v>
      </c>
      <c r="AB651" s="38">
        <f>MIP[[#This Row],[HH Produtivo
Total]]/MIP[[#This Row],[HH disponível]]</f>
        <v>0.66574734253856049</v>
      </c>
      <c r="AC651" s="38">
        <f>MIP[[#This Row],[HH Trabalhado]]/MIP[[#This Row],[HH disponível]]</f>
        <v>0.7202268431001887</v>
      </c>
      <c r="AD651" s="37" t="str">
        <f>LEFT(MIP[[#This Row],[Equipe]], SEARCH("/",MIP[[#This Row],[Equipe]],1)-1)</f>
        <v xml:space="preserve">ANDERSON </v>
      </c>
      <c r="AE651" s="37" t="str">
        <f>RIGHT(MIP[[#This Row],[Equipe]], LEN(MIP[[#This Row],[Equipe]])-SEARCH("/",MIP[[#This Row],[Equipe]],1))</f>
        <v xml:space="preserve"> MARCO</v>
      </c>
      <c r="AF651" s="44">
        <f>COUNTIFS('[1]Tempo parado'!H:H,"&gt;="&amp;MIP[[#This Row],[S.B Sitrack]],'[1]Tempo parado'!I:I,"&lt;="&amp;MIP[[#This Row],[C.B Sitrack]],'[1]Tempo parado'!B:B,MIP[[#This Row],[Placa]])</f>
        <v>0</v>
      </c>
      <c r="AG651" s="36"/>
      <c r="AH651" s="35"/>
      <c r="AI651" s="34"/>
      <c r="AJ651" s="34"/>
      <c r="AK65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5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51" s="32">
        <f>SUMIFS('[1]Tempo parado'!J:J,'[1]Tempo parado'!H:H,"&gt;="&amp;MIP[[#This Row],[S.B Sitrack]],'[1]Tempo parado'!I:I,"&lt;="&amp;MIP[[#This Row],[C.B Sitrack]],'[1]Tempo parado'!B:B,MIP[[#This Row],[Placa]])</f>
        <v>0</v>
      </c>
      <c r="AN651" s="32" t="str">
        <f>IFERROR(MIP[[#This Row],[Tempo parado]]/(MIP[[#This Row],[C.B Sitrack]]-MIP[[#This Row],[S.B Sitrack]]),"")</f>
        <v/>
      </c>
      <c r="AO651" s="30"/>
      <c r="AP651" s="44">
        <f>IF(AND(MIP[Exc]=0,MIP[Previsto / Realizado]="Realizado"),MIP[Sem],0)</f>
        <v>41</v>
      </c>
      <c r="AQ651" s="29">
        <f>IF(AND(MIP[Exc]=0,MIP[Previsto / Realizado]="Realizado",ISBLANK(MIP[[#This Row],[S.B Sitrack]])=FALSE,ISBLANK(MIP[[#This Row],[C.B Sitrack]])=FALSE),MIP[Sem],0)</f>
        <v>0</v>
      </c>
    </row>
    <row r="652" spans="2:43" x14ac:dyDescent="0.25">
      <c r="B652" s="29">
        <f>WEEKNUM(MIP[[#This Row],[Data]])</f>
        <v>41</v>
      </c>
      <c r="C652" s="45">
        <v>43020</v>
      </c>
      <c r="D652" s="45"/>
      <c r="E652" s="35" t="s">
        <v>10</v>
      </c>
      <c r="F652" s="35" t="s">
        <v>5</v>
      </c>
      <c r="G652" s="35"/>
      <c r="H652" s="44">
        <v>2</v>
      </c>
      <c r="I652" s="44">
        <v>1</v>
      </c>
      <c r="J652" s="44">
        <v>0</v>
      </c>
      <c r="K652" s="44">
        <v>0</v>
      </c>
      <c r="L652" s="44">
        <v>0</v>
      </c>
      <c r="M652" s="43">
        <v>0.25</v>
      </c>
      <c r="N652" s="43">
        <v>0.27083333333333331</v>
      </c>
      <c r="O652" s="43">
        <v>0.63750000000000007</v>
      </c>
      <c r="P652" s="43">
        <v>0.65833333333333333</v>
      </c>
      <c r="Q652" s="39"/>
      <c r="R652" s="42" t="s">
        <v>193</v>
      </c>
      <c r="S652" s="29">
        <v>1</v>
      </c>
      <c r="T65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652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652" s="41">
        <f>MIP[[#This Row],[Eficiência]]</f>
        <v>7.7002624489037469E-2</v>
      </c>
      <c r="W65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52" s="39">
        <f>IF(MIP[[#This Row],[P.S]]-MIP[[#This Row],[P.E]]&lt;0,1+MIP[[#This Row],[P.S]]-MIP[[#This Row],[P.E]]-1/24,MIP[[#This Row],[P.S]]-MIP[[#This Row],[P.E]]-1/24)</f>
        <v>0.36666666666666664</v>
      </c>
      <c r="Y652" s="39">
        <f>MIP[[#This Row],[PT-1]]*$S$3+MIP[[#This Row],[PT-2]]*$T$3+MIP[[#This Row],[PT-3]]*$U$3+MIP[[#This Row],[PT &gt; 3 Pontos]]*$V$3</f>
        <v>2.5025852958937181E-2</v>
      </c>
      <c r="Z652" s="39">
        <f>MIP[[#This Row],[HH disponível]]-MIP[[#This Row],[HH AC TOT]]</f>
        <v>0.32500000000000007</v>
      </c>
      <c r="AA652" s="38">
        <f>MIP[[#This Row],[HH Produtivo
Total]]/MIP[[#This Row],[HH Trabalhado]]</f>
        <v>7.7002624489037469E-2</v>
      </c>
      <c r="AB652" s="38">
        <f>MIP[[#This Row],[HH Produtivo
Total]]/MIP[[#This Row],[HH disponível]]</f>
        <v>6.8252326251646858E-2</v>
      </c>
      <c r="AC652" s="38">
        <f>MIP[[#This Row],[HH Trabalhado]]/MIP[[#This Row],[HH disponível]]</f>
        <v>0.88636363636363658</v>
      </c>
      <c r="AD652" s="37" t="str">
        <f>LEFT(MIP[[#This Row],[Equipe]], SEARCH("/",MIP[[#This Row],[Equipe]],1)-1)</f>
        <v xml:space="preserve">JOILSON </v>
      </c>
      <c r="AE652" s="37" t="str">
        <f>RIGHT(MIP[[#This Row],[Equipe]], LEN(MIP[[#This Row],[Equipe]])-SEARCH("/",MIP[[#This Row],[Equipe]],1))</f>
        <v xml:space="preserve"> VALDEI</v>
      </c>
      <c r="AF652" s="44">
        <f>COUNTIFS('[1]Tempo parado'!H:H,"&gt;="&amp;MIP[[#This Row],[S.B Sitrack]],'[1]Tempo parado'!I:I,"&lt;="&amp;MIP[[#This Row],[C.B Sitrack]],'[1]Tempo parado'!B:B,MIP[[#This Row],[Placa]])</f>
        <v>0</v>
      </c>
      <c r="AG652" s="36"/>
      <c r="AH652" s="35"/>
      <c r="AI652" s="34"/>
      <c r="AJ652" s="34"/>
      <c r="AK65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5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52" s="32">
        <f>SUMIFS('[1]Tempo parado'!J:J,'[1]Tempo parado'!H:H,"&gt;="&amp;MIP[[#This Row],[S.B Sitrack]],'[1]Tempo parado'!I:I,"&lt;="&amp;MIP[[#This Row],[C.B Sitrack]],'[1]Tempo parado'!B:B,MIP[[#This Row],[Placa]])</f>
        <v>0</v>
      </c>
      <c r="AN652" s="32" t="str">
        <f>IFERROR(MIP[[#This Row],[Tempo parado]]/(MIP[[#This Row],[C.B Sitrack]]-MIP[[#This Row],[S.B Sitrack]]),"")</f>
        <v/>
      </c>
      <c r="AO652" s="30"/>
      <c r="AP652" s="44">
        <f>IF(AND(MIP[Exc]=0,MIP[Previsto / Realizado]="Realizado"),MIP[Sem],0)</f>
        <v>0</v>
      </c>
      <c r="AQ652" s="29">
        <f>IF(AND(MIP[Exc]=0,MIP[Previsto / Realizado]="Realizado",ISBLANK(MIP[[#This Row],[S.B Sitrack]])=FALSE,ISBLANK(MIP[[#This Row],[C.B Sitrack]])=FALSE),MIP[Sem],0)</f>
        <v>0</v>
      </c>
    </row>
    <row r="653" spans="2:43" x14ac:dyDescent="0.25">
      <c r="B653" s="29">
        <f>WEEKNUM(MIP[[#This Row],[Data]])</f>
        <v>41</v>
      </c>
      <c r="C653" s="45">
        <v>43020</v>
      </c>
      <c r="D653" s="45"/>
      <c r="E653" s="35" t="s">
        <v>10</v>
      </c>
      <c r="F653" s="35" t="s">
        <v>2</v>
      </c>
      <c r="G653" s="35"/>
      <c r="H653" s="44">
        <v>2</v>
      </c>
      <c r="I653" s="44">
        <v>2</v>
      </c>
      <c r="J653" s="44">
        <v>0</v>
      </c>
      <c r="K653" s="44">
        <v>1</v>
      </c>
      <c r="L653" s="44">
        <v>0</v>
      </c>
      <c r="M653" s="43">
        <v>0.24444444444444446</v>
      </c>
      <c r="N653" s="43">
        <v>0.2638888888888889</v>
      </c>
      <c r="O653" s="43">
        <v>0.64374999999999993</v>
      </c>
      <c r="P653" s="43">
        <v>0.66527777777777775</v>
      </c>
      <c r="Q653" s="39">
        <v>0.12013888888888889</v>
      </c>
      <c r="R653" s="42" t="s">
        <v>192</v>
      </c>
      <c r="S653" s="29">
        <v>5</v>
      </c>
      <c r="T65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0.16111111111111115</v>
      </c>
      <c r="U653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4.0972222222222243E-2</v>
      </c>
      <c r="V653" s="41">
        <f>MIP[[#This Row],[Eficiência]]</f>
        <v>0.51749832687159625</v>
      </c>
      <c r="W65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53" s="39">
        <f>IF(MIP[[#This Row],[P.S]]-MIP[[#This Row],[P.E]]&lt;0,1+MIP[[#This Row],[P.S]]-MIP[[#This Row],[P.E]]-1/24,MIP[[#This Row],[P.S]]-MIP[[#This Row],[P.E]]-1/24)</f>
        <v>0.3791666666666666</v>
      </c>
      <c r="Y653" s="39">
        <f>MIP[[#This Row],[PT-1]]*$S$3+MIP[[#This Row],[PT-2]]*$T$3+MIP[[#This Row],[PT-3]]*$U$3+MIP[[#This Row],[PT &gt; 3 Pontos]]*$V$3</f>
        <v>0.11284338516505635</v>
      </c>
      <c r="Z653" s="39">
        <f>MIP[[#This Row],[HH disponível]]-MIP[[#This Row],[HH AC TOT]]</f>
        <v>0.21805555555555545</v>
      </c>
      <c r="AA653" s="38">
        <f>MIP[[#This Row],[HH Produtivo
Total]]/MIP[[#This Row],[HH Trabalhado]]</f>
        <v>0.51749832687159625</v>
      </c>
      <c r="AB653" s="38">
        <f>MIP[[#This Row],[HH Produtivo
Total]]/MIP[[#This Row],[HH disponível]]</f>
        <v>0.29760892790784099</v>
      </c>
      <c r="AC653" s="38">
        <f>MIP[[#This Row],[HH Trabalhado]]/MIP[[#This Row],[HH disponível]]</f>
        <v>0.57509157509157494</v>
      </c>
      <c r="AD653" s="37" t="str">
        <f>LEFT(MIP[[#This Row],[Equipe]], SEARCH("/",MIP[[#This Row],[Equipe]],1)-1)</f>
        <v xml:space="preserve">JOILSON </v>
      </c>
      <c r="AE653" s="37" t="str">
        <f>RIGHT(MIP[[#This Row],[Equipe]], LEN(MIP[[#This Row],[Equipe]])-SEARCH("/",MIP[[#This Row],[Equipe]],1))</f>
        <v xml:space="preserve"> VALDEI</v>
      </c>
      <c r="AF653" s="44">
        <f>COUNTIFS('[1]Tempo parado'!H:H,"&gt;="&amp;MIP[[#This Row],[S.B Sitrack]],'[1]Tempo parado'!I:I,"&lt;="&amp;MIP[[#This Row],[C.B Sitrack]],'[1]Tempo parado'!B:B,MIP[[#This Row],[Placa]])</f>
        <v>0</v>
      </c>
      <c r="AG653" s="36"/>
      <c r="AH653" s="35"/>
      <c r="AI653" s="34"/>
      <c r="AJ653" s="34"/>
      <c r="AK65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5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53" s="32">
        <f>SUMIFS('[1]Tempo parado'!J:J,'[1]Tempo parado'!H:H,"&gt;="&amp;MIP[[#This Row],[S.B Sitrack]],'[1]Tempo parado'!I:I,"&lt;="&amp;MIP[[#This Row],[C.B Sitrack]],'[1]Tempo parado'!B:B,MIP[[#This Row],[Placa]])</f>
        <v>0</v>
      </c>
      <c r="AN653" s="32" t="str">
        <f>IFERROR(MIP[[#This Row],[Tempo parado]]/(MIP[[#This Row],[C.B Sitrack]]-MIP[[#This Row],[S.B Sitrack]]),"")</f>
        <v/>
      </c>
      <c r="AO653" s="30"/>
      <c r="AP653" s="44">
        <f>IF(AND(MIP[Exc]=0,MIP[Previsto / Realizado]="Realizado"),MIP[Sem],0)</f>
        <v>41</v>
      </c>
      <c r="AQ653" s="29">
        <f>IF(AND(MIP[Exc]=0,MIP[Previsto / Realizado]="Realizado",ISBLANK(MIP[[#This Row],[S.B Sitrack]])=FALSE,ISBLANK(MIP[[#This Row],[C.B Sitrack]])=FALSE),MIP[Sem],0)</f>
        <v>0</v>
      </c>
    </row>
    <row r="654" spans="2:43" x14ac:dyDescent="0.25">
      <c r="B654" s="29">
        <f>WEEKNUM(MIP[[#This Row],[Data]])</f>
        <v>41</v>
      </c>
      <c r="C654" s="45">
        <v>43020</v>
      </c>
      <c r="D654" s="45"/>
      <c r="E654" s="35" t="s">
        <v>3</v>
      </c>
      <c r="F654" s="35" t="s">
        <v>5</v>
      </c>
      <c r="G654" s="35"/>
      <c r="H654" s="44">
        <v>2</v>
      </c>
      <c r="I654" s="44">
        <v>3</v>
      </c>
      <c r="J654" s="44">
        <v>0</v>
      </c>
      <c r="K654" s="44">
        <v>0</v>
      </c>
      <c r="L654" s="44">
        <v>0</v>
      </c>
      <c r="M654" s="43">
        <v>0.625</v>
      </c>
      <c r="N654" s="43">
        <v>0.64583333333333337</v>
      </c>
      <c r="O654" s="43">
        <v>1.0125</v>
      </c>
      <c r="P654" s="43">
        <v>1.0333333333333334</v>
      </c>
      <c r="Q654" s="39"/>
      <c r="R654" s="42" t="s">
        <v>4</v>
      </c>
      <c r="S654" s="29">
        <v>3</v>
      </c>
      <c r="T65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654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654" s="41">
        <f>MIP[[#This Row],[Eficiência]]</f>
        <v>0.23100787346711252</v>
      </c>
      <c r="W65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54" s="39">
        <f>IF(MIP[[#This Row],[P.S]]-MIP[[#This Row],[P.E]]&lt;0,1+MIP[[#This Row],[P.S]]-MIP[[#This Row],[P.E]]-1/24,MIP[[#This Row],[P.S]]-MIP[[#This Row],[P.E]]-1/24)</f>
        <v>0.36666666666666675</v>
      </c>
      <c r="Y654" s="39">
        <f>MIP[[#This Row],[PT-1]]*$S$3+MIP[[#This Row],[PT-2]]*$T$3+MIP[[#This Row],[PT-3]]*$U$3+MIP[[#This Row],[PT &gt; 3 Pontos]]*$V$3</f>
        <v>7.5077558876811543E-2</v>
      </c>
      <c r="Z654" s="39">
        <f>MIP[[#This Row],[HH disponível]]-MIP[[#This Row],[HH AC TOT]]</f>
        <v>0.3249999999999999</v>
      </c>
      <c r="AA654" s="38">
        <f>MIP[[#This Row],[HH Produtivo
Total]]/MIP[[#This Row],[HH Trabalhado]]</f>
        <v>0.23100787346711252</v>
      </c>
      <c r="AB654" s="38">
        <f>MIP[[#This Row],[HH Produtivo
Total]]/MIP[[#This Row],[HH disponível]]</f>
        <v>0.20475697875494053</v>
      </c>
      <c r="AC654" s="38">
        <f>MIP[[#This Row],[HH Trabalhado]]/MIP[[#This Row],[HH disponível]]</f>
        <v>0.88636363636363591</v>
      </c>
      <c r="AD654" s="37" t="str">
        <f>LEFT(MIP[[#This Row],[Equipe]], SEARCH("/",MIP[[#This Row],[Equipe]],1)-1)</f>
        <v xml:space="preserve">EDILTON </v>
      </c>
      <c r="AE654" s="37" t="str">
        <f>RIGHT(MIP[[#This Row],[Equipe]], LEN(MIP[[#This Row],[Equipe]])-SEARCH("/",MIP[[#This Row],[Equipe]],1))</f>
        <v xml:space="preserve"> GECIVALDO</v>
      </c>
      <c r="AF654" s="44">
        <f>COUNTIFS('[1]Tempo parado'!H:H,"&gt;="&amp;MIP[[#This Row],[S.B Sitrack]],'[1]Tempo parado'!I:I,"&lt;="&amp;MIP[[#This Row],[C.B Sitrack]],'[1]Tempo parado'!B:B,MIP[[#This Row],[Placa]])</f>
        <v>0</v>
      </c>
      <c r="AG654" s="36"/>
      <c r="AH654" s="35"/>
      <c r="AI654" s="34"/>
      <c r="AJ654" s="34"/>
      <c r="AK65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5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54" s="32">
        <f>SUMIFS('[1]Tempo parado'!J:J,'[1]Tempo parado'!H:H,"&gt;="&amp;MIP[[#This Row],[S.B Sitrack]],'[1]Tempo parado'!I:I,"&lt;="&amp;MIP[[#This Row],[C.B Sitrack]],'[1]Tempo parado'!B:B,MIP[[#This Row],[Placa]])</f>
        <v>0</v>
      </c>
      <c r="AN654" s="32" t="str">
        <f>IFERROR(MIP[[#This Row],[Tempo parado]]/(MIP[[#This Row],[C.B Sitrack]]-MIP[[#This Row],[S.B Sitrack]]),"")</f>
        <v/>
      </c>
      <c r="AO654" s="30"/>
      <c r="AP654" s="44">
        <f>IF(AND(MIP[Exc]=0,MIP[Previsto / Realizado]="Realizado"),MIP[Sem],0)</f>
        <v>0</v>
      </c>
      <c r="AQ654" s="29">
        <f>IF(AND(MIP[Exc]=0,MIP[Previsto / Realizado]="Realizado",ISBLANK(MIP[[#This Row],[S.B Sitrack]])=FALSE,ISBLANK(MIP[[#This Row],[C.B Sitrack]])=FALSE),MIP[Sem],0)</f>
        <v>0</v>
      </c>
    </row>
    <row r="655" spans="2:43" x14ac:dyDescent="0.25">
      <c r="B655" s="29">
        <f>WEEKNUM(MIP[[#This Row],[Data]])</f>
        <v>41</v>
      </c>
      <c r="C655" s="45">
        <v>43020</v>
      </c>
      <c r="D655" s="45"/>
      <c r="E655" s="35" t="s">
        <v>3</v>
      </c>
      <c r="F655" s="35" t="s">
        <v>2</v>
      </c>
      <c r="G655" s="35"/>
      <c r="H655" s="44">
        <v>2</v>
      </c>
      <c r="I655" s="44">
        <v>4</v>
      </c>
      <c r="J655" s="44">
        <v>0</v>
      </c>
      <c r="K655" s="44">
        <v>0</v>
      </c>
      <c r="L655" s="44">
        <v>9</v>
      </c>
      <c r="M655" s="43">
        <v>0.61111111111111105</v>
      </c>
      <c r="N655" s="43">
        <v>0.65277777777777779</v>
      </c>
      <c r="O655" s="43">
        <v>1.0145833333333334</v>
      </c>
      <c r="P655" s="43">
        <v>1.0333333333333334</v>
      </c>
      <c r="Q655" s="39"/>
      <c r="R655" s="42" t="s">
        <v>191</v>
      </c>
      <c r="S655" s="29">
        <v>13</v>
      </c>
      <c r="T65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6.0416666666666785E-2</v>
      </c>
      <c r="U655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6.0416666666666785E-2</v>
      </c>
      <c r="V655" s="41">
        <f>MIP[[#This Row],[Eficiência]]</f>
        <v>0.88191569209972021</v>
      </c>
      <c r="W65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55" s="39">
        <f>IF(MIP[[#This Row],[P.S]]-MIP[[#This Row],[P.E]]&lt;0,1+MIP[[#This Row],[P.S]]-MIP[[#This Row],[P.E]]-1/24,MIP[[#This Row],[P.S]]-MIP[[#This Row],[P.E]]-1/24)</f>
        <v>0.3805555555555557</v>
      </c>
      <c r="Y655" s="39">
        <f>MIP[[#This Row],[PT-1]]*$S$3+MIP[[#This Row],[PT-2]]*$T$3+MIP[[#This Row],[PT-3]]*$U$3+MIP[[#This Row],[PT &gt; 3 Pontos]]*$V$3</f>
        <v>0.2823355097624799</v>
      </c>
      <c r="Z655" s="39">
        <f>MIP[[#This Row],[HH disponível]]-MIP[[#This Row],[HH AC TOT]]</f>
        <v>0.32013888888888892</v>
      </c>
      <c r="AA655" s="38">
        <f>MIP[[#This Row],[HH Produtivo
Total]]/MIP[[#This Row],[HH Trabalhado]]</f>
        <v>0.88191569209972021</v>
      </c>
      <c r="AB655" s="38">
        <f>MIP[[#This Row],[HH Produtivo
Total]]/MIP[[#This Row],[HH disponível]]</f>
        <v>0.74190352930286663</v>
      </c>
      <c r="AC655" s="38">
        <f>MIP[[#This Row],[HH Trabalhado]]/MIP[[#This Row],[HH disponível]]</f>
        <v>0.84124087591240848</v>
      </c>
      <c r="AD655" s="37" t="str">
        <f>LEFT(MIP[[#This Row],[Equipe]], SEARCH("/",MIP[[#This Row],[Equipe]],1)-1)</f>
        <v xml:space="preserve">EDILTON </v>
      </c>
      <c r="AE655" s="37" t="str">
        <f>RIGHT(MIP[[#This Row],[Equipe]], LEN(MIP[[#This Row],[Equipe]])-SEARCH("/",MIP[[#This Row],[Equipe]],1))</f>
        <v xml:space="preserve"> GECIVALDO</v>
      </c>
      <c r="AF655" s="44">
        <f>COUNTIFS('[1]Tempo parado'!H:H,"&gt;="&amp;MIP[[#This Row],[S.B Sitrack]],'[1]Tempo parado'!I:I,"&lt;="&amp;MIP[[#This Row],[C.B Sitrack]],'[1]Tempo parado'!B:B,MIP[[#This Row],[Placa]])</f>
        <v>0</v>
      </c>
      <c r="AG655" s="36"/>
      <c r="AH655" s="35"/>
      <c r="AI655" s="34"/>
      <c r="AJ655" s="34"/>
      <c r="AK65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5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55" s="32">
        <f>SUMIFS('[1]Tempo parado'!J:J,'[1]Tempo parado'!H:H,"&gt;="&amp;MIP[[#This Row],[S.B Sitrack]],'[1]Tempo parado'!I:I,"&lt;="&amp;MIP[[#This Row],[C.B Sitrack]],'[1]Tempo parado'!B:B,MIP[[#This Row],[Placa]])</f>
        <v>0</v>
      </c>
      <c r="AN655" s="32" t="str">
        <f>IFERROR(MIP[[#This Row],[Tempo parado]]/(MIP[[#This Row],[C.B Sitrack]]-MIP[[#This Row],[S.B Sitrack]]),"")</f>
        <v/>
      </c>
      <c r="AO655" s="30"/>
      <c r="AP655" s="44">
        <f>IF(AND(MIP[Exc]=0,MIP[Previsto / Realizado]="Realizado"),MIP[Sem],0)</f>
        <v>41</v>
      </c>
      <c r="AQ655" s="29">
        <f>IF(AND(MIP[Exc]=0,MIP[Previsto / Realizado]="Realizado",ISBLANK(MIP[[#This Row],[S.B Sitrack]])=FALSE,ISBLANK(MIP[[#This Row],[C.B Sitrack]])=FALSE),MIP[Sem],0)</f>
        <v>0</v>
      </c>
    </row>
    <row r="656" spans="2:43" x14ac:dyDescent="0.25">
      <c r="B656" s="29">
        <f>WEEKNUM(MIP[[#This Row],[Data]])</f>
        <v>41</v>
      </c>
      <c r="C656" s="45">
        <v>43021</v>
      </c>
      <c r="D656" s="45"/>
      <c r="E656" s="35" t="s">
        <v>7</v>
      </c>
      <c r="F656" s="35" t="s">
        <v>5</v>
      </c>
      <c r="G656" s="35"/>
      <c r="H656" s="44">
        <v>2</v>
      </c>
      <c r="I656" s="44">
        <v>0</v>
      </c>
      <c r="J656" s="44">
        <v>0</v>
      </c>
      <c r="K656" s="44">
        <v>0</v>
      </c>
      <c r="L656" s="44">
        <v>0</v>
      </c>
      <c r="M656" s="43">
        <v>0.625</v>
      </c>
      <c r="N656" s="43">
        <v>0.64583333333333337</v>
      </c>
      <c r="O656" s="43">
        <v>1.0125</v>
      </c>
      <c r="P656" s="43">
        <v>1.0333333333333334</v>
      </c>
      <c r="Q656" s="39"/>
      <c r="R656" s="42" t="s">
        <v>190</v>
      </c>
      <c r="S656" s="29">
        <v>0</v>
      </c>
      <c r="T65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656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656" s="41">
        <f>MIP[[#This Row],[Eficiência]]</f>
        <v>0</v>
      </c>
      <c r="W65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56" s="39">
        <f>IF(MIP[[#This Row],[P.S]]-MIP[[#This Row],[P.E]]&lt;0,1+MIP[[#This Row],[P.S]]-MIP[[#This Row],[P.E]]-1/24,MIP[[#This Row],[P.S]]-MIP[[#This Row],[P.E]]-1/24)</f>
        <v>0.36666666666666675</v>
      </c>
      <c r="Y656" s="39">
        <f>MIP[[#This Row],[PT-1]]*$S$3+MIP[[#This Row],[PT-2]]*$T$3+MIP[[#This Row],[PT-3]]*$U$3+MIP[[#This Row],[PT &gt; 3 Pontos]]*$V$3</f>
        <v>0</v>
      </c>
      <c r="Z656" s="39">
        <f>MIP[[#This Row],[HH disponível]]-MIP[[#This Row],[HH AC TOT]]</f>
        <v>0.3249999999999999</v>
      </c>
      <c r="AA656" s="38">
        <f>MIP[[#This Row],[HH Produtivo
Total]]/MIP[[#This Row],[HH Trabalhado]]</f>
        <v>0</v>
      </c>
      <c r="AB656" s="38">
        <f>MIP[[#This Row],[HH Produtivo
Total]]/MIP[[#This Row],[HH disponível]]</f>
        <v>0</v>
      </c>
      <c r="AC656" s="38">
        <f>MIP[[#This Row],[HH Trabalhado]]/MIP[[#This Row],[HH disponível]]</f>
        <v>0.88636363636363591</v>
      </c>
      <c r="AD656" s="37" t="str">
        <f>LEFT(MIP[[#This Row],[Equipe]], SEARCH("/",MIP[[#This Row],[Equipe]],1)-1)</f>
        <v xml:space="preserve">ANDERSON </v>
      </c>
      <c r="AE656" s="37" t="str">
        <f>RIGHT(MIP[[#This Row],[Equipe]], LEN(MIP[[#This Row],[Equipe]])-SEARCH("/",MIP[[#This Row],[Equipe]],1))</f>
        <v xml:space="preserve"> MARCO</v>
      </c>
      <c r="AF656" s="44">
        <f>COUNTIFS('[1]Tempo parado'!H:H,"&gt;="&amp;MIP[[#This Row],[S.B Sitrack]],'[1]Tempo parado'!I:I,"&lt;="&amp;MIP[[#This Row],[C.B Sitrack]],'[1]Tempo parado'!B:B,MIP[[#This Row],[Placa]])</f>
        <v>0</v>
      </c>
      <c r="AG656" s="36"/>
      <c r="AH656" s="35"/>
      <c r="AI656" s="34"/>
      <c r="AJ656" s="34"/>
      <c r="AK65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5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56" s="32">
        <f>SUMIFS('[1]Tempo parado'!J:J,'[1]Tempo parado'!H:H,"&gt;="&amp;MIP[[#This Row],[S.B Sitrack]],'[1]Tempo parado'!I:I,"&lt;="&amp;MIP[[#This Row],[C.B Sitrack]],'[1]Tempo parado'!B:B,MIP[[#This Row],[Placa]])</f>
        <v>0</v>
      </c>
      <c r="AN656" s="32" t="str">
        <f>IFERROR(MIP[[#This Row],[Tempo parado]]/(MIP[[#This Row],[C.B Sitrack]]-MIP[[#This Row],[S.B Sitrack]]),"")</f>
        <v/>
      </c>
      <c r="AO656" s="30"/>
      <c r="AP656" s="44">
        <f>IF(AND(MIP[Exc]=0,MIP[Previsto / Realizado]="Realizado"),MIP[Sem],0)</f>
        <v>0</v>
      </c>
      <c r="AQ656" s="29">
        <f>IF(AND(MIP[Exc]=0,MIP[Previsto / Realizado]="Realizado",ISBLANK(MIP[[#This Row],[S.B Sitrack]])=FALSE,ISBLANK(MIP[[#This Row],[C.B Sitrack]])=FALSE),MIP[Sem],0)</f>
        <v>0</v>
      </c>
    </row>
    <row r="657" spans="2:43" x14ac:dyDescent="0.25">
      <c r="B657" s="29">
        <f>WEEKNUM(MIP[[#This Row],[Data]])</f>
        <v>41</v>
      </c>
      <c r="C657" s="45">
        <v>43021</v>
      </c>
      <c r="D657" s="45"/>
      <c r="E657" s="35" t="s">
        <v>7</v>
      </c>
      <c r="F657" s="35" t="s">
        <v>2</v>
      </c>
      <c r="G657" s="35"/>
      <c r="H657" s="44">
        <v>2</v>
      </c>
      <c r="I657" s="44">
        <v>2</v>
      </c>
      <c r="J657" s="44">
        <v>4</v>
      </c>
      <c r="K657" s="44">
        <v>0</v>
      </c>
      <c r="L657" s="44">
        <v>0</v>
      </c>
      <c r="M657" s="43">
        <v>0.62013888888888891</v>
      </c>
      <c r="N657" s="43">
        <v>0.67361111111111116</v>
      </c>
      <c r="O657" s="43">
        <v>1.0138888888888888</v>
      </c>
      <c r="P657" s="43">
        <v>1.0333333333333334</v>
      </c>
      <c r="Q657" s="39">
        <v>9.7222222222222224E-2</v>
      </c>
      <c r="R657" s="42" t="s">
        <v>189</v>
      </c>
      <c r="S657" s="29">
        <v>10</v>
      </c>
      <c r="T65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0.17013888888888906</v>
      </c>
      <c r="U657" s="39">
        <f>IF(MIP[[#This Row],[P.S]]-MIP[[#This Row],[U.P]]&gt;=0,MIP[[#This Row],[P.S]]-MIP[[#This Row],[U.P]]+MIP[[#This Row],[S.B]]-MIP[[#This Row],[P.E]],1+MIP[[#This Row],[P.S]]-MIP[[#This Row],[U.P]]+MIP[[#This Row],[S.B]]-MIP[[#This Row],[P.E]])</f>
        <v>7.2916666666666852E-2</v>
      </c>
      <c r="V657" s="41">
        <f>MIP[[#This Row],[Eficiência]]</f>
        <v>1.1206515492253877</v>
      </c>
      <c r="W65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57" s="39">
        <f>IF(MIP[[#This Row],[P.S]]-MIP[[#This Row],[P.E]]&lt;0,1+MIP[[#This Row],[P.S]]-MIP[[#This Row],[P.E]]-1/24,MIP[[#This Row],[P.S]]-MIP[[#This Row],[P.E]]-1/24)</f>
        <v>0.37152777777777785</v>
      </c>
      <c r="Y657" s="39">
        <f>MIP[[#This Row],[PT-1]]*$S$3+MIP[[#This Row],[PT-2]]*$T$3+MIP[[#This Row],[PT-3]]*$U$3+MIP[[#This Row],[PT &gt; 3 Pontos]]*$V$3</f>
        <v>0.2256867703301127</v>
      </c>
      <c r="Z657" s="39">
        <f>MIP[[#This Row],[HH disponível]]-MIP[[#This Row],[HH AC TOT]]</f>
        <v>0.20138888888888878</v>
      </c>
      <c r="AA657" s="38">
        <f>MIP[[#This Row],[HH Produtivo
Total]]/MIP[[#This Row],[HH Trabalhado]]</f>
        <v>1.1206515492253877</v>
      </c>
      <c r="AB657" s="38">
        <f>MIP[[#This Row],[HH Produtivo
Total]]/MIP[[#This Row],[HH disponível]]</f>
        <v>0.60745597995394807</v>
      </c>
      <c r="AC657" s="38">
        <f>MIP[[#This Row],[HH Trabalhado]]/MIP[[#This Row],[HH disponível]]</f>
        <v>0.54205607476635476</v>
      </c>
      <c r="AD657" s="37" t="str">
        <f>LEFT(MIP[[#This Row],[Equipe]], SEARCH("/",MIP[[#This Row],[Equipe]],1)-1)</f>
        <v xml:space="preserve">ANDERSON </v>
      </c>
      <c r="AE657" s="37" t="str">
        <f>RIGHT(MIP[[#This Row],[Equipe]], LEN(MIP[[#This Row],[Equipe]])-SEARCH("/",MIP[[#This Row],[Equipe]],1))</f>
        <v xml:space="preserve"> MARCO</v>
      </c>
      <c r="AF657" s="44">
        <f>COUNTIFS('[1]Tempo parado'!H:H,"&gt;="&amp;MIP[[#This Row],[S.B Sitrack]],'[1]Tempo parado'!I:I,"&lt;="&amp;MIP[[#This Row],[C.B Sitrack]],'[1]Tempo parado'!B:B,MIP[[#This Row],[Placa]])</f>
        <v>0</v>
      </c>
      <c r="AG657" s="36"/>
      <c r="AH657" s="35"/>
      <c r="AI657" s="34"/>
      <c r="AJ657" s="34"/>
      <c r="AK65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5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57" s="32">
        <f>SUMIFS('[1]Tempo parado'!J:J,'[1]Tempo parado'!H:H,"&gt;="&amp;MIP[[#This Row],[S.B Sitrack]],'[1]Tempo parado'!I:I,"&lt;="&amp;MIP[[#This Row],[C.B Sitrack]],'[1]Tempo parado'!B:B,MIP[[#This Row],[Placa]])</f>
        <v>0</v>
      </c>
      <c r="AN657" s="32" t="str">
        <f>IFERROR(MIP[[#This Row],[Tempo parado]]/(MIP[[#This Row],[C.B Sitrack]]-MIP[[#This Row],[S.B Sitrack]]),"")</f>
        <v/>
      </c>
      <c r="AO657" s="30"/>
      <c r="AP657" s="44">
        <f>IF(AND(MIP[Exc]=0,MIP[Previsto / Realizado]="Realizado"),MIP[Sem],0)</f>
        <v>41</v>
      </c>
      <c r="AQ657" s="29">
        <f>IF(AND(MIP[Exc]=0,MIP[Previsto / Realizado]="Realizado",ISBLANK(MIP[[#This Row],[S.B Sitrack]])=FALSE,ISBLANK(MIP[[#This Row],[C.B Sitrack]])=FALSE),MIP[Sem],0)</f>
        <v>0</v>
      </c>
    </row>
    <row r="658" spans="2:43" x14ac:dyDescent="0.25">
      <c r="B658" s="29">
        <f>WEEKNUM(MIP[[#This Row],[Data]])</f>
        <v>41</v>
      </c>
      <c r="C658" s="45">
        <v>43021</v>
      </c>
      <c r="D658" s="45"/>
      <c r="E658" s="35" t="s">
        <v>3</v>
      </c>
      <c r="F658" s="35" t="s">
        <v>5</v>
      </c>
      <c r="G658" s="35"/>
      <c r="H658" s="44">
        <v>2</v>
      </c>
      <c r="I658" s="44">
        <v>2</v>
      </c>
      <c r="J658" s="44">
        <v>2</v>
      </c>
      <c r="K658" s="44">
        <v>1</v>
      </c>
      <c r="L658" s="44">
        <v>0</v>
      </c>
      <c r="M658" s="43">
        <v>0.625</v>
      </c>
      <c r="N658" s="43">
        <v>0.64583333333333337</v>
      </c>
      <c r="O658" s="43">
        <v>1.0125</v>
      </c>
      <c r="P658" s="43">
        <v>1.0333333333333334</v>
      </c>
      <c r="Q658" s="39"/>
      <c r="R658" s="42" t="s">
        <v>188</v>
      </c>
      <c r="S658" s="29">
        <v>9</v>
      </c>
      <c r="T65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658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658" s="41">
        <f>MIP[[#This Row],[Eficiência]]</f>
        <v>0.61741820729592489</v>
      </c>
      <c r="W65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58" s="39">
        <f>IF(MIP[[#This Row],[P.S]]-MIP[[#This Row],[P.E]]&lt;0,1+MIP[[#This Row],[P.S]]-MIP[[#This Row],[P.E]]-1/24,MIP[[#This Row],[P.S]]-MIP[[#This Row],[P.E]]-1/24)</f>
        <v>0.36666666666666675</v>
      </c>
      <c r="Y658" s="39">
        <f>MIP[[#This Row],[PT-1]]*$S$3+MIP[[#This Row],[PT-2]]*$T$3+MIP[[#This Row],[PT-3]]*$U$3+MIP[[#This Row],[PT &gt; 3 Pontos]]*$V$3</f>
        <v>0.20066091737117553</v>
      </c>
      <c r="Z658" s="39">
        <f>MIP[[#This Row],[HH disponível]]-MIP[[#This Row],[HH AC TOT]]</f>
        <v>0.3249999999999999</v>
      </c>
      <c r="AA658" s="38">
        <f>MIP[[#This Row],[HH Produtivo
Total]]/MIP[[#This Row],[HH Trabalhado]]</f>
        <v>0.61741820729592489</v>
      </c>
      <c r="AB658" s="38">
        <f>MIP[[#This Row],[HH Produtivo
Total]]/MIP[[#This Row],[HH disponível]]</f>
        <v>0.54725704737593317</v>
      </c>
      <c r="AC658" s="38">
        <f>MIP[[#This Row],[HH Trabalhado]]/MIP[[#This Row],[HH disponível]]</f>
        <v>0.88636363636363591</v>
      </c>
      <c r="AD658" s="37" t="str">
        <f>LEFT(MIP[[#This Row],[Equipe]], SEARCH("/",MIP[[#This Row],[Equipe]],1)-1)</f>
        <v xml:space="preserve">EDILTON </v>
      </c>
      <c r="AE658" s="37" t="str">
        <f>RIGHT(MIP[[#This Row],[Equipe]], LEN(MIP[[#This Row],[Equipe]])-SEARCH("/",MIP[[#This Row],[Equipe]],1))</f>
        <v xml:space="preserve"> GECIVALDO</v>
      </c>
      <c r="AF658" s="44">
        <f>COUNTIFS('[1]Tempo parado'!H:H,"&gt;="&amp;MIP[[#This Row],[S.B Sitrack]],'[1]Tempo parado'!I:I,"&lt;="&amp;MIP[[#This Row],[C.B Sitrack]],'[1]Tempo parado'!B:B,MIP[[#This Row],[Placa]])</f>
        <v>0</v>
      </c>
      <c r="AG658" s="36"/>
      <c r="AH658" s="35"/>
      <c r="AI658" s="34"/>
      <c r="AJ658" s="34"/>
      <c r="AK65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5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58" s="32">
        <f>SUMIFS('[1]Tempo parado'!J:J,'[1]Tempo parado'!H:H,"&gt;="&amp;MIP[[#This Row],[S.B Sitrack]],'[1]Tempo parado'!I:I,"&lt;="&amp;MIP[[#This Row],[C.B Sitrack]],'[1]Tempo parado'!B:B,MIP[[#This Row],[Placa]])</f>
        <v>0</v>
      </c>
      <c r="AN658" s="32" t="str">
        <f>IFERROR(MIP[[#This Row],[Tempo parado]]/(MIP[[#This Row],[C.B Sitrack]]-MIP[[#This Row],[S.B Sitrack]]),"")</f>
        <v/>
      </c>
      <c r="AO658" s="30"/>
      <c r="AP658" s="44">
        <f>IF(AND(MIP[Exc]=0,MIP[Previsto / Realizado]="Realizado"),MIP[Sem],0)</f>
        <v>0</v>
      </c>
      <c r="AQ658" s="29">
        <f>IF(AND(MIP[Exc]=0,MIP[Previsto / Realizado]="Realizado",ISBLANK(MIP[[#This Row],[S.B Sitrack]])=FALSE,ISBLANK(MIP[[#This Row],[C.B Sitrack]])=FALSE),MIP[Sem],0)</f>
        <v>0</v>
      </c>
    </row>
    <row r="659" spans="2:43" x14ac:dyDescent="0.25">
      <c r="B659" s="29">
        <f>WEEKNUM(MIP[[#This Row],[Data]])</f>
        <v>41</v>
      </c>
      <c r="C659" s="45">
        <v>43021</v>
      </c>
      <c r="D659" s="45"/>
      <c r="E659" s="35" t="s">
        <v>3</v>
      </c>
      <c r="F659" s="35" t="s">
        <v>2</v>
      </c>
      <c r="G659" s="35"/>
      <c r="H659" s="44">
        <v>2</v>
      </c>
      <c r="I659" s="44">
        <v>7</v>
      </c>
      <c r="J659" s="44">
        <v>2</v>
      </c>
      <c r="K659" s="44">
        <v>1</v>
      </c>
      <c r="L659" s="44">
        <v>0</v>
      </c>
      <c r="M659" s="43">
        <v>0.64374999999999993</v>
      </c>
      <c r="N659" s="43">
        <v>0.67638888888888893</v>
      </c>
      <c r="O659" s="43">
        <v>1.0270833333333333</v>
      </c>
      <c r="P659" s="43">
        <v>1.0340277777777778</v>
      </c>
      <c r="Q659" s="39"/>
      <c r="R659" s="42" t="s">
        <v>9</v>
      </c>
      <c r="S659" s="29">
        <v>14</v>
      </c>
      <c r="T65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3.9583333333333415E-2</v>
      </c>
      <c r="U659" s="39">
        <f>IF(MIP[[#This Row],[P.S]]-MIP[[#This Row],[U.P]]&gt;=0,MIP[[#This Row],[P.S]]-MIP[[#This Row],[U.P]]+MIP[[#This Row],[S.B]]-MIP[[#This Row],[P.E]],1+MIP[[#This Row],[P.S]]-MIP[[#This Row],[U.P]]+MIP[[#This Row],[S.B]]-MIP[[#This Row],[P.E]])</f>
        <v>3.9583333333333415E-2</v>
      </c>
      <c r="V659" s="41">
        <f>MIP[[#This Row],[Eficiência]]</f>
        <v>1.0542423872333495</v>
      </c>
      <c r="W65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59" s="39">
        <f>IF(MIP[[#This Row],[P.S]]-MIP[[#This Row],[P.E]]&lt;0,1+MIP[[#This Row],[P.S]]-MIP[[#This Row],[P.E]]-1/24,MIP[[#This Row],[P.S]]-MIP[[#This Row],[P.E]]-1/24)</f>
        <v>0.34861111111111115</v>
      </c>
      <c r="Y659" s="39">
        <f>MIP[[#This Row],[PT-1]]*$S$3+MIP[[#This Row],[PT-2]]*$T$3+MIP[[#This Row],[PT-3]]*$U$3+MIP[[#This Row],[PT &gt; 3 Pontos]]*$V$3</f>
        <v>0.32579018216586142</v>
      </c>
      <c r="Z659" s="39">
        <f>MIP[[#This Row],[HH disponível]]-MIP[[#This Row],[HH AC TOT]]</f>
        <v>0.30902777777777773</v>
      </c>
      <c r="AA659" s="38">
        <f>MIP[[#This Row],[HH Produtivo
Total]]/MIP[[#This Row],[HH Trabalhado]]</f>
        <v>1.0542423872333495</v>
      </c>
      <c r="AB659" s="38">
        <f>MIP[[#This Row],[HH Produtivo
Total]]/MIP[[#This Row],[HH disponível]]</f>
        <v>0.93453757434031948</v>
      </c>
      <c r="AC659" s="38">
        <f>MIP[[#This Row],[HH Trabalhado]]/MIP[[#This Row],[HH disponível]]</f>
        <v>0.88645418326693204</v>
      </c>
      <c r="AD659" s="37" t="str">
        <f>LEFT(MIP[[#This Row],[Equipe]], SEARCH("/",MIP[[#This Row],[Equipe]],1)-1)</f>
        <v xml:space="preserve">EDILTON </v>
      </c>
      <c r="AE659" s="37" t="str">
        <f>RIGHT(MIP[[#This Row],[Equipe]], LEN(MIP[[#This Row],[Equipe]])-SEARCH("/",MIP[[#This Row],[Equipe]],1))</f>
        <v xml:space="preserve"> GECIVALDO</v>
      </c>
      <c r="AF659" s="44">
        <f>COUNTIFS('[1]Tempo parado'!H:H,"&gt;="&amp;MIP[[#This Row],[S.B Sitrack]],'[1]Tempo parado'!I:I,"&lt;="&amp;MIP[[#This Row],[C.B Sitrack]],'[1]Tempo parado'!B:B,MIP[[#This Row],[Placa]])</f>
        <v>0</v>
      </c>
      <c r="AG659" s="36"/>
      <c r="AH659" s="35"/>
      <c r="AI659" s="34"/>
      <c r="AJ659" s="34"/>
      <c r="AK65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5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59" s="32">
        <f>SUMIFS('[1]Tempo parado'!J:J,'[1]Tempo parado'!H:H,"&gt;="&amp;MIP[[#This Row],[S.B Sitrack]],'[1]Tempo parado'!I:I,"&lt;="&amp;MIP[[#This Row],[C.B Sitrack]],'[1]Tempo parado'!B:B,MIP[[#This Row],[Placa]])</f>
        <v>0</v>
      </c>
      <c r="AN659" s="32" t="str">
        <f>IFERROR(MIP[[#This Row],[Tempo parado]]/(MIP[[#This Row],[C.B Sitrack]]-MIP[[#This Row],[S.B Sitrack]]),"")</f>
        <v/>
      </c>
      <c r="AO659" s="30"/>
      <c r="AP659" s="44">
        <f>IF(AND(MIP[Exc]=0,MIP[Previsto / Realizado]="Realizado"),MIP[Sem],0)</f>
        <v>41</v>
      </c>
      <c r="AQ659" s="29">
        <f>IF(AND(MIP[Exc]=0,MIP[Previsto / Realizado]="Realizado",ISBLANK(MIP[[#This Row],[S.B Sitrack]])=FALSE,ISBLANK(MIP[[#This Row],[C.B Sitrack]])=FALSE),MIP[Sem],0)</f>
        <v>0</v>
      </c>
    </row>
    <row r="660" spans="2:43" x14ac:dyDescent="0.25">
      <c r="B660" s="29">
        <f>WEEKNUM(MIP[[#This Row],[Data]])</f>
        <v>41</v>
      </c>
      <c r="C660" s="45">
        <v>43022</v>
      </c>
      <c r="D660" s="45"/>
      <c r="E660" s="35" t="s">
        <v>10</v>
      </c>
      <c r="F660" s="35" t="s">
        <v>5</v>
      </c>
      <c r="G660" s="35"/>
      <c r="H660" s="44">
        <v>2</v>
      </c>
      <c r="I660" s="44">
        <v>1</v>
      </c>
      <c r="J660" s="44">
        <v>0</v>
      </c>
      <c r="K660" s="44">
        <v>0</v>
      </c>
      <c r="L660" s="44">
        <v>0</v>
      </c>
      <c r="M660" s="43">
        <v>0.25</v>
      </c>
      <c r="N660" s="43">
        <v>0.27083333333333331</v>
      </c>
      <c r="O660" s="43">
        <v>0.63750000000000007</v>
      </c>
      <c r="P660" s="43">
        <v>0.65833333333333333</v>
      </c>
      <c r="Q660" s="39"/>
      <c r="R660" s="42" t="s">
        <v>187</v>
      </c>
      <c r="S660" s="29">
        <v>1</v>
      </c>
      <c r="T66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660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660" s="41">
        <f>MIP[[#This Row],[Eficiência]]</f>
        <v>7.7002624489037469E-2</v>
      </c>
      <c r="W66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60" s="39">
        <f>IF(MIP[[#This Row],[P.S]]-MIP[[#This Row],[P.E]]&lt;0,1+MIP[[#This Row],[P.S]]-MIP[[#This Row],[P.E]]-1/24,MIP[[#This Row],[P.S]]-MIP[[#This Row],[P.E]]-1/24)</f>
        <v>0.36666666666666664</v>
      </c>
      <c r="Y660" s="39">
        <f>MIP[[#This Row],[PT-1]]*$S$3+MIP[[#This Row],[PT-2]]*$T$3+MIP[[#This Row],[PT-3]]*$U$3+MIP[[#This Row],[PT &gt; 3 Pontos]]*$V$3</f>
        <v>2.5025852958937181E-2</v>
      </c>
      <c r="Z660" s="39">
        <f>MIP[[#This Row],[HH disponível]]-MIP[[#This Row],[HH AC TOT]]</f>
        <v>0.32500000000000007</v>
      </c>
      <c r="AA660" s="38">
        <f>MIP[[#This Row],[HH Produtivo
Total]]/MIP[[#This Row],[HH Trabalhado]]</f>
        <v>7.7002624489037469E-2</v>
      </c>
      <c r="AB660" s="38">
        <f>MIP[[#This Row],[HH Produtivo
Total]]/MIP[[#This Row],[HH disponível]]</f>
        <v>6.8252326251646858E-2</v>
      </c>
      <c r="AC660" s="38">
        <f>MIP[[#This Row],[HH Trabalhado]]/MIP[[#This Row],[HH disponível]]</f>
        <v>0.88636363636363658</v>
      </c>
      <c r="AD660" s="37" t="str">
        <f>LEFT(MIP[[#This Row],[Equipe]], SEARCH("/",MIP[[#This Row],[Equipe]],1)-1)</f>
        <v xml:space="preserve">JOILSON </v>
      </c>
      <c r="AE660" s="37" t="str">
        <f>RIGHT(MIP[[#This Row],[Equipe]], LEN(MIP[[#This Row],[Equipe]])-SEARCH("/",MIP[[#This Row],[Equipe]],1))</f>
        <v xml:space="preserve"> VALDEI</v>
      </c>
      <c r="AF660" s="44">
        <f>COUNTIFS('[1]Tempo parado'!H:H,"&gt;="&amp;MIP[[#This Row],[S.B Sitrack]],'[1]Tempo parado'!I:I,"&lt;="&amp;MIP[[#This Row],[C.B Sitrack]],'[1]Tempo parado'!B:B,MIP[[#This Row],[Placa]])</f>
        <v>0</v>
      </c>
      <c r="AG660" s="36"/>
      <c r="AH660" s="35"/>
      <c r="AI660" s="34"/>
      <c r="AJ660" s="34"/>
      <c r="AK66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6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60" s="32">
        <f>SUMIFS('[1]Tempo parado'!J:J,'[1]Tempo parado'!H:H,"&gt;="&amp;MIP[[#This Row],[S.B Sitrack]],'[1]Tempo parado'!I:I,"&lt;="&amp;MIP[[#This Row],[C.B Sitrack]],'[1]Tempo parado'!B:B,MIP[[#This Row],[Placa]])</f>
        <v>0</v>
      </c>
      <c r="AN660" s="32" t="str">
        <f>IFERROR(MIP[[#This Row],[Tempo parado]]/(MIP[[#This Row],[C.B Sitrack]]-MIP[[#This Row],[S.B Sitrack]]),"")</f>
        <v/>
      </c>
      <c r="AO660" s="30"/>
      <c r="AP660" s="44">
        <f>IF(AND(MIP[Exc]=0,MIP[Previsto / Realizado]="Realizado"),MIP[Sem],0)</f>
        <v>0</v>
      </c>
      <c r="AQ660" s="29">
        <f>IF(AND(MIP[Exc]=0,MIP[Previsto / Realizado]="Realizado",ISBLANK(MIP[[#This Row],[S.B Sitrack]])=FALSE,ISBLANK(MIP[[#This Row],[C.B Sitrack]])=FALSE),MIP[Sem],0)</f>
        <v>0</v>
      </c>
    </row>
    <row r="661" spans="2:43" x14ac:dyDescent="0.25">
      <c r="B661" s="29">
        <f>WEEKNUM(MIP[[#This Row],[Data]])</f>
        <v>41</v>
      </c>
      <c r="C661" s="45">
        <v>43022</v>
      </c>
      <c r="D661" s="45"/>
      <c r="E661" s="35" t="s">
        <v>10</v>
      </c>
      <c r="F661" s="35" t="s">
        <v>2</v>
      </c>
      <c r="G661" s="35"/>
      <c r="H661" s="44">
        <v>2</v>
      </c>
      <c r="I661" s="44">
        <v>4</v>
      </c>
      <c r="J661" s="44">
        <v>1</v>
      </c>
      <c r="K661" s="44">
        <v>0</v>
      </c>
      <c r="L661" s="44">
        <v>0</v>
      </c>
      <c r="M661" s="43">
        <v>0.26250000000000001</v>
      </c>
      <c r="N661" s="43">
        <v>0.27777777777777779</v>
      </c>
      <c r="O661" s="43">
        <v>0.61805555555555558</v>
      </c>
      <c r="P661" s="43">
        <v>0.66111111111111109</v>
      </c>
      <c r="Q661" s="39">
        <v>6.1805555555555558E-2</v>
      </c>
      <c r="R661" s="42"/>
      <c r="S661" s="29">
        <v>6</v>
      </c>
      <c r="T66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0.12013888888888885</v>
      </c>
      <c r="U661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5.8333333333333293E-2</v>
      </c>
      <c r="V661" s="41">
        <f>MIP[[#This Row],[Eficiência]]</f>
        <v>0.60814526754218168</v>
      </c>
      <c r="W66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61" s="39">
        <f>IF(MIP[[#This Row],[P.S]]-MIP[[#This Row],[P.E]]&lt;0,1+MIP[[#This Row],[P.S]]-MIP[[#This Row],[P.E]]-1/24,MIP[[#This Row],[P.S]]-MIP[[#This Row],[P.E]]-1/24)</f>
        <v>0.3569444444444444</v>
      </c>
      <c r="Y661" s="39">
        <f>MIP[[#This Row],[PT-1]]*$S$3+MIP[[#This Row],[PT-2]]*$T$3+MIP[[#This Row],[PT-3]]*$U$3+MIP[[#This Row],[PT &gt; 3 Pontos]]*$V$3</f>
        <v>0.1440121779388083</v>
      </c>
      <c r="Z661" s="39">
        <f>MIP[[#This Row],[HH disponível]]-MIP[[#This Row],[HH AC TOT]]</f>
        <v>0.23680555555555555</v>
      </c>
      <c r="AA661" s="38">
        <f>MIP[[#This Row],[HH Produtivo
Total]]/MIP[[#This Row],[HH Trabalhado]]</f>
        <v>0.60814526754218168</v>
      </c>
      <c r="AB661" s="38">
        <f>MIP[[#This Row],[HH Produtivo
Total]]/MIP[[#This Row],[HH disponível]]</f>
        <v>0.40345824169627231</v>
      </c>
      <c r="AC661" s="38">
        <f>MIP[[#This Row],[HH Trabalhado]]/MIP[[#This Row],[HH disponível]]</f>
        <v>0.66342412451361876</v>
      </c>
      <c r="AD661" s="37" t="str">
        <f>LEFT(MIP[[#This Row],[Equipe]], SEARCH("/",MIP[[#This Row],[Equipe]],1)-1)</f>
        <v xml:space="preserve">JOILSON </v>
      </c>
      <c r="AE661" s="37" t="str">
        <f>RIGHT(MIP[[#This Row],[Equipe]], LEN(MIP[[#This Row],[Equipe]])-SEARCH("/",MIP[[#This Row],[Equipe]],1))</f>
        <v xml:space="preserve"> VALDEI</v>
      </c>
      <c r="AF661" s="44">
        <f>COUNTIFS('[1]Tempo parado'!H:H,"&gt;="&amp;MIP[[#This Row],[S.B Sitrack]],'[1]Tempo parado'!I:I,"&lt;="&amp;MIP[[#This Row],[C.B Sitrack]],'[1]Tempo parado'!B:B,MIP[[#This Row],[Placa]])</f>
        <v>0</v>
      </c>
      <c r="AG661" s="36"/>
      <c r="AH661" s="35"/>
      <c r="AI661" s="34"/>
      <c r="AJ661" s="34"/>
      <c r="AK66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6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61" s="32">
        <f>SUMIFS('[1]Tempo parado'!J:J,'[1]Tempo parado'!H:H,"&gt;="&amp;MIP[[#This Row],[S.B Sitrack]],'[1]Tempo parado'!I:I,"&lt;="&amp;MIP[[#This Row],[C.B Sitrack]],'[1]Tempo parado'!B:B,MIP[[#This Row],[Placa]])</f>
        <v>0</v>
      </c>
      <c r="AN661" s="32" t="str">
        <f>IFERROR(MIP[[#This Row],[Tempo parado]]/(MIP[[#This Row],[C.B Sitrack]]-MIP[[#This Row],[S.B Sitrack]]),"")</f>
        <v/>
      </c>
      <c r="AO661" s="30"/>
      <c r="AP661" s="44">
        <f>IF(AND(MIP[Exc]=0,MIP[Previsto / Realizado]="Realizado"),MIP[Sem],0)</f>
        <v>41</v>
      </c>
      <c r="AQ661" s="29">
        <f>IF(AND(MIP[Exc]=0,MIP[Previsto / Realizado]="Realizado",ISBLANK(MIP[[#This Row],[S.B Sitrack]])=FALSE,ISBLANK(MIP[[#This Row],[C.B Sitrack]])=FALSE),MIP[Sem],0)</f>
        <v>0</v>
      </c>
    </row>
    <row r="662" spans="2:43" x14ac:dyDescent="0.25">
      <c r="B662" s="29">
        <f>WEEKNUM(MIP[[#This Row],[Data]])</f>
        <v>41</v>
      </c>
      <c r="C662" s="45">
        <v>43022</v>
      </c>
      <c r="D662" s="45"/>
      <c r="E662" s="35" t="s">
        <v>19</v>
      </c>
      <c r="F662" s="35" t="s">
        <v>5</v>
      </c>
      <c r="G662" s="35"/>
      <c r="H662" s="44">
        <v>2</v>
      </c>
      <c r="I662" s="44">
        <v>0</v>
      </c>
      <c r="J662" s="44">
        <v>0</v>
      </c>
      <c r="K662" s="44">
        <v>0</v>
      </c>
      <c r="L662" s="44">
        <v>0</v>
      </c>
      <c r="M662" s="43">
        <v>0.625</v>
      </c>
      <c r="N662" s="43">
        <v>0.64583333333333337</v>
      </c>
      <c r="O662" s="43">
        <v>1.0125</v>
      </c>
      <c r="P662" s="43">
        <v>1.0333333333333334</v>
      </c>
      <c r="Q662" s="39"/>
      <c r="R662" s="42" t="s">
        <v>4</v>
      </c>
      <c r="S662" s="29">
        <v>0</v>
      </c>
      <c r="T66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662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662" s="41">
        <f>MIP[[#This Row],[Eficiência]]</f>
        <v>0</v>
      </c>
      <c r="W66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62" s="39">
        <f>IF(MIP[[#This Row],[P.S]]-MIP[[#This Row],[P.E]]&lt;0,1+MIP[[#This Row],[P.S]]-MIP[[#This Row],[P.E]]-1/24,MIP[[#This Row],[P.S]]-MIP[[#This Row],[P.E]]-1/24)</f>
        <v>0.36666666666666675</v>
      </c>
      <c r="Y662" s="39">
        <f>MIP[[#This Row],[PT-1]]*$S$3+MIP[[#This Row],[PT-2]]*$T$3+MIP[[#This Row],[PT-3]]*$U$3+MIP[[#This Row],[PT &gt; 3 Pontos]]*$V$3</f>
        <v>0</v>
      </c>
      <c r="Z662" s="39">
        <f>MIP[[#This Row],[HH disponível]]-MIP[[#This Row],[HH AC TOT]]</f>
        <v>0.3249999999999999</v>
      </c>
      <c r="AA662" s="38">
        <f>MIP[[#This Row],[HH Produtivo
Total]]/MIP[[#This Row],[HH Trabalhado]]</f>
        <v>0</v>
      </c>
      <c r="AB662" s="38">
        <f>MIP[[#This Row],[HH Produtivo
Total]]/MIP[[#This Row],[HH disponível]]</f>
        <v>0</v>
      </c>
      <c r="AC662" s="38">
        <f>MIP[[#This Row],[HH Trabalhado]]/MIP[[#This Row],[HH disponível]]</f>
        <v>0.88636363636363591</v>
      </c>
      <c r="AD662" s="37" t="str">
        <f>LEFT(MIP[[#This Row],[Equipe]], SEARCH("/",MIP[[#This Row],[Equipe]],1)-1)</f>
        <v xml:space="preserve">ADEMÁRIO </v>
      </c>
      <c r="AE662" s="37" t="str">
        <f>RIGHT(MIP[[#This Row],[Equipe]], LEN(MIP[[#This Row],[Equipe]])-SEARCH("/",MIP[[#This Row],[Equipe]],1))</f>
        <v xml:space="preserve"> RONALDO</v>
      </c>
      <c r="AF662" s="44">
        <f>COUNTIFS('[1]Tempo parado'!H:H,"&gt;="&amp;MIP[[#This Row],[S.B Sitrack]],'[1]Tempo parado'!I:I,"&lt;="&amp;MIP[[#This Row],[C.B Sitrack]],'[1]Tempo parado'!B:B,MIP[[#This Row],[Placa]])</f>
        <v>0</v>
      </c>
      <c r="AG662" s="36"/>
      <c r="AH662" s="35"/>
      <c r="AI662" s="34"/>
      <c r="AJ662" s="34"/>
      <c r="AK66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6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62" s="32">
        <f>SUMIFS('[1]Tempo parado'!J:J,'[1]Tempo parado'!H:H,"&gt;="&amp;MIP[[#This Row],[S.B Sitrack]],'[1]Tempo parado'!I:I,"&lt;="&amp;MIP[[#This Row],[C.B Sitrack]],'[1]Tempo parado'!B:B,MIP[[#This Row],[Placa]])</f>
        <v>0</v>
      </c>
      <c r="AN662" s="32" t="str">
        <f>IFERROR(MIP[[#This Row],[Tempo parado]]/(MIP[[#This Row],[C.B Sitrack]]-MIP[[#This Row],[S.B Sitrack]]),"")</f>
        <v/>
      </c>
      <c r="AO662" s="30"/>
      <c r="AP662" s="44">
        <f>IF(AND(MIP[Exc]=0,MIP[Previsto / Realizado]="Realizado"),MIP[Sem],0)</f>
        <v>0</v>
      </c>
      <c r="AQ662" s="29">
        <f>IF(AND(MIP[Exc]=0,MIP[Previsto / Realizado]="Realizado",ISBLANK(MIP[[#This Row],[S.B Sitrack]])=FALSE,ISBLANK(MIP[[#This Row],[C.B Sitrack]])=FALSE),MIP[Sem],0)</f>
        <v>0</v>
      </c>
    </row>
    <row r="663" spans="2:43" x14ac:dyDescent="0.25">
      <c r="B663" s="29">
        <f>WEEKNUM(MIP[[#This Row],[Data]])</f>
        <v>41</v>
      </c>
      <c r="C663" s="45">
        <v>43022</v>
      </c>
      <c r="D663" s="45"/>
      <c r="E663" s="35" t="s">
        <v>19</v>
      </c>
      <c r="F663" s="35" t="s">
        <v>2</v>
      </c>
      <c r="G663" s="35"/>
      <c r="H663" s="44">
        <v>2</v>
      </c>
      <c r="I663" s="44">
        <v>1</v>
      </c>
      <c r="J663" s="44">
        <v>2</v>
      </c>
      <c r="K663" s="44">
        <v>1</v>
      </c>
      <c r="L663" s="44">
        <v>8</v>
      </c>
      <c r="M663" s="43">
        <v>0.63263888888888886</v>
      </c>
      <c r="N663" s="43">
        <v>0.66666666666666663</v>
      </c>
      <c r="O663" s="43">
        <v>1.0277777777777777</v>
      </c>
      <c r="P663" s="43">
        <v>1.0361111111111112</v>
      </c>
      <c r="Q663" s="39"/>
      <c r="R663" s="42" t="s">
        <v>186</v>
      </c>
      <c r="S663" s="29">
        <v>16</v>
      </c>
      <c r="T66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4.2361111111111294E-2</v>
      </c>
      <c r="U663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4.2361111111111294E-2</v>
      </c>
      <c r="V663" s="41">
        <f>MIP[[#This Row],[Eficiência]]</f>
        <v>1.0568947349996507</v>
      </c>
      <c r="W66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63" s="39">
        <f>IF(MIP[[#This Row],[P.S]]-MIP[[#This Row],[P.E]]&lt;0,1+MIP[[#This Row],[P.S]]-MIP[[#This Row],[P.E]]-1/24,MIP[[#This Row],[P.S]]-MIP[[#This Row],[P.E]]-1/24)</f>
        <v>0.36180555555555566</v>
      </c>
      <c r="Y663" s="39">
        <f>MIP[[#This Row],[PT-1]]*$S$3+MIP[[#This Row],[PT-2]]*$T$3+MIP[[#This Row],[PT-3]]*$U$3+MIP[[#This Row],[PT &gt; 3 Pontos]]*$V$3</f>
        <v>0.33761915145822163</v>
      </c>
      <c r="Z663" s="39">
        <f>MIP[[#This Row],[HH disponível]]-MIP[[#This Row],[HH AC TOT]]</f>
        <v>0.31944444444444436</v>
      </c>
      <c r="AA663" s="38">
        <f>MIP[[#This Row],[HH Produtivo
Total]]/MIP[[#This Row],[HH Trabalhado]]</f>
        <v>1.0568947349996507</v>
      </c>
      <c r="AB663" s="38">
        <f>MIP[[#This Row],[HH Produtivo
Total]]/MIP[[#This Row],[HH disponível]]</f>
        <v>0.93315082168875052</v>
      </c>
      <c r="AC663" s="38">
        <f>MIP[[#This Row],[HH Trabalhado]]/MIP[[#This Row],[HH disponível]]</f>
        <v>0.88291746641074809</v>
      </c>
      <c r="AD663" s="37" t="str">
        <f>LEFT(MIP[[#This Row],[Equipe]], SEARCH("/",MIP[[#This Row],[Equipe]],1)-1)</f>
        <v xml:space="preserve">ADEMÁRIO </v>
      </c>
      <c r="AE663" s="37" t="str">
        <f>RIGHT(MIP[[#This Row],[Equipe]], LEN(MIP[[#This Row],[Equipe]])-SEARCH("/",MIP[[#This Row],[Equipe]],1))</f>
        <v xml:space="preserve"> RONALDO</v>
      </c>
      <c r="AF663" s="44">
        <f>COUNTIFS('[1]Tempo parado'!H:H,"&gt;="&amp;MIP[[#This Row],[S.B Sitrack]],'[1]Tempo parado'!I:I,"&lt;="&amp;MIP[[#This Row],[C.B Sitrack]],'[1]Tempo parado'!B:B,MIP[[#This Row],[Placa]])</f>
        <v>0</v>
      </c>
      <c r="AG663" s="36"/>
      <c r="AH663" s="35"/>
      <c r="AI663" s="34"/>
      <c r="AJ663" s="34"/>
      <c r="AK66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6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63" s="32">
        <f>SUMIFS('[1]Tempo parado'!J:J,'[1]Tempo parado'!H:H,"&gt;="&amp;MIP[[#This Row],[S.B Sitrack]],'[1]Tempo parado'!I:I,"&lt;="&amp;MIP[[#This Row],[C.B Sitrack]],'[1]Tempo parado'!B:B,MIP[[#This Row],[Placa]])</f>
        <v>0</v>
      </c>
      <c r="AN663" s="32" t="str">
        <f>IFERROR(MIP[[#This Row],[Tempo parado]]/(MIP[[#This Row],[C.B Sitrack]]-MIP[[#This Row],[S.B Sitrack]]),"")</f>
        <v/>
      </c>
      <c r="AO663" s="30"/>
      <c r="AP663" s="44">
        <f>IF(AND(MIP[Exc]=0,MIP[Previsto / Realizado]="Realizado"),MIP[Sem],0)</f>
        <v>41</v>
      </c>
      <c r="AQ663" s="29">
        <f>IF(AND(MIP[Exc]=0,MIP[Previsto / Realizado]="Realizado",ISBLANK(MIP[[#This Row],[S.B Sitrack]])=FALSE,ISBLANK(MIP[[#This Row],[C.B Sitrack]])=FALSE),MIP[Sem],0)</f>
        <v>0</v>
      </c>
    </row>
    <row r="664" spans="2:43" x14ac:dyDescent="0.25">
      <c r="B664" s="29">
        <f>WEEKNUM(MIP[[#This Row],[Data]])</f>
        <v>42</v>
      </c>
      <c r="C664" s="45">
        <v>43023</v>
      </c>
      <c r="D664" s="45"/>
      <c r="E664" s="35" t="s">
        <v>10</v>
      </c>
      <c r="F664" s="35" t="s">
        <v>5</v>
      </c>
      <c r="G664" s="35"/>
      <c r="H664" s="44">
        <v>2</v>
      </c>
      <c r="I664" s="44">
        <v>0</v>
      </c>
      <c r="J664" s="44">
        <v>0</v>
      </c>
      <c r="K664" s="44">
        <v>0</v>
      </c>
      <c r="L664" s="44">
        <v>0</v>
      </c>
      <c r="M664" s="43">
        <v>0.25</v>
      </c>
      <c r="N664" s="43">
        <v>0.27083333333333331</v>
      </c>
      <c r="O664" s="43">
        <v>0.63750000000000007</v>
      </c>
      <c r="P664" s="43">
        <v>0.65833333333333333</v>
      </c>
      <c r="Q664" s="39"/>
      <c r="R664" s="42" t="s">
        <v>185</v>
      </c>
      <c r="S664" s="29">
        <v>0</v>
      </c>
      <c r="T66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664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664" s="41">
        <f>MIP[[#This Row],[Eficiência]]</f>
        <v>0</v>
      </c>
      <c r="W66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64" s="39">
        <f>IF(MIP[[#This Row],[P.S]]-MIP[[#This Row],[P.E]]&lt;0,1+MIP[[#This Row],[P.S]]-MIP[[#This Row],[P.E]]-1/24,MIP[[#This Row],[P.S]]-MIP[[#This Row],[P.E]]-1/24)</f>
        <v>0.36666666666666664</v>
      </c>
      <c r="Y664" s="39">
        <f>MIP[[#This Row],[PT-1]]*$S$3+MIP[[#This Row],[PT-2]]*$T$3+MIP[[#This Row],[PT-3]]*$U$3+MIP[[#This Row],[PT &gt; 3 Pontos]]*$V$3</f>
        <v>0</v>
      </c>
      <c r="Z664" s="39">
        <f>MIP[[#This Row],[HH disponível]]-MIP[[#This Row],[HH AC TOT]]</f>
        <v>0.32500000000000007</v>
      </c>
      <c r="AA664" s="38">
        <f>MIP[[#This Row],[HH Produtivo
Total]]/MIP[[#This Row],[HH Trabalhado]]</f>
        <v>0</v>
      </c>
      <c r="AB664" s="38">
        <f>MIP[[#This Row],[HH Produtivo
Total]]/MIP[[#This Row],[HH disponível]]</f>
        <v>0</v>
      </c>
      <c r="AC664" s="38">
        <f>MIP[[#This Row],[HH Trabalhado]]/MIP[[#This Row],[HH disponível]]</f>
        <v>0.88636363636363658</v>
      </c>
      <c r="AD664" s="37" t="str">
        <f>LEFT(MIP[[#This Row],[Equipe]], SEARCH("/",MIP[[#This Row],[Equipe]],1)-1)</f>
        <v xml:space="preserve">JOILSON </v>
      </c>
      <c r="AE664" s="37" t="str">
        <f>RIGHT(MIP[[#This Row],[Equipe]], LEN(MIP[[#This Row],[Equipe]])-SEARCH("/",MIP[[#This Row],[Equipe]],1))</f>
        <v xml:space="preserve"> VALDEI</v>
      </c>
      <c r="AF664" s="44">
        <f>COUNTIFS('[1]Tempo parado'!H:H,"&gt;="&amp;MIP[[#This Row],[S.B Sitrack]],'[1]Tempo parado'!I:I,"&lt;="&amp;MIP[[#This Row],[C.B Sitrack]],'[1]Tempo parado'!B:B,MIP[[#This Row],[Placa]])</f>
        <v>0</v>
      </c>
      <c r="AG664" s="36"/>
      <c r="AH664" s="35"/>
      <c r="AI664" s="34"/>
      <c r="AJ664" s="34"/>
      <c r="AK66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6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64" s="32">
        <f>SUMIFS('[1]Tempo parado'!J:J,'[1]Tempo parado'!H:H,"&gt;="&amp;MIP[[#This Row],[S.B Sitrack]],'[1]Tempo parado'!I:I,"&lt;="&amp;MIP[[#This Row],[C.B Sitrack]],'[1]Tempo parado'!B:B,MIP[[#This Row],[Placa]])</f>
        <v>0</v>
      </c>
      <c r="AN664" s="32" t="str">
        <f>IFERROR(MIP[[#This Row],[Tempo parado]]/(MIP[[#This Row],[C.B Sitrack]]-MIP[[#This Row],[S.B Sitrack]]),"")</f>
        <v/>
      </c>
      <c r="AO664" s="30"/>
      <c r="AP664" s="44">
        <f>IF(AND(MIP[Exc]=0,MIP[Previsto / Realizado]="Realizado"),MIP[Sem],0)</f>
        <v>0</v>
      </c>
      <c r="AQ664" s="29">
        <f>IF(AND(MIP[Exc]=0,MIP[Previsto / Realizado]="Realizado",ISBLANK(MIP[[#This Row],[S.B Sitrack]])=FALSE,ISBLANK(MIP[[#This Row],[C.B Sitrack]])=FALSE),MIP[Sem],0)</f>
        <v>0</v>
      </c>
    </row>
    <row r="665" spans="2:43" x14ac:dyDescent="0.25">
      <c r="B665" s="29">
        <f>WEEKNUM(MIP[[#This Row],[Data]])</f>
        <v>42</v>
      </c>
      <c r="C665" s="45">
        <v>43027</v>
      </c>
      <c r="D665" s="45"/>
      <c r="E665" s="35" t="s">
        <v>10</v>
      </c>
      <c r="F665" s="35" t="s">
        <v>2</v>
      </c>
      <c r="G665" s="35"/>
      <c r="H665" s="44">
        <v>2</v>
      </c>
      <c r="I665" s="44">
        <v>4</v>
      </c>
      <c r="J665" s="44">
        <v>1</v>
      </c>
      <c r="K665" s="44">
        <v>1</v>
      </c>
      <c r="L665" s="44">
        <v>0</v>
      </c>
      <c r="M665" s="43">
        <v>0.24513888888888888</v>
      </c>
      <c r="N665" s="43">
        <v>0.27083333333333331</v>
      </c>
      <c r="O665" s="43">
        <v>0.59722222222222221</v>
      </c>
      <c r="P665" s="43">
        <v>0.71527777777777779</v>
      </c>
      <c r="Q665" s="39"/>
      <c r="R665" s="42"/>
      <c r="S665" s="29">
        <v>9</v>
      </c>
      <c r="T66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0.14375000000000002</v>
      </c>
      <c r="U665" s="39">
        <f>IF(MIP[[#This Row],[P.S]]-MIP[[#This Row],[U.P]]&gt;=0,MIP[[#This Row],[P.S]]-MIP[[#This Row],[U.P]]+MIP[[#This Row],[S.B]]-MIP[[#This Row],[P.E]],1+MIP[[#This Row],[P.S]]-MIP[[#This Row],[U.P]]+MIP[[#This Row],[S.B]]-MIP[[#This Row],[P.E]])</f>
        <v>0.14375000000000002</v>
      </c>
      <c r="V665" s="41">
        <f>MIP[[#This Row],[Eficiência]]</f>
        <v>0.72633549840933176</v>
      </c>
      <c r="W66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65" s="39">
        <f>IF(MIP[[#This Row],[P.S]]-MIP[[#This Row],[P.E]]&lt;0,1+MIP[[#This Row],[P.S]]-MIP[[#This Row],[P.E]]-1/24,MIP[[#This Row],[P.S]]-MIP[[#This Row],[P.E]]-1/24)</f>
        <v>0.4284722222222222</v>
      </c>
      <c r="Y665" s="39">
        <f>MIP[[#This Row],[PT-1]]*$S$3+MIP[[#This Row],[PT-2]]*$T$3+MIP[[#This Row],[PT-3]]*$U$3+MIP[[#This Row],[PT &gt; 3 Pontos]]*$V$3</f>
        <v>0.20680385718599029</v>
      </c>
      <c r="Z665" s="39">
        <f>MIP[[#This Row],[HH disponível]]-MIP[[#This Row],[HH AC TOT]]</f>
        <v>0.28472222222222221</v>
      </c>
      <c r="AA665" s="38">
        <f>MIP[[#This Row],[HH Produtivo
Total]]/MIP[[#This Row],[HH Trabalhado]]</f>
        <v>0.72633549840933176</v>
      </c>
      <c r="AB665" s="38">
        <f>MIP[[#This Row],[HH Produtivo
Total]]/MIP[[#This Row],[HH disponível]]</f>
        <v>0.48265405891057706</v>
      </c>
      <c r="AC665" s="38">
        <f>MIP[[#This Row],[HH Trabalhado]]/MIP[[#This Row],[HH disponível]]</f>
        <v>0.6645056726094003</v>
      </c>
      <c r="AD665" s="37" t="str">
        <f>LEFT(MIP[[#This Row],[Equipe]], SEARCH("/",MIP[[#This Row],[Equipe]],1)-1)</f>
        <v xml:space="preserve">JOILSON </v>
      </c>
      <c r="AE665" s="37" t="str">
        <f>RIGHT(MIP[[#This Row],[Equipe]], LEN(MIP[[#This Row],[Equipe]])-SEARCH("/",MIP[[#This Row],[Equipe]],1))</f>
        <v xml:space="preserve"> VALDEI</v>
      </c>
      <c r="AF665" s="44">
        <f>COUNTIFS('[1]Tempo parado'!H:H,"&gt;="&amp;MIP[[#This Row],[S.B Sitrack]],'[1]Tempo parado'!I:I,"&lt;="&amp;MIP[[#This Row],[C.B Sitrack]],'[1]Tempo parado'!B:B,MIP[[#This Row],[Placa]])</f>
        <v>0</v>
      </c>
      <c r="AG665" s="36"/>
      <c r="AH665" s="35"/>
      <c r="AI665" s="34"/>
      <c r="AJ665" s="34"/>
      <c r="AK66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6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65" s="32">
        <f>SUMIFS('[1]Tempo parado'!J:J,'[1]Tempo parado'!H:H,"&gt;="&amp;MIP[[#This Row],[S.B Sitrack]],'[1]Tempo parado'!I:I,"&lt;="&amp;MIP[[#This Row],[C.B Sitrack]],'[1]Tempo parado'!B:B,MIP[[#This Row],[Placa]])</f>
        <v>0</v>
      </c>
      <c r="AN665" s="32" t="str">
        <f>IFERROR(MIP[[#This Row],[Tempo parado]]/(MIP[[#This Row],[C.B Sitrack]]-MIP[[#This Row],[S.B Sitrack]]),"")</f>
        <v/>
      </c>
      <c r="AO665" s="30"/>
      <c r="AP665" s="44">
        <f>IF(AND(MIP[Exc]=0,MIP[Previsto / Realizado]="Realizado"),MIP[Sem],0)</f>
        <v>42</v>
      </c>
      <c r="AQ665" s="29">
        <f>IF(AND(MIP[Exc]=0,MIP[Previsto / Realizado]="Realizado",ISBLANK(MIP[[#This Row],[S.B Sitrack]])=FALSE,ISBLANK(MIP[[#This Row],[C.B Sitrack]])=FALSE),MIP[Sem],0)</f>
        <v>0</v>
      </c>
    </row>
    <row r="666" spans="2:43" x14ac:dyDescent="0.25">
      <c r="B666" s="29">
        <f>WEEKNUM(MIP[[#This Row],[Data]])</f>
        <v>42</v>
      </c>
      <c r="C666" s="45">
        <v>43023</v>
      </c>
      <c r="D666" s="45"/>
      <c r="E666" s="35" t="s">
        <v>19</v>
      </c>
      <c r="F666" s="35" t="s">
        <v>5</v>
      </c>
      <c r="G666" s="35"/>
      <c r="H666" s="44">
        <v>2</v>
      </c>
      <c r="I666" s="44">
        <v>0</v>
      </c>
      <c r="J666" s="44">
        <v>0</v>
      </c>
      <c r="K666" s="44">
        <v>0</v>
      </c>
      <c r="L666" s="44">
        <v>0</v>
      </c>
      <c r="M666" s="43">
        <v>0.625</v>
      </c>
      <c r="N666" s="43">
        <v>0.64583333333333337</v>
      </c>
      <c r="O666" s="43">
        <v>1.0125</v>
      </c>
      <c r="P666" s="43">
        <v>1.0333333333333334</v>
      </c>
      <c r="Q666" s="39"/>
      <c r="R666" s="42"/>
      <c r="S666" s="29">
        <v>0</v>
      </c>
      <c r="T66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666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666" s="41">
        <f>MIP[[#This Row],[Eficiência]]</f>
        <v>0</v>
      </c>
      <c r="W66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66" s="39">
        <f>IF(MIP[[#This Row],[P.S]]-MIP[[#This Row],[P.E]]&lt;0,1+MIP[[#This Row],[P.S]]-MIP[[#This Row],[P.E]]-1/24,MIP[[#This Row],[P.S]]-MIP[[#This Row],[P.E]]-1/24)</f>
        <v>0.36666666666666675</v>
      </c>
      <c r="Y666" s="39">
        <f>MIP[[#This Row],[PT-1]]*$S$3+MIP[[#This Row],[PT-2]]*$T$3+MIP[[#This Row],[PT-3]]*$U$3+MIP[[#This Row],[PT &gt; 3 Pontos]]*$V$3</f>
        <v>0</v>
      </c>
      <c r="Z666" s="39">
        <f>MIP[[#This Row],[HH disponível]]-MIP[[#This Row],[HH AC TOT]]</f>
        <v>0.3249999999999999</v>
      </c>
      <c r="AA666" s="38">
        <f>MIP[[#This Row],[HH Produtivo
Total]]/MIP[[#This Row],[HH Trabalhado]]</f>
        <v>0</v>
      </c>
      <c r="AB666" s="38">
        <f>MIP[[#This Row],[HH Produtivo
Total]]/MIP[[#This Row],[HH disponível]]</f>
        <v>0</v>
      </c>
      <c r="AC666" s="38">
        <f>MIP[[#This Row],[HH Trabalhado]]/MIP[[#This Row],[HH disponível]]</f>
        <v>0.88636363636363591</v>
      </c>
      <c r="AD666" s="37" t="str">
        <f>LEFT(MIP[[#This Row],[Equipe]], SEARCH("/",MIP[[#This Row],[Equipe]],1)-1)</f>
        <v xml:space="preserve">ADEMÁRIO </v>
      </c>
      <c r="AE666" s="37" t="str">
        <f>RIGHT(MIP[[#This Row],[Equipe]], LEN(MIP[[#This Row],[Equipe]])-SEARCH("/",MIP[[#This Row],[Equipe]],1))</f>
        <v xml:space="preserve"> RONALDO</v>
      </c>
      <c r="AF666" s="44">
        <f>COUNTIFS('[1]Tempo parado'!H:H,"&gt;="&amp;MIP[[#This Row],[S.B Sitrack]],'[1]Tempo parado'!I:I,"&lt;="&amp;MIP[[#This Row],[C.B Sitrack]],'[1]Tempo parado'!B:B,MIP[[#This Row],[Placa]])</f>
        <v>0</v>
      </c>
      <c r="AG666" s="36"/>
      <c r="AH666" s="35"/>
      <c r="AI666" s="34"/>
      <c r="AJ666" s="34"/>
      <c r="AK66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6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66" s="32">
        <f>SUMIFS('[1]Tempo parado'!J:J,'[1]Tempo parado'!H:H,"&gt;="&amp;MIP[[#This Row],[S.B Sitrack]],'[1]Tempo parado'!I:I,"&lt;="&amp;MIP[[#This Row],[C.B Sitrack]],'[1]Tempo parado'!B:B,MIP[[#This Row],[Placa]])</f>
        <v>0</v>
      </c>
      <c r="AN666" s="32" t="str">
        <f>IFERROR(MIP[[#This Row],[Tempo parado]]/(MIP[[#This Row],[C.B Sitrack]]-MIP[[#This Row],[S.B Sitrack]]),"")</f>
        <v/>
      </c>
      <c r="AO666" s="30"/>
      <c r="AP666" s="44">
        <f>IF(AND(MIP[Exc]=0,MIP[Previsto / Realizado]="Realizado"),MIP[Sem],0)</f>
        <v>0</v>
      </c>
      <c r="AQ666" s="29">
        <f>IF(AND(MIP[Exc]=0,MIP[Previsto / Realizado]="Realizado",ISBLANK(MIP[[#This Row],[S.B Sitrack]])=FALSE,ISBLANK(MIP[[#This Row],[C.B Sitrack]])=FALSE),MIP[Sem],0)</f>
        <v>0</v>
      </c>
    </row>
    <row r="667" spans="2:43" x14ac:dyDescent="0.25">
      <c r="B667" s="29">
        <f>WEEKNUM(MIP[[#This Row],[Data]])</f>
        <v>42</v>
      </c>
      <c r="C667" s="45">
        <v>43023</v>
      </c>
      <c r="D667" s="45"/>
      <c r="E667" s="35" t="s">
        <v>19</v>
      </c>
      <c r="F667" s="35" t="s">
        <v>2</v>
      </c>
      <c r="G667" s="35"/>
      <c r="H667" s="44">
        <v>2</v>
      </c>
      <c r="I667" s="44">
        <v>0</v>
      </c>
      <c r="J667" s="44">
        <v>1</v>
      </c>
      <c r="K667" s="44">
        <v>1</v>
      </c>
      <c r="L667" s="44">
        <v>4</v>
      </c>
      <c r="M667" s="43">
        <v>0.63750000000000007</v>
      </c>
      <c r="N667" s="43">
        <v>0.64583333333333337</v>
      </c>
      <c r="O667" s="43">
        <v>1.01875</v>
      </c>
      <c r="P667" s="43">
        <v>1.0423611111111111</v>
      </c>
      <c r="Q667" s="39"/>
      <c r="R667" s="42"/>
      <c r="S667" s="29">
        <v>9</v>
      </c>
      <c r="T66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3.1944444444444331E-2</v>
      </c>
      <c r="U667" s="39">
        <f>IF(MIP[[#This Row],[P.S]]-MIP[[#This Row],[U.P]]&gt;=0,MIP[[#This Row],[P.S]]-MIP[[#This Row],[U.P]]+MIP[[#This Row],[S.B]]-MIP[[#This Row],[P.E]],1+MIP[[#This Row],[P.S]]-MIP[[#This Row],[U.P]]+MIP[[#This Row],[S.B]]-MIP[[#This Row],[P.E]])</f>
        <v>3.1944444444444331E-2</v>
      </c>
      <c r="V667" s="41">
        <f>MIP[[#This Row],[Eficiência]]</f>
        <v>0.56661883433428895</v>
      </c>
      <c r="W66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67" s="39">
        <f>IF(MIP[[#This Row],[P.S]]-MIP[[#This Row],[P.E]]&lt;0,1+MIP[[#This Row],[P.S]]-MIP[[#This Row],[P.E]]-1/24,MIP[[#This Row],[P.S]]-MIP[[#This Row],[P.E]]-1/24)</f>
        <v>0.36319444444444432</v>
      </c>
      <c r="Y667" s="39">
        <f>MIP[[#This Row],[PT-1]]*$S$3+MIP[[#This Row],[PT-2]]*$T$3+MIP[[#This Row],[PT-3]]*$U$3+MIP[[#This Row],[PT &gt; 3 Pontos]]*$V$3</f>
        <v>0.1876924888732332</v>
      </c>
      <c r="Z667" s="39">
        <f>MIP[[#This Row],[HH disponível]]-MIP[[#This Row],[HH AC TOT]]</f>
        <v>0.33124999999999999</v>
      </c>
      <c r="AA667" s="38">
        <f>MIP[[#This Row],[HH Produtivo
Total]]/MIP[[#This Row],[HH Trabalhado]]</f>
        <v>0.56661883433428895</v>
      </c>
      <c r="AB667" s="38">
        <f>MIP[[#This Row],[HH Produtivo
Total]]/MIP[[#This Row],[HH disponível]]</f>
        <v>0.51678237854198072</v>
      </c>
      <c r="AC667" s="38">
        <f>MIP[[#This Row],[HH Trabalhado]]/MIP[[#This Row],[HH disponível]]</f>
        <v>0.91204588910133877</v>
      </c>
      <c r="AD667" s="37" t="str">
        <f>LEFT(MIP[[#This Row],[Equipe]], SEARCH("/",MIP[[#This Row],[Equipe]],1)-1)</f>
        <v xml:space="preserve">ADEMÁRIO </v>
      </c>
      <c r="AE667" s="37" t="str">
        <f>RIGHT(MIP[[#This Row],[Equipe]], LEN(MIP[[#This Row],[Equipe]])-SEARCH("/",MIP[[#This Row],[Equipe]],1))</f>
        <v xml:space="preserve"> RONALDO</v>
      </c>
      <c r="AF667" s="44">
        <f>COUNTIFS('[1]Tempo parado'!H:H,"&gt;="&amp;MIP[[#This Row],[S.B Sitrack]],'[1]Tempo parado'!I:I,"&lt;="&amp;MIP[[#This Row],[C.B Sitrack]],'[1]Tempo parado'!B:B,MIP[[#This Row],[Placa]])</f>
        <v>0</v>
      </c>
      <c r="AG667" s="36"/>
      <c r="AH667" s="35"/>
      <c r="AI667" s="34"/>
      <c r="AJ667" s="34"/>
      <c r="AK66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6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67" s="32">
        <f>SUMIFS('[1]Tempo parado'!J:J,'[1]Tempo parado'!H:H,"&gt;="&amp;MIP[[#This Row],[S.B Sitrack]],'[1]Tempo parado'!I:I,"&lt;="&amp;MIP[[#This Row],[C.B Sitrack]],'[1]Tempo parado'!B:B,MIP[[#This Row],[Placa]])</f>
        <v>0</v>
      </c>
      <c r="AN667" s="32" t="str">
        <f>IFERROR(MIP[[#This Row],[Tempo parado]]/(MIP[[#This Row],[C.B Sitrack]]-MIP[[#This Row],[S.B Sitrack]]),"")</f>
        <v/>
      </c>
      <c r="AO667" s="30"/>
      <c r="AP667" s="44">
        <f>IF(AND(MIP[Exc]=0,MIP[Previsto / Realizado]="Realizado"),MIP[Sem],0)</f>
        <v>42</v>
      </c>
      <c r="AQ667" s="29">
        <f>IF(AND(MIP[Exc]=0,MIP[Previsto / Realizado]="Realizado",ISBLANK(MIP[[#This Row],[S.B Sitrack]])=FALSE,ISBLANK(MIP[[#This Row],[C.B Sitrack]])=FALSE),MIP[Sem],0)</f>
        <v>0</v>
      </c>
    </row>
    <row r="668" spans="2:43" x14ac:dyDescent="0.25">
      <c r="B668" s="29">
        <f>WEEKNUM(MIP[[#This Row],[Data]])</f>
        <v>42</v>
      </c>
      <c r="C668" s="45">
        <v>43024</v>
      </c>
      <c r="D668" s="45"/>
      <c r="E668" s="35" t="s">
        <v>3</v>
      </c>
      <c r="F668" s="35" t="s">
        <v>5</v>
      </c>
      <c r="G668" s="35"/>
      <c r="H668" s="44">
        <v>2</v>
      </c>
      <c r="I668" s="44">
        <v>1</v>
      </c>
      <c r="J668" s="44">
        <v>2</v>
      </c>
      <c r="K668" s="44">
        <v>1</v>
      </c>
      <c r="L668" s="44">
        <v>0</v>
      </c>
      <c r="M668" s="43">
        <v>0.625</v>
      </c>
      <c r="N668" s="43">
        <v>0.64583333333333337</v>
      </c>
      <c r="O668" s="43">
        <v>1.0125</v>
      </c>
      <c r="P668" s="43">
        <v>1.0333333333333334</v>
      </c>
      <c r="Q668" s="39"/>
      <c r="R668" s="42" t="s">
        <v>36</v>
      </c>
      <c r="S668" s="29">
        <v>8</v>
      </c>
      <c r="T66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668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668" s="41">
        <f>MIP[[#This Row],[Eficiência]]</f>
        <v>0.5404155828068874</v>
      </c>
      <c r="W66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68" s="39">
        <f>IF(MIP[[#This Row],[P.S]]-MIP[[#This Row],[P.E]]&lt;0,1+MIP[[#This Row],[P.S]]-MIP[[#This Row],[P.E]]-1/24,MIP[[#This Row],[P.S]]-MIP[[#This Row],[P.E]]-1/24)</f>
        <v>0.36666666666666675</v>
      </c>
      <c r="Y668" s="39">
        <f>MIP[[#This Row],[PT-1]]*$S$3+MIP[[#This Row],[PT-2]]*$T$3+MIP[[#This Row],[PT-3]]*$U$3+MIP[[#This Row],[PT &gt; 3 Pontos]]*$V$3</f>
        <v>0.17563506441223833</v>
      </c>
      <c r="Z668" s="39">
        <f>MIP[[#This Row],[HH disponível]]-MIP[[#This Row],[HH AC TOT]]</f>
        <v>0.3249999999999999</v>
      </c>
      <c r="AA668" s="38">
        <f>MIP[[#This Row],[HH Produtivo
Total]]/MIP[[#This Row],[HH Trabalhado]]</f>
        <v>0.5404155828068874</v>
      </c>
      <c r="AB668" s="38">
        <f>MIP[[#This Row],[HH Produtivo
Total]]/MIP[[#This Row],[HH disponível]]</f>
        <v>0.47900472112428627</v>
      </c>
      <c r="AC668" s="38">
        <f>MIP[[#This Row],[HH Trabalhado]]/MIP[[#This Row],[HH disponível]]</f>
        <v>0.88636363636363591</v>
      </c>
      <c r="AD668" s="37" t="str">
        <f>LEFT(MIP[[#This Row],[Equipe]], SEARCH("/",MIP[[#This Row],[Equipe]],1)-1)</f>
        <v xml:space="preserve">EDILTON </v>
      </c>
      <c r="AE668" s="37" t="str">
        <f>RIGHT(MIP[[#This Row],[Equipe]], LEN(MIP[[#This Row],[Equipe]])-SEARCH("/",MIP[[#This Row],[Equipe]],1))</f>
        <v xml:space="preserve"> GECIVALDO</v>
      </c>
      <c r="AF668" s="44">
        <f>COUNTIFS('[1]Tempo parado'!H:H,"&gt;="&amp;MIP[[#This Row],[S.B Sitrack]],'[1]Tempo parado'!I:I,"&lt;="&amp;MIP[[#This Row],[C.B Sitrack]],'[1]Tempo parado'!B:B,MIP[[#This Row],[Placa]])</f>
        <v>0</v>
      </c>
      <c r="AG668" s="36"/>
      <c r="AH668" s="35"/>
      <c r="AI668" s="34"/>
      <c r="AJ668" s="34"/>
      <c r="AK66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6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68" s="32">
        <f>SUMIFS('[1]Tempo parado'!J:J,'[1]Tempo parado'!H:H,"&gt;="&amp;MIP[[#This Row],[S.B Sitrack]],'[1]Tempo parado'!I:I,"&lt;="&amp;MIP[[#This Row],[C.B Sitrack]],'[1]Tempo parado'!B:B,MIP[[#This Row],[Placa]])</f>
        <v>0</v>
      </c>
      <c r="AN668" s="32" t="str">
        <f>IFERROR(MIP[[#This Row],[Tempo parado]]/(MIP[[#This Row],[C.B Sitrack]]-MIP[[#This Row],[S.B Sitrack]]),"")</f>
        <v/>
      </c>
      <c r="AO668" s="30"/>
      <c r="AP668" s="44">
        <f>IF(AND(MIP[Exc]=0,MIP[Previsto / Realizado]="Realizado"),MIP[Sem],0)</f>
        <v>0</v>
      </c>
      <c r="AQ668" s="29">
        <f>IF(AND(MIP[Exc]=0,MIP[Previsto / Realizado]="Realizado",ISBLANK(MIP[[#This Row],[S.B Sitrack]])=FALSE,ISBLANK(MIP[[#This Row],[C.B Sitrack]])=FALSE),MIP[Sem],0)</f>
        <v>0</v>
      </c>
    </row>
    <row r="669" spans="2:43" x14ac:dyDescent="0.25">
      <c r="B669" s="29">
        <f>WEEKNUM(MIP[[#This Row],[Data]])</f>
        <v>42</v>
      </c>
      <c r="C669" s="45">
        <v>43025</v>
      </c>
      <c r="D669" s="45"/>
      <c r="E669" s="35" t="s">
        <v>3</v>
      </c>
      <c r="F669" s="35" t="s">
        <v>2</v>
      </c>
      <c r="G669" s="35"/>
      <c r="H669" s="44">
        <v>2</v>
      </c>
      <c r="I669" s="44">
        <v>4</v>
      </c>
      <c r="J669" s="44">
        <v>2</v>
      </c>
      <c r="K669" s="44">
        <v>0</v>
      </c>
      <c r="L669" s="44">
        <v>4</v>
      </c>
      <c r="M669" s="43">
        <v>0.62013888888888891</v>
      </c>
      <c r="N669" s="43">
        <v>0.6875</v>
      </c>
      <c r="O669" s="43">
        <v>0.96527777777777779</v>
      </c>
      <c r="P669" s="43">
        <v>1.0333333333333334</v>
      </c>
      <c r="Q669" s="39"/>
      <c r="R669" s="42" t="s">
        <v>177</v>
      </c>
      <c r="S669" s="29">
        <v>12</v>
      </c>
      <c r="T66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0.13541666666666674</v>
      </c>
      <c r="U669" s="39">
        <f>IF(MIP[[#This Row],[P.S]]-MIP[[#This Row],[U.P]]&gt;=0,MIP[[#This Row],[P.S]]-MIP[[#This Row],[U.P]]+MIP[[#This Row],[S.B]]-MIP[[#This Row],[P.E]],1+MIP[[#This Row],[P.S]]-MIP[[#This Row],[U.P]]+MIP[[#This Row],[S.B]]-MIP[[#This Row],[P.E]])</f>
        <v>0.13541666666666674</v>
      </c>
      <c r="V669" s="41">
        <f>MIP[[#This Row],[Eficiência]]</f>
        <v>1.138925594392346</v>
      </c>
      <c r="W66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69" s="39">
        <f>IF(MIP[[#This Row],[P.S]]-MIP[[#This Row],[P.E]]&lt;0,1+MIP[[#This Row],[P.S]]-MIP[[#This Row],[P.E]]-1/24,MIP[[#This Row],[P.S]]-MIP[[#This Row],[P.E]]-1/24)</f>
        <v>0.37152777777777785</v>
      </c>
      <c r="Y669" s="39">
        <f>MIP[[#This Row],[PT-1]]*$S$3+MIP[[#This Row],[PT-2]]*$T$3+MIP[[#This Row],[PT-3]]*$U$3+MIP[[#This Row],[PT &gt; 3 Pontos]]*$V$3</f>
        <v>0.26891298756485948</v>
      </c>
      <c r="Z669" s="39">
        <f>MIP[[#This Row],[HH disponível]]-MIP[[#This Row],[HH AC TOT]]</f>
        <v>0.2361111111111111</v>
      </c>
      <c r="AA669" s="38">
        <f>MIP[[#This Row],[HH Produtivo
Total]]/MIP[[#This Row],[HH Trabalhado]]</f>
        <v>1.138925594392346</v>
      </c>
      <c r="AB669" s="38">
        <f>MIP[[#This Row],[HH Produtivo
Total]]/MIP[[#This Row],[HH disponível]]</f>
        <v>0.72380318148298617</v>
      </c>
      <c r="AC669" s="38">
        <f>MIP[[#This Row],[HH Trabalhado]]/MIP[[#This Row],[HH disponível]]</f>
        <v>0.63551401869158863</v>
      </c>
      <c r="AD669" s="37" t="str">
        <f>LEFT(MIP[[#This Row],[Equipe]], SEARCH("/",MIP[[#This Row],[Equipe]],1)-1)</f>
        <v xml:space="preserve">EDILTON </v>
      </c>
      <c r="AE669" s="37" t="str">
        <f>RIGHT(MIP[[#This Row],[Equipe]], LEN(MIP[[#This Row],[Equipe]])-SEARCH("/",MIP[[#This Row],[Equipe]],1))</f>
        <v xml:space="preserve"> GECIVALDO</v>
      </c>
      <c r="AF669" s="44">
        <f>COUNTIFS('[1]Tempo parado'!H:H,"&gt;="&amp;MIP[[#This Row],[S.B Sitrack]],'[1]Tempo parado'!I:I,"&lt;="&amp;MIP[[#This Row],[C.B Sitrack]],'[1]Tempo parado'!B:B,MIP[[#This Row],[Placa]])</f>
        <v>0</v>
      </c>
      <c r="AG669" s="36"/>
      <c r="AH669" s="35"/>
      <c r="AI669" s="34"/>
      <c r="AJ669" s="34"/>
      <c r="AK66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6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69" s="32">
        <f>SUMIFS('[1]Tempo parado'!J:J,'[1]Tempo parado'!H:H,"&gt;="&amp;MIP[[#This Row],[S.B Sitrack]],'[1]Tempo parado'!I:I,"&lt;="&amp;MIP[[#This Row],[C.B Sitrack]],'[1]Tempo parado'!B:B,MIP[[#This Row],[Placa]])</f>
        <v>0</v>
      </c>
      <c r="AN669" s="32" t="str">
        <f>IFERROR(MIP[[#This Row],[Tempo parado]]/(MIP[[#This Row],[C.B Sitrack]]-MIP[[#This Row],[S.B Sitrack]]),"")</f>
        <v/>
      </c>
      <c r="AO669" s="30"/>
      <c r="AP669" s="44">
        <f>IF(AND(MIP[Exc]=0,MIP[Previsto / Realizado]="Realizado"),MIP[Sem],0)</f>
        <v>42</v>
      </c>
      <c r="AQ669" s="29">
        <f>IF(AND(MIP[Exc]=0,MIP[Previsto / Realizado]="Realizado",ISBLANK(MIP[[#This Row],[S.B Sitrack]])=FALSE,ISBLANK(MIP[[#This Row],[C.B Sitrack]])=FALSE),MIP[Sem],0)</f>
        <v>0</v>
      </c>
    </row>
    <row r="670" spans="2:43" x14ac:dyDescent="0.25">
      <c r="B670" s="29">
        <f>WEEKNUM(MIP[[#This Row],[Data]])</f>
        <v>42</v>
      </c>
      <c r="C670" s="45">
        <v>43024</v>
      </c>
      <c r="D670" s="45"/>
      <c r="E670" s="35" t="s">
        <v>7</v>
      </c>
      <c r="F670" s="35" t="s">
        <v>5</v>
      </c>
      <c r="G670" s="35"/>
      <c r="H670" s="44">
        <v>2</v>
      </c>
      <c r="I670" s="44">
        <v>5</v>
      </c>
      <c r="J670" s="44">
        <v>1</v>
      </c>
      <c r="K670" s="44">
        <v>1</v>
      </c>
      <c r="L670" s="44">
        <v>0</v>
      </c>
      <c r="M670" s="43">
        <v>0.625</v>
      </c>
      <c r="N670" s="43">
        <v>0.64583333333333337</v>
      </c>
      <c r="O670" s="43">
        <v>1.0125</v>
      </c>
      <c r="P670" s="43">
        <v>1.0333333333333334</v>
      </c>
      <c r="Q670" s="39"/>
      <c r="R670" s="42" t="s">
        <v>36</v>
      </c>
      <c r="S670" s="29">
        <v>10</v>
      </c>
      <c r="T67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670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670" s="41">
        <f>MIP[[#This Row],[Eficiência]]</f>
        <v>0.71332218506131551</v>
      </c>
      <c r="W67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70" s="39">
        <f>IF(MIP[[#This Row],[P.S]]-MIP[[#This Row],[P.E]]&lt;0,1+MIP[[#This Row],[P.S]]-MIP[[#This Row],[P.E]]-1/24,MIP[[#This Row],[P.S]]-MIP[[#This Row],[P.E]]-1/24)</f>
        <v>0.36666666666666675</v>
      </c>
      <c r="Y670" s="39">
        <f>MIP[[#This Row],[PT-1]]*$S$3+MIP[[#This Row],[PT-2]]*$T$3+MIP[[#This Row],[PT-3]]*$U$3+MIP[[#This Row],[PT &gt; 3 Pontos]]*$V$3</f>
        <v>0.23182971014492745</v>
      </c>
      <c r="Z670" s="39">
        <f>MIP[[#This Row],[HH disponível]]-MIP[[#This Row],[HH AC TOT]]</f>
        <v>0.3249999999999999</v>
      </c>
      <c r="AA670" s="38">
        <f>MIP[[#This Row],[HH Produtivo
Total]]/MIP[[#This Row],[HH Trabalhado]]</f>
        <v>0.71332218506131551</v>
      </c>
      <c r="AB670" s="38">
        <f>MIP[[#This Row],[HH Produtivo
Total]]/MIP[[#This Row],[HH disponível]]</f>
        <v>0.63226284584980197</v>
      </c>
      <c r="AC670" s="38">
        <f>MIP[[#This Row],[HH Trabalhado]]/MIP[[#This Row],[HH disponível]]</f>
        <v>0.88636363636363591</v>
      </c>
      <c r="AD670" s="37" t="str">
        <f>LEFT(MIP[[#This Row],[Equipe]], SEARCH("/",MIP[[#This Row],[Equipe]],1)-1)</f>
        <v xml:space="preserve">ANDERSON </v>
      </c>
      <c r="AE670" s="37" t="str">
        <f>RIGHT(MIP[[#This Row],[Equipe]], LEN(MIP[[#This Row],[Equipe]])-SEARCH("/",MIP[[#This Row],[Equipe]],1))</f>
        <v xml:space="preserve"> MARCO</v>
      </c>
      <c r="AF670" s="44">
        <f>COUNTIFS('[1]Tempo parado'!H:H,"&gt;="&amp;MIP[[#This Row],[S.B Sitrack]],'[1]Tempo parado'!I:I,"&lt;="&amp;MIP[[#This Row],[C.B Sitrack]],'[1]Tempo parado'!B:B,MIP[[#This Row],[Placa]])</f>
        <v>0</v>
      </c>
      <c r="AG670" s="36"/>
      <c r="AH670" s="35"/>
      <c r="AI670" s="34"/>
      <c r="AJ670" s="34"/>
      <c r="AK67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7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70" s="32">
        <f>SUMIFS('[1]Tempo parado'!J:J,'[1]Tempo parado'!H:H,"&gt;="&amp;MIP[[#This Row],[S.B Sitrack]],'[1]Tempo parado'!I:I,"&lt;="&amp;MIP[[#This Row],[C.B Sitrack]],'[1]Tempo parado'!B:B,MIP[[#This Row],[Placa]])</f>
        <v>0</v>
      </c>
      <c r="AN670" s="32" t="str">
        <f>IFERROR(MIP[[#This Row],[Tempo parado]]/(MIP[[#This Row],[C.B Sitrack]]-MIP[[#This Row],[S.B Sitrack]]),"")</f>
        <v/>
      </c>
      <c r="AO670" s="30"/>
      <c r="AP670" s="44">
        <f>IF(AND(MIP[Exc]=0,MIP[Previsto / Realizado]="Realizado"),MIP[Sem],0)</f>
        <v>0</v>
      </c>
      <c r="AQ670" s="29">
        <f>IF(AND(MIP[Exc]=0,MIP[Previsto / Realizado]="Realizado",ISBLANK(MIP[[#This Row],[S.B Sitrack]])=FALSE,ISBLANK(MIP[[#This Row],[C.B Sitrack]])=FALSE),MIP[Sem],0)</f>
        <v>0</v>
      </c>
    </row>
    <row r="671" spans="2:43" x14ac:dyDescent="0.25">
      <c r="B671" s="29">
        <f>WEEKNUM(MIP[[#This Row],[Data]])</f>
        <v>42</v>
      </c>
      <c r="C671" s="45">
        <v>43027</v>
      </c>
      <c r="D671" s="45"/>
      <c r="E671" s="35" t="s">
        <v>19</v>
      </c>
      <c r="F671" s="35" t="s">
        <v>2</v>
      </c>
      <c r="G671" s="35"/>
      <c r="H671" s="44">
        <v>2</v>
      </c>
      <c r="I671" s="44">
        <v>3</v>
      </c>
      <c r="J671" s="44">
        <v>1</v>
      </c>
      <c r="K671" s="44">
        <v>2</v>
      </c>
      <c r="L671" s="44">
        <v>0</v>
      </c>
      <c r="M671" s="43">
        <v>0.63750000000000007</v>
      </c>
      <c r="N671" s="43">
        <v>0.73611111111111116</v>
      </c>
      <c r="O671" s="43">
        <v>1.0145833333333334</v>
      </c>
      <c r="P671" s="43">
        <v>1.0423611111111111</v>
      </c>
      <c r="Q671" s="39"/>
      <c r="R671" s="42" t="s">
        <v>184</v>
      </c>
      <c r="S671" s="29">
        <v>11</v>
      </c>
      <c r="T67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0.12638888888888877</v>
      </c>
      <c r="U671" s="39">
        <f>IF(MIP[[#This Row],[P.S]]-MIP[[#This Row],[U.P]]&gt;=0,MIP[[#This Row],[P.S]]-MIP[[#This Row],[U.P]]+MIP[[#This Row],[S.B]]-MIP[[#This Row],[P.E]],1+MIP[[#This Row],[P.S]]-MIP[[#This Row],[U.P]]+MIP[[#This Row],[S.B]]-MIP[[#This Row],[P.E]])</f>
        <v>0.12638888888888877</v>
      </c>
      <c r="V671" s="41">
        <f>MIP[[#This Row],[Eficiência]]</f>
        <v>1.0327869331463302</v>
      </c>
      <c r="W67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71" s="39">
        <f>IF(MIP[[#This Row],[P.S]]-MIP[[#This Row],[P.E]]&lt;0,1+MIP[[#This Row],[P.S]]-MIP[[#This Row],[P.E]]-1/24,MIP[[#This Row],[P.S]]-MIP[[#This Row],[P.E]]-1/24)</f>
        <v>0.36319444444444432</v>
      </c>
      <c r="Y671" s="39">
        <f>MIP[[#This Row],[PT-1]]*$S$3+MIP[[#This Row],[PT-2]]*$T$3+MIP[[#This Row],[PT-3]]*$U$3+MIP[[#This Row],[PT &gt; 3 Pontos]]*$V$3</f>
        <v>0.24456968347423511</v>
      </c>
      <c r="Z671" s="39">
        <f>MIP[[#This Row],[HH disponível]]-MIP[[#This Row],[HH AC TOT]]</f>
        <v>0.23680555555555555</v>
      </c>
      <c r="AA671" s="38">
        <f>MIP[[#This Row],[HH Produtivo
Total]]/MIP[[#This Row],[HH Trabalhado]]</f>
        <v>1.0327869331463302</v>
      </c>
      <c r="AB671" s="38">
        <f>MIP[[#This Row],[HH Produtivo
Total]]/MIP[[#This Row],[HH disponível]]</f>
        <v>0.67338497935544683</v>
      </c>
      <c r="AC671" s="38">
        <f>MIP[[#This Row],[HH Trabalhado]]/MIP[[#This Row],[HH disponível]]</f>
        <v>0.65200764818355661</v>
      </c>
      <c r="AD671" s="37" t="str">
        <f>LEFT(MIP[[#This Row],[Equipe]], SEARCH("/",MIP[[#This Row],[Equipe]],1)-1)</f>
        <v xml:space="preserve">ADEMÁRIO </v>
      </c>
      <c r="AE671" s="37" t="str">
        <f>RIGHT(MIP[[#This Row],[Equipe]], LEN(MIP[[#This Row],[Equipe]])-SEARCH("/",MIP[[#This Row],[Equipe]],1))</f>
        <v xml:space="preserve"> RONALDO</v>
      </c>
      <c r="AF671" s="44">
        <f>COUNTIFS('[1]Tempo parado'!H:H,"&gt;="&amp;MIP[[#This Row],[S.B Sitrack]],'[1]Tempo parado'!I:I,"&lt;="&amp;MIP[[#This Row],[C.B Sitrack]],'[1]Tempo parado'!B:B,MIP[[#This Row],[Placa]])</f>
        <v>0</v>
      </c>
      <c r="AG671" s="36"/>
      <c r="AH671" s="35"/>
      <c r="AI671" s="34"/>
      <c r="AJ671" s="34"/>
      <c r="AK67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7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71" s="32">
        <f>SUMIFS('[1]Tempo parado'!J:J,'[1]Tempo parado'!H:H,"&gt;="&amp;MIP[[#This Row],[S.B Sitrack]],'[1]Tempo parado'!I:I,"&lt;="&amp;MIP[[#This Row],[C.B Sitrack]],'[1]Tempo parado'!B:B,MIP[[#This Row],[Placa]])</f>
        <v>0</v>
      </c>
      <c r="AN671" s="32" t="str">
        <f>IFERROR(MIP[[#This Row],[Tempo parado]]/(MIP[[#This Row],[C.B Sitrack]]-MIP[[#This Row],[S.B Sitrack]]),"")</f>
        <v/>
      </c>
      <c r="AO671" s="30"/>
      <c r="AP671" s="44">
        <f>IF(AND(MIP[Exc]=0,MIP[Previsto / Realizado]="Realizado"),MIP[Sem],0)</f>
        <v>42</v>
      </c>
      <c r="AQ671" s="29">
        <f>IF(AND(MIP[Exc]=0,MIP[Previsto / Realizado]="Realizado",ISBLANK(MIP[[#This Row],[S.B Sitrack]])=FALSE,ISBLANK(MIP[[#This Row],[C.B Sitrack]])=FALSE),MIP[Sem],0)</f>
        <v>0</v>
      </c>
    </row>
    <row r="672" spans="2:43" x14ac:dyDescent="0.25">
      <c r="B672" s="29">
        <f>WEEKNUM(MIP[[#This Row],[Data]])</f>
        <v>42</v>
      </c>
      <c r="C672" s="45">
        <v>43025</v>
      </c>
      <c r="D672" s="45"/>
      <c r="E672" s="35" t="s">
        <v>10</v>
      </c>
      <c r="F672" s="35" t="s">
        <v>5</v>
      </c>
      <c r="G672" s="35"/>
      <c r="H672" s="44">
        <v>2</v>
      </c>
      <c r="I672" s="44">
        <v>3</v>
      </c>
      <c r="J672" s="44">
        <v>2</v>
      </c>
      <c r="K672" s="44">
        <v>0</v>
      </c>
      <c r="L672" s="44">
        <v>0</v>
      </c>
      <c r="M672" s="43">
        <v>0.25</v>
      </c>
      <c r="N672" s="43">
        <v>0.27083333333333331</v>
      </c>
      <c r="O672" s="43">
        <v>0.63750000000000007</v>
      </c>
      <c r="P672" s="43">
        <v>0.65833333333333333</v>
      </c>
      <c r="Q672" s="39"/>
      <c r="R672" s="42" t="s">
        <v>36</v>
      </c>
      <c r="S672" s="29">
        <v>7</v>
      </c>
      <c r="T67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672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672" s="41">
        <f>MIP[[#This Row],[Eficiência]]</f>
        <v>0.50121566487055591</v>
      </c>
      <c r="W67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72" s="39">
        <f>IF(MIP[[#This Row],[P.S]]-MIP[[#This Row],[P.E]]&lt;0,1+MIP[[#This Row],[P.S]]-MIP[[#This Row],[P.E]]-1/24,MIP[[#This Row],[P.S]]-MIP[[#This Row],[P.E]]-1/24)</f>
        <v>0.36666666666666664</v>
      </c>
      <c r="Y672" s="39">
        <f>MIP[[#This Row],[PT-1]]*$S$3+MIP[[#This Row],[PT-2]]*$T$3+MIP[[#This Row],[PT-3]]*$U$3+MIP[[#This Row],[PT &gt; 3 Pontos]]*$V$3</f>
        <v>0.16289509108293071</v>
      </c>
      <c r="Z672" s="39">
        <f>MIP[[#This Row],[HH disponível]]-MIP[[#This Row],[HH AC TOT]]</f>
        <v>0.32500000000000007</v>
      </c>
      <c r="AA672" s="38">
        <f>MIP[[#This Row],[HH Produtivo
Total]]/MIP[[#This Row],[HH Trabalhado]]</f>
        <v>0.50121566487055591</v>
      </c>
      <c r="AB672" s="38">
        <f>MIP[[#This Row],[HH Produtivo
Total]]/MIP[[#This Row],[HH disponível]]</f>
        <v>0.44425933931708378</v>
      </c>
      <c r="AC672" s="38">
        <f>MIP[[#This Row],[HH Trabalhado]]/MIP[[#This Row],[HH disponível]]</f>
        <v>0.88636363636363658</v>
      </c>
      <c r="AD672" s="37" t="str">
        <f>LEFT(MIP[[#This Row],[Equipe]], SEARCH("/",MIP[[#This Row],[Equipe]],1)-1)</f>
        <v xml:space="preserve">JOILSON </v>
      </c>
      <c r="AE672" s="37" t="str">
        <f>RIGHT(MIP[[#This Row],[Equipe]], LEN(MIP[[#This Row],[Equipe]])-SEARCH("/",MIP[[#This Row],[Equipe]],1))</f>
        <v xml:space="preserve"> VALDEI</v>
      </c>
      <c r="AF672" s="44">
        <f>COUNTIFS('[1]Tempo parado'!H:H,"&gt;="&amp;MIP[[#This Row],[S.B Sitrack]],'[1]Tempo parado'!I:I,"&lt;="&amp;MIP[[#This Row],[C.B Sitrack]],'[1]Tempo parado'!B:B,MIP[[#This Row],[Placa]])</f>
        <v>0</v>
      </c>
      <c r="AG672" s="36"/>
      <c r="AH672" s="35"/>
      <c r="AI672" s="34"/>
      <c r="AJ672" s="34"/>
      <c r="AK67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7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72" s="32">
        <f>SUMIFS('[1]Tempo parado'!J:J,'[1]Tempo parado'!H:H,"&gt;="&amp;MIP[[#This Row],[S.B Sitrack]],'[1]Tempo parado'!I:I,"&lt;="&amp;MIP[[#This Row],[C.B Sitrack]],'[1]Tempo parado'!B:B,MIP[[#This Row],[Placa]])</f>
        <v>0</v>
      </c>
      <c r="AN672" s="32" t="str">
        <f>IFERROR(MIP[[#This Row],[Tempo parado]]/(MIP[[#This Row],[C.B Sitrack]]-MIP[[#This Row],[S.B Sitrack]]),"")</f>
        <v/>
      </c>
      <c r="AO672" s="30"/>
      <c r="AP672" s="44">
        <f>IF(AND(MIP[Exc]=0,MIP[Previsto / Realizado]="Realizado"),MIP[Sem],0)</f>
        <v>0</v>
      </c>
      <c r="AQ672" s="29">
        <f>IF(AND(MIP[Exc]=0,MIP[Previsto / Realizado]="Realizado",ISBLANK(MIP[[#This Row],[S.B Sitrack]])=FALSE,ISBLANK(MIP[[#This Row],[C.B Sitrack]])=FALSE),MIP[Sem],0)</f>
        <v>0</v>
      </c>
    </row>
    <row r="673" spans="2:43" x14ac:dyDescent="0.25">
      <c r="B673" s="29">
        <f>WEEKNUM(MIP[[#This Row],[Data]])</f>
        <v>42</v>
      </c>
      <c r="C673" s="45">
        <v>43028</v>
      </c>
      <c r="D673" s="45"/>
      <c r="E673" s="35" t="s">
        <v>3</v>
      </c>
      <c r="F673" s="35" t="s">
        <v>2</v>
      </c>
      <c r="G673" s="35"/>
      <c r="H673" s="44">
        <v>2</v>
      </c>
      <c r="I673" s="44">
        <v>7</v>
      </c>
      <c r="J673" s="44">
        <v>2</v>
      </c>
      <c r="K673" s="44">
        <v>1</v>
      </c>
      <c r="L673" s="44">
        <v>0</v>
      </c>
      <c r="M673" s="43">
        <v>0.61805555555555558</v>
      </c>
      <c r="N673" s="43">
        <v>0.70138888888888884</v>
      </c>
      <c r="O673" s="43">
        <v>1.0125</v>
      </c>
      <c r="P673" s="43">
        <v>1.0333333333333334</v>
      </c>
      <c r="Q673" s="39"/>
      <c r="R673" s="42" t="s">
        <v>9</v>
      </c>
      <c r="S673" s="29">
        <v>14</v>
      </c>
      <c r="T67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0.10416666666666674</v>
      </c>
      <c r="U673" s="39">
        <f>IF(MIP[[#This Row],[P.S]]-MIP[[#This Row],[U.P]]&gt;=0,MIP[[#This Row],[P.S]]-MIP[[#This Row],[U.P]]+MIP[[#This Row],[S.B]]-MIP[[#This Row],[P.E]],1+MIP[[#This Row],[P.S]]-MIP[[#This Row],[U.P]]+MIP[[#This Row],[S.B]]-MIP[[#This Row],[P.E]])</f>
        <v>0.10416666666666674</v>
      </c>
      <c r="V673" s="41">
        <f>MIP[[#This Row],[Eficiência]]</f>
        <v>1.2091182018526816</v>
      </c>
      <c r="W67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73" s="39">
        <f>IF(MIP[[#This Row],[P.S]]-MIP[[#This Row],[P.E]]&lt;0,1+MIP[[#This Row],[P.S]]-MIP[[#This Row],[P.E]]-1/24,MIP[[#This Row],[P.S]]-MIP[[#This Row],[P.E]]-1/24)</f>
        <v>0.37361111111111117</v>
      </c>
      <c r="Y673" s="39">
        <f>MIP[[#This Row],[PT-1]]*$S$3+MIP[[#This Row],[PT-2]]*$T$3+MIP[[#This Row],[PT-3]]*$U$3+MIP[[#This Row],[PT &gt; 3 Pontos]]*$V$3</f>
        <v>0.32579018216586142</v>
      </c>
      <c r="Z673" s="39">
        <f>MIP[[#This Row],[HH disponível]]-MIP[[#This Row],[HH AC TOT]]</f>
        <v>0.26944444444444443</v>
      </c>
      <c r="AA673" s="38">
        <f>MIP[[#This Row],[HH Produtivo
Total]]/MIP[[#This Row],[HH Trabalhado]]</f>
        <v>1.2091182018526816</v>
      </c>
      <c r="AB673" s="38">
        <f>MIP[[#This Row],[HH Produtivo
Total]]/MIP[[#This Row],[HH disponível]]</f>
        <v>0.87200346155918285</v>
      </c>
      <c r="AC673" s="38">
        <f>MIP[[#This Row],[HH Trabalhado]]/MIP[[#This Row],[HH disponível]]</f>
        <v>0.72118959107806679</v>
      </c>
      <c r="AD673" s="37" t="str">
        <f>LEFT(MIP[[#This Row],[Equipe]], SEARCH("/",MIP[[#This Row],[Equipe]],1)-1)</f>
        <v xml:space="preserve">EDILTON </v>
      </c>
      <c r="AE673" s="37" t="str">
        <f>RIGHT(MIP[[#This Row],[Equipe]], LEN(MIP[[#This Row],[Equipe]])-SEARCH("/",MIP[[#This Row],[Equipe]],1))</f>
        <v xml:space="preserve"> GECIVALDO</v>
      </c>
      <c r="AF673" s="44">
        <f>COUNTIFS('[1]Tempo parado'!H:H,"&gt;="&amp;MIP[[#This Row],[S.B Sitrack]],'[1]Tempo parado'!I:I,"&lt;="&amp;MIP[[#This Row],[C.B Sitrack]],'[1]Tempo parado'!B:B,MIP[[#This Row],[Placa]])</f>
        <v>0</v>
      </c>
      <c r="AG673" s="36"/>
      <c r="AH673" s="35"/>
      <c r="AI673" s="34"/>
      <c r="AJ673" s="34"/>
      <c r="AK67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7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73" s="32">
        <f>SUMIFS('[1]Tempo parado'!J:J,'[1]Tempo parado'!H:H,"&gt;="&amp;MIP[[#This Row],[S.B Sitrack]],'[1]Tempo parado'!I:I,"&lt;="&amp;MIP[[#This Row],[C.B Sitrack]],'[1]Tempo parado'!B:B,MIP[[#This Row],[Placa]])</f>
        <v>0</v>
      </c>
      <c r="AN673" s="32" t="str">
        <f>IFERROR(MIP[[#This Row],[Tempo parado]]/(MIP[[#This Row],[C.B Sitrack]]-MIP[[#This Row],[S.B Sitrack]]),"")</f>
        <v/>
      </c>
      <c r="AO673" s="30"/>
      <c r="AP673" s="44">
        <f>IF(AND(MIP[Exc]=0,MIP[Previsto / Realizado]="Realizado"),MIP[Sem],0)</f>
        <v>42</v>
      </c>
      <c r="AQ673" s="29">
        <f>IF(AND(MIP[Exc]=0,MIP[Previsto / Realizado]="Realizado",ISBLANK(MIP[[#This Row],[S.B Sitrack]])=FALSE,ISBLANK(MIP[[#This Row],[C.B Sitrack]])=FALSE),MIP[Sem],0)</f>
        <v>0</v>
      </c>
    </row>
    <row r="674" spans="2:43" x14ac:dyDescent="0.25">
      <c r="B674" s="29">
        <f>WEEKNUM(MIP[[#This Row],[Data]])</f>
        <v>42</v>
      </c>
      <c r="C674" s="45">
        <v>43025</v>
      </c>
      <c r="D674" s="45"/>
      <c r="E674" s="35" t="s">
        <v>3</v>
      </c>
      <c r="F674" s="35" t="s">
        <v>5</v>
      </c>
      <c r="G674" s="35"/>
      <c r="H674" s="44">
        <v>2</v>
      </c>
      <c r="I674" s="44">
        <v>4</v>
      </c>
      <c r="J674" s="44">
        <v>2</v>
      </c>
      <c r="K674" s="44">
        <v>0</v>
      </c>
      <c r="L674" s="44">
        <v>4</v>
      </c>
      <c r="M674" s="43">
        <v>0.625</v>
      </c>
      <c r="N674" s="43">
        <v>0.64583333333333337</v>
      </c>
      <c r="O674" s="43">
        <v>1.0125</v>
      </c>
      <c r="P674" s="43">
        <v>1.0333333333333334</v>
      </c>
      <c r="Q674" s="39"/>
      <c r="R674" s="42"/>
      <c r="S674" s="29">
        <v>12</v>
      </c>
      <c r="T67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674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674" s="41">
        <f>MIP[[#This Row],[Eficiência]]</f>
        <v>0.82742457712264483</v>
      </c>
      <c r="W67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74" s="39">
        <f>IF(MIP[[#This Row],[P.S]]-MIP[[#This Row],[P.E]]&lt;0,1+MIP[[#This Row],[P.S]]-MIP[[#This Row],[P.E]]-1/24,MIP[[#This Row],[P.S]]-MIP[[#This Row],[P.E]]-1/24)</f>
        <v>0.36666666666666675</v>
      </c>
      <c r="Y674" s="39">
        <f>MIP[[#This Row],[PT-1]]*$S$3+MIP[[#This Row],[PT-2]]*$T$3+MIP[[#This Row],[PT-3]]*$U$3+MIP[[#This Row],[PT &gt; 3 Pontos]]*$V$3</f>
        <v>0.26891298756485948</v>
      </c>
      <c r="Z674" s="39">
        <f>MIP[[#This Row],[HH disponível]]-MIP[[#This Row],[HH AC TOT]]</f>
        <v>0.3249999999999999</v>
      </c>
      <c r="AA674" s="38">
        <f>MIP[[#This Row],[HH Produtivo
Total]]/MIP[[#This Row],[HH Trabalhado]]</f>
        <v>0.82742457712264483</v>
      </c>
      <c r="AB674" s="38">
        <f>MIP[[#This Row],[HH Produtivo
Total]]/MIP[[#This Row],[HH disponível]]</f>
        <v>0.73339905699507113</v>
      </c>
      <c r="AC674" s="38">
        <f>MIP[[#This Row],[HH Trabalhado]]/MIP[[#This Row],[HH disponível]]</f>
        <v>0.88636363636363591</v>
      </c>
      <c r="AD674" s="37" t="str">
        <f>LEFT(MIP[[#This Row],[Equipe]], SEARCH("/",MIP[[#This Row],[Equipe]],1)-1)</f>
        <v xml:space="preserve">EDILTON </v>
      </c>
      <c r="AE674" s="37" t="str">
        <f>RIGHT(MIP[[#This Row],[Equipe]], LEN(MIP[[#This Row],[Equipe]])-SEARCH("/",MIP[[#This Row],[Equipe]],1))</f>
        <v xml:space="preserve"> GECIVALDO</v>
      </c>
      <c r="AF674" s="44">
        <f>COUNTIFS('[1]Tempo parado'!H:H,"&gt;="&amp;MIP[[#This Row],[S.B Sitrack]],'[1]Tempo parado'!I:I,"&lt;="&amp;MIP[[#This Row],[C.B Sitrack]],'[1]Tempo parado'!B:B,MIP[[#This Row],[Placa]])</f>
        <v>0</v>
      </c>
      <c r="AG674" s="36"/>
      <c r="AH674" s="35"/>
      <c r="AI674" s="34"/>
      <c r="AJ674" s="34"/>
      <c r="AK67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7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74" s="32">
        <f>SUMIFS('[1]Tempo parado'!J:J,'[1]Tempo parado'!H:H,"&gt;="&amp;MIP[[#This Row],[S.B Sitrack]],'[1]Tempo parado'!I:I,"&lt;="&amp;MIP[[#This Row],[C.B Sitrack]],'[1]Tempo parado'!B:B,MIP[[#This Row],[Placa]])</f>
        <v>0</v>
      </c>
      <c r="AN674" s="32" t="str">
        <f>IFERROR(MIP[[#This Row],[Tempo parado]]/(MIP[[#This Row],[C.B Sitrack]]-MIP[[#This Row],[S.B Sitrack]]),"")</f>
        <v/>
      </c>
      <c r="AO674" s="30"/>
      <c r="AP674" s="44">
        <f>IF(AND(MIP[Exc]=0,MIP[Previsto / Realizado]="Realizado"),MIP[Sem],0)</f>
        <v>0</v>
      </c>
      <c r="AQ674" s="29">
        <f>IF(AND(MIP[Exc]=0,MIP[Previsto / Realizado]="Realizado",ISBLANK(MIP[[#This Row],[S.B Sitrack]])=FALSE,ISBLANK(MIP[[#This Row],[C.B Sitrack]])=FALSE),MIP[Sem],0)</f>
        <v>0</v>
      </c>
    </row>
    <row r="675" spans="2:43" x14ac:dyDescent="0.25">
      <c r="B675" s="29">
        <f>WEEKNUM(MIP[[#This Row],[Data]])</f>
        <v>42</v>
      </c>
      <c r="C675" s="45">
        <v>43024</v>
      </c>
      <c r="D675" s="45"/>
      <c r="E675" s="35" t="s">
        <v>7</v>
      </c>
      <c r="F675" s="35" t="s">
        <v>2</v>
      </c>
      <c r="G675" s="35"/>
      <c r="H675" s="44">
        <v>2</v>
      </c>
      <c r="I675" s="44">
        <v>12</v>
      </c>
      <c r="J675" s="44">
        <v>1</v>
      </c>
      <c r="K675" s="44">
        <v>0</v>
      </c>
      <c r="L675" s="44">
        <v>0</v>
      </c>
      <c r="M675" s="43">
        <v>0.62291666666666667</v>
      </c>
      <c r="N675" s="43">
        <v>0.6958333333333333</v>
      </c>
      <c r="O675" s="43">
        <v>1.0104166666666667</v>
      </c>
      <c r="P675" s="43">
        <v>1.0409722222222222</v>
      </c>
      <c r="Q675" s="39"/>
      <c r="R675" s="42" t="s">
        <v>183</v>
      </c>
      <c r="S675" s="29">
        <v>14</v>
      </c>
      <c r="T67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0.10347222222222208</v>
      </c>
      <c r="U675" s="39">
        <f>IF(MIP[[#This Row],[P.S]]-MIP[[#This Row],[U.P]]&gt;=0,MIP[[#This Row],[P.S]]-MIP[[#This Row],[U.P]]+MIP[[#This Row],[S.B]]-MIP[[#This Row],[P.E]],1+MIP[[#This Row],[P.S]]-MIP[[#This Row],[U.P]]+MIP[[#This Row],[S.B]]-MIP[[#This Row],[P.E]])</f>
        <v>0.10347222222222208</v>
      </c>
      <c r="V675" s="41">
        <f>MIP[[#This Row],[Eficiência]]</f>
        <v>1.2612604639156237</v>
      </c>
      <c r="W67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75" s="39">
        <f>IF(MIP[[#This Row],[P.S]]-MIP[[#This Row],[P.E]]&lt;0,1+MIP[[#This Row],[P.S]]-MIP[[#This Row],[P.E]]-1/24,MIP[[#This Row],[P.S]]-MIP[[#This Row],[P.E]]-1/24)</f>
        <v>0.37638888888888883</v>
      </c>
      <c r="Y675" s="39">
        <f>MIP[[#This Row],[PT-1]]*$S$3+MIP[[#This Row],[PT-2]]*$T$3+MIP[[#This Row],[PT-3]]*$U$3+MIP[[#This Row],[PT &gt; 3 Pontos]]*$V$3</f>
        <v>0.34421900161030577</v>
      </c>
      <c r="Z675" s="39">
        <f>MIP[[#This Row],[HH disponível]]-MIP[[#This Row],[HH AC TOT]]</f>
        <v>0.27291666666666675</v>
      </c>
      <c r="AA675" s="38">
        <f>MIP[[#This Row],[HH Produtivo
Total]]/MIP[[#This Row],[HH Trabalhado]]</f>
        <v>1.2612604639156237</v>
      </c>
      <c r="AB675" s="38">
        <f>MIP[[#This Row],[HH Produtivo
Total]]/MIP[[#This Row],[HH disponível]]</f>
        <v>0.91453018878014836</v>
      </c>
      <c r="AC675" s="38">
        <f>MIP[[#This Row],[HH Trabalhado]]/MIP[[#This Row],[HH disponível]]</f>
        <v>0.72509225092250962</v>
      </c>
      <c r="AD675" s="37" t="str">
        <f>LEFT(MIP[[#This Row],[Equipe]], SEARCH("/",MIP[[#This Row],[Equipe]],1)-1)</f>
        <v xml:space="preserve">ANDERSON </v>
      </c>
      <c r="AE675" s="37" t="str">
        <f>RIGHT(MIP[[#This Row],[Equipe]], LEN(MIP[[#This Row],[Equipe]])-SEARCH("/",MIP[[#This Row],[Equipe]],1))</f>
        <v xml:space="preserve"> MARCO</v>
      </c>
      <c r="AF675" s="44">
        <f>COUNTIFS('[1]Tempo parado'!H:H,"&gt;="&amp;MIP[[#This Row],[S.B Sitrack]],'[1]Tempo parado'!I:I,"&lt;="&amp;MIP[[#This Row],[C.B Sitrack]],'[1]Tempo parado'!B:B,MIP[[#This Row],[Placa]])</f>
        <v>0</v>
      </c>
      <c r="AG675" s="36"/>
      <c r="AH675" s="35"/>
      <c r="AI675" s="34"/>
      <c r="AJ675" s="34"/>
      <c r="AK67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7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75" s="32">
        <f>SUMIFS('[1]Tempo parado'!J:J,'[1]Tempo parado'!H:H,"&gt;="&amp;MIP[[#This Row],[S.B Sitrack]],'[1]Tempo parado'!I:I,"&lt;="&amp;MIP[[#This Row],[C.B Sitrack]],'[1]Tempo parado'!B:B,MIP[[#This Row],[Placa]])</f>
        <v>0</v>
      </c>
      <c r="AN675" s="32" t="str">
        <f>IFERROR(MIP[[#This Row],[Tempo parado]]/(MIP[[#This Row],[C.B Sitrack]]-MIP[[#This Row],[S.B Sitrack]]),"")</f>
        <v/>
      </c>
      <c r="AO675" s="30"/>
      <c r="AP675" s="44">
        <f>IF(AND(MIP[Exc]=0,MIP[Previsto / Realizado]="Realizado"),MIP[Sem],0)</f>
        <v>42</v>
      </c>
      <c r="AQ675" s="29">
        <f>IF(AND(MIP[Exc]=0,MIP[Previsto / Realizado]="Realizado",ISBLANK(MIP[[#This Row],[S.B Sitrack]])=FALSE,ISBLANK(MIP[[#This Row],[C.B Sitrack]])=FALSE),MIP[Sem],0)</f>
        <v>0</v>
      </c>
    </row>
    <row r="676" spans="2:43" x14ac:dyDescent="0.25">
      <c r="B676" s="29">
        <f>WEEKNUM(MIP[[#This Row],[Data]])</f>
        <v>42</v>
      </c>
      <c r="C676" s="45">
        <v>43026</v>
      </c>
      <c r="D676" s="45"/>
      <c r="E676" s="35" t="s">
        <v>10</v>
      </c>
      <c r="F676" s="35" t="s">
        <v>5</v>
      </c>
      <c r="G676" s="35"/>
      <c r="H676" s="44">
        <v>2</v>
      </c>
      <c r="I676" s="44">
        <v>7</v>
      </c>
      <c r="J676" s="44">
        <v>1</v>
      </c>
      <c r="K676" s="44">
        <v>1</v>
      </c>
      <c r="L676" s="44">
        <v>0</v>
      </c>
      <c r="M676" s="43">
        <v>0.25</v>
      </c>
      <c r="N676" s="43">
        <v>0.27083333333333331</v>
      </c>
      <c r="O676" s="43">
        <v>0.63750000000000007</v>
      </c>
      <c r="P676" s="43">
        <v>0.65833333333333333</v>
      </c>
      <c r="Q676" s="39"/>
      <c r="R676" s="42"/>
      <c r="S676" s="29">
        <v>12</v>
      </c>
      <c r="T67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676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676" s="41">
        <f>MIP[[#This Row],[Eficiência]]</f>
        <v>0.86732743403939005</v>
      </c>
      <c r="W67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76" s="39">
        <f>IF(MIP[[#This Row],[P.S]]-MIP[[#This Row],[P.E]]&lt;0,1+MIP[[#This Row],[P.S]]-MIP[[#This Row],[P.E]]-1/24,MIP[[#This Row],[P.S]]-MIP[[#This Row],[P.E]]-1/24)</f>
        <v>0.36666666666666664</v>
      </c>
      <c r="Y676" s="39">
        <f>MIP[[#This Row],[PT-1]]*$S$3+MIP[[#This Row],[PT-2]]*$T$3+MIP[[#This Row],[PT-3]]*$U$3+MIP[[#This Row],[PT &gt; 3 Pontos]]*$V$3</f>
        <v>0.28188141606280182</v>
      </c>
      <c r="Z676" s="39">
        <f>MIP[[#This Row],[HH disponível]]-MIP[[#This Row],[HH AC TOT]]</f>
        <v>0.32500000000000007</v>
      </c>
      <c r="AA676" s="38">
        <f>MIP[[#This Row],[HH Produtivo
Total]]/MIP[[#This Row],[HH Trabalhado]]</f>
        <v>0.86732743403939005</v>
      </c>
      <c r="AB676" s="38">
        <f>MIP[[#This Row],[HH Produtivo
Total]]/MIP[[#This Row],[HH disponível]]</f>
        <v>0.76876749835309588</v>
      </c>
      <c r="AC676" s="38">
        <f>MIP[[#This Row],[HH Trabalhado]]/MIP[[#This Row],[HH disponível]]</f>
        <v>0.88636363636363658</v>
      </c>
      <c r="AD676" s="37" t="str">
        <f>LEFT(MIP[[#This Row],[Equipe]], SEARCH("/",MIP[[#This Row],[Equipe]],1)-1)</f>
        <v xml:space="preserve">JOILSON </v>
      </c>
      <c r="AE676" s="37" t="str">
        <f>RIGHT(MIP[[#This Row],[Equipe]], LEN(MIP[[#This Row],[Equipe]])-SEARCH("/",MIP[[#This Row],[Equipe]],1))</f>
        <v xml:space="preserve"> VALDEI</v>
      </c>
      <c r="AF676" s="44">
        <f>COUNTIFS('[1]Tempo parado'!H:H,"&gt;="&amp;MIP[[#This Row],[S.B Sitrack]],'[1]Tempo parado'!I:I,"&lt;="&amp;MIP[[#This Row],[C.B Sitrack]],'[1]Tempo parado'!B:B,MIP[[#This Row],[Placa]])</f>
        <v>0</v>
      </c>
      <c r="AG676" s="36"/>
      <c r="AH676" s="35"/>
      <c r="AI676" s="34"/>
      <c r="AJ676" s="34"/>
      <c r="AK67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7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76" s="32">
        <f>SUMIFS('[1]Tempo parado'!J:J,'[1]Tempo parado'!H:H,"&gt;="&amp;MIP[[#This Row],[S.B Sitrack]],'[1]Tempo parado'!I:I,"&lt;="&amp;MIP[[#This Row],[C.B Sitrack]],'[1]Tempo parado'!B:B,MIP[[#This Row],[Placa]])</f>
        <v>0</v>
      </c>
      <c r="AN676" s="32" t="str">
        <f>IFERROR(MIP[[#This Row],[Tempo parado]]/(MIP[[#This Row],[C.B Sitrack]]-MIP[[#This Row],[S.B Sitrack]]),"")</f>
        <v/>
      </c>
      <c r="AO676" s="30"/>
      <c r="AP676" s="44">
        <f>IF(AND(MIP[Exc]=0,MIP[Previsto / Realizado]="Realizado"),MIP[Sem],0)</f>
        <v>0</v>
      </c>
      <c r="AQ676" s="29">
        <f>IF(AND(MIP[Exc]=0,MIP[Previsto / Realizado]="Realizado",ISBLANK(MIP[[#This Row],[S.B Sitrack]])=FALSE,ISBLANK(MIP[[#This Row],[C.B Sitrack]])=FALSE),MIP[Sem],0)</f>
        <v>0</v>
      </c>
    </row>
    <row r="677" spans="2:43" x14ac:dyDescent="0.25">
      <c r="B677" s="29">
        <f>WEEKNUM(MIP[[#This Row],[Data]])</f>
        <v>42</v>
      </c>
      <c r="C677" s="45">
        <v>43028</v>
      </c>
      <c r="D677" s="45"/>
      <c r="E677" s="35" t="s">
        <v>19</v>
      </c>
      <c r="F677" s="35" t="s">
        <v>2</v>
      </c>
      <c r="G677" s="35"/>
      <c r="H677" s="44">
        <v>2</v>
      </c>
      <c r="I677" s="44">
        <v>3</v>
      </c>
      <c r="J677" s="44">
        <v>1</v>
      </c>
      <c r="K677" s="44">
        <v>0</v>
      </c>
      <c r="L677" s="44">
        <v>5</v>
      </c>
      <c r="M677" s="43">
        <v>0.63472222222222219</v>
      </c>
      <c r="N677" s="43">
        <v>0.70694444444444438</v>
      </c>
      <c r="O677" s="43">
        <v>1.0069444444444444</v>
      </c>
      <c r="P677" s="43">
        <v>1.0368055555555555</v>
      </c>
      <c r="Q677" s="39">
        <v>3.1944444444444449E-2</v>
      </c>
      <c r="R677" s="42" t="s">
        <v>182</v>
      </c>
      <c r="S677" s="29">
        <v>10</v>
      </c>
      <c r="T67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0.13402777777777775</v>
      </c>
      <c r="U677" s="39">
        <f>IF(MIP[[#This Row],[P.S]]-MIP[[#This Row],[U.P]]&gt;=0,MIP[[#This Row],[P.S]]-MIP[[#This Row],[U.P]]+MIP[[#This Row],[S.B]]-MIP[[#This Row],[P.E]],1+MIP[[#This Row],[P.S]]-MIP[[#This Row],[U.P]]+MIP[[#This Row],[S.B]]-MIP[[#This Row],[P.E]])</f>
        <v>0.1020833333333333</v>
      </c>
      <c r="V677" s="41">
        <f>MIP[[#This Row],[Eficiência]]</f>
        <v>0.97277909911778937</v>
      </c>
      <c r="W67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77" s="39">
        <f>IF(MIP[[#This Row],[P.S]]-MIP[[#This Row],[P.E]]&lt;0,1+MIP[[#This Row],[P.S]]-MIP[[#This Row],[P.E]]-1/24,MIP[[#This Row],[P.S]]-MIP[[#This Row],[P.E]]-1/24)</f>
        <v>0.36041666666666666</v>
      </c>
      <c r="Y677" s="39">
        <f>MIP[[#This Row],[PT-1]]*$S$3+MIP[[#This Row],[PT-2]]*$T$3+MIP[[#This Row],[PT-3]]*$U$3+MIP[[#This Row],[PT &gt; 3 Pontos]]*$V$3</f>
        <v>0.22022637938361067</v>
      </c>
      <c r="Z677" s="39">
        <f>MIP[[#This Row],[HH disponível]]-MIP[[#This Row],[HH AC TOT]]</f>
        <v>0.22638888888888892</v>
      </c>
      <c r="AA677" s="38">
        <f>MIP[[#This Row],[HH Produtivo
Total]]/MIP[[#This Row],[HH Trabalhado]]</f>
        <v>0.97277909911778937</v>
      </c>
      <c r="AB677" s="38">
        <f>MIP[[#This Row],[HH Produtivo
Total]]/MIP[[#This Row],[HH disponível]]</f>
        <v>0.61103272892562499</v>
      </c>
      <c r="AC677" s="38">
        <f>MIP[[#This Row],[HH Trabalhado]]/MIP[[#This Row],[HH disponível]]</f>
        <v>0.62813102119460507</v>
      </c>
      <c r="AD677" s="37" t="str">
        <f>LEFT(MIP[[#This Row],[Equipe]], SEARCH("/",MIP[[#This Row],[Equipe]],1)-1)</f>
        <v xml:space="preserve">ADEMÁRIO </v>
      </c>
      <c r="AE677" s="37" t="str">
        <f>RIGHT(MIP[[#This Row],[Equipe]], LEN(MIP[[#This Row],[Equipe]])-SEARCH("/",MIP[[#This Row],[Equipe]],1))</f>
        <v xml:space="preserve"> RONALDO</v>
      </c>
      <c r="AF677" s="44">
        <f>COUNTIFS('[1]Tempo parado'!H:H,"&gt;="&amp;MIP[[#This Row],[S.B Sitrack]],'[1]Tempo parado'!I:I,"&lt;="&amp;MIP[[#This Row],[C.B Sitrack]],'[1]Tempo parado'!B:B,MIP[[#This Row],[Placa]])</f>
        <v>0</v>
      </c>
      <c r="AG677" s="36"/>
      <c r="AH677" s="35"/>
      <c r="AI677" s="34"/>
      <c r="AJ677" s="34"/>
      <c r="AK67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7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77" s="32">
        <f>SUMIFS('[1]Tempo parado'!J:J,'[1]Tempo parado'!H:H,"&gt;="&amp;MIP[[#This Row],[S.B Sitrack]],'[1]Tempo parado'!I:I,"&lt;="&amp;MIP[[#This Row],[C.B Sitrack]],'[1]Tempo parado'!B:B,MIP[[#This Row],[Placa]])</f>
        <v>0</v>
      </c>
      <c r="AN677" s="32" t="str">
        <f>IFERROR(MIP[[#This Row],[Tempo parado]]/(MIP[[#This Row],[C.B Sitrack]]-MIP[[#This Row],[S.B Sitrack]]),"")</f>
        <v/>
      </c>
      <c r="AO677" s="30"/>
      <c r="AP677" s="44">
        <f>IF(AND(MIP[Exc]=0,MIP[Previsto / Realizado]="Realizado"),MIP[Sem],0)</f>
        <v>42</v>
      </c>
      <c r="AQ677" s="29">
        <f>IF(AND(MIP[Exc]=0,MIP[Previsto / Realizado]="Realizado",ISBLANK(MIP[[#This Row],[S.B Sitrack]])=FALSE,ISBLANK(MIP[[#This Row],[C.B Sitrack]])=FALSE),MIP[Sem],0)</f>
        <v>0</v>
      </c>
    </row>
    <row r="678" spans="2:43" x14ac:dyDescent="0.25">
      <c r="B678" s="29">
        <f>WEEKNUM(MIP[[#This Row],[Data]])</f>
        <v>42</v>
      </c>
      <c r="C678" s="45">
        <v>43026</v>
      </c>
      <c r="D678" s="45"/>
      <c r="E678" s="35" t="s">
        <v>83</v>
      </c>
      <c r="F678" s="35" t="s">
        <v>5</v>
      </c>
      <c r="G678" s="35"/>
      <c r="H678" s="44">
        <v>3</v>
      </c>
      <c r="I678" s="44">
        <v>4</v>
      </c>
      <c r="J678" s="44">
        <v>1</v>
      </c>
      <c r="K678" s="44">
        <v>1</v>
      </c>
      <c r="L678" s="44">
        <v>0</v>
      </c>
      <c r="M678" s="43">
        <v>0.625</v>
      </c>
      <c r="N678" s="43">
        <v>0.64583333333333337</v>
      </c>
      <c r="O678" s="43">
        <v>1.0125</v>
      </c>
      <c r="P678" s="43">
        <v>1.0333333333333334</v>
      </c>
      <c r="Q678" s="39"/>
      <c r="R678" s="42" t="s">
        <v>36</v>
      </c>
      <c r="S678" s="29">
        <v>9</v>
      </c>
      <c r="T67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678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678" s="41">
        <f>MIP[[#This Row],[Eficiência]]</f>
        <v>0.63631956057227801</v>
      </c>
      <c r="W67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78" s="39">
        <f>IF(MIP[[#This Row],[P.S]]-MIP[[#This Row],[P.E]]&lt;0,1+MIP[[#This Row],[P.S]]-MIP[[#This Row],[P.E]]-1/24,MIP[[#This Row],[P.S]]-MIP[[#This Row],[P.E]]-1/24)</f>
        <v>0.36666666666666675</v>
      </c>
      <c r="Y678" s="39">
        <f>MIP[[#This Row],[PT-1]]*$S$3+MIP[[#This Row],[PT-2]]*$T$3+MIP[[#This Row],[PT-3]]*$U$3+MIP[[#This Row],[PT &gt; 3 Pontos]]*$V$3</f>
        <v>0.20680385718599029</v>
      </c>
      <c r="Z678" s="39">
        <f>MIP[[#This Row],[HH disponível]]-MIP[[#This Row],[HH AC TOT]]</f>
        <v>0.3249999999999999</v>
      </c>
      <c r="AA678" s="38">
        <f>MIP[[#This Row],[HH Produtivo
Total]]/MIP[[#This Row],[HH Trabalhado]]</f>
        <v>0.63631956057227801</v>
      </c>
      <c r="AB678" s="38">
        <f>MIP[[#This Row],[HH Produtivo
Total]]/MIP[[#This Row],[HH disponível]]</f>
        <v>0.56401051959815518</v>
      </c>
      <c r="AC678" s="38">
        <f>MIP[[#This Row],[HH Trabalhado]]/MIP[[#This Row],[HH disponível]]</f>
        <v>0.88636363636363591</v>
      </c>
      <c r="AD678" s="37" t="str">
        <f>LEFT(MIP[[#This Row],[Equipe]], SEARCH("/",MIP[[#This Row],[Equipe]],1)-1)</f>
        <v xml:space="preserve">ADEMÁRIO </v>
      </c>
      <c r="AE678" s="37" t="str">
        <f>RIGHT(MIP[[#This Row],[Equipe]], LEN(MIP[[#This Row],[Equipe]])-SEARCH("/",MIP[[#This Row],[Equipe]],1))</f>
        <v xml:space="preserve"> GECIVALDO / RONALDO</v>
      </c>
      <c r="AF678" s="44">
        <f>COUNTIFS('[1]Tempo parado'!H:H,"&gt;="&amp;MIP[[#This Row],[S.B Sitrack]],'[1]Tempo parado'!I:I,"&lt;="&amp;MIP[[#This Row],[C.B Sitrack]],'[1]Tempo parado'!B:B,MIP[[#This Row],[Placa]])</f>
        <v>0</v>
      </c>
      <c r="AG678" s="36"/>
      <c r="AH678" s="35"/>
      <c r="AI678" s="34"/>
      <c r="AJ678" s="34"/>
      <c r="AK67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7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78" s="32">
        <f>SUMIFS('[1]Tempo parado'!J:J,'[1]Tempo parado'!H:H,"&gt;="&amp;MIP[[#This Row],[S.B Sitrack]],'[1]Tempo parado'!I:I,"&lt;="&amp;MIP[[#This Row],[C.B Sitrack]],'[1]Tempo parado'!B:B,MIP[[#This Row],[Placa]])</f>
        <v>0</v>
      </c>
      <c r="AN678" s="32" t="str">
        <f>IFERROR(MIP[[#This Row],[Tempo parado]]/(MIP[[#This Row],[C.B Sitrack]]-MIP[[#This Row],[S.B Sitrack]]),"")</f>
        <v/>
      </c>
      <c r="AO678" s="30"/>
      <c r="AP678" s="44">
        <f>IF(AND(MIP[Exc]=0,MIP[Previsto / Realizado]="Realizado"),MIP[Sem],0)</f>
        <v>0</v>
      </c>
      <c r="AQ678" s="29">
        <f>IF(AND(MIP[Exc]=0,MIP[Previsto / Realizado]="Realizado",ISBLANK(MIP[[#This Row],[S.B Sitrack]])=FALSE,ISBLANK(MIP[[#This Row],[C.B Sitrack]])=FALSE),MIP[Sem],0)</f>
        <v>0</v>
      </c>
    </row>
    <row r="679" spans="2:43" x14ac:dyDescent="0.25">
      <c r="B679" s="29">
        <f>WEEKNUM(MIP[[#This Row],[Data]])</f>
        <v>42</v>
      </c>
      <c r="C679" s="45">
        <v>43025</v>
      </c>
      <c r="D679" s="45"/>
      <c r="E679" s="35" t="s">
        <v>10</v>
      </c>
      <c r="F679" s="35" t="s">
        <v>2</v>
      </c>
      <c r="G679" s="35"/>
      <c r="H679" s="44">
        <v>2</v>
      </c>
      <c r="I679" s="44">
        <v>4</v>
      </c>
      <c r="J679" s="44">
        <v>4</v>
      </c>
      <c r="K679" s="44">
        <v>0</v>
      </c>
      <c r="L679" s="44">
        <v>0</v>
      </c>
      <c r="M679" s="43">
        <v>0.24722222222222223</v>
      </c>
      <c r="N679" s="43">
        <v>0.27777777777777779</v>
      </c>
      <c r="O679" s="43">
        <v>0.61111111111111105</v>
      </c>
      <c r="P679" s="43">
        <v>0.67708333333333337</v>
      </c>
      <c r="Q679" s="39"/>
      <c r="R679" s="42" t="s">
        <v>181</v>
      </c>
      <c r="S679" s="29">
        <v>12</v>
      </c>
      <c r="T67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9.6527777777777879E-2</v>
      </c>
      <c r="U679" s="39">
        <f>IF(MIP[[#This Row],[P.S]]-MIP[[#This Row],[U.P]]&gt;=0,MIP[[#This Row],[P.S]]-MIP[[#This Row],[U.P]]+MIP[[#This Row],[S.B]]-MIP[[#This Row],[P.E]],1+MIP[[#This Row],[P.S]]-MIP[[#This Row],[U.P]]+MIP[[#This Row],[S.B]]-MIP[[#This Row],[P.E]])</f>
        <v>9.6527777777777879E-2</v>
      </c>
      <c r="V679" s="41">
        <f>MIP[[#This Row],[Eficiência]]</f>
        <v>0.94538906142167034</v>
      </c>
      <c r="W67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79" s="39">
        <f>IF(MIP[[#This Row],[P.S]]-MIP[[#This Row],[P.E]]&lt;0,1+MIP[[#This Row],[P.S]]-MIP[[#This Row],[P.E]]-1/24,MIP[[#This Row],[P.S]]-MIP[[#This Row],[P.E]]-1/24)</f>
        <v>0.38819444444444445</v>
      </c>
      <c r="Y679" s="39">
        <f>MIP[[#This Row],[PT-1]]*$S$3+MIP[[#This Row],[PT-2]]*$T$3+MIP[[#This Row],[PT-3]]*$U$3+MIP[[#This Row],[PT &gt; 3 Pontos]]*$V$3</f>
        <v>0.27573847624798709</v>
      </c>
      <c r="Z679" s="39">
        <f>MIP[[#This Row],[HH disponível]]-MIP[[#This Row],[HH AC TOT]]</f>
        <v>0.29166666666666657</v>
      </c>
      <c r="AA679" s="38">
        <f>MIP[[#This Row],[HH Produtivo
Total]]/MIP[[#This Row],[HH Trabalhado]]</f>
        <v>0.94538906142167034</v>
      </c>
      <c r="AB679" s="38">
        <f>MIP[[#This Row],[HH Produtivo
Total]]/MIP[[#This Row],[HH disponível]]</f>
        <v>0.71031020715044968</v>
      </c>
      <c r="AC679" s="38">
        <f>MIP[[#This Row],[HH Trabalhado]]/MIP[[#This Row],[HH disponível]]</f>
        <v>0.75134168157423942</v>
      </c>
      <c r="AD679" s="37" t="str">
        <f>LEFT(MIP[[#This Row],[Equipe]], SEARCH("/",MIP[[#This Row],[Equipe]],1)-1)</f>
        <v xml:space="preserve">JOILSON </v>
      </c>
      <c r="AE679" s="37" t="str">
        <f>RIGHT(MIP[[#This Row],[Equipe]], LEN(MIP[[#This Row],[Equipe]])-SEARCH("/",MIP[[#This Row],[Equipe]],1))</f>
        <v xml:space="preserve"> VALDEI</v>
      </c>
      <c r="AF679" s="44">
        <f>COUNTIFS('[1]Tempo parado'!H:H,"&gt;="&amp;MIP[[#This Row],[S.B Sitrack]],'[1]Tempo parado'!I:I,"&lt;="&amp;MIP[[#This Row],[C.B Sitrack]],'[1]Tempo parado'!B:B,MIP[[#This Row],[Placa]])</f>
        <v>0</v>
      </c>
      <c r="AG679" s="36"/>
      <c r="AH679" s="35"/>
      <c r="AI679" s="34"/>
      <c r="AJ679" s="34"/>
      <c r="AK67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7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79" s="32">
        <f>SUMIFS('[1]Tempo parado'!J:J,'[1]Tempo parado'!H:H,"&gt;="&amp;MIP[[#This Row],[S.B Sitrack]],'[1]Tempo parado'!I:I,"&lt;="&amp;MIP[[#This Row],[C.B Sitrack]],'[1]Tempo parado'!B:B,MIP[[#This Row],[Placa]])</f>
        <v>0</v>
      </c>
      <c r="AN679" s="32" t="str">
        <f>IFERROR(MIP[[#This Row],[Tempo parado]]/(MIP[[#This Row],[C.B Sitrack]]-MIP[[#This Row],[S.B Sitrack]]),"")</f>
        <v/>
      </c>
      <c r="AO679" s="30"/>
      <c r="AP679" s="44">
        <f>IF(AND(MIP[Exc]=0,MIP[Previsto / Realizado]="Realizado"),MIP[Sem],0)</f>
        <v>42</v>
      </c>
      <c r="AQ679" s="29">
        <f>IF(AND(MIP[Exc]=0,MIP[Previsto / Realizado]="Realizado",ISBLANK(MIP[[#This Row],[S.B Sitrack]])=FALSE,ISBLANK(MIP[[#This Row],[C.B Sitrack]])=FALSE),MIP[Sem],0)</f>
        <v>0</v>
      </c>
    </row>
    <row r="680" spans="2:43" x14ac:dyDescent="0.25">
      <c r="B680" s="29">
        <f>WEEKNUM(MIP[[#This Row],[Data]])</f>
        <v>42</v>
      </c>
      <c r="C680" s="45">
        <v>43027</v>
      </c>
      <c r="D680" s="45"/>
      <c r="E680" s="35" t="s">
        <v>10</v>
      </c>
      <c r="F680" s="35" t="s">
        <v>5</v>
      </c>
      <c r="G680" s="35"/>
      <c r="H680" s="44">
        <v>2</v>
      </c>
      <c r="I680" s="44">
        <v>3</v>
      </c>
      <c r="J680" s="44">
        <v>1</v>
      </c>
      <c r="K680" s="44">
        <v>1</v>
      </c>
      <c r="L680" s="44">
        <v>0</v>
      </c>
      <c r="M680" s="43">
        <v>0.25</v>
      </c>
      <c r="N680" s="43">
        <v>0.27083333333333331</v>
      </c>
      <c r="O680" s="43">
        <v>0.63750000000000007</v>
      </c>
      <c r="P680" s="43">
        <v>0.65833333333333333</v>
      </c>
      <c r="Q680" s="39"/>
      <c r="R680" s="42"/>
      <c r="S680" s="29">
        <v>8</v>
      </c>
      <c r="T68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680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680" s="41">
        <f>MIP[[#This Row],[Eficiência]]</f>
        <v>0.55931693608324029</v>
      </c>
      <c r="W68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80" s="39">
        <f>IF(MIP[[#This Row],[P.S]]-MIP[[#This Row],[P.E]]&lt;0,1+MIP[[#This Row],[P.S]]-MIP[[#This Row],[P.E]]-1/24,MIP[[#This Row],[P.S]]-MIP[[#This Row],[P.E]]-1/24)</f>
        <v>0.36666666666666664</v>
      </c>
      <c r="Y680" s="39">
        <f>MIP[[#This Row],[PT-1]]*$S$3+MIP[[#This Row],[PT-2]]*$T$3+MIP[[#This Row],[PT-3]]*$U$3+MIP[[#This Row],[PT &gt; 3 Pontos]]*$V$3</f>
        <v>0.18177800422705312</v>
      </c>
      <c r="Z680" s="39">
        <f>MIP[[#This Row],[HH disponível]]-MIP[[#This Row],[HH AC TOT]]</f>
        <v>0.32500000000000007</v>
      </c>
      <c r="AA680" s="38">
        <f>MIP[[#This Row],[HH Produtivo
Total]]/MIP[[#This Row],[HH Trabalhado]]</f>
        <v>0.55931693608324029</v>
      </c>
      <c r="AB680" s="38">
        <f>MIP[[#This Row],[HH Produtivo
Total]]/MIP[[#This Row],[HH disponível]]</f>
        <v>0.49575819334650856</v>
      </c>
      <c r="AC680" s="38">
        <f>MIP[[#This Row],[HH Trabalhado]]/MIP[[#This Row],[HH disponível]]</f>
        <v>0.88636363636363658</v>
      </c>
      <c r="AD680" s="37" t="str">
        <f>LEFT(MIP[[#This Row],[Equipe]], SEARCH("/",MIP[[#This Row],[Equipe]],1)-1)</f>
        <v xml:space="preserve">JOILSON </v>
      </c>
      <c r="AE680" s="37" t="str">
        <f>RIGHT(MIP[[#This Row],[Equipe]], LEN(MIP[[#This Row],[Equipe]])-SEARCH("/",MIP[[#This Row],[Equipe]],1))</f>
        <v xml:space="preserve"> VALDEI</v>
      </c>
      <c r="AF680" s="44">
        <f>COUNTIFS('[1]Tempo parado'!H:H,"&gt;="&amp;MIP[[#This Row],[S.B Sitrack]],'[1]Tempo parado'!I:I,"&lt;="&amp;MIP[[#This Row],[C.B Sitrack]],'[1]Tempo parado'!B:B,MIP[[#This Row],[Placa]])</f>
        <v>0</v>
      </c>
      <c r="AG680" s="36"/>
      <c r="AH680" s="35"/>
      <c r="AI680" s="34"/>
      <c r="AJ680" s="34"/>
      <c r="AK68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8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80" s="32">
        <f>SUMIFS('[1]Tempo parado'!J:J,'[1]Tempo parado'!H:H,"&gt;="&amp;MIP[[#This Row],[S.B Sitrack]],'[1]Tempo parado'!I:I,"&lt;="&amp;MIP[[#This Row],[C.B Sitrack]],'[1]Tempo parado'!B:B,MIP[[#This Row],[Placa]])</f>
        <v>0</v>
      </c>
      <c r="AN680" s="32" t="str">
        <f>IFERROR(MIP[[#This Row],[Tempo parado]]/(MIP[[#This Row],[C.B Sitrack]]-MIP[[#This Row],[S.B Sitrack]]),"")</f>
        <v/>
      </c>
      <c r="AO680" s="30"/>
      <c r="AP680" s="44">
        <f>IF(AND(MIP[Exc]=0,MIP[Previsto / Realizado]="Realizado"),MIP[Sem],0)</f>
        <v>0</v>
      </c>
      <c r="AQ680" s="29">
        <f>IF(AND(MIP[Exc]=0,MIP[Previsto / Realizado]="Realizado",ISBLANK(MIP[[#This Row],[S.B Sitrack]])=FALSE,ISBLANK(MIP[[#This Row],[C.B Sitrack]])=FALSE),MIP[Sem],0)</f>
        <v>0</v>
      </c>
    </row>
    <row r="681" spans="2:43" x14ac:dyDescent="0.25">
      <c r="B681" s="29">
        <f>WEEKNUM(MIP[[#This Row],[Data]])</f>
        <v>42</v>
      </c>
      <c r="C681" s="45">
        <v>43028</v>
      </c>
      <c r="D681" s="45"/>
      <c r="E681" s="35" t="s">
        <v>178</v>
      </c>
      <c r="F681" s="35" t="s">
        <v>2</v>
      </c>
      <c r="G681" s="35"/>
      <c r="H681" s="44">
        <v>2</v>
      </c>
      <c r="I681" s="44">
        <v>7</v>
      </c>
      <c r="J681" s="44">
        <v>1</v>
      </c>
      <c r="K681" s="44">
        <v>0</v>
      </c>
      <c r="L681" s="44">
        <v>5</v>
      </c>
      <c r="M681" s="43">
        <v>0.25069444444444444</v>
      </c>
      <c r="N681" s="43">
        <v>0.28125</v>
      </c>
      <c r="O681" s="43">
        <v>0.62986111111111109</v>
      </c>
      <c r="P681" s="43">
        <v>0.68888888888888899</v>
      </c>
      <c r="Q681" s="39"/>
      <c r="R681" s="42" t="s">
        <v>180</v>
      </c>
      <c r="S681" s="29">
        <v>14</v>
      </c>
      <c r="T68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8.9583333333333459E-2</v>
      </c>
      <c r="U681" s="39">
        <f>IF(MIP[[#This Row],[P.S]]-MIP[[#This Row],[U.P]]&gt;=0,MIP[[#This Row],[P.S]]-MIP[[#This Row],[U.P]]+MIP[[#This Row],[S.B]]-MIP[[#This Row],[P.E]],1+MIP[[#This Row],[P.S]]-MIP[[#This Row],[U.P]]+MIP[[#This Row],[S.B]]-MIP[[#This Row],[P.E]])</f>
        <v>8.9583333333333459E-2</v>
      </c>
      <c r="V681" s="41">
        <f>MIP[[#This Row],[Eficiência]]</f>
        <v>1.0436083695834335</v>
      </c>
      <c r="W68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81" s="39">
        <f>IF(MIP[[#This Row],[P.S]]-MIP[[#This Row],[P.E]]&lt;0,1+MIP[[#This Row],[P.S]]-MIP[[#This Row],[P.E]]-1/24,MIP[[#This Row],[P.S]]-MIP[[#This Row],[P.E]]-1/24)</f>
        <v>0.39652777777777787</v>
      </c>
      <c r="Y681" s="39">
        <f>MIP[[#This Row],[PT-1]]*$S$3+MIP[[#This Row],[PT-2]]*$T$3+MIP[[#This Row],[PT-3]]*$U$3+MIP[[#This Row],[PT &gt; 3 Pontos]]*$V$3</f>
        <v>0.32032979121935939</v>
      </c>
      <c r="Z681" s="39">
        <f>MIP[[#This Row],[HH disponível]]-MIP[[#This Row],[HH AC TOT]]</f>
        <v>0.30694444444444441</v>
      </c>
      <c r="AA681" s="38">
        <f>MIP[[#This Row],[HH Produtivo
Total]]/MIP[[#This Row],[HH Trabalhado]]</f>
        <v>1.0436083695834335</v>
      </c>
      <c r="AB681" s="38">
        <f>MIP[[#This Row],[HH Produtivo
Total]]/MIP[[#This Row],[HH disponível]]</f>
        <v>0.80783695158647539</v>
      </c>
      <c r="AC681" s="38">
        <f>MIP[[#This Row],[HH Trabalhado]]/MIP[[#This Row],[HH disponível]]</f>
        <v>0.77408056042031492</v>
      </c>
      <c r="AD681" s="37" t="str">
        <f>LEFT(MIP[[#This Row],[Equipe]], SEARCH("/",MIP[[#This Row],[Equipe]],1)-1)</f>
        <v xml:space="preserve">HERVAL </v>
      </c>
      <c r="AE681" s="37" t="str">
        <f>RIGHT(MIP[[#This Row],[Equipe]], LEN(MIP[[#This Row],[Equipe]])-SEARCH("/",MIP[[#This Row],[Equipe]],1))</f>
        <v xml:space="preserve"> VALDEI</v>
      </c>
      <c r="AF681" s="44">
        <f>COUNTIFS('[1]Tempo parado'!H:H,"&gt;="&amp;MIP[[#This Row],[S.B Sitrack]],'[1]Tempo parado'!I:I,"&lt;="&amp;MIP[[#This Row],[C.B Sitrack]],'[1]Tempo parado'!B:B,MIP[[#This Row],[Placa]])</f>
        <v>0</v>
      </c>
      <c r="AG681" s="36"/>
      <c r="AH681" s="35"/>
      <c r="AI681" s="34"/>
      <c r="AJ681" s="34"/>
      <c r="AK68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8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81" s="32">
        <f>SUMIFS('[1]Tempo parado'!J:J,'[1]Tempo parado'!H:H,"&gt;="&amp;MIP[[#This Row],[S.B Sitrack]],'[1]Tempo parado'!I:I,"&lt;="&amp;MIP[[#This Row],[C.B Sitrack]],'[1]Tempo parado'!B:B,MIP[[#This Row],[Placa]])</f>
        <v>0</v>
      </c>
      <c r="AN681" s="32" t="str">
        <f>IFERROR(MIP[[#This Row],[Tempo parado]]/(MIP[[#This Row],[C.B Sitrack]]-MIP[[#This Row],[S.B Sitrack]]),"")</f>
        <v/>
      </c>
      <c r="AO681" s="30"/>
      <c r="AP681" s="44">
        <f>IF(AND(MIP[Exc]=0,MIP[Previsto / Realizado]="Realizado"),MIP[Sem],0)</f>
        <v>42</v>
      </c>
      <c r="AQ681" s="29">
        <f>IF(AND(MIP[Exc]=0,MIP[Previsto / Realizado]="Realizado",ISBLANK(MIP[[#This Row],[S.B Sitrack]])=FALSE,ISBLANK(MIP[[#This Row],[C.B Sitrack]])=FALSE),MIP[Sem],0)</f>
        <v>0</v>
      </c>
    </row>
    <row r="682" spans="2:43" x14ac:dyDescent="0.25">
      <c r="B682" s="29">
        <f>WEEKNUM(MIP[[#This Row],[Data]])</f>
        <v>42</v>
      </c>
      <c r="C682" s="45">
        <v>43027</v>
      </c>
      <c r="D682" s="45"/>
      <c r="E682" s="35" t="s">
        <v>19</v>
      </c>
      <c r="F682" s="35" t="s">
        <v>5</v>
      </c>
      <c r="G682" s="35"/>
      <c r="H682" s="44">
        <v>2</v>
      </c>
      <c r="I682" s="44">
        <v>2</v>
      </c>
      <c r="J682" s="44">
        <v>0</v>
      </c>
      <c r="K682" s="44">
        <v>2</v>
      </c>
      <c r="L682" s="44">
        <v>0</v>
      </c>
      <c r="M682" s="43">
        <v>0.625</v>
      </c>
      <c r="N682" s="43">
        <v>0.64583333333333337</v>
      </c>
      <c r="O682" s="43">
        <v>1.0125</v>
      </c>
      <c r="P682" s="43">
        <v>1.0333333333333334</v>
      </c>
      <c r="Q682" s="39"/>
      <c r="R682" s="42"/>
      <c r="S682" s="29">
        <v>8</v>
      </c>
      <c r="T68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682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682" s="41">
        <f>MIP[[#This Row],[Eficiência]]</f>
        <v>0.5404155828068874</v>
      </c>
      <c r="W68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82" s="39">
        <f>IF(MIP[[#This Row],[P.S]]-MIP[[#This Row],[P.E]]&lt;0,1+MIP[[#This Row],[P.S]]-MIP[[#This Row],[P.E]]-1/24,MIP[[#This Row],[P.S]]-MIP[[#This Row],[P.E]]-1/24)</f>
        <v>0.36666666666666675</v>
      </c>
      <c r="Y682" s="39">
        <f>MIP[[#This Row],[PT-1]]*$S$3+MIP[[#This Row],[PT-2]]*$T$3+MIP[[#This Row],[PT-3]]*$U$3+MIP[[#This Row],[PT &gt; 3 Pontos]]*$V$3</f>
        <v>0.17563506441223833</v>
      </c>
      <c r="Z682" s="39">
        <f>MIP[[#This Row],[HH disponível]]-MIP[[#This Row],[HH AC TOT]]</f>
        <v>0.3249999999999999</v>
      </c>
      <c r="AA682" s="38">
        <f>MIP[[#This Row],[HH Produtivo
Total]]/MIP[[#This Row],[HH Trabalhado]]</f>
        <v>0.5404155828068874</v>
      </c>
      <c r="AB682" s="38">
        <f>MIP[[#This Row],[HH Produtivo
Total]]/MIP[[#This Row],[HH disponível]]</f>
        <v>0.47900472112428627</v>
      </c>
      <c r="AC682" s="38">
        <f>MIP[[#This Row],[HH Trabalhado]]/MIP[[#This Row],[HH disponível]]</f>
        <v>0.88636363636363591</v>
      </c>
      <c r="AD682" s="37" t="str">
        <f>LEFT(MIP[[#This Row],[Equipe]], SEARCH("/",MIP[[#This Row],[Equipe]],1)-1)</f>
        <v xml:space="preserve">ADEMÁRIO </v>
      </c>
      <c r="AE682" s="37" t="str">
        <f>RIGHT(MIP[[#This Row],[Equipe]], LEN(MIP[[#This Row],[Equipe]])-SEARCH("/",MIP[[#This Row],[Equipe]],1))</f>
        <v xml:space="preserve"> RONALDO</v>
      </c>
      <c r="AF682" s="44">
        <f>COUNTIFS('[1]Tempo parado'!H:H,"&gt;="&amp;MIP[[#This Row],[S.B Sitrack]],'[1]Tempo parado'!I:I,"&lt;="&amp;MIP[[#This Row],[C.B Sitrack]],'[1]Tempo parado'!B:B,MIP[[#This Row],[Placa]])</f>
        <v>0</v>
      </c>
      <c r="AG682" s="36"/>
      <c r="AH682" s="35"/>
      <c r="AI682" s="34"/>
      <c r="AJ682" s="34"/>
      <c r="AK68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8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82" s="32">
        <f>SUMIFS('[1]Tempo parado'!J:J,'[1]Tempo parado'!H:H,"&gt;="&amp;MIP[[#This Row],[S.B Sitrack]],'[1]Tempo parado'!I:I,"&lt;="&amp;MIP[[#This Row],[C.B Sitrack]],'[1]Tempo parado'!B:B,MIP[[#This Row],[Placa]])</f>
        <v>0</v>
      </c>
      <c r="AN682" s="32" t="str">
        <f>IFERROR(MIP[[#This Row],[Tempo parado]]/(MIP[[#This Row],[C.B Sitrack]]-MIP[[#This Row],[S.B Sitrack]]),"")</f>
        <v/>
      </c>
      <c r="AO682" s="30"/>
      <c r="AP682" s="44">
        <f>IF(AND(MIP[Exc]=0,MIP[Previsto / Realizado]="Realizado"),MIP[Sem],0)</f>
        <v>0</v>
      </c>
      <c r="AQ682" s="29">
        <f>IF(AND(MIP[Exc]=0,MIP[Previsto / Realizado]="Realizado",ISBLANK(MIP[[#This Row],[S.B Sitrack]])=FALSE,ISBLANK(MIP[[#This Row],[C.B Sitrack]])=FALSE),MIP[Sem],0)</f>
        <v>0</v>
      </c>
    </row>
    <row r="683" spans="2:43" x14ac:dyDescent="0.25">
      <c r="B683" s="29">
        <f>WEEKNUM(MIP[[#This Row],[Data]])</f>
        <v>42</v>
      </c>
      <c r="C683" s="45">
        <v>43026</v>
      </c>
      <c r="D683" s="45"/>
      <c r="E683" s="35" t="s">
        <v>83</v>
      </c>
      <c r="F683" s="35" t="s">
        <v>2</v>
      </c>
      <c r="G683" s="35"/>
      <c r="H683" s="44">
        <v>3</v>
      </c>
      <c r="I683" s="44">
        <v>4</v>
      </c>
      <c r="J683" s="44">
        <v>1</v>
      </c>
      <c r="K683" s="44">
        <v>1</v>
      </c>
      <c r="L683" s="44">
        <v>0</v>
      </c>
      <c r="M683" s="43">
        <v>0.63888888888888895</v>
      </c>
      <c r="N683" s="43">
        <v>0.70000000000000007</v>
      </c>
      <c r="O683" s="43">
        <v>1.0083333333333333</v>
      </c>
      <c r="P683" s="43">
        <v>1.0361111111111112</v>
      </c>
      <c r="Q683" s="39"/>
      <c r="R683" s="42" t="s">
        <v>179</v>
      </c>
      <c r="S683" s="29">
        <v>9</v>
      </c>
      <c r="T68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8.8888888888889017E-2</v>
      </c>
      <c r="U683" s="39">
        <f>IF(MIP[[#This Row],[P.S]]-MIP[[#This Row],[U.P]]&gt;=0,MIP[[#This Row],[P.S]]-MIP[[#This Row],[U.P]]+MIP[[#This Row],[S.B]]-MIP[[#This Row],[P.E]],1+MIP[[#This Row],[P.S]]-MIP[[#This Row],[U.P]]+MIP[[#This Row],[S.B]]-MIP[[#This Row],[P.E]])</f>
        <v>8.8888888888889017E-2</v>
      </c>
      <c r="V683" s="41">
        <f>MIP[[#This Row],[Eficiência]]</f>
        <v>0.77551446444746386</v>
      </c>
      <c r="W68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83" s="39">
        <f>IF(MIP[[#This Row],[P.S]]-MIP[[#This Row],[P.E]]&lt;0,1+MIP[[#This Row],[P.S]]-MIP[[#This Row],[P.E]]-1/24,MIP[[#This Row],[P.S]]-MIP[[#This Row],[P.E]]-1/24)</f>
        <v>0.35555555555555557</v>
      </c>
      <c r="Y683" s="39">
        <f>MIP[[#This Row],[PT-1]]*$S$3+MIP[[#This Row],[PT-2]]*$T$3+MIP[[#This Row],[PT-3]]*$U$3+MIP[[#This Row],[PT &gt; 3 Pontos]]*$V$3</f>
        <v>0.20680385718599029</v>
      </c>
      <c r="Z683" s="39">
        <f>MIP[[#This Row],[HH disponível]]-MIP[[#This Row],[HH AC TOT]]</f>
        <v>0.26666666666666655</v>
      </c>
      <c r="AA683" s="38">
        <f>MIP[[#This Row],[HH Produtivo
Total]]/MIP[[#This Row],[HH Trabalhado]]</f>
        <v>0.77551446444746386</v>
      </c>
      <c r="AB683" s="38">
        <f>MIP[[#This Row],[HH Produtivo
Total]]/MIP[[#This Row],[HH disponível]]</f>
        <v>0.58163584833559767</v>
      </c>
      <c r="AC683" s="38">
        <f>MIP[[#This Row],[HH Trabalhado]]/MIP[[#This Row],[HH disponível]]</f>
        <v>0.74999999999999967</v>
      </c>
      <c r="AD683" s="37" t="str">
        <f>LEFT(MIP[[#This Row],[Equipe]], SEARCH("/",MIP[[#This Row],[Equipe]],1)-1)</f>
        <v xml:space="preserve">ADEMÁRIO </v>
      </c>
      <c r="AE683" s="37" t="str">
        <f>RIGHT(MIP[[#This Row],[Equipe]], LEN(MIP[[#This Row],[Equipe]])-SEARCH("/",MIP[[#This Row],[Equipe]],1))</f>
        <v xml:space="preserve"> GECIVALDO / RONALDO</v>
      </c>
      <c r="AF683" s="44">
        <f>COUNTIFS('[1]Tempo parado'!H:H,"&gt;="&amp;MIP[[#This Row],[S.B Sitrack]],'[1]Tempo parado'!I:I,"&lt;="&amp;MIP[[#This Row],[C.B Sitrack]],'[1]Tempo parado'!B:B,MIP[[#This Row],[Placa]])</f>
        <v>0</v>
      </c>
      <c r="AG683" s="36"/>
      <c r="AH683" s="35"/>
      <c r="AI683" s="34"/>
      <c r="AJ683" s="34"/>
      <c r="AK68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8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83" s="32">
        <f>SUMIFS('[1]Tempo parado'!J:J,'[1]Tempo parado'!H:H,"&gt;="&amp;MIP[[#This Row],[S.B Sitrack]],'[1]Tempo parado'!I:I,"&lt;="&amp;MIP[[#This Row],[C.B Sitrack]],'[1]Tempo parado'!B:B,MIP[[#This Row],[Placa]])</f>
        <v>0</v>
      </c>
      <c r="AN683" s="32" t="str">
        <f>IFERROR(MIP[[#This Row],[Tempo parado]]/(MIP[[#This Row],[C.B Sitrack]]-MIP[[#This Row],[S.B Sitrack]]),"")</f>
        <v/>
      </c>
      <c r="AO683" s="30"/>
      <c r="AP683" s="44">
        <f>IF(AND(MIP[Exc]=0,MIP[Previsto / Realizado]="Realizado"),MIP[Sem],0)</f>
        <v>42</v>
      </c>
      <c r="AQ683" s="29">
        <f>IF(AND(MIP[Exc]=0,MIP[Previsto / Realizado]="Realizado",ISBLANK(MIP[[#This Row],[S.B Sitrack]])=FALSE,ISBLANK(MIP[[#This Row],[C.B Sitrack]])=FALSE),MIP[Sem],0)</f>
        <v>0</v>
      </c>
    </row>
    <row r="684" spans="2:43" x14ac:dyDescent="0.25">
      <c r="B684" s="29">
        <f>WEEKNUM(MIP[[#This Row],[Data]])</f>
        <v>42</v>
      </c>
      <c r="C684" s="45">
        <v>43028</v>
      </c>
      <c r="D684" s="45"/>
      <c r="E684" s="35" t="s">
        <v>178</v>
      </c>
      <c r="F684" s="35" t="s">
        <v>5</v>
      </c>
      <c r="G684" s="35"/>
      <c r="H684" s="44">
        <v>2</v>
      </c>
      <c r="I684" s="44">
        <v>5</v>
      </c>
      <c r="J684" s="44">
        <v>1</v>
      </c>
      <c r="K684" s="44">
        <v>0</v>
      </c>
      <c r="L684" s="44">
        <v>5</v>
      </c>
      <c r="M684" s="43">
        <v>0.25</v>
      </c>
      <c r="N684" s="43">
        <v>0.27083333333333331</v>
      </c>
      <c r="O684" s="43">
        <v>0.63750000000000007</v>
      </c>
      <c r="P684" s="43">
        <v>0.65833333333333333</v>
      </c>
      <c r="Q684" s="39"/>
      <c r="R684" s="42" t="s">
        <v>4</v>
      </c>
      <c r="S684" s="29">
        <v>12</v>
      </c>
      <c r="T68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684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684" s="41">
        <f>MIP[[#This Row],[Eficiência]]</f>
        <v>0.83162487785072292</v>
      </c>
      <c r="W68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84" s="39">
        <f>IF(MIP[[#This Row],[P.S]]-MIP[[#This Row],[P.E]]&lt;0,1+MIP[[#This Row],[P.S]]-MIP[[#This Row],[P.E]]-1/24,MIP[[#This Row],[P.S]]-MIP[[#This Row],[P.E]]-1/24)</f>
        <v>0.36666666666666664</v>
      </c>
      <c r="Y684" s="39">
        <f>MIP[[#This Row],[PT-1]]*$S$3+MIP[[#This Row],[PT-2]]*$T$3+MIP[[#This Row],[PT-3]]*$U$3+MIP[[#This Row],[PT &gt; 3 Pontos]]*$V$3</f>
        <v>0.270278085301485</v>
      </c>
      <c r="Z684" s="39">
        <f>MIP[[#This Row],[HH disponível]]-MIP[[#This Row],[HH AC TOT]]</f>
        <v>0.32500000000000007</v>
      </c>
      <c r="AA684" s="38">
        <f>MIP[[#This Row],[HH Produtivo
Total]]/MIP[[#This Row],[HH Trabalhado]]</f>
        <v>0.83162487785072292</v>
      </c>
      <c r="AB684" s="38">
        <f>MIP[[#This Row],[HH Produtivo
Total]]/MIP[[#This Row],[HH disponível]]</f>
        <v>0.73712205082223192</v>
      </c>
      <c r="AC684" s="38">
        <f>MIP[[#This Row],[HH Trabalhado]]/MIP[[#This Row],[HH disponível]]</f>
        <v>0.88636363636363658</v>
      </c>
      <c r="AD684" s="37" t="str">
        <f>LEFT(MIP[[#This Row],[Equipe]], SEARCH("/",MIP[[#This Row],[Equipe]],1)-1)</f>
        <v xml:space="preserve">HERVAL </v>
      </c>
      <c r="AE684" s="37" t="str">
        <f>RIGHT(MIP[[#This Row],[Equipe]], LEN(MIP[[#This Row],[Equipe]])-SEARCH("/",MIP[[#This Row],[Equipe]],1))</f>
        <v xml:space="preserve"> VALDEI</v>
      </c>
      <c r="AF684" s="44">
        <f>COUNTIFS('[1]Tempo parado'!H:H,"&gt;="&amp;MIP[[#This Row],[S.B Sitrack]],'[1]Tempo parado'!I:I,"&lt;="&amp;MIP[[#This Row],[C.B Sitrack]],'[1]Tempo parado'!B:B,MIP[[#This Row],[Placa]])</f>
        <v>0</v>
      </c>
      <c r="AG684" s="36"/>
      <c r="AH684" s="35"/>
      <c r="AI684" s="34"/>
      <c r="AJ684" s="34"/>
      <c r="AK68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8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84" s="32">
        <f>SUMIFS('[1]Tempo parado'!J:J,'[1]Tempo parado'!H:H,"&gt;="&amp;MIP[[#This Row],[S.B Sitrack]],'[1]Tempo parado'!I:I,"&lt;="&amp;MIP[[#This Row],[C.B Sitrack]],'[1]Tempo parado'!B:B,MIP[[#This Row],[Placa]])</f>
        <v>0</v>
      </c>
      <c r="AN684" s="32" t="str">
        <f>IFERROR(MIP[[#This Row],[Tempo parado]]/(MIP[[#This Row],[C.B Sitrack]]-MIP[[#This Row],[S.B Sitrack]]),"")</f>
        <v/>
      </c>
      <c r="AO684" s="30"/>
      <c r="AP684" s="44">
        <f>IF(AND(MIP[Exc]=0,MIP[Previsto / Realizado]="Realizado"),MIP[Sem],0)</f>
        <v>0</v>
      </c>
      <c r="AQ684" s="29">
        <f>IF(AND(MIP[Exc]=0,MIP[Previsto / Realizado]="Realizado",ISBLANK(MIP[[#This Row],[S.B Sitrack]])=FALSE,ISBLANK(MIP[[#This Row],[C.B Sitrack]])=FALSE),MIP[Sem],0)</f>
        <v>0</v>
      </c>
    </row>
    <row r="685" spans="2:43" x14ac:dyDescent="0.25">
      <c r="B685" s="29">
        <f>WEEKNUM(MIP[[#This Row],[Data]])</f>
        <v>42</v>
      </c>
      <c r="C685" s="45">
        <v>43024</v>
      </c>
      <c r="D685" s="45"/>
      <c r="E685" s="35" t="s">
        <v>3</v>
      </c>
      <c r="F685" s="35" t="s">
        <v>2</v>
      </c>
      <c r="G685" s="35"/>
      <c r="H685" s="44">
        <v>2</v>
      </c>
      <c r="I685" s="44">
        <v>4</v>
      </c>
      <c r="J685" s="44">
        <v>3</v>
      </c>
      <c r="K685" s="44">
        <v>1</v>
      </c>
      <c r="L685" s="44">
        <v>0</v>
      </c>
      <c r="M685" s="43">
        <v>0.62708333333333333</v>
      </c>
      <c r="N685" s="43">
        <v>0.69027777777777777</v>
      </c>
      <c r="O685" s="43">
        <v>1.0104166666666667</v>
      </c>
      <c r="P685" s="43">
        <v>1.0333333333333334</v>
      </c>
      <c r="Q685" s="39"/>
      <c r="R685" s="42" t="s">
        <v>100</v>
      </c>
      <c r="S685" s="29">
        <v>13</v>
      </c>
      <c r="T68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8.6111111111111138E-2</v>
      </c>
      <c r="U685" s="39">
        <f>IF(MIP[[#This Row],[P.S]]-MIP[[#This Row],[U.P]]&gt;=0,MIP[[#This Row],[P.S]]-MIP[[#This Row],[U.P]]+MIP[[#This Row],[S.B]]-MIP[[#This Row],[P.E]],1+MIP[[#This Row],[P.S]]-MIP[[#This Row],[U.P]]+MIP[[#This Row],[S.B]]-MIP[[#This Row],[P.E]])</f>
        <v>8.6111111111111138E-2</v>
      </c>
      <c r="V685" s="41">
        <f>MIP[[#This Row],[Eficiência]]</f>
        <v>1.0579920217572008</v>
      </c>
      <c r="W68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85" s="39">
        <f>IF(MIP[[#This Row],[P.S]]-MIP[[#This Row],[P.E]]&lt;0,1+MIP[[#This Row],[P.S]]-MIP[[#This Row],[P.E]]-1/24,MIP[[#This Row],[P.S]]-MIP[[#This Row],[P.E]]-1/24)</f>
        <v>0.36458333333333343</v>
      </c>
      <c r="Y685" s="39">
        <f>MIP[[#This Row],[PT-1]]*$S$3+MIP[[#This Row],[PT-2]]*$T$3+MIP[[#This Row],[PT-3]]*$U$3+MIP[[#This Row],[PT &gt; 3 Pontos]]*$V$3</f>
        <v>0.29462138939210947</v>
      </c>
      <c r="Z685" s="39">
        <f>MIP[[#This Row],[HH disponível]]-MIP[[#This Row],[HH AC TOT]]</f>
        <v>0.27847222222222229</v>
      </c>
      <c r="AA685" s="38">
        <f>MIP[[#This Row],[HH Produtivo
Total]]/MIP[[#This Row],[HH Trabalhado]]</f>
        <v>1.0579920217572008</v>
      </c>
      <c r="AB685" s="38">
        <f>MIP[[#This Row],[HH Produtivo
Total]]/MIP[[#This Row],[HH disponível]]</f>
        <v>0.80810438233264292</v>
      </c>
      <c r="AC685" s="38">
        <f>MIP[[#This Row],[HH Trabalhado]]/MIP[[#This Row],[HH disponível]]</f>
        <v>0.76380952380952383</v>
      </c>
      <c r="AD685" s="37" t="str">
        <f>LEFT(MIP[[#This Row],[Equipe]], SEARCH("/",MIP[[#This Row],[Equipe]],1)-1)</f>
        <v xml:space="preserve">EDILTON </v>
      </c>
      <c r="AE685" s="37" t="str">
        <f>RIGHT(MIP[[#This Row],[Equipe]], LEN(MIP[[#This Row],[Equipe]])-SEARCH("/",MIP[[#This Row],[Equipe]],1))</f>
        <v xml:space="preserve"> GECIVALDO</v>
      </c>
      <c r="AF685" s="44">
        <f>COUNTIFS('[1]Tempo parado'!H:H,"&gt;="&amp;MIP[[#This Row],[S.B Sitrack]],'[1]Tempo parado'!I:I,"&lt;="&amp;MIP[[#This Row],[C.B Sitrack]],'[1]Tempo parado'!B:B,MIP[[#This Row],[Placa]])</f>
        <v>0</v>
      </c>
      <c r="AG685" s="36"/>
      <c r="AH685" s="35"/>
      <c r="AI685" s="34"/>
      <c r="AJ685" s="34"/>
      <c r="AK68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8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85" s="32">
        <f>SUMIFS('[1]Tempo parado'!J:J,'[1]Tempo parado'!H:H,"&gt;="&amp;MIP[[#This Row],[S.B Sitrack]],'[1]Tempo parado'!I:I,"&lt;="&amp;MIP[[#This Row],[C.B Sitrack]],'[1]Tempo parado'!B:B,MIP[[#This Row],[Placa]])</f>
        <v>0</v>
      </c>
      <c r="AN685" s="32" t="str">
        <f>IFERROR(MIP[[#This Row],[Tempo parado]]/(MIP[[#This Row],[C.B Sitrack]]-MIP[[#This Row],[S.B Sitrack]]),"")</f>
        <v/>
      </c>
      <c r="AO685" s="30"/>
      <c r="AP685" s="44">
        <f>IF(AND(MIP[Exc]=0,MIP[Previsto / Realizado]="Realizado"),MIP[Sem],0)</f>
        <v>42</v>
      </c>
      <c r="AQ685" s="29">
        <f>IF(AND(MIP[Exc]=0,MIP[Previsto / Realizado]="Realizado",ISBLANK(MIP[[#This Row],[S.B Sitrack]])=FALSE,ISBLANK(MIP[[#This Row],[C.B Sitrack]])=FALSE),MIP[Sem],0)</f>
        <v>0</v>
      </c>
    </row>
    <row r="686" spans="2:43" x14ac:dyDescent="0.25">
      <c r="B686" s="29">
        <f>WEEKNUM(MIP[[#This Row],[Data]])</f>
        <v>42</v>
      </c>
      <c r="C686" s="45">
        <v>43028</v>
      </c>
      <c r="D686" s="45"/>
      <c r="E686" s="35" t="s">
        <v>3</v>
      </c>
      <c r="F686" s="35" t="s">
        <v>5</v>
      </c>
      <c r="G686" s="35"/>
      <c r="H686" s="44">
        <v>2</v>
      </c>
      <c r="I686" s="44">
        <v>2</v>
      </c>
      <c r="J686" s="44">
        <v>2</v>
      </c>
      <c r="K686" s="44">
        <v>1</v>
      </c>
      <c r="L686" s="44">
        <v>0</v>
      </c>
      <c r="M686" s="43">
        <v>0.625</v>
      </c>
      <c r="N686" s="43">
        <v>0.64583333333333337</v>
      </c>
      <c r="O686" s="43">
        <v>1.0125</v>
      </c>
      <c r="P686" s="43">
        <v>1.0333333333333334</v>
      </c>
      <c r="Q686" s="39"/>
      <c r="R686" s="42" t="s">
        <v>4</v>
      </c>
      <c r="S686" s="29">
        <v>9</v>
      </c>
      <c r="T68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686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686" s="41">
        <f>MIP[[#This Row],[Eficiência]]</f>
        <v>0.61741820729592489</v>
      </c>
      <c r="W68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86" s="39">
        <f>IF(MIP[[#This Row],[P.S]]-MIP[[#This Row],[P.E]]&lt;0,1+MIP[[#This Row],[P.S]]-MIP[[#This Row],[P.E]]-1/24,MIP[[#This Row],[P.S]]-MIP[[#This Row],[P.E]]-1/24)</f>
        <v>0.36666666666666675</v>
      </c>
      <c r="Y686" s="39">
        <f>MIP[[#This Row],[PT-1]]*$S$3+MIP[[#This Row],[PT-2]]*$T$3+MIP[[#This Row],[PT-3]]*$U$3+MIP[[#This Row],[PT &gt; 3 Pontos]]*$V$3</f>
        <v>0.20066091737117553</v>
      </c>
      <c r="Z686" s="39">
        <f>MIP[[#This Row],[HH disponível]]-MIP[[#This Row],[HH AC TOT]]</f>
        <v>0.3249999999999999</v>
      </c>
      <c r="AA686" s="38">
        <f>MIP[[#This Row],[HH Produtivo
Total]]/MIP[[#This Row],[HH Trabalhado]]</f>
        <v>0.61741820729592489</v>
      </c>
      <c r="AB686" s="38">
        <f>MIP[[#This Row],[HH Produtivo
Total]]/MIP[[#This Row],[HH disponível]]</f>
        <v>0.54725704737593317</v>
      </c>
      <c r="AC686" s="38">
        <f>MIP[[#This Row],[HH Trabalhado]]/MIP[[#This Row],[HH disponível]]</f>
        <v>0.88636363636363591</v>
      </c>
      <c r="AD686" s="37" t="str">
        <f>LEFT(MIP[[#This Row],[Equipe]], SEARCH("/",MIP[[#This Row],[Equipe]],1)-1)</f>
        <v xml:space="preserve">EDILTON </v>
      </c>
      <c r="AE686" s="37" t="str">
        <f>RIGHT(MIP[[#This Row],[Equipe]], LEN(MIP[[#This Row],[Equipe]])-SEARCH("/",MIP[[#This Row],[Equipe]],1))</f>
        <v xml:space="preserve"> GECIVALDO</v>
      </c>
      <c r="AF686" s="44">
        <f>COUNTIFS('[1]Tempo parado'!H:H,"&gt;="&amp;MIP[[#This Row],[S.B Sitrack]],'[1]Tempo parado'!I:I,"&lt;="&amp;MIP[[#This Row],[C.B Sitrack]],'[1]Tempo parado'!B:B,MIP[[#This Row],[Placa]])</f>
        <v>0</v>
      </c>
      <c r="AG686" s="36"/>
      <c r="AH686" s="35"/>
      <c r="AI686" s="34"/>
      <c r="AJ686" s="34"/>
      <c r="AK68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8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86" s="32">
        <f>SUMIFS('[1]Tempo parado'!J:J,'[1]Tempo parado'!H:H,"&gt;="&amp;MIP[[#This Row],[S.B Sitrack]],'[1]Tempo parado'!I:I,"&lt;="&amp;MIP[[#This Row],[C.B Sitrack]],'[1]Tempo parado'!B:B,MIP[[#This Row],[Placa]])</f>
        <v>0</v>
      </c>
      <c r="AN686" s="32" t="str">
        <f>IFERROR(MIP[[#This Row],[Tempo parado]]/(MIP[[#This Row],[C.B Sitrack]]-MIP[[#This Row],[S.B Sitrack]]),"")</f>
        <v/>
      </c>
      <c r="AO686" s="30"/>
      <c r="AP686" s="44">
        <f>IF(AND(MIP[Exc]=0,MIP[Previsto / Realizado]="Realizado"),MIP[Sem],0)</f>
        <v>0</v>
      </c>
      <c r="AQ686" s="29">
        <f>IF(AND(MIP[Exc]=0,MIP[Previsto / Realizado]="Realizado",ISBLANK(MIP[[#This Row],[S.B Sitrack]])=FALSE,ISBLANK(MIP[[#This Row],[C.B Sitrack]])=FALSE),MIP[Sem],0)</f>
        <v>0</v>
      </c>
    </row>
    <row r="687" spans="2:43" x14ac:dyDescent="0.25">
      <c r="B687" s="29">
        <f>WEEKNUM(MIP[[#This Row],[Data]])</f>
        <v>42</v>
      </c>
      <c r="C687" s="45">
        <v>43026</v>
      </c>
      <c r="D687" s="45"/>
      <c r="E687" s="35" t="s">
        <v>10</v>
      </c>
      <c r="F687" s="35" t="s">
        <v>2</v>
      </c>
      <c r="G687" s="35"/>
      <c r="H687" s="44">
        <v>2</v>
      </c>
      <c r="I687" s="44">
        <v>6</v>
      </c>
      <c r="J687" s="44">
        <v>1</v>
      </c>
      <c r="K687" s="44">
        <v>0</v>
      </c>
      <c r="L687" s="44">
        <v>0</v>
      </c>
      <c r="M687" s="43">
        <v>0.24652777777777779</v>
      </c>
      <c r="N687" s="43">
        <v>0.2673611111111111</v>
      </c>
      <c r="O687" s="43">
        <v>0.61805555555555558</v>
      </c>
      <c r="P687" s="43">
        <v>0.68125000000000002</v>
      </c>
      <c r="Q687" s="39"/>
      <c r="R687" s="42" t="s">
        <v>177</v>
      </c>
      <c r="S687" s="29">
        <v>8</v>
      </c>
      <c r="T68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8.4027777777777757E-2</v>
      </c>
      <c r="U687" s="39">
        <f>IF(MIP[[#This Row],[P.S]]-MIP[[#This Row],[U.P]]&gt;=0,MIP[[#This Row],[P.S]]-MIP[[#This Row],[U.P]]+MIP[[#This Row],[S.B]]-MIP[[#This Row],[P.E]],1+MIP[[#This Row],[P.S]]-MIP[[#This Row],[U.P]]+MIP[[#This Row],[S.B]]-MIP[[#This Row],[P.E]])</f>
        <v>8.4027777777777757E-2</v>
      </c>
      <c r="V687" s="41">
        <f>MIP[[#This Row],[Eficiência]]</f>
        <v>0.62798200618791689</v>
      </c>
      <c r="W68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87" s="39">
        <f>IF(MIP[[#This Row],[P.S]]-MIP[[#This Row],[P.E]]&lt;0,1+MIP[[#This Row],[P.S]]-MIP[[#This Row],[P.E]]-1/24,MIP[[#This Row],[P.S]]-MIP[[#This Row],[P.E]]-1/24)</f>
        <v>0.39305555555555555</v>
      </c>
      <c r="Y687" s="39">
        <f>MIP[[#This Row],[PT-1]]*$S$3+MIP[[#This Row],[PT-2]]*$T$3+MIP[[#This Row],[PT-3]]*$U$3+MIP[[#This Row],[PT &gt; 3 Pontos]]*$V$3</f>
        <v>0.19406388385668266</v>
      </c>
      <c r="Z687" s="39">
        <f>MIP[[#This Row],[HH disponível]]-MIP[[#This Row],[HH AC TOT]]</f>
        <v>0.30902777777777779</v>
      </c>
      <c r="AA687" s="38">
        <f>MIP[[#This Row],[HH Produtivo
Total]]/MIP[[#This Row],[HH Trabalhado]]</f>
        <v>0.62798200618791689</v>
      </c>
      <c r="AB687" s="38">
        <f>MIP[[#This Row],[HH Produtivo
Total]]/MIP[[#This Row],[HH disponível]]</f>
        <v>0.49373143596046476</v>
      </c>
      <c r="AC687" s="38">
        <f>MIP[[#This Row],[HH Trabalhado]]/MIP[[#This Row],[HH disponível]]</f>
        <v>0.78621908127208484</v>
      </c>
      <c r="AD687" s="37" t="str">
        <f>LEFT(MIP[[#This Row],[Equipe]], SEARCH("/",MIP[[#This Row],[Equipe]],1)-1)</f>
        <v xml:space="preserve">JOILSON </v>
      </c>
      <c r="AE687" s="37" t="str">
        <f>RIGHT(MIP[[#This Row],[Equipe]], LEN(MIP[[#This Row],[Equipe]])-SEARCH("/",MIP[[#This Row],[Equipe]],1))</f>
        <v xml:space="preserve"> VALDEI</v>
      </c>
      <c r="AF687" s="44">
        <f>COUNTIFS('[1]Tempo parado'!H:H,"&gt;="&amp;MIP[[#This Row],[S.B Sitrack]],'[1]Tempo parado'!I:I,"&lt;="&amp;MIP[[#This Row],[C.B Sitrack]],'[1]Tempo parado'!B:B,MIP[[#This Row],[Placa]])</f>
        <v>0</v>
      </c>
      <c r="AG687" s="36"/>
      <c r="AH687" s="35"/>
      <c r="AI687" s="34"/>
      <c r="AJ687" s="34"/>
      <c r="AK68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8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87" s="32">
        <f>SUMIFS('[1]Tempo parado'!J:J,'[1]Tempo parado'!H:H,"&gt;="&amp;MIP[[#This Row],[S.B Sitrack]],'[1]Tempo parado'!I:I,"&lt;="&amp;MIP[[#This Row],[C.B Sitrack]],'[1]Tempo parado'!B:B,MIP[[#This Row],[Placa]])</f>
        <v>0</v>
      </c>
      <c r="AN687" s="32" t="str">
        <f>IFERROR(MIP[[#This Row],[Tempo parado]]/(MIP[[#This Row],[C.B Sitrack]]-MIP[[#This Row],[S.B Sitrack]]),"")</f>
        <v/>
      </c>
      <c r="AO687" s="30"/>
      <c r="AP687" s="44">
        <f>IF(AND(MIP[Exc]=0,MIP[Previsto / Realizado]="Realizado"),MIP[Sem],0)</f>
        <v>42</v>
      </c>
      <c r="AQ687" s="29">
        <f>IF(AND(MIP[Exc]=0,MIP[Previsto / Realizado]="Realizado",ISBLANK(MIP[[#This Row],[S.B Sitrack]])=FALSE,ISBLANK(MIP[[#This Row],[C.B Sitrack]])=FALSE),MIP[Sem],0)</f>
        <v>0</v>
      </c>
    </row>
    <row r="688" spans="2:43" x14ac:dyDescent="0.25">
      <c r="B688" s="29">
        <f>WEEKNUM(MIP[[#This Row],[Data]])</f>
        <v>42</v>
      </c>
      <c r="C688" s="45">
        <v>43028</v>
      </c>
      <c r="D688" s="45"/>
      <c r="E688" s="35" t="s">
        <v>19</v>
      </c>
      <c r="F688" s="35" t="s">
        <v>5</v>
      </c>
      <c r="G688" s="35"/>
      <c r="H688" s="44">
        <v>2</v>
      </c>
      <c r="I688" s="44">
        <v>0</v>
      </c>
      <c r="J688" s="44">
        <v>0</v>
      </c>
      <c r="K688" s="44">
        <v>0</v>
      </c>
      <c r="L688" s="44">
        <v>5</v>
      </c>
      <c r="M688" s="43">
        <v>0.625</v>
      </c>
      <c r="N688" s="43">
        <v>0.64583333333333337</v>
      </c>
      <c r="O688" s="43">
        <v>1.0125</v>
      </c>
      <c r="P688" s="43">
        <v>1.0333333333333334</v>
      </c>
      <c r="Q688" s="39"/>
      <c r="R688" s="42" t="s">
        <v>176</v>
      </c>
      <c r="S688" s="29">
        <v>5</v>
      </c>
      <c r="T68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688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688" s="41">
        <f>MIP[[#This Row],[Eficiência]]</f>
        <v>0.31150785970381406</v>
      </c>
      <c r="W68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88" s="39">
        <f>IF(MIP[[#This Row],[P.S]]-MIP[[#This Row],[P.E]]&lt;0,1+MIP[[#This Row],[P.S]]-MIP[[#This Row],[P.E]]-1/24,MIP[[#This Row],[P.S]]-MIP[[#This Row],[P.E]]-1/24)</f>
        <v>0.36666666666666675</v>
      </c>
      <c r="Y688" s="39">
        <f>MIP[[#This Row],[PT-1]]*$S$3+MIP[[#This Row],[PT-2]]*$T$3+MIP[[#This Row],[PT-3]]*$U$3+MIP[[#This Row],[PT &gt; 3 Pontos]]*$V$3</f>
        <v>0.10124005440373954</v>
      </c>
      <c r="Z688" s="39">
        <f>MIP[[#This Row],[HH disponível]]-MIP[[#This Row],[HH AC TOT]]</f>
        <v>0.3249999999999999</v>
      </c>
      <c r="AA688" s="38">
        <f>MIP[[#This Row],[HH Produtivo
Total]]/MIP[[#This Row],[HH Trabalhado]]</f>
        <v>0.31150785970381406</v>
      </c>
      <c r="AB688" s="38">
        <f>MIP[[#This Row],[HH Produtivo
Total]]/MIP[[#This Row],[HH disponível]]</f>
        <v>0.27610923928292597</v>
      </c>
      <c r="AC688" s="38">
        <f>MIP[[#This Row],[HH Trabalhado]]/MIP[[#This Row],[HH disponível]]</f>
        <v>0.88636363636363591</v>
      </c>
      <c r="AD688" s="37" t="str">
        <f>LEFT(MIP[[#This Row],[Equipe]], SEARCH("/",MIP[[#This Row],[Equipe]],1)-1)</f>
        <v xml:space="preserve">ADEMÁRIO </v>
      </c>
      <c r="AE688" s="37" t="str">
        <f>RIGHT(MIP[[#This Row],[Equipe]], LEN(MIP[[#This Row],[Equipe]])-SEARCH("/",MIP[[#This Row],[Equipe]],1))</f>
        <v xml:space="preserve"> RONALDO</v>
      </c>
      <c r="AF688" s="44">
        <f>COUNTIFS('[1]Tempo parado'!H:H,"&gt;="&amp;MIP[[#This Row],[S.B Sitrack]],'[1]Tempo parado'!I:I,"&lt;="&amp;MIP[[#This Row],[C.B Sitrack]],'[1]Tempo parado'!B:B,MIP[[#This Row],[Placa]])</f>
        <v>0</v>
      </c>
      <c r="AG688" s="36"/>
      <c r="AH688" s="35"/>
      <c r="AI688" s="34"/>
      <c r="AJ688" s="34"/>
      <c r="AK68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8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88" s="32">
        <f>SUMIFS('[1]Tempo parado'!J:J,'[1]Tempo parado'!H:H,"&gt;="&amp;MIP[[#This Row],[S.B Sitrack]],'[1]Tempo parado'!I:I,"&lt;="&amp;MIP[[#This Row],[C.B Sitrack]],'[1]Tempo parado'!B:B,MIP[[#This Row],[Placa]])</f>
        <v>0</v>
      </c>
      <c r="AN688" s="32" t="str">
        <f>IFERROR(MIP[[#This Row],[Tempo parado]]/(MIP[[#This Row],[C.B Sitrack]]-MIP[[#This Row],[S.B Sitrack]]),"")</f>
        <v/>
      </c>
      <c r="AO688" s="30"/>
      <c r="AP688" s="44">
        <f>IF(AND(MIP[Exc]=0,MIP[Previsto / Realizado]="Realizado"),MIP[Sem],0)</f>
        <v>0</v>
      </c>
      <c r="AQ688" s="29">
        <f>IF(AND(MIP[Exc]=0,MIP[Previsto / Realizado]="Realizado",ISBLANK(MIP[[#This Row],[S.B Sitrack]])=FALSE,ISBLANK(MIP[[#This Row],[C.B Sitrack]])=FALSE),MIP[Sem],0)</f>
        <v>0</v>
      </c>
    </row>
    <row r="689" spans="2:43" x14ac:dyDescent="0.25">
      <c r="B689" s="29">
        <f>WEEKNUM(MIP[[#This Row],[Data]])</f>
        <v>42</v>
      </c>
      <c r="C689" s="45">
        <v>43023</v>
      </c>
      <c r="D689" s="45"/>
      <c r="E689" s="35" t="s">
        <v>10</v>
      </c>
      <c r="F689" s="35" t="s">
        <v>2</v>
      </c>
      <c r="G689" s="35"/>
      <c r="H689" s="44">
        <v>2</v>
      </c>
      <c r="I689" s="44">
        <v>4</v>
      </c>
      <c r="J689" s="44">
        <v>2</v>
      </c>
      <c r="K689" s="44">
        <v>1</v>
      </c>
      <c r="L689" s="44">
        <v>0</v>
      </c>
      <c r="M689" s="43">
        <v>0.24305555555555555</v>
      </c>
      <c r="N689" s="43">
        <v>0.2638888888888889</v>
      </c>
      <c r="O689" s="43">
        <v>0.59722222222222221</v>
      </c>
      <c r="P689" s="43">
        <v>0.65833333333333333</v>
      </c>
      <c r="Q689" s="39">
        <v>5.9027777777777783E-2</v>
      </c>
      <c r="R689" s="42" t="s">
        <v>175</v>
      </c>
      <c r="S689" s="29">
        <v>11</v>
      </c>
      <c r="T68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0.14097222222222225</v>
      </c>
      <c r="U689" s="39">
        <f>IF(MIP[[#This Row],[P.S]]-MIP[[#This Row],[U.P]]&gt;=0,MIP[[#This Row],[P.S]]-MIP[[#This Row],[U.P]]+MIP[[#This Row],[S.B]]-MIP[[#This Row],[P.E]],1+MIP[[#This Row],[P.S]]-MIP[[#This Row],[U.P]]+MIP[[#This Row],[S.B]]-MIP[[#This Row],[P.E]])</f>
        <v>8.1944444444444459E-2</v>
      </c>
      <c r="V689" s="41">
        <f>MIP[[#This Row],[Eficiência]]</f>
        <v>1.0776900821977071</v>
      </c>
      <c r="W68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89" s="39">
        <f>IF(MIP[[#This Row],[P.S]]-MIP[[#This Row],[P.E]]&lt;0,1+MIP[[#This Row],[P.S]]-MIP[[#This Row],[P.E]]-1/24,MIP[[#This Row],[P.S]]-MIP[[#This Row],[P.E]]-1/24)</f>
        <v>0.37361111111111106</v>
      </c>
      <c r="Y689" s="39">
        <f>MIP[[#This Row],[PT-1]]*$S$3+MIP[[#This Row],[PT-2]]*$T$3+MIP[[#This Row],[PT-3]]*$U$3+MIP[[#This Row],[PT &gt; 3 Pontos]]*$V$3</f>
        <v>0.25071262328904986</v>
      </c>
      <c r="Z689" s="39">
        <f>MIP[[#This Row],[HH disponível]]-MIP[[#This Row],[HH AC TOT]]</f>
        <v>0.23263888888888881</v>
      </c>
      <c r="AA689" s="38">
        <f>MIP[[#This Row],[HH Produtivo
Total]]/MIP[[#This Row],[HH Trabalhado]]</f>
        <v>1.0776900821977071</v>
      </c>
      <c r="AB689" s="38">
        <f>MIP[[#This Row],[HH Produtivo
Total]]/MIP[[#This Row],[HH disponível]]</f>
        <v>0.67105237460266143</v>
      </c>
      <c r="AC689" s="38">
        <f>MIP[[#This Row],[HH Trabalhado]]/MIP[[#This Row],[HH disponível]]</f>
        <v>0.6226765799256504</v>
      </c>
      <c r="AD689" s="37" t="str">
        <f>LEFT(MIP[[#This Row],[Equipe]], SEARCH("/",MIP[[#This Row],[Equipe]],1)-1)</f>
        <v xml:space="preserve">JOILSON </v>
      </c>
      <c r="AE689" s="37" t="str">
        <f>RIGHT(MIP[[#This Row],[Equipe]], LEN(MIP[[#This Row],[Equipe]])-SEARCH("/",MIP[[#This Row],[Equipe]],1))</f>
        <v xml:space="preserve"> VALDEI</v>
      </c>
      <c r="AF689" s="44">
        <f>COUNTIFS('[1]Tempo parado'!H:H,"&gt;="&amp;MIP[[#This Row],[S.B Sitrack]],'[1]Tempo parado'!I:I,"&lt;="&amp;MIP[[#This Row],[C.B Sitrack]],'[1]Tempo parado'!B:B,MIP[[#This Row],[Placa]])</f>
        <v>0</v>
      </c>
      <c r="AG689" s="36"/>
      <c r="AH689" s="35"/>
      <c r="AI689" s="34"/>
      <c r="AJ689" s="34"/>
      <c r="AK68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8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89" s="32">
        <f>SUMIFS('[1]Tempo parado'!J:J,'[1]Tempo parado'!H:H,"&gt;="&amp;MIP[[#This Row],[S.B Sitrack]],'[1]Tempo parado'!I:I,"&lt;="&amp;MIP[[#This Row],[C.B Sitrack]],'[1]Tempo parado'!B:B,MIP[[#This Row],[Placa]])</f>
        <v>0</v>
      </c>
      <c r="AN689" s="32" t="str">
        <f>IFERROR(MIP[[#This Row],[Tempo parado]]/(MIP[[#This Row],[C.B Sitrack]]-MIP[[#This Row],[S.B Sitrack]]),"")</f>
        <v/>
      </c>
      <c r="AO689" s="30"/>
      <c r="AP689" s="44">
        <f>IF(AND(MIP[Exc]=0,MIP[Previsto / Realizado]="Realizado"),MIP[Sem],0)</f>
        <v>42</v>
      </c>
      <c r="AQ689" s="29">
        <f>IF(AND(MIP[Exc]=0,MIP[Previsto / Realizado]="Realizado",ISBLANK(MIP[[#This Row],[S.B Sitrack]])=FALSE,ISBLANK(MIP[[#This Row],[C.B Sitrack]])=FALSE),MIP[Sem],0)</f>
        <v>0</v>
      </c>
    </row>
    <row r="690" spans="2:43" x14ac:dyDescent="0.25">
      <c r="B690" s="29">
        <f>WEEKNUM(MIP[[#This Row],[Data]])</f>
        <v>42</v>
      </c>
      <c r="C690" s="45">
        <v>43029</v>
      </c>
      <c r="D690" s="45"/>
      <c r="E690" s="35" t="s">
        <v>3</v>
      </c>
      <c r="F690" s="35" t="s">
        <v>5</v>
      </c>
      <c r="G690" s="35"/>
      <c r="H690" s="44">
        <v>2</v>
      </c>
      <c r="I690" s="44">
        <v>0</v>
      </c>
      <c r="J690" s="44">
        <v>0</v>
      </c>
      <c r="K690" s="44">
        <v>0</v>
      </c>
      <c r="L690" s="44">
        <v>0</v>
      </c>
      <c r="M690" s="43">
        <v>0.625</v>
      </c>
      <c r="N690" s="43">
        <v>0.64583333333333337</v>
      </c>
      <c r="O690" s="43">
        <v>1.0125</v>
      </c>
      <c r="P690" s="43">
        <v>1.0333333333333334</v>
      </c>
      <c r="Q690" s="39"/>
      <c r="R690" s="42" t="s">
        <v>4</v>
      </c>
      <c r="S690" s="29">
        <v>0</v>
      </c>
      <c r="T69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690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690" s="41">
        <f>MIP[[#This Row],[Eficiência]]</f>
        <v>0</v>
      </c>
      <c r="W69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90" s="39">
        <f>IF(MIP[[#This Row],[P.S]]-MIP[[#This Row],[P.E]]&lt;0,1+MIP[[#This Row],[P.S]]-MIP[[#This Row],[P.E]]-1/24,MIP[[#This Row],[P.S]]-MIP[[#This Row],[P.E]]-1/24)</f>
        <v>0.36666666666666675</v>
      </c>
      <c r="Y690" s="39">
        <f>MIP[[#This Row],[PT-1]]*$S$3+MIP[[#This Row],[PT-2]]*$T$3+MIP[[#This Row],[PT-3]]*$U$3+MIP[[#This Row],[PT &gt; 3 Pontos]]*$V$3</f>
        <v>0</v>
      </c>
      <c r="Z690" s="39">
        <f>MIP[[#This Row],[HH disponível]]-MIP[[#This Row],[HH AC TOT]]</f>
        <v>0.3249999999999999</v>
      </c>
      <c r="AA690" s="38">
        <f>MIP[[#This Row],[HH Produtivo
Total]]/MIP[[#This Row],[HH Trabalhado]]</f>
        <v>0</v>
      </c>
      <c r="AB690" s="38">
        <f>MIP[[#This Row],[HH Produtivo
Total]]/MIP[[#This Row],[HH disponível]]</f>
        <v>0</v>
      </c>
      <c r="AC690" s="38">
        <f>MIP[[#This Row],[HH Trabalhado]]/MIP[[#This Row],[HH disponível]]</f>
        <v>0.88636363636363591</v>
      </c>
      <c r="AD690" s="37" t="str">
        <f>LEFT(MIP[[#This Row],[Equipe]], SEARCH("/",MIP[[#This Row],[Equipe]],1)-1)</f>
        <v xml:space="preserve">EDILTON </v>
      </c>
      <c r="AE690" s="37" t="str">
        <f>RIGHT(MIP[[#This Row],[Equipe]], LEN(MIP[[#This Row],[Equipe]])-SEARCH("/",MIP[[#This Row],[Equipe]],1))</f>
        <v xml:space="preserve"> GECIVALDO</v>
      </c>
      <c r="AF690" s="44">
        <f>COUNTIFS('[1]Tempo parado'!H:H,"&gt;="&amp;MIP[[#This Row],[S.B Sitrack]],'[1]Tempo parado'!I:I,"&lt;="&amp;MIP[[#This Row],[C.B Sitrack]],'[1]Tempo parado'!B:B,MIP[[#This Row],[Placa]])</f>
        <v>0</v>
      </c>
      <c r="AG690" s="36"/>
      <c r="AH690" s="35"/>
      <c r="AI690" s="34"/>
      <c r="AJ690" s="34"/>
      <c r="AK69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9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90" s="32">
        <f>SUMIFS('[1]Tempo parado'!J:J,'[1]Tempo parado'!H:H,"&gt;="&amp;MIP[[#This Row],[S.B Sitrack]],'[1]Tempo parado'!I:I,"&lt;="&amp;MIP[[#This Row],[C.B Sitrack]],'[1]Tempo parado'!B:B,MIP[[#This Row],[Placa]])</f>
        <v>0</v>
      </c>
      <c r="AN690" s="32" t="str">
        <f>IFERROR(MIP[[#This Row],[Tempo parado]]/(MIP[[#This Row],[C.B Sitrack]]-MIP[[#This Row],[S.B Sitrack]]),"")</f>
        <v/>
      </c>
      <c r="AO690" s="30"/>
      <c r="AP690" s="44">
        <f>IF(AND(MIP[Exc]=0,MIP[Previsto / Realizado]="Realizado"),MIP[Sem],0)</f>
        <v>0</v>
      </c>
      <c r="AQ690" s="29">
        <f>IF(AND(MIP[Exc]=0,MIP[Previsto / Realizado]="Realizado",ISBLANK(MIP[[#This Row],[S.B Sitrack]])=FALSE,ISBLANK(MIP[[#This Row],[C.B Sitrack]])=FALSE),MIP[Sem],0)</f>
        <v>0</v>
      </c>
    </row>
    <row r="691" spans="2:43" x14ac:dyDescent="0.25">
      <c r="B691" s="29">
        <f>WEEKNUM(MIP[[#This Row],[Data]])</f>
        <v>42</v>
      </c>
      <c r="C691" s="45">
        <v>43029</v>
      </c>
      <c r="D691" s="45"/>
      <c r="E691" s="35" t="s">
        <v>3</v>
      </c>
      <c r="F691" s="35" t="s">
        <v>2</v>
      </c>
      <c r="G691" s="35"/>
      <c r="H691" s="44">
        <v>2</v>
      </c>
      <c r="I691" s="44">
        <v>7</v>
      </c>
      <c r="J691" s="44">
        <v>1</v>
      </c>
      <c r="K691" s="44">
        <v>1</v>
      </c>
      <c r="L691" s="44">
        <v>0</v>
      </c>
      <c r="M691" s="43">
        <v>0.62777777777777777</v>
      </c>
      <c r="N691" s="43">
        <v>0.65138888888888891</v>
      </c>
      <c r="O691" s="43">
        <v>0.97916666666666663</v>
      </c>
      <c r="P691" s="43">
        <v>1.0361111111111112</v>
      </c>
      <c r="Q691" s="39"/>
      <c r="R691" s="42" t="s">
        <v>21</v>
      </c>
      <c r="S691" s="29">
        <v>12</v>
      </c>
      <c r="T69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8.0555555555555713E-2</v>
      </c>
      <c r="U691" s="39">
        <f>IF(MIP[[#This Row],[P.S]]-MIP[[#This Row],[U.P]]&gt;=0,MIP[[#This Row],[P.S]]-MIP[[#This Row],[U.P]]+MIP[[#This Row],[S.B]]-MIP[[#This Row],[P.E]],1+MIP[[#This Row],[P.S]]-MIP[[#This Row],[U.P]]+MIP[[#This Row],[S.B]]-MIP[[#This Row],[P.E]])</f>
        <v>8.0555555555555713E-2</v>
      </c>
      <c r="V691" s="41">
        <f>MIP[[#This Row],[Eficiência]]</f>
        <v>0.98521659983115217</v>
      </c>
      <c r="W69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91" s="39">
        <f>IF(MIP[[#This Row],[P.S]]-MIP[[#This Row],[P.E]]&lt;0,1+MIP[[#This Row],[P.S]]-MIP[[#This Row],[P.E]]-1/24,MIP[[#This Row],[P.S]]-MIP[[#This Row],[P.E]]-1/24)</f>
        <v>0.36666666666666675</v>
      </c>
      <c r="Y691" s="39">
        <f>MIP[[#This Row],[PT-1]]*$S$3+MIP[[#This Row],[PT-2]]*$T$3+MIP[[#This Row],[PT-3]]*$U$3+MIP[[#This Row],[PT &gt; 3 Pontos]]*$V$3</f>
        <v>0.28188141606280182</v>
      </c>
      <c r="Z691" s="39">
        <f>MIP[[#This Row],[HH disponível]]-MIP[[#This Row],[HH AC TOT]]</f>
        <v>0.28611111111111104</v>
      </c>
      <c r="AA691" s="38">
        <f>MIP[[#This Row],[HH Produtivo
Total]]/MIP[[#This Row],[HH Trabalhado]]</f>
        <v>0.98521659983115217</v>
      </c>
      <c r="AB691" s="38">
        <f>MIP[[#This Row],[HH Produtivo
Total]]/MIP[[#This Row],[HH disponível]]</f>
        <v>0.76876749835309566</v>
      </c>
      <c r="AC691" s="38">
        <f>MIP[[#This Row],[HH Trabalhado]]/MIP[[#This Row],[HH disponível]]</f>
        <v>0.78030303030302994</v>
      </c>
      <c r="AD691" s="37" t="str">
        <f>LEFT(MIP[[#This Row],[Equipe]], SEARCH("/",MIP[[#This Row],[Equipe]],1)-1)</f>
        <v xml:space="preserve">EDILTON </v>
      </c>
      <c r="AE691" s="37" t="str">
        <f>RIGHT(MIP[[#This Row],[Equipe]], LEN(MIP[[#This Row],[Equipe]])-SEARCH("/",MIP[[#This Row],[Equipe]],1))</f>
        <v xml:space="preserve"> GECIVALDO</v>
      </c>
      <c r="AF691" s="44">
        <f>COUNTIFS('[1]Tempo parado'!H:H,"&gt;="&amp;MIP[[#This Row],[S.B Sitrack]],'[1]Tempo parado'!I:I,"&lt;="&amp;MIP[[#This Row],[C.B Sitrack]],'[1]Tempo parado'!B:B,MIP[[#This Row],[Placa]])</f>
        <v>0</v>
      </c>
      <c r="AG691" s="36"/>
      <c r="AH691" s="35"/>
      <c r="AI691" s="34"/>
      <c r="AJ691" s="34"/>
      <c r="AK69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9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91" s="32">
        <f>SUMIFS('[1]Tempo parado'!J:J,'[1]Tempo parado'!H:H,"&gt;="&amp;MIP[[#This Row],[S.B Sitrack]],'[1]Tempo parado'!I:I,"&lt;="&amp;MIP[[#This Row],[C.B Sitrack]],'[1]Tempo parado'!B:B,MIP[[#This Row],[Placa]])</f>
        <v>0</v>
      </c>
      <c r="AN691" s="32" t="str">
        <f>IFERROR(MIP[[#This Row],[Tempo parado]]/(MIP[[#This Row],[C.B Sitrack]]-MIP[[#This Row],[S.B Sitrack]]),"")</f>
        <v/>
      </c>
      <c r="AO691" s="30"/>
      <c r="AP691" s="44">
        <f>IF(AND(MIP[Exc]=0,MIP[Previsto / Realizado]="Realizado"),MIP[Sem],0)</f>
        <v>42</v>
      </c>
      <c r="AQ691" s="29">
        <f>IF(AND(MIP[Exc]=0,MIP[Previsto / Realizado]="Realizado",ISBLANK(MIP[[#This Row],[S.B Sitrack]])=FALSE,ISBLANK(MIP[[#This Row],[C.B Sitrack]])=FALSE),MIP[Sem],0)</f>
        <v>0</v>
      </c>
    </row>
    <row r="692" spans="2:43" x14ac:dyDescent="0.25">
      <c r="B692" s="29">
        <f>WEEKNUM(MIP[[#This Row],[Data]])</f>
        <v>42</v>
      </c>
      <c r="C692" s="45">
        <v>43029</v>
      </c>
      <c r="D692" s="45"/>
      <c r="E692" s="35" t="s">
        <v>7</v>
      </c>
      <c r="F692" s="35" t="s">
        <v>5</v>
      </c>
      <c r="G692" s="35"/>
      <c r="H692" s="44">
        <v>2</v>
      </c>
      <c r="I692" s="44">
        <v>0</v>
      </c>
      <c r="J692" s="44">
        <v>0</v>
      </c>
      <c r="K692" s="44">
        <v>0</v>
      </c>
      <c r="L692" s="44">
        <v>0</v>
      </c>
      <c r="M692" s="43">
        <v>0.625</v>
      </c>
      <c r="N692" s="43">
        <v>0.64583333333333337</v>
      </c>
      <c r="O692" s="43">
        <v>1.0125</v>
      </c>
      <c r="P692" s="43">
        <v>1.0333333333333334</v>
      </c>
      <c r="Q692" s="39"/>
      <c r="R692" s="42" t="s">
        <v>174</v>
      </c>
      <c r="S692" s="29">
        <v>0</v>
      </c>
      <c r="T69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692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692" s="41">
        <f>MIP[[#This Row],[Eficiência]]</f>
        <v>0</v>
      </c>
      <c r="W69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92" s="39">
        <f>IF(MIP[[#This Row],[P.S]]-MIP[[#This Row],[P.E]]&lt;0,1+MIP[[#This Row],[P.S]]-MIP[[#This Row],[P.E]]-1/24,MIP[[#This Row],[P.S]]-MIP[[#This Row],[P.E]]-1/24)</f>
        <v>0.36666666666666675</v>
      </c>
      <c r="Y692" s="39">
        <f>MIP[[#This Row],[PT-1]]*$S$3+MIP[[#This Row],[PT-2]]*$T$3+MIP[[#This Row],[PT-3]]*$U$3+MIP[[#This Row],[PT &gt; 3 Pontos]]*$V$3</f>
        <v>0</v>
      </c>
      <c r="Z692" s="39">
        <f>MIP[[#This Row],[HH disponível]]-MIP[[#This Row],[HH AC TOT]]</f>
        <v>0.3249999999999999</v>
      </c>
      <c r="AA692" s="38">
        <f>MIP[[#This Row],[HH Produtivo
Total]]/MIP[[#This Row],[HH Trabalhado]]</f>
        <v>0</v>
      </c>
      <c r="AB692" s="38">
        <f>MIP[[#This Row],[HH Produtivo
Total]]/MIP[[#This Row],[HH disponível]]</f>
        <v>0</v>
      </c>
      <c r="AC692" s="38">
        <f>MIP[[#This Row],[HH Trabalhado]]/MIP[[#This Row],[HH disponível]]</f>
        <v>0.88636363636363591</v>
      </c>
      <c r="AD692" s="37" t="str">
        <f>LEFT(MIP[[#This Row],[Equipe]], SEARCH("/",MIP[[#This Row],[Equipe]],1)-1)</f>
        <v xml:space="preserve">ANDERSON </v>
      </c>
      <c r="AE692" s="37" t="str">
        <f>RIGHT(MIP[[#This Row],[Equipe]], LEN(MIP[[#This Row],[Equipe]])-SEARCH("/",MIP[[#This Row],[Equipe]],1))</f>
        <v xml:space="preserve"> MARCO</v>
      </c>
      <c r="AF692" s="44">
        <f>COUNTIFS('[1]Tempo parado'!H:H,"&gt;="&amp;MIP[[#This Row],[S.B Sitrack]],'[1]Tempo parado'!I:I,"&lt;="&amp;MIP[[#This Row],[C.B Sitrack]],'[1]Tempo parado'!B:B,MIP[[#This Row],[Placa]])</f>
        <v>0</v>
      </c>
      <c r="AG692" s="36"/>
      <c r="AH692" s="35"/>
      <c r="AI692" s="34"/>
      <c r="AJ692" s="34"/>
      <c r="AK69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9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92" s="32">
        <f>SUMIFS('[1]Tempo parado'!J:J,'[1]Tempo parado'!H:H,"&gt;="&amp;MIP[[#This Row],[S.B Sitrack]],'[1]Tempo parado'!I:I,"&lt;="&amp;MIP[[#This Row],[C.B Sitrack]],'[1]Tempo parado'!B:B,MIP[[#This Row],[Placa]])</f>
        <v>0</v>
      </c>
      <c r="AN692" s="32" t="str">
        <f>IFERROR(MIP[[#This Row],[Tempo parado]]/(MIP[[#This Row],[C.B Sitrack]]-MIP[[#This Row],[S.B Sitrack]]),"")</f>
        <v/>
      </c>
      <c r="AO692" s="30"/>
      <c r="AP692" s="44">
        <f>IF(AND(MIP[Exc]=0,MIP[Previsto / Realizado]="Realizado"),MIP[Sem],0)</f>
        <v>0</v>
      </c>
      <c r="AQ692" s="29">
        <f>IF(AND(MIP[Exc]=0,MIP[Previsto / Realizado]="Realizado",ISBLANK(MIP[[#This Row],[S.B Sitrack]])=FALSE,ISBLANK(MIP[[#This Row],[C.B Sitrack]])=FALSE),MIP[Sem],0)</f>
        <v>0</v>
      </c>
    </row>
    <row r="693" spans="2:43" x14ac:dyDescent="0.25">
      <c r="B693" s="29">
        <f>WEEKNUM(MIP[[#This Row],[Data]])</f>
        <v>42</v>
      </c>
      <c r="C693" s="45">
        <v>43029</v>
      </c>
      <c r="D693" s="45"/>
      <c r="E693" s="35" t="s">
        <v>7</v>
      </c>
      <c r="F693" s="35" t="s">
        <v>2</v>
      </c>
      <c r="G693" s="35"/>
      <c r="H693" s="44">
        <v>2</v>
      </c>
      <c r="I693" s="44">
        <v>10</v>
      </c>
      <c r="J693" s="44">
        <v>1</v>
      </c>
      <c r="K693" s="44">
        <v>0</v>
      </c>
      <c r="L693" s="44">
        <v>0</v>
      </c>
      <c r="M693" s="43">
        <v>0.62986111111111109</v>
      </c>
      <c r="N693" s="43">
        <v>0.65277777777777779</v>
      </c>
      <c r="O693" s="43">
        <v>1.0138888888888888</v>
      </c>
      <c r="P693" s="43">
        <v>1.0333333333333334</v>
      </c>
      <c r="Q693" s="39">
        <v>3.125E-2</v>
      </c>
      <c r="R693" s="42" t="s">
        <v>173</v>
      </c>
      <c r="S693" s="29">
        <v>12</v>
      </c>
      <c r="T69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7.3611111111111294E-2</v>
      </c>
      <c r="U693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4.2361111111111294E-2</v>
      </c>
      <c r="V693" s="41">
        <f>MIP[[#This Row],[Eficiência]]</f>
        <v>1.0207250742098828</v>
      </c>
      <c r="W69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93" s="39">
        <f>IF(MIP[[#This Row],[P.S]]-MIP[[#This Row],[P.E]]&lt;0,1+MIP[[#This Row],[P.S]]-MIP[[#This Row],[P.E]]-1/24,MIP[[#This Row],[P.S]]-MIP[[#This Row],[P.E]]-1/24)</f>
        <v>0.36180555555555566</v>
      </c>
      <c r="Y693" s="39">
        <f>MIP[[#This Row],[PT-1]]*$S$3+MIP[[#This Row],[PT-2]]*$T$3+MIP[[#This Row],[PT-3]]*$U$3+MIP[[#This Row],[PT &gt; 3 Pontos]]*$V$3</f>
        <v>0.29416729569243139</v>
      </c>
      <c r="Z693" s="39">
        <f>MIP[[#This Row],[HH disponível]]-MIP[[#This Row],[HH AC TOT]]</f>
        <v>0.28819444444444436</v>
      </c>
      <c r="AA693" s="38">
        <f>MIP[[#This Row],[HH Produtivo
Total]]/MIP[[#This Row],[HH Trabalhado]]</f>
        <v>1.0207250742098828</v>
      </c>
      <c r="AB693" s="38">
        <f>MIP[[#This Row],[HH Produtivo
Total]]/MIP[[#This Row],[HH disponível]]</f>
        <v>0.81305356199059708</v>
      </c>
      <c r="AC693" s="38">
        <f>MIP[[#This Row],[HH Trabalhado]]/MIP[[#This Row],[HH disponível]]</f>
        <v>0.79654510556621838</v>
      </c>
      <c r="AD693" s="37" t="str">
        <f>LEFT(MIP[[#This Row],[Equipe]], SEARCH("/",MIP[[#This Row],[Equipe]],1)-1)</f>
        <v xml:space="preserve">ANDERSON </v>
      </c>
      <c r="AE693" s="37" t="str">
        <f>RIGHT(MIP[[#This Row],[Equipe]], LEN(MIP[[#This Row],[Equipe]])-SEARCH("/",MIP[[#This Row],[Equipe]],1))</f>
        <v xml:space="preserve"> MARCO</v>
      </c>
      <c r="AF693" s="44">
        <f>COUNTIFS('[1]Tempo parado'!H:H,"&gt;="&amp;MIP[[#This Row],[S.B Sitrack]],'[1]Tempo parado'!I:I,"&lt;="&amp;MIP[[#This Row],[C.B Sitrack]],'[1]Tempo parado'!B:B,MIP[[#This Row],[Placa]])</f>
        <v>0</v>
      </c>
      <c r="AG693" s="36"/>
      <c r="AH693" s="35"/>
      <c r="AI693" s="34"/>
      <c r="AJ693" s="34"/>
      <c r="AK69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9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93" s="32">
        <f>SUMIFS('[1]Tempo parado'!J:J,'[1]Tempo parado'!H:H,"&gt;="&amp;MIP[[#This Row],[S.B Sitrack]],'[1]Tempo parado'!I:I,"&lt;="&amp;MIP[[#This Row],[C.B Sitrack]],'[1]Tempo parado'!B:B,MIP[[#This Row],[Placa]])</f>
        <v>0</v>
      </c>
      <c r="AN693" s="32" t="str">
        <f>IFERROR(MIP[[#This Row],[Tempo parado]]/(MIP[[#This Row],[C.B Sitrack]]-MIP[[#This Row],[S.B Sitrack]]),"")</f>
        <v/>
      </c>
      <c r="AO693" s="30"/>
      <c r="AP693" s="44">
        <f>IF(AND(MIP[Exc]=0,MIP[Previsto / Realizado]="Realizado"),MIP[Sem],0)</f>
        <v>42</v>
      </c>
      <c r="AQ693" s="29">
        <f>IF(AND(MIP[Exc]=0,MIP[Previsto / Realizado]="Realizado",ISBLANK(MIP[[#This Row],[S.B Sitrack]])=FALSE,ISBLANK(MIP[[#This Row],[C.B Sitrack]])=FALSE),MIP[Sem],0)</f>
        <v>0</v>
      </c>
    </row>
    <row r="694" spans="2:43" x14ac:dyDescent="0.25">
      <c r="B694" s="29">
        <f>WEEKNUM(MIP[[#This Row],[Data]])</f>
        <v>43</v>
      </c>
      <c r="C694" s="45">
        <v>43030</v>
      </c>
      <c r="D694" s="45"/>
      <c r="E694" s="35" t="s">
        <v>3</v>
      </c>
      <c r="F694" s="35" t="s">
        <v>5</v>
      </c>
      <c r="G694" s="35"/>
      <c r="H694" s="44">
        <v>2</v>
      </c>
      <c r="I694" s="44">
        <v>0</v>
      </c>
      <c r="J694" s="44">
        <v>0</v>
      </c>
      <c r="K694" s="44">
        <v>0</v>
      </c>
      <c r="L694" s="44">
        <v>0</v>
      </c>
      <c r="M694" s="43">
        <v>0.625</v>
      </c>
      <c r="N694" s="43">
        <v>0.64583333333333337</v>
      </c>
      <c r="O694" s="43">
        <v>1.0125</v>
      </c>
      <c r="P694" s="43">
        <v>1.0333333333333334</v>
      </c>
      <c r="Q694" s="39"/>
      <c r="R694" s="42" t="s">
        <v>4</v>
      </c>
      <c r="S694" s="29">
        <v>0</v>
      </c>
      <c r="T69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694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694" s="41">
        <f>MIP[[#This Row],[Eficiência]]</f>
        <v>0</v>
      </c>
      <c r="W69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94" s="39">
        <f>IF(MIP[[#This Row],[P.S]]-MIP[[#This Row],[P.E]]&lt;0,1+MIP[[#This Row],[P.S]]-MIP[[#This Row],[P.E]]-1/24,MIP[[#This Row],[P.S]]-MIP[[#This Row],[P.E]]-1/24)</f>
        <v>0.36666666666666675</v>
      </c>
      <c r="Y694" s="39">
        <f>MIP[[#This Row],[PT-1]]*$S$3+MIP[[#This Row],[PT-2]]*$T$3+MIP[[#This Row],[PT-3]]*$U$3+MIP[[#This Row],[PT &gt; 3 Pontos]]*$V$3</f>
        <v>0</v>
      </c>
      <c r="Z694" s="39">
        <f>MIP[[#This Row],[HH disponível]]-MIP[[#This Row],[HH AC TOT]]</f>
        <v>0.3249999999999999</v>
      </c>
      <c r="AA694" s="38">
        <f>MIP[[#This Row],[HH Produtivo
Total]]/MIP[[#This Row],[HH Trabalhado]]</f>
        <v>0</v>
      </c>
      <c r="AB694" s="38">
        <f>MIP[[#This Row],[HH Produtivo
Total]]/MIP[[#This Row],[HH disponível]]</f>
        <v>0</v>
      </c>
      <c r="AC694" s="38">
        <f>MIP[[#This Row],[HH Trabalhado]]/MIP[[#This Row],[HH disponível]]</f>
        <v>0.88636363636363591</v>
      </c>
      <c r="AD694" s="37" t="str">
        <f>LEFT(MIP[[#This Row],[Equipe]], SEARCH("/",MIP[[#This Row],[Equipe]],1)-1)</f>
        <v xml:space="preserve">EDILTON </v>
      </c>
      <c r="AE694" s="37" t="str">
        <f>RIGHT(MIP[[#This Row],[Equipe]], LEN(MIP[[#This Row],[Equipe]])-SEARCH("/",MIP[[#This Row],[Equipe]],1))</f>
        <v xml:space="preserve"> GECIVALDO</v>
      </c>
      <c r="AF694" s="44">
        <f>COUNTIFS('[1]Tempo parado'!H:H,"&gt;="&amp;MIP[[#This Row],[S.B Sitrack]],'[1]Tempo parado'!I:I,"&lt;="&amp;MIP[[#This Row],[C.B Sitrack]],'[1]Tempo parado'!B:B,MIP[[#This Row],[Placa]])</f>
        <v>0</v>
      </c>
      <c r="AG694" s="36"/>
      <c r="AH694" s="35"/>
      <c r="AI694" s="34"/>
      <c r="AJ694" s="34"/>
      <c r="AK69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9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94" s="32">
        <f>SUMIFS('[1]Tempo parado'!J:J,'[1]Tempo parado'!H:H,"&gt;="&amp;MIP[[#This Row],[S.B Sitrack]],'[1]Tempo parado'!I:I,"&lt;="&amp;MIP[[#This Row],[C.B Sitrack]],'[1]Tempo parado'!B:B,MIP[[#This Row],[Placa]])</f>
        <v>0</v>
      </c>
      <c r="AN694" s="32" t="str">
        <f>IFERROR(MIP[[#This Row],[Tempo parado]]/(MIP[[#This Row],[C.B Sitrack]]-MIP[[#This Row],[S.B Sitrack]]),"")</f>
        <v/>
      </c>
      <c r="AO694" s="30"/>
      <c r="AP694" s="44">
        <f>IF(AND(MIP[Exc]=0,MIP[Previsto / Realizado]="Realizado"),MIP[Sem],0)</f>
        <v>0</v>
      </c>
      <c r="AQ694" s="29">
        <f>IF(AND(MIP[Exc]=0,MIP[Previsto / Realizado]="Realizado",ISBLANK(MIP[[#This Row],[S.B Sitrack]])=FALSE,ISBLANK(MIP[[#This Row],[C.B Sitrack]])=FALSE),MIP[Sem],0)</f>
        <v>0</v>
      </c>
    </row>
    <row r="695" spans="2:43" x14ac:dyDescent="0.25">
      <c r="B695" s="29">
        <f>WEEKNUM(MIP[[#This Row],[Data]])</f>
        <v>43</v>
      </c>
      <c r="C695" s="45">
        <v>43030</v>
      </c>
      <c r="D695" s="45"/>
      <c r="E695" s="35" t="s">
        <v>3</v>
      </c>
      <c r="F695" s="35" t="s">
        <v>2</v>
      </c>
      <c r="G695" s="35"/>
      <c r="H695" s="44">
        <v>2</v>
      </c>
      <c r="I695" s="44">
        <v>1</v>
      </c>
      <c r="J695" s="44">
        <v>1</v>
      </c>
      <c r="K695" s="44">
        <v>1</v>
      </c>
      <c r="L695" s="44">
        <v>8</v>
      </c>
      <c r="M695" s="43">
        <v>0.62152777777777779</v>
      </c>
      <c r="N695" s="43">
        <v>0.63194444444444442</v>
      </c>
      <c r="O695" s="43">
        <v>1.0125</v>
      </c>
      <c r="P695" s="43">
        <v>1.0493055555555555</v>
      </c>
      <c r="Q695" s="39"/>
      <c r="R695" s="42" t="s">
        <v>92</v>
      </c>
      <c r="S695" s="29">
        <v>14</v>
      </c>
      <c r="T69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4.7222222222222165E-2</v>
      </c>
      <c r="U695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4.7222222222222165E-2</v>
      </c>
      <c r="V695" s="41">
        <f>MIP[[#This Row],[Eficiência]]</f>
        <v>0.86668638301523226</v>
      </c>
      <c r="W69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95" s="39">
        <f>IF(MIP[[#This Row],[P.S]]-MIP[[#This Row],[P.E]]&lt;0,1+MIP[[#This Row],[P.S]]-MIP[[#This Row],[P.E]]-1/24,MIP[[#This Row],[P.S]]-MIP[[#This Row],[P.E]]-1/24)</f>
        <v>0.38611111111111102</v>
      </c>
      <c r="Y695" s="39">
        <f>MIP[[#This Row],[PT-1]]*$S$3+MIP[[#This Row],[PT-2]]*$T$3+MIP[[#This Row],[PT-3]]*$U$3+MIP[[#This Row],[PT &gt; 3 Pontos]]*$V$3</f>
        <v>0.29371038535516203</v>
      </c>
      <c r="Z695" s="39">
        <f>MIP[[#This Row],[HH disponível]]-MIP[[#This Row],[HH AC TOT]]</f>
        <v>0.33888888888888885</v>
      </c>
      <c r="AA695" s="38">
        <f>MIP[[#This Row],[HH Produtivo
Total]]/MIP[[#This Row],[HH Trabalhado]]</f>
        <v>0.86668638301523226</v>
      </c>
      <c r="AB695" s="38">
        <f>MIP[[#This Row],[HH Produtivo
Total]]/MIP[[#This Row],[HH disponível]]</f>
        <v>0.76068876782631911</v>
      </c>
      <c r="AC695" s="38">
        <f>MIP[[#This Row],[HH Trabalhado]]/MIP[[#This Row],[HH disponível]]</f>
        <v>0.8776978417266188</v>
      </c>
      <c r="AD695" s="37" t="str">
        <f>LEFT(MIP[[#This Row],[Equipe]], SEARCH("/",MIP[[#This Row],[Equipe]],1)-1)</f>
        <v xml:space="preserve">EDILTON </v>
      </c>
      <c r="AE695" s="37" t="str">
        <f>RIGHT(MIP[[#This Row],[Equipe]], LEN(MIP[[#This Row],[Equipe]])-SEARCH("/",MIP[[#This Row],[Equipe]],1))</f>
        <v xml:space="preserve"> GECIVALDO</v>
      </c>
      <c r="AF695" s="44">
        <f>COUNTIFS('[1]Tempo parado'!H:H,"&gt;="&amp;MIP[[#This Row],[S.B Sitrack]],'[1]Tempo parado'!I:I,"&lt;="&amp;MIP[[#This Row],[C.B Sitrack]],'[1]Tempo parado'!B:B,MIP[[#This Row],[Placa]])</f>
        <v>0</v>
      </c>
      <c r="AG695" s="36"/>
      <c r="AH695" s="35"/>
      <c r="AI695" s="34"/>
      <c r="AJ695" s="34"/>
      <c r="AK69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9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95" s="32">
        <f>SUMIFS('[1]Tempo parado'!J:J,'[1]Tempo parado'!H:H,"&gt;="&amp;MIP[[#This Row],[S.B Sitrack]],'[1]Tempo parado'!I:I,"&lt;="&amp;MIP[[#This Row],[C.B Sitrack]],'[1]Tempo parado'!B:B,MIP[[#This Row],[Placa]])</f>
        <v>0</v>
      </c>
      <c r="AN695" s="32" t="str">
        <f>IFERROR(MIP[[#This Row],[Tempo parado]]/(MIP[[#This Row],[C.B Sitrack]]-MIP[[#This Row],[S.B Sitrack]]),"")</f>
        <v/>
      </c>
      <c r="AO695" s="30"/>
      <c r="AP695" s="44">
        <f>IF(AND(MIP[Exc]=0,MIP[Previsto / Realizado]="Realizado"),MIP[Sem],0)</f>
        <v>43</v>
      </c>
      <c r="AQ695" s="29">
        <f>IF(AND(MIP[Exc]=0,MIP[Previsto / Realizado]="Realizado",ISBLANK(MIP[[#This Row],[S.B Sitrack]])=FALSE,ISBLANK(MIP[[#This Row],[C.B Sitrack]])=FALSE),MIP[Sem],0)</f>
        <v>0</v>
      </c>
    </row>
    <row r="696" spans="2:43" x14ac:dyDescent="0.25">
      <c r="B696" s="29">
        <f>WEEKNUM(MIP[[#This Row],[Data]])</f>
        <v>43</v>
      </c>
      <c r="C696" s="45">
        <v>43031</v>
      </c>
      <c r="D696" s="45"/>
      <c r="E696" s="35" t="s">
        <v>10</v>
      </c>
      <c r="F696" s="35" t="s">
        <v>5</v>
      </c>
      <c r="G696" s="35"/>
      <c r="H696" s="44">
        <v>2</v>
      </c>
      <c r="I696" s="44">
        <v>4</v>
      </c>
      <c r="J696" s="44">
        <v>1</v>
      </c>
      <c r="K696" s="44">
        <v>0</v>
      </c>
      <c r="L696" s="44">
        <v>0</v>
      </c>
      <c r="M696" s="43">
        <v>0.25</v>
      </c>
      <c r="N696" s="43">
        <v>0.27083333333333331</v>
      </c>
      <c r="O696" s="43">
        <v>0.63750000000000007</v>
      </c>
      <c r="P696" s="43">
        <v>0.65833333333333333</v>
      </c>
      <c r="Q696" s="39"/>
      <c r="R696" s="42" t="s">
        <v>172</v>
      </c>
      <c r="S696" s="29">
        <v>6</v>
      </c>
      <c r="T69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696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696" s="41">
        <f>MIP[[#This Row],[Eficiência]]</f>
        <v>0.44311439365787159</v>
      </c>
      <c r="W69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96" s="39">
        <f>IF(MIP[[#This Row],[P.S]]-MIP[[#This Row],[P.E]]&lt;0,1+MIP[[#This Row],[P.S]]-MIP[[#This Row],[P.E]]-1/24,MIP[[#This Row],[P.S]]-MIP[[#This Row],[P.E]]-1/24)</f>
        <v>0.36666666666666664</v>
      </c>
      <c r="Y696" s="39">
        <f>MIP[[#This Row],[PT-1]]*$S$3+MIP[[#This Row],[PT-2]]*$T$3+MIP[[#This Row],[PT-3]]*$U$3+MIP[[#This Row],[PT &gt; 3 Pontos]]*$V$3</f>
        <v>0.1440121779388083</v>
      </c>
      <c r="Z696" s="39">
        <f>MIP[[#This Row],[HH disponível]]-MIP[[#This Row],[HH AC TOT]]</f>
        <v>0.32500000000000007</v>
      </c>
      <c r="AA696" s="38">
        <f>MIP[[#This Row],[HH Produtivo
Total]]/MIP[[#This Row],[HH Trabalhado]]</f>
        <v>0.44311439365787159</v>
      </c>
      <c r="AB696" s="38">
        <f>MIP[[#This Row],[HH Produtivo
Total]]/MIP[[#This Row],[HH disponível]]</f>
        <v>0.392760485287659</v>
      </c>
      <c r="AC696" s="38">
        <f>MIP[[#This Row],[HH Trabalhado]]/MIP[[#This Row],[HH disponível]]</f>
        <v>0.88636363636363658</v>
      </c>
      <c r="AD696" s="37" t="str">
        <f>LEFT(MIP[[#This Row],[Equipe]], SEARCH("/",MIP[[#This Row],[Equipe]],1)-1)</f>
        <v xml:space="preserve">JOILSON </v>
      </c>
      <c r="AE696" s="37" t="str">
        <f>RIGHT(MIP[[#This Row],[Equipe]], LEN(MIP[[#This Row],[Equipe]])-SEARCH("/",MIP[[#This Row],[Equipe]],1))</f>
        <v xml:space="preserve"> VALDEI</v>
      </c>
      <c r="AF696" s="44">
        <f>COUNTIFS('[1]Tempo parado'!H:H,"&gt;="&amp;MIP[[#This Row],[S.B Sitrack]],'[1]Tempo parado'!I:I,"&lt;="&amp;MIP[[#This Row],[C.B Sitrack]],'[1]Tempo parado'!B:B,MIP[[#This Row],[Placa]])</f>
        <v>0</v>
      </c>
      <c r="AG696" s="36"/>
      <c r="AH696" s="35"/>
      <c r="AI696" s="34"/>
      <c r="AJ696" s="34"/>
      <c r="AK69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9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96" s="32">
        <f>SUMIFS('[1]Tempo parado'!J:J,'[1]Tempo parado'!H:H,"&gt;="&amp;MIP[[#This Row],[S.B Sitrack]],'[1]Tempo parado'!I:I,"&lt;="&amp;MIP[[#This Row],[C.B Sitrack]],'[1]Tempo parado'!B:B,MIP[[#This Row],[Placa]])</f>
        <v>0</v>
      </c>
      <c r="AN696" s="32" t="str">
        <f>IFERROR(MIP[[#This Row],[Tempo parado]]/(MIP[[#This Row],[C.B Sitrack]]-MIP[[#This Row],[S.B Sitrack]]),"")</f>
        <v/>
      </c>
      <c r="AO696" s="30"/>
      <c r="AP696" s="44">
        <f>IF(AND(MIP[Exc]=0,MIP[Previsto / Realizado]="Realizado"),MIP[Sem],0)</f>
        <v>0</v>
      </c>
      <c r="AQ696" s="29">
        <f>IF(AND(MIP[Exc]=0,MIP[Previsto / Realizado]="Realizado",ISBLANK(MIP[[#This Row],[S.B Sitrack]])=FALSE,ISBLANK(MIP[[#This Row],[C.B Sitrack]])=FALSE),MIP[Sem],0)</f>
        <v>0</v>
      </c>
    </row>
    <row r="697" spans="2:43" x14ac:dyDescent="0.25">
      <c r="B697" s="29">
        <f>WEEKNUM(MIP[[#This Row],[Data]])</f>
        <v>43</v>
      </c>
      <c r="C697" s="45">
        <v>43031</v>
      </c>
      <c r="D697" s="45"/>
      <c r="E697" s="35" t="s">
        <v>10</v>
      </c>
      <c r="F697" s="35" t="s">
        <v>2</v>
      </c>
      <c r="G697" s="35"/>
      <c r="H697" s="44">
        <v>2</v>
      </c>
      <c r="I697" s="44">
        <v>5</v>
      </c>
      <c r="J697" s="44">
        <v>1</v>
      </c>
      <c r="K697" s="44">
        <v>0</v>
      </c>
      <c r="L697" s="44">
        <v>0</v>
      </c>
      <c r="M697" s="43">
        <v>0.24444444444444446</v>
      </c>
      <c r="N697" s="43">
        <v>0.27430555555555552</v>
      </c>
      <c r="O697" s="43">
        <v>0.59513888888888888</v>
      </c>
      <c r="P697" s="43">
        <v>0.67013888888888884</v>
      </c>
      <c r="Q697" s="39">
        <v>5.2083333333333336E-2</v>
      </c>
      <c r="R697" s="42" t="s">
        <v>171</v>
      </c>
      <c r="S697" s="29">
        <v>7</v>
      </c>
      <c r="T69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0.15694444444444436</v>
      </c>
      <c r="U697" s="39">
        <f>IF(MIP[[#This Row],[P.S]]-MIP[[#This Row],[U.P]]&gt;=0,MIP[[#This Row],[P.S]]-MIP[[#This Row],[U.P]]+MIP[[#This Row],[S.B]]-MIP[[#This Row],[P.E]],1+MIP[[#This Row],[P.S]]-MIP[[#This Row],[U.P]]+MIP[[#This Row],[S.B]]-MIP[[#This Row],[P.E]])</f>
        <v>0.10486111111111102</v>
      </c>
      <c r="V697" s="41">
        <f>MIP[[#This Row],[Eficiência]]</f>
        <v>0.74438765899924608</v>
      </c>
      <c r="W69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97" s="39">
        <f>IF(MIP[[#This Row],[P.S]]-MIP[[#This Row],[P.E]]&lt;0,1+MIP[[#This Row],[P.S]]-MIP[[#This Row],[P.E]]-1/24,MIP[[#This Row],[P.S]]-MIP[[#This Row],[P.E]]-1/24)</f>
        <v>0.38402777777777769</v>
      </c>
      <c r="Y697" s="39">
        <f>MIP[[#This Row],[PT-1]]*$S$3+MIP[[#This Row],[PT-2]]*$T$3+MIP[[#This Row],[PT-3]]*$U$3+MIP[[#This Row],[PT &gt; 3 Pontos]]*$V$3</f>
        <v>0.16903803089774547</v>
      </c>
      <c r="Z697" s="39">
        <f>MIP[[#This Row],[HH disponível]]-MIP[[#This Row],[HH AC TOT]]</f>
        <v>0.22708333333333333</v>
      </c>
      <c r="AA697" s="38">
        <f>MIP[[#This Row],[HH Produtivo
Total]]/MIP[[#This Row],[HH Trabalhado]]</f>
        <v>0.74438765899924608</v>
      </c>
      <c r="AB697" s="38">
        <f>MIP[[#This Row],[HH Produtivo
Total]]/MIP[[#This Row],[HH disponível]]</f>
        <v>0.44017136436302629</v>
      </c>
      <c r="AC697" s="38">
        <f>MIP[[#This Row],[HH Trabalhado]]/MIP[[#This Row],[HH disponível]]</f>
        <v>0.59132007233273065</v>
      </c>
      <c r="AD697" s="37" t="str">
        <f>LEFT(MIP[[#This Row],[Equipe]], SEARCH("/",MIP[[#This Row],[Equipe]],1)-1)</f>
        <v xml:space="preserve">JOILSON </v>
      </c>
      <c r="AE697" s="37" t="str">
        <f>RIGHT(MIP[[#This Row],[Equipe]], LEN(MIP[[#This Row],[Equipe]])-SEARCH("/",MIP[[#This Row],[Equipe]],1))</f>
        <v xml:space="preserve"> VALDEI</v>
      </c>
      <c r="AF697" s="44">
        <f>COUNTIFS('[1]Tempo parado'!H:H,"&gt;="&amp;MIP[[#This Row],[S.B Sitrack]],'[1]Tempo parado'!I:I,"&lt;="&amp;MIP[[#This Row],[C.B Sitrack]],'[1]Tempo parado'!B:B,MIP[[#This Row],[Placa]])</f>
        <v>0</v>
      </c>
      <c r="AG697" s="36"/>
      <c r="AH697" s="35"/>
      <c r="AI697" s="34"/>
      <c r="AJ697" s="34"/>
      <c r="AK69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9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97" s="32">
        <f>SUMIFS('[1]Tempo parado'!J:J,'[1]Tempo parado'!H:H,"&gt;="&amp;MIP[[#This Row],[S.B Sitrack]],'[1]Tempo parado'!I:I,"&lt;="&amp;MIP[[#This Row],[C.B Sitrack]],'[1]Tempo parado'!B:B,MIP[[#This Row],[Placa]])</f>
        <v>0</v>
      </c>
      <c r="AN697" s="32" t="str">
        <f>IFERROR(MIP[[#This Row],[Tempo parado]]/(MIP[[#This Row],[C.B Sitrack]]-MIP[[#This Row],[S.B Sitrack]]),"")</f>
        <v/>
      </c>
      <c r="AO697" s="30"/>
      <c r="AP697" s="44">
        <f>IF(AND(MIP[Exc]=0,MIP[Previsto / Realizado]="Realizado"),MIP[Sem],0)</f>
        <v>43</v>
      </c>
      <c r="AQ697" s="29">
        <f>IF(AND(MIP[Exc]=0,MIP[Previsto / Realizado]="Realizado",ISBLANK(MIP[[#This Row],[S.B Sitrack]])=FALSE,ISBLANK(MIP[[#This Row],[C.B Sitrack]])=FALSE),MIP[Sem],0)</f>
        <v>0</v>
      </c>
    </row>
    <row r="698" spans="2:43" x14ac:dyDescent="0.25">
      <c r="B698" s="29">
        <f>WEEKNUM(MIP[[#This Row],[Data]])</f>
        <v>43</v>
      </c>
      <c r="C698" s="45">
        <v>43031</v>
      </c>
      <c r="D698" s="45"/>
      <c r="E698" s="35" t="s">
        <v>7</v>
      </c>
      <c r="F698" s="35" t="s">
        <v>5</v>
      </c>
      <c r="G698" s="35"/>
      <c r="H698" s="44">
        <v>2</v>
      </c>
      <c r="I698" s="44">
        <v>2</v>
      </c>
      <c r="J698" s="44">
        <v>1</v>
      </c>
      <c r="K698" s="44">
        <v>1</v>
      </c>
      <c r="L698" s="44">
        <v>0</v>
      </c>
      <c r="M698" s="43">
        <v>0.625</v>
      </c>
      <c r="N698" s="43">
        <v>0.64583333333333337</v>
      </c>
      <c r="O698" s="43">
        <v>1.0125</v>
      </c>
      <c r="P698" s="43">
        <v>1.0333333333333334</v>
      </c>
      <c r="Q698" s="39"/>
      <c r="R698" s="42" t="s">
        <v>4</v>
      </c>
      <c r="S698" s="29">
        <v>7</v>
      </c>
      <c r="T69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698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698" s="41">
        <f>MIP[[#This Row],[Eficiência]]</f>
        <v>0.48231431159420302</v>
      </c>
      <c r="W69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98" s="39">
        <f>IF(MIP[[#This Row],[P.S]]-MIP[[#This Row],[P.E]]&lt;0,1+MIP[[#This Row],[P.S]]-MIP[[#This Row],[P.E]]-1/24,MIP[[#This Row],[P.S]]-MIP[[#This Row],[P.E]]-1/24)</f>
        <v>0.36666666666666675</v>
      </c>
      <c r="Y698" s="39">
        <f>MIP[[#This Row],[PT-1]]*$S$3+MIP[[#This Row],[PT-2]]*$T$3+MIP[[#This Row],[PT-3]]*$U$3+MIP[[#This Row],[PT &gt; 3 Pontos]]*$V$3</f>
        <v>0.15675215126811592</v>
      </c>
      <c r="Z698" s="39">
        <f>MIP[[#This Row],[HH disponível]]-MIP[[#This Row],[HH AC TOT]]</f>
        <v>0.3249999999999999</v>
      </c>
      <c r="AA698" s="38">
        <f>MIP[[#This Row],[HH Produtivo
Total]]/MIP[[#This Row],[HH Trabalhado]]</f>
        <v>0.48231431159420302</v>
      </c>
      <c r="AB698" s="38">
        <f>MIP[[#This Row],[HH Produtivo
Total]]/MIP[[#This Row],[HH disponível]]</f>
        <v>0.42750586709486149</v>
      </c>
      <c r="AC698" s="38">
        <f>MIP[[#This Row],[HH Trabalhado]]/MIP[[#This Row],[HH disponível]]</f>
        <v>0.88636363636363591</v>
      </c>
      <c r="AD698" s="37" t="str">
        <f>LEFT(MIP[[#This Row],[Equipe]], SEARCH("/",MIP[[#This Row],[Equipe]],1)-1)</f>
        <v xml:space="preserve">ANDERSON </v>
      </c>
      <c r="AE698" s="37" t="str">
        <f>RIGHT(MIP[[#This Row],[Equipe]], LEN(MIP[[#This Row],[Equipe]])-SEARCH("/",MIP[[#This Row],[Equipe]],1))</f>
        <v xml:space="preserve"> MARCO</v>
      </c>
      <c r="AF698" s="44">
        <f>COUNTIFS('[1]Tempo parado'!H:H,"&gt;="&amp;MIP[[#This Row],[S.B Sitrack]],'[1]Tempo parado'!I:I,"&lt;="&amp;MIP[[#This Row],[C.B Sitrack]],'[1]Tempo parado'!B:B,MIP[[#This Row],[Placa]])</f>
        <v>0</v>
      </c>
      <c r="AG698" s="36"/>
      <c r="AH698" s="35"/>
      <c r="AI698" s="34"/>
      <c r="AJ698" s="34"/>
      <c r="AK69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9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98" s="32">
        <f>SUMIFS('[1]Tempo parado'!J:J,'[1]Tempo parado'!H:H,"&gt;="&amp;MIP[[#This Row],[S.B Sitrack]],'[1]Tempo parado'!I:I,"&lt;="&amp;MIP[[#This Row],[C.B Sitrack]],'[1]Tempo parado'!B:B,MIP[[#This Row],[Placa]])</f>
        <v>0</v>
      </c>
      <c r="AN698" s="32" t="str">
        <f>IFERROR(MIP[[#This Row],[Tempo parado]]/(MIP[[#This Row],[C.B Sitrack]]-MIP[[#This Row],[S.B Sitrack]]),"")</f>
        <v/>
      </c>
      <c r="AO698" s="30"/>
      <c r="AP698" s="44">
        <f>IF(AND(MIP[Exc]=0,MIP[Previsto / Realizado]="Realizado"),MIP[Sem],0)</f>
        <v>0</v>
      </c>
      <c r="AQ698" s="29">
        <f>IF(AND(MIP[Exc]=0,MIP[Previsto / Realizado]="Realizado",ISBLANK(MIP[[#This Row],[S.B Sitrack]])=FALSE,ISBLANK(MIP[[#This Row],[C.B Sitrack]])=FALSE),MIP[Sem],0)</f>
        <v>0</v>
      </c>
    </row>
    <row r="699" spans="2:43" x14ac:dyDescent="0.25">
      <c r="B699" s="29">
        <f>WEEKNUM(MIP[[#This Row],[Data]])</f>
        <v>43</v>
      </c>
      <c r="C699" s="45">
        <v>43031</v>
      </c>
      <c r="D699" s="45"/>
      <c r="E699" s="35" t="s">
        <v>7</v>
      </c>
      <c r="F699" s="35" t="s">
        <v>2</v>
      </c>
      <c r="G699" s="35"/>
      <c r="H699" s="44">
        <v>2</v>
      </c>
      <c r="I699" s="44">
        <v>6</v>
      </c>
      <c r="J699" s="44">
        <v>2</v>
      </c>
      <c r="K699" s="44">
        <v>1</v>
      </c>
      <c r="L699" s="44">
        <v>0</v>
      </c>
      <c r="M699" s="43">
        <v>0.62847222222222221</v>
      </c>
      <c r="N699" s="43">
        <v>0.67708333333333337</v>
      </c>
      <c r="O699" s="43">
        <v>1.0173611111111112</v>
      </c>
      <c r="P699" s="43">
        <v>1.0333333333333334</v>
      </c>
      <c r="Q699" s="39">
        <v>2.4305555555555556E-2</v>
      </c>
      <c r="R699" s="42" t="s">
        <v>170</v>
      </c>
      <c r="S699" s="29">
        <v>13</v>
      </c>
      <c r="T69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8.8888888888888989E-2</v>
      </c>
      <c r="U699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6.4583333333333437E-2</v>
      </c>
      <c r="V699" s="41">
        <f>MIP[[#This Row],[Eficiência]]</f>
        <v>1.0964573014125845</v>
      </c>
      <c r="W69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699" s="39">
        <f>IF(MIP[[#This Row],[P.S]]-MIP[[#This Row],[P.E]]&lt;0,1+MIP[[#This Row],[P.S]]-MIP[[#This Row],[P.E]]-1/24,MIP[[#This Row],[P.S]]-MIP[[#This Row],[P.E]]-1/24)</f>
        <v>0.36319444444444454</v>
      </c>
      <c r="Y699" s="39">
        <f>MIP[[#This Row],[PT-1]]*$S$3+MIP[[#This Row],[PT-2]]*$T$3+MIP[[#This Row],[PT-3]]*$U$3+MIP[[#This Row],[PT &gt; 3 Pontos]]*$V$3</f>
        <v>0.30076432920692425</v>
      </c>
      <c r="Z699" s="39">
        <f>MIP[[#This Row],[HH disponível]]-MIP[[#This Row],[HH AC TOT]]</f>
        <v>0.27430555555555558</v>
      </c>
      <c r="AA699" s="38">
        <f>MIP[[#This Row],[HH Produtivo
Total]]/MIP[[#This Row],[HH Trabalhado]]</f>
        <v>1.0964573014125845</v>
      </c>
      <c r="AB699" s="38">
        <f>MIP[[#This Row],[HH Produtivo
Total]]/MIP[[#This Row],[HH disponível]]</f>
        <v>0.8281082869177262</v>
      </c>
      <c r="AC699" s="38">
        <f>MIP[[#This Row],[HH Trabalhado]]/MIP[[#This Row],[HH disponível]]</f>
        <v>0.75525812619502852</v>
      </c>
      <c r="AD699" s="37" t="str">
        <f>LEFT(MIP[[#This Row],[Equipe]], SEARCH("/",MIP[[#This Row],[Equipe]],1)-1)</f>
        <v xml:space="preserve">ANDERSON </v>
      </c>
      <c r="AE699" s="37" t="str">
        <f>RIGHT(MIP[[#This Row],[Equipe]], LEN(MIP[[#This Row],[Equipe]])-SEARCH("/",MIP[[#This Row],[Equipe]],1))</f>
        <v xml:space="preserve"> MARCO</v>
      </c>
      <c r="AF699" s="44">
        <f>COUNTIFS('[1]Tempo parado'!H:H,"&gt;="&amp;MIP[[#This Row],[S.B Sitrack]],'[1]Tempo parado'!I:I,"&lt;="&amp;MIP[[#This Row],[C.B Sitrack]],'[1]Tempo parado'!B:B,MIP[[#This Row],[Placa]])</f>
        <v>0</v>
      </c>
      <c r="AG699" s="36"/>
      <c r="AH699" s="35"/>
      <c r="AI699" s="34"/>
      <c r="AJ699" s="34"/>
      <c r="AK69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69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699" s="32">
        <f>SUMIFS('[1]Tempo parado'!J:J,'[1]Tempo parado'!H:H,"&gt;="&amp;MIP[[#This Row],[S.B Sitrack]],'[1]Tempo parado'!I:I,"&lt;="&amp;MIP[[#This Row],[C.B Sitrack]],'[1]Tempo parado'!B:B,MIP[[#This Row],[Placa]])</f>
        <v>0</v>
      </c>
      <c r="AN699" s="32" t="str">
        <f>IFERROR(MIP[[#This Row],[Tempo parado]]/(MIP[[#This Row],[C.B Sitrack]]-MIP[[#This Row],[S.B Sitrack]]),"")</f>
        <v/>
      </c>
      <c r="AO699" s="30"/>
      <c r="AP699" s="44">
        <f>IF(AND(MIP[Exc]=0,MIP[Previsto / Realizado]="Realizado"),MIP[Sem],0)</f>
        <v>43</v>
      </c>
      <c r="AQ699" s="29">
        <f>IF(AND(MIP[Exc]=0,MIP[Previsto / Realizado]="Realizado",ISBLANK(MIP[[#This Row],[S.B Sitrack]])=FALSE,ISBLANK(MIP[[#This Row],[C.B Sitrack]])=FALSE),MIP[Sem],0)</f>
        <v>0</v>
      </c>
    </row>
    <row r="700" spans="2:43" x14ac:dyDescent="0.25">
      <c r="B700" s="29">
        <f>WEEKNUM(MIP[[#This Row],[Data]])</f>
        <v>43</v>
      </c>
      <c r="C700" s="45">
        <v>43031</v>
      </c>
      <c r="D700" s="45"/>
      <c r="E700" s="35" t="s">
        <v>19</v>
      </c>
      <c r="F700" s="35" t="s">
        <v>5</v>
      </c>
      <c r="G700" s="35"/>
      <c r="H700" s="44">
        <v>2</v>
      </c>
      <c r="I700" s="44">
        <v>4</v>
      </c>
      <c r="J700" s="44">
        <v>0</v>
      </c>
      <c r="K700" s="44">
        <v>0</v>
      </c>
      <c r="L700" s="44">
        <v>0</v>
      </c>
      <c r="M700" s="43">
        <v>0.625</v>
      </c>
      <c r="N700" s="43">
        <v>0.64583333333333337</v>
      </c>
      <c r="O700" s="43">
        <v>1.0125</v>
      </c>
      <c r="P700" s="43">
        <v>1.0333333333333334</v>
      </c>
      <c r="Q700" s="39"/>
      <c r="R700" s="42" t="s">
        <v>4</v>
      </c>
      <c r="S700" s="29">
        <v>4</v>
      </c>
      <c r="T70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700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700" s="41">
        <f>MIP[[#This Row],[Eficiência]]</f>
        <v>0.30801049795614999</v>
      </c>
      <c r="W70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00" s="39">
        <f>IF(MIP[[#This Row],[P.S]]-MIP[[#This Row],[P.E]]&lt;0,1+MIP[[#This Row],[P.S]]-MIP[[#This Row],[P.E]]-1/24,MIP[[#This Row],[P.S]]-MIP[[#This Row],[P.E]]-1/24)</f>
        <v>0.36666666666666675</v>
      </c>
      <c r="Y700" s="39">
        <f>MIP[[#This Row],[PT-1]]*$S$3+MIP[[#This Row],[PT-2]]*$T$3+MIP[[#This Row],[PT-3]]*$U$3+MIP[[#This Row],[PT &gt; 3 Pontos]]*$V$3</f>
        <v>0.10010341183574872</v>
      </c>
      <c r="Z700" s="39">
        <f>MIP[[#This Row],[HH disponível]]-MIP[[#This Row],[HH AC TOT]]</f>
        <v>0.3249999999999999</v>
      </c>
      <c r="AA700" s="38">
        <f>MIP[[#This Row],[HH Produtivo
Total]]/MIP[[#This Row],[HH Trabalhado]]</f>
        <v>0.30801049795614999</v>
      </c>
      <c r="AB700" s="38">
        <f>MIP[[#This Row],[HH Produtivo
Total]]/MIP[[#This Row],[HH disponível]]</f>
        <v>0.27300930500658738</v>
      </c>
      <c r="AC700" s="38">
        <f>MIP[[#This Row],[HH Trabalhado]]/MIP[[#This Row],[HH disponível]]</f>
        <v>0.88636363636363591</v>
      </c>
      <c r="AD700" s="37" t="str">
        <f>LEFT(MIP[[#This Row],[Equipe]], SEARCH("/",MIP[[#This Row],[Equipe]],1)-1)</f>
        <v xml:space="preserve">ADEMÁRIO </v>
      </c>
      <c r="AE700" s="37" t="str">
        <f>RIGHT(MIP[[#This Row],[Equipe]], LEN(MIP[[#This Row],[Equipe]])-SEARCH("/",MIP[[#This Row],[Equipe]],1))</f>
        <v xml:space="preserve"> RONALDO</v>
      </c>
      <c r="AF700" s="44">
        <f>COUNTIFS('[1]Tempo parado'!H:H,"&gt;="&amp;MIP[[#This Row],[S.B Sitrack]],'[1]Tempo parado'!I:I,"&lt;="&amp;MIP[[#This Row],[C.B Sitrack]],'[1]Tempo parado'!B:B,MIP[[#This Row],[Placa]])</f>
        <v>0</v>
      </c>
      <c r="AG700" s="36"/>
      <c r="AH700" s="35"/>
      <c r="AI700" s="34"/>
      <c r="AJ700" s="34"/>
      <c r="AK70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0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00" s="32">
        <f>SUMIFS('[1]Tempo parado'!J:J,'[1]Tempo parado'!H:H,"&gt;="&amp;MIP[[#This Row],[S.B Sitrack]],'[1]Tempo parado'!I:I,"&lt;="&amp;MIP[[#This Row],[C.B Sitrack]],'[1]Tempo parado'!B:B,MIP[[#This Row],[Placa]])</f>
        <v>0</v>
      </c>
      <c r="AN700" s="32" t="str">
        <f>IFERROR(MIP[[#This Row],[Tempo parado]]/(MIP[[#This Row],[C.B Sitrack]]-MIP[[#This Row],[S.B Sitrack]]),"")</f>
        <v/>
      </c>
      <c r="AO700" s="30"/>
      <c r="AP700" s="44">
        <f>IF(AND(MIP[Exc]=0,MIP[Previsto / Realizado]="Realizado"),MIP[Sem],0)</f>
        <v>0</v>
      </c>
      <c r="AQ700" s="29">
        <f>IF(AND(MIP[Exc]=0,MIP[Previsto / Realizado]="Realizado",ISBLANK(MIP[[#This Row],[S.B Sitrack]])=FALSE,ISBLANK(MIP[[#This Row],[C.B Sitrack]])=FALSE),MIP[Sem],0)</f>
        <v>0</v>
      </c>
    </row>
    <row r="701" spans="2:43" x14ac:dyDescent="0.25">
      <c r="B701" s="29">
        <f>WEEKNUM(MIP[[#This Row],[Data]])</f>
        <v>43</v>
      </c>
      <c r="C701" s="45">
        <v>43031</v>
      </c>
      <c r="D701" s="45"/>
      <c r="E701" s="35" t="s">
        <v>19</v>
      </c>
      <c r="F701" s="35" t="s">
        <v>2</v>
      </c>
      <c r="G701" s="35"/>
      <c r="H701" s="44">
        <v>2</v>
      </c>
      <c r="I701" s="44">
        <v>5</v>
      </c>
      <c r="J701" s="44">
        <v>3</v>
      </c>
      <c r="K701" s="44">
        <v>0</v>
      </c>
      <c r="L701" s="44">
        <v>0</v>
      </c>
      <c r="M701" s="43">
        <v>0.63541666666666663</v>
      </c>
      <c r="N701" s="43">
        <v>0.67361111111111116</v>
      </c>
      <c r="O701" s="43">
        <v>1.007638888888889</v>
      </c>
      <c r="P701" s="43">
        <v>1.038888888888889</v>
      </c>
      <c r="Q701" s="39"/>
      <c r="R701" s="42" t="s">
        <v>158</v>
      </c>
      <c r="S701" s="29">
        <v>11</v>
      </c>
      <c r="T70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6.9444444444444531E-2</v>
      </c>
      <c r="U701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6.9444444444444531E-2</v>
      </c>
      <c r="V701" s="41">
        <f>MIP[[#This Row],[Eficiência]]</f>
        <v>0.87855584529587905</v>
      </c>
      <c r="W70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01" s="39">
        <f>IF(MIP[[#This Row],[P.S]]-MIP[[#This Row],[P.E]]&lt;0,1+MIP[[#This Row],[P.S]]-MIP[[#This Row],[P.E]]-1/24,MIP[[#This Row],[P.S]]-MIP[[#This Row],[P.E]]-1/24)</f>
        <v>0.36180555555555566</v>
      </c>
      <c r="Y701" s="39">
        <f>MIP[[#This Row],[PT-1]]*$S$3+MIP[[#This Row],[PT-2]]*$T$3+MIP[[#This Row],[PT-3]]*$U$3+MIP[[#This Row],[PT &gt; 3 Pontos]]*$V$3</f>
        <v>0.25685556310386465</v>
      </c>
      <c r="Z701" s="39">
        <f>MIP[[#This Row],[HH disponível]]-MIP[[#This Row],[HH AC TOT]]</f>
        <v>0.29236111111111113</v>
      </c>
      <c r="AA701" s="38">
        <f>MIP[[#This Row],[HH Produtivo
Total]]/MIP[[#This Row],[HH Trabalhado]]</f>
        <v>0.87855584529587905</v>
      </c>
      <c r="AB701" s="38">
        <f>MIP[[#This Row],[HH Produtivo
Total]]/MIP[[#This Row],[HH disponível]]</f>
        <v>0.70992708420261996</v>
      </c>
      <c r="AC701" s="38">
        <f>MIP[[#This Row],[HH Trabalhado]]/MIP[[#This Row],[HH disponível]]</f>
        <v>0.80806142034548922</v>
      </c>
      <c r="AD701" s="37" t="str">
        <f>LEFT(MIP[[#This Row],[Equipe]], SEARCH("/",MIP[[#This Row],[Equipe]],1)-1)</f>
        <v xml:space="preserve">ADEMÁRIO </v>
      </c>
      <c r="AE701" s="37" t="str">
        <f>RIGHT(MIP[[#This Row],[Equipe]], LEN(MIP[[#This Row],[Equipe]])-SEARCH("/",MIP[[#This Row],[Equipe]],1))</f>
        <v xml:space="preserve"> RONALDO</v>
      </c>
      <c r="AF701" s="44">
        <f>COUNTIFS('[1]Tempo parado'!H:H,"&gt;="&amp;MIP[[#This Row],[S.B Sitrack]],'[1]Tempo parado'!I:I,"&lt;="&amp;MIP[[#This Row],[C.B Sitrack]],'[1]Tempo parado'!B:B,MIP[[#This Row],[Placa]])</f>
        <v>0</v>
      </c>
      <c r="AG701" s="36"/>
      <c r="AH701" s="35"/>
      <c r="AI701" s="34"/>
      <c r="AJ701" s="34"/>
      <c r="AK70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0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01" s="32">
        <f>SUMIFS('[1]Tempo parado'!J:J,'[1]Tempo parado'!H:H,"&gt;="&amp;MIP[[#This Row],[S.B Sitrack]],'[1]Tempo parado'!I:I,"&lt;="&amp;MIP[[#This Row],[C.B Sitrack]],'[1]Tempo parado'!B:B,MIP[[#This Row],[Placa]])</f>
        <v>0</v>
      </c>
      <c r="AN701" s="32" t="str">
        <f>IFERROR(MIP[[#This Row],[Tempo parado]]/(MIP[[#This Row],[C.B Sitrack]]-MIP[[#This Row],[S.B Sitrack]]),"")</f>
        <v/>
      </c>
      <c r="AO701" s="30"/>
      <c r="AP701" s="44">
        <f>IF(AND(MIP[Exc]=0,MIP[Previsto / Realizado]="Realizado"),MIP[Sem],0)</f>
        <v>43</v>
      </c>
      <c r="AQ701" s="29">
        <f>IF(AND(MIP[Exc]=0,MIP[Previsto / Realizado]="Realizado",ISBLANK(MIP[[#This Row],[S.B Sitrack]])=FALSE,ISBLANK(MIP[[#This Row],[C.B Sitrack]])=FALSE),MIP[Sem],0)</f>
        <v>0</v>
      </c>
    </row>
    <row r="702" spans="2:43" x14ac:dyDescent="0.25">
      <c r="B702" s="29">
        <f>WEEKNUM(MIP[[#This Row],[Data]])</f>
        <v>43</v>
      </c>
      <c r="C702" s="45">
        <v>43032</v>
      </c>
      <c r="D702" s="45"/>
      <c r="E702" s="35" t="s">
        <v>10</v>
      </c>
      <c r="F702" s="35" t="s">
        <v>5</v>
      </c>
      <c r="G702" s="35"/>
      <c r="H702" s="44">
        <v>2</v>
      </c>
      <c r="I702" s="44">
        <v>3</v>
      </c>
      <c r="J702" s="44">
        <v>1</v>
      </c>
      <c r="K702" s="44">
        <v>0</v>
      </c>
      <c r="L702" s="44">
        <v>0</v>
      </c>
      <c r="M702" s="43">
        <v>0.25</v>
      </c>
      <c r="N702" s="43">
        <v>0.27083333333333331</v>
      </c>
      <c r="O702" s="43">
        <v>0.63750000000000007</v>
      </c>
      <c r="P702" s="43">
        <v>0.65833333333333333</v>
      </c>
      <c r="Q702" s="39"/>
      <c r="R702" s="42" t="s">
        <v>169</v>
      </c>
      <c r="S702" s="29">
        <v>5</v>
      </c>
      <c r="T70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702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702" s="41">
        <f>MIP[[#This Row],[Eficiência]]</f>
        <v>0.3661117691688342</v>
      </c>
      <c r="W70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02" s="39">
        <f>IF(MIP[[#This Row],[P.S]]-MIP[[#This Row],[P.E]]&lt;0,1+MIP[[#This Row],[P.S]]-MIP[[#This Row],[P.E]]-1/24,MIP[[#This Row],[P.S]]-MIP[[#This Row],[P.E]]-1/24)</f>
        <v>0.36666666666666664</v>
      </c>
      <c r="Y702" s="39">
        <f>MIP[[#This Row],[PT-1]]*$S$3+MIP[[#This Row],[PT-2]]*$T$3+MIP[[#This Row],[PT-3]]*$U$3+MIP[[#This Row],[PT &gt; 3 Pontos]]*$V$3</f>
        <v>0.11898632497987113</v>
      </c>
      <c r="Z702" s="39">
        <f>MIP[[#This Row],[HH disponível]]-MIP[[#This Row],[HH AC TOT]]</f>
        <v>0.32500000000000007</v>
      </c>
      <c r="AA702" s="38">
        <f>MIP[[#This Row],[HH Produtivo
Total]]/MIP[[#This Row],[HH Trabalhado]]</f>
        <v>0.3661117691688342</v>
      </c>
      <c r="AB702" s="38">
        <f>MIP[[#This Row],[HH Produtivo
Total]]/MIP[[#This Row],[HH disponível]]</f>
        <v>0.32450815903601221</v>
      </c>
      <c r="AC702" s="38">
        <f>MIP[[#This Row],[HH Trabalhado]]/MIP[[#This Row],[HH disponível]]</f>
        <v>0.88636363636363658</v>
      </c>
      <c r="AD702" s="37" t="str">
        <f>LEFT(MIP[[#This Row],[Equipe]], SEARCH("/",MIP[[#This Row],[Equipe]],1)-1)</f>
        <v xml:space="preserve">JOILSON </v>
      </c>
      <c r="AE702" s="37" t="str">
        <f>RIGHT(MIP[[#This Row],[Equipe]], LEN(MIP[[#This Row],[Equipe]])-SEARCH("/",MIP[[#This Row],[Equipe]],1))</f>
        <v xml:space="preserve"> VALDEI</v>
      </c>
      <c r="AF702" s="44">
        <f>COUNTIFS('[1]Tempo parado'!H:H,"&gt;="&amp;MIP[[#This Row],[S.B Sitrack]],'[1]Tempo parado'!I:I,"&lt;="&amp;MIP[[#This Row],[C.B Sitrack]],'[1]Tempo parado'!B:B,MIP[[#This Row],[Placa]])</f>
        <v>0</v>
      </c>
      <c r="AG702" s="36"/>
      <c r="AH702" s="35"/>
      <c r="AI702" s="34"/>
      <c r="AJ702" s="34"/>
      <c r="AK70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0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02" s="32">
        <f>SUMIFS('[1]Tempo parado'!J:J,'[1]Tempo parado'!H:H,"&gt;="&amp;MIP[[#This Row],[S.B Sitrack]],'[1]Tempo parado'!I:I,"&lt;="&amp;MIP[[#This Row],[C.B Sitrack]],'[1]Tempo parado'!B:B,MIP[[#This Row],[Placa]])</f>
        <v>0</v>
      </c>
      <c r="AN702" s="32" t="str">
        <f>IFERROR(MIP[[#This Row],[Tempo parado]]/(MIP[[#This Row],[C.B Sitrack]]-MIP[[#This Row],[S.B Sitrack]]),"")</f>
        <v/>
      </c>
      <c r="AO702" s="30"/>
      <c r="AP702" s="44">
        <f>IF(AND(MIP[Exc]=0,MIP[Previsto / Realizado]="Realizado"),MIP[Sem],0)</f>
        <v>0</v>
      </c>
      <c r="AQ702" s="29">
        <f>IF(AND(MIP[Exc]=0,MIP[Previsto / Realizado]="Realizado",ISBLANK(MIP[[#This Row],[S.B Sitrack]])=FALSE,ISBLANK(MIP[[#This Row],[C.B Sitrack]])=FALSE),MIP[Sem],0)</f>
        <v>0</v>
      </c>
    </row>
    <row r="703" spans="2:43" x14ac:dyDescent="0.25">
      <c r="B703" s="29">
        <f>WEEKNUM(MIP[[#This Row],[Data]])</f>
        <v>43</v>
      </c>
      <c r="C703" s="45">
        <v>43032</v>
      </c>
      <c r="D703" s="45"/>
      <c r="E703" s="35" t="s">
        <v>10</v>
      </c>
      <c r="F703" s="35" t="s">
        <v>2</v>
      </c>
      <c r="G703" s="35"/>
      <c r="H703" s="44">
        <v>2</v>
      </c>
      <c r="I703" s="44">
        <v>4</v>
      </c>
      <c r="J703" s="44">
        <v>1</v>
      </c>
      <c r="K703" s="44">
        <v>0</v>
      </c>
      <c r="L703" s="44">
        <v>0</v>
      </c>
      <c r="M703" s="43">
        <v>0.24513888888888888</v>
      </c>
      <c r="N703" s="43">
        <v>0.27083333333333331</v>
      </c>
      <c r="O703" s="43">
        <v>0.62013888888888891</v>
      </c>
      <c r="P703" s="43">
        <v>0.65902777777777777</v>
      </c>
      <c r="Q703" s="39">
        <v>9.5138888888888884E-2</v>
      </c>
      <c r="R703" s="42" t="s">
        <v>168</v>
      </c>
      <c r="S703" s="29">
        <v>6</v>
      </c>
      <c r="T70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0.15972222222222218</v>
      </c>
      <c r="U703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6.4583333333333298E-2</v>
      </c>
      <c r="V703" s="41">
        <f>MIP[[#This Row],[Eficiência]]</f>
        <v>0.67770436677086265</v>
      </c>
      <c r="W70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03" s="39">
        <f>IF(MIP[[#This Row],[P.S]]-MIP[[#This Row],[P.E]]&lt;0,1+MIP[[#This Row],[P.S]]-MIP[[#This Row],[P.E]]-1/24,MIP[[#This Row],[P.S]]-MIP[[#This Row],[P.E]]-1/24)</f>
        <v>0.37222222222222218</v>
      </c>
      <c r="Y703" s="39">
        <f>MIP[[#This Row],[PT-1]]*$S$3+MIP[[#This Row],[PT-2]]*$T$3+MIP[[#This Row],[PT-3]]*$U$3+MIP[[#This Row],[PT &gt; 3 Pontos]]*$V$3</f>
        <v>0.1440121779388083</v>
      </c>
      <c r="Z703" s="39">
        <f>MIP[[#This Row],[HH disponível]]-MIP[[#This Row],[HH AC TOT]]</f>
        <v>0.21249999999999999</v>
      </c>
      <c r="AA703" s="38">
        <f>MIP[[#This Row],[HH Produtivo
Total]]/MIP[[#This Row],[HH Trabalhado]]</f>
        <v>0.67770436677086265</v>
      </c>
      <c r="AB703" s="38">
        <f>MIP[[#This Row],[HH Produtivo
Total]]/MIP[[#This Row],[HH disponível]]</f>
        <v>0.38689838849232083</v>
      </c>
      <c r="AC703" s="38">
        <f>MIP[[#This Row],[HH Trabalhado]]/MIP[[#This Row],[HH disponível]]</f>
        <v>0.57089552238805974</v>
      </c>
      <c r="AD703" s="37" t="str">
        <f>LEFT(MIP[[#This Row],[Equipe]], SEARCH("/",MIP[[#This Row],[Equipe]],1)-1)</f>
        <v xml:space="preserve">JOILSON </v>
      </c>
      <c r="AE703" s="37" t="str">
        <f>RIGHT(MIP[[#This Row],[Equipe]], LEN(MIP[[#This Row],[Equipe]])-SEARCH("/",MIP[[#This Row],[Equipe]],1))</f>
        <v xml:space="preserve"> VALDEI</v>
      </c>
      <c r="AF703" s="44">
        <f>COUNTIFS('[1]Tempo parado'!H:H,"&gt;="&amp;MIP[[#This Row],[S.B Sitrack]],'[1]Tempo parado'!I:I,"&lt;="&amp;MIP[[#This Row],[C.B Sitrack]],'[1]Tempo parado'!B:B,MIP[[#This Row],[Placa]])</f>
        <v>0</v>
      </c>
      <c r="AG703" s="36"/>
      <c r="AH703" s="35"/>
      <c r="AI703" s="34"/>
      <c r="AJ703" s="34"/>
      <c r="AK70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0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03" s="32">
        <f>SUMIFS('[1]Tempo parado'!J:J,'[1]Tempo parado'!H:H,"&gt;="&amp;MIP[[#This Row],[S.B Sitrack]],'[1]Tempo parado'!I:I,"&lt;="&amp;MIP[[#This Row],[C.B Sitrack]],'[1]Tempo parado'!B:B,MIP[[#This Row],[Placa]])</f>
        <v>0</v>
      </c>
      <c r="AN703" s="32" t="str">
        <f>IFERROR(MIP[[#This Row],[Tempo parado]]/(MIP[[#This Row],[C.B Sitrack]]-MIP[[#This Row],[S.B Sitrack]]),"")</f>
        <v/>
      </c>
      <c r="AO703" s="30"/>
      <c r="AP703" s="44">
        <f>IF(AND(MIP[Exc]=0,MIP[Previsto / Realizado]="Realizado"),MIP[Sem],0)</f>
        <v>43</v>
      </c>
      <c r="AQ703" s="29">
        <f>IF(AND(MIP[Exc]=0,MIP[Previsto / Realizado]="Realizado",ISBLANK(MIP[[#This Row],[S.B Sitrack]])=FALSE,ISBLANK(MIP[[#This Row],[C.B Sitrack]])=FALSE),MIP[Sem],0)</f>
        <v>0</v>
      </c>
    </row>
    <row r="704" spans="2:43" x14ac:dyDescent="0.25">
      <c r="B704" s="29">
        <f>WEEKNUM(MIP[[#This Row],[Data]])</f>
        <v>43</v>
      </c>
      <c r="C704" s="45">
        <v>43032</v>
      </c>
      <c r="D704" s="45"/>
      <c r="E704" s="35" t="s">
        <v>3</v>
      </c>
      <c r="F704" s="35" t="s">
        <v>5</v>
      </c>
      <c r="G704" s="35"/>
      <c r="H704" s="44">
        <v>2</v>
      </c>
      <c r="I704" s="44">
        <v>2</v>
      </c>
      <c r="J704" s="44">
        <v>0</v>
      </c>
      <c r="K704" s="44">
        <v>0</v>
      </c>
      <c r="L704" s="44">
        <v>10</v>
      </c>
      <c r="M704" s="43">
        <v>0.625</v>
      </c>
      <c r="N704" s="43">
        <v>0.64583333333333337</v>
      </c>
      <c r="O704" s="43">
        <v>1.0125</v>
      </c>
      <c r="P704" s="43">
        <v>1.0333333333333334</v>
      </c>
      <c r="Q704" s="39"/>
      <c r="R704" s="42" t="s">
        <v>4</v>
      </c>
      <c r="S704" s="29">
        <v>12</v>
      </c>
      <c r="T70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704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704" s="41">
        <f>MIP[[#This Row],[Eficiência]]</f>
        <v>0.77702096838570323</v>
      </c>
      <c r="W70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04" s="39">
        <f>IF(MIP[[#This Row],[P.S]]-MIP[[#This Row],[P.E]]&lt;0,1+MIP[[#This Row],[P.S]]-MIP[[#This Row],[P.E]]-1/24,MIP[[#This Row],[P.S]]-MIP[[#This Row],[P.E]]-1/24)</f>
        <v>0.36666666666666675</v>
      </c>
      <c r="Y704" s="39">
        <f>MIP[[#This Row],[PT-1]]*$S$3+MIP[[#This Row],[PT-2]]*$T$3+MIP[[#This Row],[PT-3]]*$U$3+MIP[[#This Row],[PT &gt; 3 Pontos]]*$V$3</f>
        <v>0.25253181472535347</v>
      </c>
      <c r="Z704" s="39">
        <f>MIP[[#This Row],[HH disponível]]-MIP[[#This Row],[HH AC TOT]]</f>
        <v>0.3249999999999999</v>
      </c>
      <c r="AA704" s="38">
        <f>MIP[[#This Row],[HH Produtivo
Total]]/MIP[[#This Row],[HH Trabalhado]]</f>
        <v>0.77702096838570323</v>
      </c>
      <c r="AB704" s="38">
        <f>MIP[[#This Row],[HH Produtivo
Total]]/MIP[[#This Row],[HH disponível]]</f>
        <v>0.68872313106914562</v>
      </c>
      <c r="AC704" s="38">
        <f>MIP[[#This Row],[HH Trabalhado]]/MIP[[#This Row],[HH disponível]]</f>
        <v>0.88636363636363591</v>
      </c>
      <c r="AD704" s="37" t="str">
        <f>LEFT(MIP[[#This Row],[Equipe]], SEARCH("/",MIP[[#This Row],[Equipe]],1)-1)</f>
        <v xml:space="preserve">EDILTON </v>
      </c>
      <c r="AE704" s="37" t="str">
        <f>RIGHT(MIP[[#This Row],[Equipe]], LEN(MIP[[#This Row],[Equipe]])-SEARCH("/",MIP[[#This Row],[Equipe]],1))</f>
        <v xml:space="preserve"> GECIVALDO</v>
      </c>
      <c r="AF704" s="44">
        <f>COUNTIFS('[1]Tempo parado'!H:H,"&gt;="&amp;MIP[[#This Row],[S.B Sitrack]],'[1]Tempo parado'!I:I,"&lt;="&amp;MIP[[#This Row],[C.B Sitrack]],'[1]Tempo parado'!B:B,MIP[[#This Row],[Placa]])</f>
        <v>0</v>
      </c>
      <c r="AG704" s="36"/>
      <c r="AH704" s="35"/>
      <c r="AI704" s="34"/>
      <c r="AJ704" s="34"/>
      <c r="AK70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0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04" s="32">
        <f>SUMIFS('[1]Tempo parado'!J:J,'[1]Tempo parado'!H:H,"&gt;="&amp;MIP[[#This Row],[S.B Sitrack]],'[1]Tempo parado'!I:I,"&lt;="&amp;MIP[[#This Row],[C.B Sitrack]],'[1]Tempo parado'!B:B,MIP[[#This Row],[Placa]])</f>
        <v>0</v>
      </c>
      <c r="AN704" s="32" t="str">
        <f>IFERROR(MIP[[#This Row],[Tempo parado]]/(MIP[[#This Row],[C.B Sitrack]]-MIP[[#This Row],[S.B Sitrack]]),"")</f>
        <v/>
      </c>
      <c r="AO704" s="30"/>
      <c r="AP704" s="44">
        <f>IF(AND(MIP[Exc]=0,MIP[Previsto / Realizado]="Realizado"),MIP[Sem],0)</f>
        <v>0</v>
      </c>
      <c r="AQ704" s="29">
        <f>IF(AND(MIP[Exc]=0,MIP[Previsto / Realizado]="Realizado",ISBLANK(MIP[[#This Row],[S.B Sitrack]])=FALSE,ISBLANK(MIP[[#This Row],[C.B Sitrack]])=FALSE),MIP[Sem],0)</f>
        <v>0</v>
      </c>
    </row>
    <row r="705" spans="2:43" x14ac:dyDescent="0.25">
      <c r="B705" s="29">
        <f>WEEKNUM(MIP[[#This Row],[Data]])</f>
        <v>43</v>
      </c>
      <c r="C705" s="45">
        <v>43032</v>
      </c>
      <c r="D705" s="45"/>
      <c r="E705" s="35" t="s">
        <v>3</v>
      </c>
      <c r="F705" s="35" t="s">
        <v>2</v>
      </c>
      <c r="G705" s="35"/>
      <c r="H705" s="44">
        <v>2</v>
      </c>
      <c r="I705" s="44">
        <v>4</v>
      </c>
      <c r="J705" s="44">
        <v>0</v>
      </c>
      <c r="K705" s="44">
        <v>0</v>
      </c>
      <c r="L705" s="44">
        <v>10</v>
      </c>
      <c r="M705" s="43">
        <v>0.60972222222222217</v>
      </c>
      <c r="N705" s="43">
        <v>0.67361111111111116</v>
      </c>
      <c r="O705" s="43">
        <v>1.0125</v>
      </c>
      <c r="P705" s="43">
        <v>1.0333333333333334</v>
      </c>
      <c r="Q705" s="39"/>
      <c r="R705" s="42" t="s">
        <v>167</v>
      </c>
      <c r="S705" s="29">
        <v>14</v>
      </c>
      <c r="T70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8.4722222222222476E-2</v>
      </c>
      <c r="U705" s="39">
        <f>IF(MIP[[#This Row],[P.S]]-MIP[[#This Row],[U.P]]&gt;=0,MIP[[#This Row],[P.S]]-MIP[[#This Row],[U.P]]+MIP[[#This Row],[S.B]]-MIP[[#This Row],[P.E]],1+MIP[[#This Row],[P.S]]-MIP[[#This Row],[U.P]]+MIP[[#This Row],[S.B]]-MIP[[#This Row],[P.E]])</f>
        <v>8.4722222222222476E-2</v>
      </c>
      <c r="V705" s="41">
        <f>MIP[[#This Row],[Eficiência]]</f>
        <v>1.0180380133790845</v>
      </c>
      <c r="W70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05" s="39">
        <f>IF(MIP[[#This Row],[P.S]]-MIP[[#This Row],[P.E]]&lt;0,1+MIP[[#This Row],[P.S]]-MIP[[#This Row],[P.E]]-1/24,MIP[[#This Row],[P.S]]-MIP[[#This Row],[P.E]]-1/24)</f>
        <v>0.38194444444444459</v>
      </c>
      <c r="Y705" s="39">
        <f>MIP[[#This Row],[PT-1]]*$S$3+MIP[[#This Row],[PT-2]]*$T$3+MIP[[#This Row],[PT-3]]*$U$3+MIP[[#This Row],[PT &gt; 3 Pontos]]*$V$3</f>
        <v>0.3025835206432278</v>
      </c>
      <c r="Z705" s="39">
        <f>MIP[[#This Row],[HH disponível]]-MIP[[#This Row],[HH AC TOT]]</f>
        <v>0.29722222222222211</v>
      </c>
      <c r="AA705" s="38">
        <f>MIP[[#This Row],[HH Produtivo
Total]]/MIP[[#This Row],[HH Trabalhado]]</f>
        <v>1.0180380133790845</v>
      </c>
      <c r="AB705" s="38">
        <f>MIP[[#This Row],[HH Produtivo
Total]]/MIP[[#This Row],[HH disponível]]</f>
        <v>0.79221867222954157</v>
      </c>
      <c r="AC705" s="38">
        <f>MIP[[#This Row],[HH Trabalhado]]/MIP[[#This Row],[HH disponível]]</f>
        <v>0.77818181818181764</v>
      </c>
      <c r="AD705" s="37" t="str">
        <f>LEFT(MIP[[#This Row],[Equipe]], SEARCH("/",MIP[[#This Row],[Equipe]],1)-1)</f>
        <v xml:space="preserve">EDILTON </v>
      </c>
      <c r="AE705" s="37" t="str">
        <f>RIGHT(MIP[[#This Row],[Equipe]], LEN(MIP[[#This Row],[Equipe]])-SEARCH("/",MIP[[#This Row],[Equipe]],1))</f>
        <v xml:space="preserve"> GECIVALDO</v>
      </c>
      <c r="AF705" s="44">
        <f>COUNTIFS('[1]Tempo parado'!H:H,"&gt;="&amp;MIP[[#This Row],[S.B Sitrack]],'[1]Tempo parado'!I:I,"&lt;="&amp;MIP[[#This Row],[C.B Sitrack]],'[1]Tempo parado'!B:B,MIP[[#This Row],[Placa]])</f>
        <v>0</v>
      </c>
      <c r="AG705" s="36"/>
      <c r="AH705" s="35"/>
      <c r="AI705" s="34"/>
      <c r="AJ705" s="34"/>
      <c r="AK70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0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05" s="32">
        <f>SUMIFS('[1]Tempo parado'!J:J,'[1]Tempo parado'!H:H,"&gt;="&amp;MIP[[#This Row],[S.B Sitrack]],'[1]Tempo parado'!I:I,"&lt;="&amp;MIP[[#This Row],[C.B Sitrack]],'[1]Tempo parado'!B:B,MIP[[#This Row],[Placa]])</f>
        <v>0</v>
      </c>
      <c r="AN705" s="32" t="str">
        <f>IFERROR(MIP[[#This Row],[Tempo parado]]/(MIP[[#This Row],[C.B Sitrack]]-MIP[[#This Row],[S.B Sitrack]]),"")</f>
        <v/>
      </c>
      <c r="AO705" s="30"/>
      <c r="AP705" s="44">
        <f>IF(AND(MIP[Exc]=0,MIP[Previsto / Realizado]="Realizado"),MIP[Sem],0)</f>
        <v>43</v>
      </c>
      <c r="AQ705" s="29">
        <f>IF(AND(MIP[Exc]=0,MIP[Previsto / Realizado]="Realizado",ISBLANK(MIP[[#This Row],[S.B Sitrack]])=FALSE,ISBLANK(MIP[[#This Row],[C.B Sitrack]])=FALSE),MIP[Sem],0)</f>
        <v>0</v>
      </c>
    </row>
    <row r="706" spans="2:43" x14ac:dyDescent="0.25">
      <c r="B706" s="29">
        <f>WEEKNUM(MIP[[#This Row],[Data]])</f>
        <v>43</v>
      </c>
      <c r="C706" s="45">
        <v>43032</v>
      </c>
      <c r="D706" s="45"/>
      <c r="E706" s="35" t="s">
        <v>19</v>
      </c>
      <c r="F706" s="35" t="s">
        <v>5</v>
      </c>
      <c r="G706" s="35"/>
      <c r="H706" s="44">
        <v>2</v>
      </c>
      <c r="I706" s="44">
        <v>3</v>
      </c>
      <c r="J706" s="44">
        <v>0</v>
      </c>
      <c r="K706" s="44">
        <v>1</v>
      </c>
      <c r="L706" s="44">
        <v>4</v>
      </c>
      <c r="M706" s="43">
        <v>0.625</v>
      </c>
      <c r="N706" s="43">
        <v>0.64583333333333337</v>
      </c>
      <c r="O706" s="43">
        <v>1.0125</v>
      </c>
      <c r="P706" s="43">
        <v>1.0333333333333334</v>
      </c>
      <c r="Q706" s="39"/>
      <c r="R706" s="42" t="s">
        <v>166</v>
      </c>
      <c r="S706" s="29">
        <v>10</v>
      </c>
      <c r="T70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706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706" s="41">
        <f>MIP[[#This Row],[Eficiência]]</f>
        <v>0.67341932814456995</v>
      </c>
      <c r="W70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06" s="39">
        <f>IF(MIP[[#This Row],[P.S]]-MIP[[#This Row],[P.E]]&lt;0,1+MIP[[#This Row],[P.S]]-MIP[[#This Row],[P.E]]-1/24,MIP[[#This Row],[P.S]]-MIP[[#This Row],[P.E]]-1/24)</f>
        <v>0.36666666666666675</v>
      </c>
      <c r="Y706" s="39">
        <f>MIP[[#This Row],[PT-1]]*$S$3+MIP[[#This Row],[PT-2]]*$T$3+MIP[[#This Row],[PT-3]]*$U$3+MIP[[#This Row],[PT &gt; 3 Pontos]]*$V$3</f>
        <v>0.21886128164698518</v>
      </c>
      <c r="Z706" s="39">
        <f>MIP[[#This Row],[HH disponível]]-MIP[[#This Row],[HH AC TOT]]</f>
        <v>0.3249999999999999</v>
      </c>
      <c r="AA706" s="38">
        <f>MIP[[#This Row],[HH Produtivo
Total]]/MIP[[#This Row],[HH Trabalhado]]</f>
        <v>0.67341932814456995</v>
      </c>
      <c r="AB706" s="38">
        <f>MIP[[#This Row],[HH Produtivo
Total]]/MIP[[#This Row],[HH disponível]]</f>
        <v>0.59689440449177766</v>
      </c>
      <c r="AC706" s="38">
        <f>MIP[[#This Row],[HH Trabalhado]]/MIP[[#This Row],[HH disponível]]</f>
        <v>0.88636363636363591</v>
      </c>
      <c r="AD706" s="37" t="str">
        <f>LEFT(MIP[[#This Row],[Equipe]], SEARCH("/",MIP[[#This Row],[Equipe]],1)-1)</f>
        <v xml:space="preserve">ADEMÁRIO </v>
      </c>
      <c r="AE706" s="37" t="str">
        <f>RIGHT(MIP[[#This Row],[Equipe]], LEN(MIP[[#This Row],[Equipe]])-SEARCH("/",MIP[[#This Row],[Equipe]],1))</f>
        <v xml:space="preserve"> RONALDO</v>
      </c>
      <c r="AF706" s="44">
        <f>COUNTIFS('[1]Tempo parado'!H:H,"&gt;="&amp;MIP[[#This Row],[S.B Sitrack]],'[1]Tempo parado'!I:I,"&lt;="&amp;MIP[[#This Row],[C.B Sitrack]],'[1]Tempo parado'!B:B,MIP[[#This Row],[Placa]])</f>
        <v>0</v>
      </c>
      <c r="AG706" s="36"/>
      <c r="AH706" s="35"/>
      <c r="AI706" s="34"/>
      <c r="AJ706" s="34"/>
      <c r="AK70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0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06" s="32">
        <f>SUMIFS('[1]Tempo parado'!J:J,'[1]Tempo parado'!H:H,"&gt;="&amp;MIP[[#This Row],[S.B Sitrack]],'[1]Tempo parado'!I:I,"&lt;="&amp;MIP[[#This Row],[C.B Sitrack]],'[1]Tempo parado'!B:B,MIP[[#This Row],[Placa]])</f>
        <v>0</v>
      </c>
      <c r="AN706" s="32" t="str">
        <f>IFERROR(MIP[[#This Row],[Tempo parado]]/(MIP[[#This Row],[C.B Sitrack]]-MIP[[#This Row],[S.B Sitrack]]),"")</f>
        <v/>
      </c>
      <c r="AO706" s="30"/>
      <c r="AP706" s="44">
        <f>IF(AND(MIP[Exc]=0,MIP[Previsto / Realizado]="Realizado"),MIP[Sem],0)</f>
        <v>0</v>
      </c>
      <c r="AQ706" s="29">
        <f>IF(AND(MIP[Exc]=0,MIP[Previsto / Realizado]="Realizado",ISBLANK(MIP[[#This Row],[S.B Sitrack]])=FALSE,ISBLANK(MIP[[#This Row],[C.B Sitrack]])=FALSE),MIP[Sem],0)</f>
        <v>0</v>
      </c>
    </row>
    <row r="707" spans="2:43" x14ac:dyDescent="0.25">
      <c r="B707" s="29">
        <f>WEEKNUM(MIP[[#This Row],[Data]])</f>
        <v>43</v>
      </c>
      <c r="C707" s="45">
        <v>43032</v>
      </c>
      <c r="D707" s="45"/>
      <c r="E707" s="35" t="s">
        <v>19</v>
      </c>
      <c r="F707" s="35" t="s">
        <v>2</v>
      </c>
      <c r="G707" s="35"/>
      <c r="H707" s="44">
        <v>2</v>
      </c>
      <c r="I707" s="44">
        <v>3</v>
      </c>
      <c r="J707" s="44">
        <v>1</v>
      </c>
      <c r="K707" s="44">
        <v>1</v>
      </c>
      <c r="L707" s="44">
        <v>8</v>
      </c>
      <c r="M707" s="43">
        <v>0.63750000000000007</v>
      </c>
      <c r="N707" s="43">
        <v>0.6743055555555556</v>
      </c>
      <c r="O707" s="43">
        <v>1.0013888888888889</v>
      </c>
      <c r="P707" s="43">
        <v>1.0361111111111112</v>
      </c>
      <c r="Q707" s="39">
        <v>3.4722222222222224E-2</v>
      </c>
      <c r="R707" s="42" t="s">
        <v>165</v>
      </c>
      <c r="S707" s="29">
        <v>16</v>
      </c>
      <c r="T70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0.10625000000000008</v>
      </c>
      <c r="U707" s="39">
        <f>IF(MIP[[#This Row],[P.S]]-MIP[[#This Row],[U.P]]&gt;=0,MIP[[#This Row],[P.S]]-MIP[[#This Row],[U.P]]+MIP[[#This Row],[S.B]]-MIP[[#This Row],[P.E]],1+MIP[[#This Row],[P.S]]-MIP[[#This Row],[U.P]]+MIP[[#This Row],[S.B]]-MIP[[#This Row],[P.E]])</f>
        <v>7.1527777777777857E-2</v>
      </c>
      <c r="V707" s="41">
        <f>MIP[[#This Row],[Eficiência]]</f>
        <v>1.3712393668508933</v>
      </c>
      <c r="W70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07" s="39">
        <f>IF(MIP[[#This Row],[P.S]]-MIP[[#This Row],[P.E]]&lt;0,1+MIP[[#This Row],[P.S]]-MIP[[#This Row],[P.E]]-1/24,MIP[[#This Row],[P.S]]-MIP[[#This Row],[P.E]]-1/24)</f>
        <v>0.35694444444444445</v>
      </c>
      <c r="Y707" s="39">
        <f>MIP[[#This Row],[PT-1]]*$S$3+MIP[[#This Row],[PT-2]]*$T$3+MIP[[#This Row],[PT-3]]*$U$3+MIP[[#This Row],[PT &gt; 3 Pontos]]*$V$3</f>
        <v>0.34376209127303636</v>
      </c>
      <c r="Z707" s="39">
        <f>MIP[[#This Row],[HH disponível]]-MIP[[#This Row],[HH AC TOT]]</f>
        <v>0.25069444444444439</v>
      </c>
      <c r="AA707" s="38">
        <f>MIP[[#This Row],[HH Produtivo
Total]]/MIP[[#This Row],[HH Trabalhado]]</f>
        <v>1.3712393668508933</v>
      </c>
      <c r="AB707" s="38">
        <f>MIP[[#This Row],[HH Produtivo
Total]]/MIP[[#This Row],[HH disponível]]</f>
        <v>0.96306889383885674</v>
      </c>
      <c r="AC707" s="38">
        <f>MIP[[#This Row],[HH Trabalhado]]/MIP[[#This Row],[HH disponível]]</f>
        <v>0.70233463035019439</v>
      </c>
      <c r="AD707" s="37" t="str">
        <f>LEFT(MIP[[#This Row],[Equipe]], SEARCH("/",MIP[[#This Row],[Equipe]],1)-1)</f>
        <v xml:space="preserve">ADEMÁRIO </v>
      </c>
      <c r="AE707" s="37" t="str">
        <f>RIGHT(MIP[[#This Row],[Equipe]], LEN(MIP[[#This Row],[Equipe]])-SEARCH("/",MIP[[#This Row],[Equipe]],1))</f>
        <v xml:space="preserve"> RONALDO</v>
      </c>
      <c r="AF707" s="44">
        <f>COUNTIFS('[1]Tempo parado'!H:H,"&gt;="&amp;MIP[[#This Row],[S.B Sitrack]],'[1]Tempo parado'!I:I,"&lt;="&amp;MIP[[#This Row],[C.B Sitrack]],'[1]Tempo parado'!B:B,MIP[[#This Row],[Placa]])</f>
        <v>0</v>
      </c>
      <c r="AG707" s="36"/>
      <c r="AH707" s="35"/>
      <c r="AI707" s="34"/>
      <c r="AJ707" s="34"/>
      <c r="AK70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0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07" s="32">
        <f>SUMIFS('[1]Tempo parado'!J:J,'[1]Tempo parado'!H:H,"&gt;="&amp;MIP[[#This Row],[S.B Sitrack]],'[1]Tempo parado'!I:I,"&lt;="&amp;MIP[[#This Row],[C.B Sitrack]],'[1]Tempo parado'!B:B,MIP[[#This Row],[Placa]])</f>
        <v>0</v>
      </c>
      <c r="AN707" s="32" t="str">
        <f>IFERROR(MIP[[#This Row],[Tempo parado]]/(MIP[[#This Row],[C.B Sitrack]]-MIP[[#This Row],[S.B Sitrack]]),"")</f>
        <v/>
      </c>
      <c r="AO707" s="30"/>
      <c r="AP707" s="44">
        <f>IF(AND(MIP[Exc]=0,MIP[Previsto / Realizado]="Realizado"),MIP[Sem],0)</f>
        <v>43</v>
      </c>
      <c r="AQ707" s="29">
        <f>IF(AND(MIP[Exc]=0,MIP[Previsto / Realizado]="Realizado",ISBLANK(MIP[[#This Row],[S.B Sitrack]])=FALSE,ISBLANK(MIP[[#This Row],[C.B Sitrack]])=FALSE),MIP[Sem],0)</f>
        <v>0</v>
      </c>
    </row>
    <row r="708" spans="2:43" x14ac:dyDescent="0.25">
      <c r="B708" s="29">
        <f>WEEKNUM(MIP[[#This Row],[Data]])</f>
        <v>43</v>
      </c>
      <c r="C708" s="45">
        <v>43033</v>
      </c>
      <c r="D708" s="45"/>
      <c r="E708" s="35" t="s">
        <v>3</v>
      </c>
      <c r="F708" s="35" t="s">
        <v>5</v>
      </c>
      <c r="G708" s="35"/>
      <c r="H708" s="44">
        <v>2</v>
      </c>
      <c r="I708" s="44">
        <v>8</v>
      </c>
      <c r="J708" s="44">
        <v>0</v>
      </c>
      <c r="K708" s="44">
        <v>2</v>
      </c>
      <c r="L708" s="44">
        <v>0</v>
      </c>
      <c r="M708" s="43">
        <v>0.625</v>
      </c>
      <c r="N708" s="43">
        <v>0.64583333333333337</v>
      </c>
      <c r="O708" s="43">
        <v>1.0125</v>
      </c>
      <c r="P708" s="43">
        <v>1.0333333333333334</v>
      </c>
      <c r="Q708" s="39"/>
      <c r="R708" s="42"/>
      <c r="S708" s="29">
        <v>14</v>
      </c>
      <c r="T70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708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708" s="41">
        <f>MIP[[#This Row],[Eficiência]]</f>
        <v>1.0024313297411123</v>
      </c>
      <c r="W70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08" s="39">
        <f>IF(MIP[[#This Row],[P.S]]-MIP[[#This Row],[P.E]]&lt;0,1+MIP[[#This Row],[P.S]]-MIP[[#This Row],[P.E]]-1/24,MIP[[#This Row],[P.S]]-MIP[[#This Row],[P.E]]-1/24)</f>
        <v>0.36666666666666675</v>
      </c>
      <c r="Y708" s="39">
        <f>MIP[[#This Row],[PT-1]]*$S$3+MIP[[#This Row],[PT-2]]*$T$3+MIP[[#This Row],[PT-3]]*$U$3+MIP[[#This Row],[PT &gt; 3 Pontos]]*$V$3</f>
        <v>0.32579018216586142</v>
      </c>
      <c r="Z708" s="39">
        <f>MIP[[#This Row],[HH disponível]]-MIP[[#This Row],[HH AC TOT]]</f>
        <v>0.3249999999999999</v>
      </c>
      <c r="AA708" s="38">
        <f>MIP[[#This Row],[HH Produtivo
Total]]/MIP[[#This Row],[HH Trabalhado]]</f>
        <v>1.0024313297411123</v>
      </c>
      <c r="AB708" s="38">
        <f>MIP[[#This Row],[HH Produtivo
Total]]/MIP[[#This Row],[HH disponível]]</f>
        <v>0.88851867863416734</v>
      </c>
      <c r="AC708" s="38">
        <f>MIP[[#This Row],[HH Trabalhado]]/MIP[[#This Row],[HH disponível]]</f>
        <v>0.88636363636363591</v>
      </c>
      <c r="AD708" s="37" t="str">
        <f>LEFT(MIP[[#This Row],[Equipe]], SEARCH("/",MIP[[#This Row],[Equipe]],1)-1)</f>
        <v xml:space="preserve">EDILTON </v>
      </c>
      <c r="AE708" s="37" t="str">
        <f>RIGHT(MIP[[#This Row],[Equipe]], LEN(MIP[[#This Row],[Equipe]])-SEARCH("/",MIP[[#This Row],[Equipe]],1))</f>
        <v xml:space="preserve"> GECIVALDO</v>
      </c>
      <c r="AF708" s="44">
        <f>COUNTIFS('[1]Tempo parado'!H:H,"&gt;="&amp;MIP[[#This Row],[S.B Sitrack]],'[1]Tempo parado'!I:I,"&lt;="&amp;MIP[[#This Row],[C.B Sitrack]],'[1]Tempo parado'!B:B,MIP[[#This Row],[Placa]])</f>
        <v>0</v>
      </c>
      <c r="AG708" s="36"/>
      <c r="AH708" s="35"/>
      <c r="AI708" s="34"/>
      <c r="AJ708" s="34"/>
      <c r="AK70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0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08" s="32">
        <f>SUMIFS('[1]Tempo parado'!J:J,'[1]Tempo parado'!H:H,"&gt;="&amp;MIP[[#This Row],[S.B Sitrack]],'[1]Tempo parado'!I:I,"&lt;="&amp;MIP[[#This Row],[C.B Sitrack]],'[1]Tempo parado'!B:B,MIP[[#This Row],[Placa]])</f>
        <v>0</v>
      </c>
      <c r="AN708" s="32" t="str">
        <f>IFERROR(MIP[[#This Row],[Tempo parado]]/(MIP[[#This Row],[C.B Sitrack]]-MIP[[#This Row],[S.B Sitrack]]),"")</f>
        <v/>
      </c>
      <c r="AO708" s="30"/>
      <c r="AP708" s="44">
        <f>IF(AND(MIP[Exc]=0,MIP[Previsto / Realizado]="Realizado"),MIP[Sem],0)</f>
        <v>0</v>
      </c>
      <c r="AQ708" s="29">
        <f>IF(AND(MIP[Exc]=0,MIP[Previsto / Realizado]="Realizado",ISBLANK(MIP[[#This Row],[S.B Sitrack]])=FALSE,ISBLANK(MIP[[#This Row],[C.B Sitrack]])=FALSE),MIP[Sem],0)</f>
        <v>0</v>
      </c>
    </row>
    <row r="709" spans="2:43" x14ac:dyDescent="0.25">
      <c r="B709" s="29">
        <f>WEEKNUM(MIP[[#This Row],[Data]])</f>
        <v>43</v>
      </c>
      <c r="C709" s="45">
        <v>43033</v>
      </c>
      <c r="D709" s="45"/>
      <c r="E709" s="35" t="s">
        <v>3</v>
      </c>
      <c r="F709" s="35" t="s">
        <v>2</v>
      </c>
      <c r="G709" s="35"/>
      <c r="H709" s="44">
        <v>2</v>
      </c>
      <c r="I709" s="44">
        <v>8</v>
      </c>
      <c r="J709" s="44">
        <v>0</v>
      </c>
      <c r="K709" s="44">
        <v>2</v>
      </c>
      <c r="L709" s="44">
        <v>0</v>
      </c>
      <c r="M709" s="43">
        <v>0.62152777777777779</v>
      </c>
      <c r="N709" s="43">
        <v>0.66666666666666663</v>
      </c>
      <c r="O709" s="43">
        <v>1.0145833333333334</v>
      </c>
      <c r="P709" s="43">
        <v>1.0340277777777778</v>
      </c>
      <c r="Q709" s="39"/>
      <c r="R709" s="42"/>
      <c r="S709" s="29">
        <v>14</v>
      </c>
      <c r="T70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6.4583333333333215E-2</v>
      </c>
      <c r="U709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6.4583333333333215E-2</v>
      </c>
      <c r="V709" s="41">
        <f>MIP[[#This Row],[Eficiência]]</f>
        <v>1.0638046764599554</v>
      </c>
      <c r="W70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09" s="39">
        <f>IF(MIP[[#This Row],[P.S]]-MIP[[#This Row],[P.E]]&lt;0,1+MIP[[#This Row],[P.S]]-MIP[[#This Row],[P.E]]-1/24,MIP[[#This Row],[P.S]]-MIP[[#This Row],[P.E]]-1/24)</f>
        <v>0.37083333333333329</v>
      </c>
      <c r="Y709" s="39">
        <f>MIP[[#This Row],[PT-1]]*$S$3+MIP[[#This Row],[PT-2]]*$T$3+MIP[[#This Row],[PT-3]]*$U$3+MIP[[#This Row],[PT &gt; 3 Pontos]]*$V$3</f>
        <v>0.32579018216586142</v>
      </c>
      <c r="Z709" s="39">
        <f>MIP[[#This Row],[HH disponível]]-MIP[[#This Row],[HH AC TOT]]</f>
        <v>0.30625000000000008</v>
      </c>
      <c r="AA709" s="38">
        <f>MIP[[#This Row],[HH Produtivo
Total]]/MIP[[#This Row],[HH Trabalhado]]</f>
        <v>1.0638046764599554</v>
      </c>
      <c r="AB709" s="38">
        <f>MIP[[#This Row],[HH Produtivo
Total]]/MIP[[#This Row],[HH disponível]]</f>
        <v>0.87853532269445789</v>
      </c>
      <c r="AC709" s="38">
        <f>MIP[[#This Row],[HH Trabalhado]]/MIP[[#This Row],[HH disponível]]</f>
        <v>0.82584269662921383</v>
      </c>
      <c r="AD709" s="37" t="str">
        <f>LEFT(MIP[[#This Row],[Equipe]], SEARCH("/",MIP[[#This Row],[Equipe]],1)-1)</f>
        <v xml:space="preserve">EDILTON </v>
      </c>
      <c r="AE709" s="37" t="str">
        <f>RIGHT(MIP[[#This Row],[Equipe]], LEN(MIP[[#This Row],[Equipe]])-SEARCH("/",MIP[[#This Row],[Equipe]],1))</f>
        <v xml:space="preserve"> GECIVALDO</v>
      </c>
      <c r="AF709" s="44">
        <f>COUNTIFS('[1]Tempo parado'!H:H,"&gt;="&amp;MIP[[#This Row],[S.B Sitrack]],'[1]Tempo parado'!I:I,"&lt;="&amp;MIP[[#This Row],[C.B Sitrack]],'[1]Tempo parado'!B:B,MIP[[#This Row],[Placa]])</f>
        <v>0</v>
      </c>
      <c r="AG709" s="36"/>
      <c r="AH709" s="35"/>
      <c r="AI709" s="34"/>
      <c r="AJ709" s="34"/>
      <c r="AK70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0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09" s="32">
        <f>SUMIFS('[1]Tempo parado'!J:J,'[1]Tempo parado'!H:H,"&gt;="&amp;MIP[[#This Row],[S.B Sitrack]],'[1]Tempo parado'!I:I,"&lt;="&amp;MIP[[#This Row],[C.B Sitrack]],'[1]Tempo parado'!B:B,MIP[[#This Row],[Placa]])</f>
        <v>0</v>
      </c>
      <c r="AN709" s="32" t="str">
        <f>IFERROR(MIP[[#This Row],[Tempo parado]]/(MIP[[#This Row],[C.B Sitrack]]-MIP[[#This Row],[S.B Sitrack]]),"")</f>
        <v/>
      </c>
      <c r="AO709" s="30"/>
      <c r="AP709" s="44">
        <f>IF(AND(MIP[Exc]=0,MIP[Previsto / Realizado]="Realizado"),MIP[Sem],0)</f>
        <v>43</v>
      </c>
      <c r="AQ709" s="29">
        <f>IF(AND(MIP[Exc]=0,MIP[Previsto / Realizado]="Realizado",ISBLANK(MIP[[#This Row],[S.B Sitrack]])=FALSE,ISBLANK(MIP[[#This Row],[C.B Sitrack]])=FALSE),MIP[Sem],0)</f>
        <v>0</v>
      </c>
    </row>
    <row r="710" spans="2:43" x14ac:dyDescent="0.25">
      <c r="B710" s="29">
        <f>WEEKNUM(MIP[[#This Row],[Data]])</f>
        <v>43</v>
      </c>
      <c r="C710" s="45">
        <v>43033</v>
      </c>
      <c r="D710" s="45"/>
      <c r="E710" s="35" t="s">
        <v>7</v>
      </c>
      <c r="F710" s="35" t="s">
        <v>5</v>
      </c>
      <c r="G710" s="35"/>
      <c r="H710" s="44">
        <v>2</v>
      </c>
      <c r="I710" s="44">
        <v>2</v>
      </c>
      <c r="J710" s="44">
        <v>2</v>
      </c>
      <c r="K710" s="44">
        <v>1</v>
      </c>
      <c r="L710" s="44">
        <v>0</v>
      </c>
      <c r="M710" s="43">
        <v>0.625</v>
      </c>
      <c r="N710" s="43">
        <v>0.64583333333333337</v>
      </c>
      <c r="O710" s="43">
        <v>1.0125</v>
      </c>
      <c r="P710" s="43">
        <v>1.0333333333333334</v>
      </c>
      <c r="Q710" s="39"/>
      <c r="R710" s="42" t="s">
        <v>164</v>
      </c>
      <c r="S710" s="29">
        <v>9</v>
      </c>
      <c r="T71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710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710" s="41">
        <f>MIP[[#This Row],[Eficiência]]</f>
        <v>0.61741820729592489</v>
      </c>
      <c r="W71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10" s="39">
        <f>IF(MIP[[#This Row],[P.S]]-MIP[[#This Row],[P.E]]&lt;0,1+MIP[[#This Row],[P.S]]-MIP[[#This Row],[P.E]]-1/24,MIP[[#This Row],[P.S]]-MIP[[#This Row],[P.E]]-1/24)</f>
        <v>0.36666666666666675</v>
      </c>
      <c r="Y710" s="39">
        <f>MIP[[#This Row],[PT-1]]*$S$3+MIP[[#This Row],[PT-2]]*$T$3+MIP[[#This Row],[PT-3]]*$U$3+MIP[[#This Row],[PT &gt; 3 Pontos]]*$V$3</f>
        <v>0.20066091737117553</v>
      </c>
      <c r="Z710" s="39">
        <f>MIP[[#This Row],[HH disponível]]-MIP[[#This Row],[HH AC TOT]]</f>
        <v>0.3249999999999999</v>
      </c>
      <c r="AA710" s="38">
        <f>MIP[[#This Row],[HH Produtivo
Total]]/MIP[[#This Row],[HH Trabalhado]]</f>
        <v>0.61741820729592489</v>
      </c>
      <c r="AB710" s="38">
        <f>MIP[[#This Row],[HH Produtivo
Total]]/MIP[[#This Row],[HH disponível]]</f>
        <v>0.54725704737593317</v>
      </c>
      <c r="AC710" s="38">
        <f>MIP[[#This Row],[HH Trabalhado]]/MIP[[#This Row],[HH disponível]]</f>
        <v>0.88636363636363591</v>
      </c>
      <c r="AD710" s="37" t="str">
        <f>LEFT(MIP[[#This Row],[Equipe]], SEARCH("/",MIP[[#This Row],[Equipe]],1)-1)</f>
        <v xml:space="preserve">ANDERSON </v>
      </c>
      <c r="AE710" s="37" t="str">
        <f>RIGHT(MIP[[#This Row],[Equipe]], LEN(MIP[[#This Row],[Equipe]])-SEARCH("/",MIP[[#This Row],[Equipe]],1))</f>
        <v xml:space="preserve"> MARCO</v>
      </c>
      <c r="AF710" s="44">
        <f>COUNTIFS('[1]Tempo parado'!H:H,"&gt;="&amp;MIP[[#This Row],[S.B Sitrack]],'[1]Tempo parado'!I:I,"&lt;="&amp;MIP[[#This Row],[C.B Sitrack]],'[1]Tempo parado'!B:B,MIP[[#This Row],[Placa]])</f>
        <v>0</v>
      </c>
      <c r="AG710" s="36"/>
      <c r="AH710" s="35"/>
      <c r="AI710" s="34"/>
      <c r="AJ710" s="34"/>
      <c r="AK71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1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10" s="32">
        <f>SUMIFS('[1]Tempo parado'!J:J,'[1]Tempo parado'!H:H,"&gt;="&amp;MIP[[#This Row],[S.B Sitrack]],'[1]Tempo parado'!I:I,"&lt;="&amp;MIP[[#This Row],[C.B Sitrack]],'[1]Tempo parado'!B:B,MIP[[#This Row],[Placa]])</f>
        <v>0</v>
      </c>
      <c r="AN710" s="32" t="str">
        <f>IFERROR(MIP[[#This Row],[Tempo parado]]/(MIP[[#This Row],[C.B Sitrack]]-MIP[[#This Row],[S.B Sitrack]]),"")</f>
        <v/>
      </c>
      <c r="AO710" s="30"/>
      <c r="AP710" s="44">
        <f>IF(AND(MIP[Exc]=0,MIP[Previsto / Realizado]="Realizado"),MIP[Sem],0)</f>
        <v>0</v>
      </c>
      <c r="AQ710" s="29">
        <f>IF(AND(MIP[Exc]=0,MIP[Previsto / Realizado]="Realizado",ISBLANK(MIP[[#This Row],[S.B Sitrack]])=FALSE,ISBLANK(MIP[[#This Row],[C.B Sitrack]])=FALSE),MIP[Sem],0)</f>
        <v>0</v>
      </c>
    </row>
    <row r="711" spans="2:43" x14ac:dyDescent="0.25">
      <c r="B711" s="29">
        <f>WEEKNUM(MIP[[#This Row],[Data]])</f>
        <v>43</v>
      </c>
      <c r="C711" s="45">
        <v>43033</v>
      </c>
      <c r="D711" s="45"/>
      <c r="E711" s="35" t="s">
        <v>7</v>
      </c>
      <c r="F711" s="35" t="s">
        <v>2</v>
      </c>
      <c r="G711" s="35"/>
      <c r="H711" s="44">
        <v>2</v>
      </c>
      <c r="I711" s="44">
        <v>5</v>
      </c>
      <c r="J711" s="44">
        <v>2</v>
      </c>
      <c r="K711" s="44">
        <v>1</v>
      </c>
      <c r="L711" s="44">
        <v>0</v>
      </c>
      <c r="M711" s="43">
        <v>0.62569444444444444</v>
      </c>
      <c r="N711" s="43">
        <v>0.6875</v>
      </c>
      <c r="O711" s="43">
        <v>1.0104166666666667</v>
      </c>
      <c r="P711" s="43">
        <v>1.0458333333333334</v>
      </c>
      <c r="Q711" s="39">
        <v>4.1666666666666664E-2</v>
      </c>
      <c r="R711" s="42" t="s">
        <v>163</v>
      </c>
      <c r="S711" s="29">
        <v>12</v>
      </c>
      <c r="T71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0.13888888888888887</v>
      </c>
      <c r="U711" s="39">
        <f>IF(MIP[[#This Row],[P.S]]-MIP[[#This Row],[U.P]]&gt;=0,MIP[[#This Row],[P.S]]-MIP[[#This Row],[U.P]]+MIP[[#This Row],[S.B]]-MIP[[#This Row],[P.E]],1+MIP[[#This Row],[P.S]]-MIP[[#This Row],[U.P]]+MIP[[#This Row],[S.B]]-MIP[[#This Row],[P.E]])</f>
        <v>9.722222222222221E-2</v>
      </c>
      <c r="V711" s="41">
        <f>MIP[[#This Row],[Eficiência]]</f>
        <v>1.1509084226002935</v>
      </c>
      <c r="W71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11" s="39">
        <f>IF(MIP[[#This Row],[P.S]]-MIP[[#This Row],[P.E]]&lt;0,1+MIP[[#This Row],[P.S]]-MIP[[#This Row],[P.E]]-1/24,MIP[[#This Row],[P.S]]-MIP[[#This Row],[P.E]]-1/24)</f>
        <v>0.37847222222222227</v>
      </c>
      <c r="Y711" s="39">
        <f>MIP[[#This Row],[PT-1]]*$S$3+MIP[[#This Row],[PT-2]]*$T$3+MIP[[#This Row],[PT-3]]*$U$3+MIP[[#This Row],[PT &gt; 3 Pontos]]*$V$3</f>
        <v>0.27573847624798703</v>
      </c>
      <c r="Z711" s="39">
        <f>MIP[[#This Row],[HH disponível]]-MIP[[#This Row],[HH AC TOT]]</f>
        <v>0.2395833333333334</v>
      </c>
      <c r="AA711" s="38">
        <f>MIP[[#This Row],[HH Produtivo
Total]]/MIP[[#This Row],[HH Trabalhado]]</f>
        <v>1.1509084226002935</v>
      </c>
      <c r="AB711" s="38">
        <f>MIP[[#This Row],[HH Produtivo
Total]]/MIP[[#This Row],[HH disponível]]</f>
        <v>0.72855670788458948</v>
      </c>
      <c r="AC711" s="38">
        <f>MIP[[#This Row],[HH Trabalhado]]/MIP[[#This Row],[HH disponível]]</f>
        <v>0.63302752293577991</v>
      </c>
      <c r="AD711" s="37" t="str">
        <f>LEFT(MIP[[#This Row],[Equipe]], SEARCH("/",MIP[[#This Row],[Equipe]],1)-1)</f>
        <v xml:space="preserve">ANDERSON </v>
      </c>
      <c r="AE711" s="37" t="str">
        <f>RIGHT(MIP[[#This Row],[Equipe]], LEN(MIP[[#This Row],[Equipe]])-SEARCH("/",MIP[[#This Row],[Equipe]],1))</f>
        <v xml:space="preserve"> MARCO</v>
      </c>
      <c r="AF711" s="44">
        <f>COUNTIFS('[1]Tempo parado'!H:H,"&gt;="&amp;MIP[[#This Row],[S.B Sitrack]],'[1]Tempo parado'!I:I,"&lt;="&amp;MIP[[#This Row],[C.B Sitrack]],'[1]Tempo parado'!B:B,MIP[[#This Row],[Placa]])</f>
        <v>0</v>
      </c>
      <c r="AG711" s="36"/>
      <c r="AH711" s="35"/>
      <c r="AI711" s="34"/>
      <c r="AJ711" s="34"/>
      <c r="AK71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1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11" s="32">
        <f>SUMIFS('[1]Tempo parado'!J:J,'[1]Tempo parado'!H:H,"&gt;="&amp;MIP[[#This Row],[S.B Sitrack]],'[1]Tempo parado'!I:I,"&lt;="&amp;MIP[[#This Row],[C.B Sitrack]],'[1]Tempo parado'!B:B,MIP[[#This Row],[Placa]])</f>
        <v>0</v>
      </c>
      <c r="AN711" s="32" t="str">
        <f>IFERROR(MIP[[#This Row],[Tempo parado]]/(MIP[[#This Row],[C.B Sitrack]]-MIP[[#This Row],[S.B Sitrack]]),"")</f>
        <v/>
      </c>
      <c r="AO711" s="30"/>
      <c r="AP711" s="44">
        <f>IF(AND(MIP[Exc]=0,MIP[Previsto / Realizado]="Realizado"),MIP[Sem],0)</f>
        <v>43</v>
      </c>
      <c r="AQ711" s="29">
        <f>IF(AND(MIP[Exc]=0,MIP[Previsto / Realizado]="Realizado",ISBLANK(MIP[[#This Row],[S.B Sitrack]])=FALSE,ISBLANK(MIP[[#This Row],[C.B Sitrack]])=FALSE),MIP[Sem],0)</f>
        <v>0</v>
      </c>
    </row>
    <row r="712" spans="2:43" x14ac:dyDescent="0.25">
      <c r="B712" s="29">
        <f>WEEKNUM(MIP[[#This Row],[Data]])</f>
        <v>43</v>
      </c>
      <c r="C712" s="45">
        <v>43033</v>
      </c>
      <c r="D712" s="45"/>
      <c r="E712" s="35" t="s">
        <v>19</v>
      </c>
      <c r="F712" s="35" t="s">
        <v>5</v>
      </c>
      <c r="G712" s="35"/>
      <c r="H712" s="44">
        <v>2</v>
      </c>
      <c r="I712" s="44">
        <v>4</v>
      </c>
      <c r="J712" s="44">
        <v>0</v>
      </c>
      <c r="K712" s="44">
        <v>1</v>
      </c>
      <c r="L712" s="44">
        <v>0</v>
      </c>
      <c r="M712" s="43">
        <v>0.625</v>
      </c>
      <c r="N712" s="43">
        <v>0.64583333333333337</v>
      </c>
      <c r="O712" s="43">
        <v>1.0125</v>
      </c>
      <c r="P712" s="43">
        <v>1.0333333333333334</v>
      </c>
      <c r="Q712" s="39"/>
      <c r="R712" s="42"/>
      <c r="S712" s="29">
        <v>7</v>
      </c>
      <c r="T71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712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712" s="41">
        <f>MIP[[#This Row],[Eficiência]]</f>
        <v>0.50121566487055613</v>
      </c>
      <c r="W71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12" s="39">
        <f>IF(MIP[[#This Row],[P.S]]-MIP[[#This Row],[P.E]]&lt;0,1+MIP[[#This Row],[P.S]]-MIP[[#This Row],[P.E]]-1/24,MIP[[#This Row],[P.S]]-MIP[[#This Row],[P.E]]-1/24)</f>
        <v>0.36666666666666675</v>
      </c>
      <c r="Y712" s="39">
        <f>MIP[[#This Row],[PT-1]]*$S$3+MIP[[#This Row],[PT-2]]*$T$3+MIP[[#This Row],[PT-3]]*$U$3+MIP[[#This Row],[PT &gt; 3 Pontos]]*$V$3</f>
        <v>0.16289509108293071</v>
      </c>
      <c r="Z712" s="39">
        <f>MIP[[#This Row],[HH disponível]]-MIP[[#This Row],[HH AC TOT]]</f>
        <v>0.3249999999999999</v>
      </c>
      <c r="AA712" s="38">
        <f>MIP[[#This Row],[HH Produtivo
Total]]/MIP[[#This Row],[HH Trabalhado]]</f>
        <v>0.50121566487055613</v>
      </c>
      <c r="AB712" s="38">
        <f>MIP[[#This Row],[HH Produtivo
Total]]/MIP[[#This Row],[HH disponível]]</f>
        <v>0.44425933931708367</v>
      </c>
      <c r="AC712" s="38">
        <f>MIP[[#This Row],[HH Trabalhado]]/MIP[[#This Row],[HH disponível]]</f>
        <v>0.88636363636363591</v>
      </c>
      <c r="AD712" s="37" t="str">
        <f>LEFT(MIP[[#This Row],[Equipe]], SEARCH("/",MIP[[#This Row],[Equipe]],1)-1)</f>
        <v xml:space="preserve">ADEMÁRIO </v>
      </c>
      <c r="AE712" s="37" t="str">
        <f>RIGHT(MIP[[#This Row],[Equipe]], LEN(MIP[[#This Row],[Equipe]])-SEARCH("/",MIP[[#This Row],[Equipe]],1))</f>
        <v xml:space="preserve"> RONALDO</v>
      </c>
      <c r="AF712" s="44">
        <f>COUNTIFS('[1]Tempo parado'!H:H,"&gt;="&amp;MIP[[#This Row],[S.B Sitrack]],'[1]Tempo parado'!I:I,"&lt;="&amp;MIP[[#This Row],[C.B Sitrack]],'[1]Tempo parado'!B:B,MIP[[#This Row],[Placa]])</f>
        <v>0</v>
      </c>
      <c r="AG712" s="36"/>
      <c r="AH712" s="35"/>
      <c r="AI712" s="34"/>
      <c r="AJ712" s="34"/>
      <c r="AK71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1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12" s="32">
        <f>SUMIFS('[1]Tempo parado'!J:J,'[1]Tempo parado'!H:H,"&gt;="&amp;MIP[[#This Row],[S.B Sitrack]],'[1]Tempo parado'!I:I,"&lt;="&amp;MIP[[#This Row],[C.B Sitrack]],'[1]Tempo parado'!B:B,MIP[[#This Row],[Placa]])</f>
        <v>0</v>
      </c>
      <c r="AN712" s="32" t="str">
        <f>IFERROR(MIP[[#This Row],[Tempo parado]]/(MIP[[#This Row],[C.B Sitrack]]-MIP[[#This Row],[S.B Sitrack]]),"")</f>
        <v/>
      </c>
      <c r="AO712" s="30"/>
      <c r="AP712" s="44">
        <f>IF(AND(MIP[Exc]=0,MIP[Previsto / Realizado]="Realizado"),MIP[Sem],0)</f>
        <v>0</v>
      </c>
      <c r="AQ712" s="29">
        <f>IF(AND(MIP[Exc]=0,MIP[Previsto / Realizado]="Realizado",ISBLANK(MIP[[#This Row],[S.B Sitrack]])=FALSE,ISBLANK(MIP[[#This Row],[C.B Sitrack]])=FALSE),MIP[Sem],0)</f>
        <v>0</v>
      </c>
    </row>
    <row r="713" spans="2:43" x14ac:dyDescent="0.25">
      <c r="B713" s="29">
        <f>WEEKNUM(MIP[[#This Row],[Data]])</f>
        <v>43</v>
      </c>
      <c r="C713" s="45">
        <v>43033</v>
      </c>
      <c r="D713" s="45"/>
      <c r="E713" s="35" t="s">
        <v>19</v>
      </c>
      <c r="F713" s="35" t="s">
        <v>2</v>
      </c>
      <c r="G713" s="35"/>
      <c r="H713" s="44">
        <v>2</v>
      </c>
      <c r="I713" s="44">
        <v>3</v>
      </c>
      <c r="J713" s="44">
        <v>0</v>
      </c>
      <c r="K713" s="44">
        <v>1</v>
      </c>
      <c r="L713" s="44">
        <v>0</v>
      </c>
      <c r="M713" s="43">
        <v>0.63680555555555551</v>
      </c>
      <c r="N713" s="43">
        <v>0.69444444444444453</v>
      </c>
      <c r="O713" s="43">
        <v>0.91319444444444453</v>
      </c>
      <c r="P713" s="43">
        <v>1.0465277777777777</v>
      </c>
      <c r="Q713" s="39"/>
      <c r="R713" s="42" t="s">
        <v>162</v>
      </c>
      <c r="S713" s="29">
        <v>6</v>
      </c>
      <c r="T71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0.19097222222222221</v>
      </c>
      <c r="U713" s="39">
        <f>IF(MIP[[#This Row],[P.S]]-MIP[[#This Row],[U.P]]&gt;=0,MIP[[#This Row],[P.S]]-MIP[[#This Row],[U.P]]+MIP[[#This Row],[S.B]]-MIP[[#This Row],[P.E]],1+MIP[[#This Row],[P.S]]-MIP[[#This Row],[U.P]]+MIP[[#This Row],[S.B]]-MIP[[#This Row],[P.E]])</f>
        <v>0.19097222222222221</v>
      </c>
      <c r="V713" s="41">
        <f>MIP[[#This Row],[Eficiência]]</f>
        <v>0.77855569764137533</v>
      </c>
      <c r="W71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13" s="39">
        <f>IF(MIP[[#This Row],[P.S]]-MIP[[#This Row],[P.E]]&lt;0,1+MIP[[#This Row],[P.S]]-MIP[[#This Row],[P.E]]-1/24,MIP[[#This Row],[P.S]]-MIP[[#This Row],[P.E]]-1/24)</f>
        <v>0.36805555555555552</v>
      </c>
      <c r="Y713" s="39">
        <f>MIP[[#This Row],[PT-1]]*$S$3+MIP[[#This Row],[PT-2]]*$T$3+MIP[[#This Row],[PT-3]]*$U$3+MIP[[#This Row],[PT &gt; 3 Pontos]]*$V$3</f>
        <v>0.13786923812399354</v>
      </c>
      <c r="Z713" s="39">
        <f>MIP[[#This Row],[HH disponível]]-MIP[[#This Row],[HH AC TOT]]</f>
        <v>0.17708333333333331</v>
      </c>
      <c r="AA713" s="38">
        <f>MIP[[#This Row],[HH Produtivo
Total]]/MIP[[#This Row],[HH Trabalhado]]</f>
        <v>0.77855569764137533</v>
      </c>
      <c r="AB713" s="38">
        <f>MIP[[#This Row],[HH Produtivo
Total]]/MIP[[#This Row],[HH disponível]]</f>
        <v>0.37458811867651076</v>
      </c>
      <c r="AC713" s="38">
        <f>MIP[[#This Row],[HH Trabalhado]]/MIP[[#This Row],[HH disponível]]</f>
        <v>0.48113207547169812</v>
      </c>
      <c r="AD713" s="37" t="str">
        <f>LEFT(MIP[[#This Row],[Equipe]], SEARCH("/",MIP[[#This Row],[Equipe]],1)-1)</f>
        <v xml:space="preserve">ADEMÁRIO </v>
      </c>
      <c r="AE713" s="37" t="str">
        <f>RIGHT(MIP[[#This Row],[Equipe]], LEN(MIP[[#This Row],[Equipe]])-SEARCH("/",MIP[[#This Row],[Equipe]],1))</f>
        <v xml:space="preserve"> RONALDO</v>
      </c>
      <c r="AF713" s="44">
        <f>COUNTIFS('[1]Tempo parado'!H:H,"&gt;="&amp;MIP[[#This Row],[S.B Sitrack]],'[1]Tempo parado'!I:I,"&lt;="&amp;MIP[[#This Row],[C.B Sitrack]],'[1]Tempo parado'!B:B,MIP[[#This Row],[Placa]])</f>
        <v>0</v>
      </c>
      <c r="AG713" s="36"/>
      <c r="AH713" s="35"/>
      <c r="AI713" s="34"/>
      <c r="AJ713" s="34"/>
      <c r="AK71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1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13" s="32">
        <f>SUMIFS('[1]Tempo parado'!J:J,'[1]Tempo parado'!H:H,"&gt;="&amp;MIP[[#This Row],[S.B Sitrack]],'[1]Tempo parado'!I:I,"&lt;="&amp;MIP[[#This Row],[C.B Sitrack]],'[1]Tempo parado'!B:B,MIP[[#This Row],[Placa]])</f>
        <v>0</v>
      </c>
      <c r="AN713" s="32" t="str">
        <f>IFERROR(MIP[[#This Row],[Tempo parado]]/(MIP[[#This Row],[C.B Sitrack]]-MIP[[#This Row],[S.B Sitrack]]),"")</f>
        <v/>
      </c>
      <c r="AO713" s="30"/>
      <c r="AP713" s="44">
        <f>IF(AND(MIP[Exc]=0,MIP[Previsto / Realizado]="Realizado"),MIP[Sem],0)</f>
        <v>43</v>
      </c>
      <c r="AQ713" s="29">
        <f>IF(AND(MIP[Exc]=0,MIP[Previsto / Realizado]="Realizado",ISBLANK(MIP[[#This Row],[S.B Sitrack]])=FALSE,ISBLANK(MIP[[#This Row],[C.B Sitrack]])=FALSE),MIP[Sem],0)</f>
        <v>0</v>
      </c>
    </row>
    <row r="714" spans="2:43" x14ac:dyDescent="0.25">
      <c r="B714" s="29">
        <f>WEEKNUM(MIP[[#This Row],[Data]])</f>
        <v>43</v>
      </c>
      <c r="C714" s="45">
        <v>43034</v>
      </c>
      <c r="D714" s="45"/>
      <c r="E714" s="35" t="s">
        <v>10</v>
      </c>
      <c r="F714" s="35" t="s">
        <v>5</v>
      </c>
      <c r="G714" s="35"/>
      <c r="H714" s="44">
        <v>2</v>
      </c>
      <c r="I714" s="44">
        <v>0</v>
      </c>
      <c r="J714" s="44">
        <v>1</v>
      </c>
      <c r="K714" s="44">
        <v>0</v>
      </c>
      <c r="L714" s="44">
        <v>4</v>
      </c>
      <c r="M714" s="43">
        <v>0.25</v>
      </c>
      <c r="N714" s="43">
        <v>0.27083333333333331</v>
      </c>
      <c r="O714" s="43">
        <v>0.63750000000000007</v>
      </c>
      <c r="P714" s="43">
        <v>0.65833333333333333</v>
      </c>
      <c r="Q714" s="39"/>
      <c r="R714" s="42" t="s">
        <v>4</v>
      </c>
      <c r="S714" s="29">
        <v>6</v>
      </c>
      <c r="T71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714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714" s="41">
        <f>MIP[[#This Row],[Eficiência]]</f>
        <v>0.38431018346477286</v>
      </c>
      <c r="W71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14" s="39">
        <f>IF(MIP[[#This Row],[P.S]]-MIP[[#This Row],[P.E]]&lt;0,1+MIP[[#This Row],[P.S]]-MIP[[#This Row],[P.E]]-1/24,MIP[[#This Row],[P.S]]-MIP[[#This Row],[P.E]]-1/24)</f>
        <v>0.36666666666666664</v>
      </c>
      <c r="Y714" s="39">
        <f>MIP[[#This Row],[PT-1]]*$S$3+MIP[[#This Row],[PT-2]]*$T$3+MIP[[#This Row],[PT-3]]*$U$3+MIP[[#This Row],[PT &gt; 3 Pontos]]*$V$3</f>
        <v>0.12490080962605121</v>
      </c>
      <c r="Z714" s="39">
        <f>MIP[[#This Row],[HH disponível]]-MIP[[#This Row],[HH AC TOT]]</f>
        <v>0.32500000000000007</v>
      </c>
      <c r="AA714" s="38">
        <f>MIP[[#This Row],[HH Produtivo
Total]]/MIP[[#This Row],[HH Trabalhado]]</f>
        <v>0.38431018346477286</v>
      </c>
      <c r="AB714" s="38">
        <f>MIP[[#This Row],[HH Produtivo
Total]]/MIP[[#This Row],[HH disponível]]</f>
        <v>0.34063857170741241</v>
      </c>
      <c r="AC714" s="38">
        <f>MIP[[#This Row],[HH Trabalhado]]/MIP[[#This Row],[HH disponível]]</f>
        <v>0.88636363636363658</v>
      </c>
      <c r="AD714" s="37" t="str">
        <f>LEFT(MIP[[#This Row],[Equipe]], SEARCH("/",MIP[[#This Row],[Equipe]],1)-1)</f>
        <v xml:space="preserve">JOILSON </v>
      </c>
      <c r="AE714" s="37" t="str">
        <f>RIGHT(MIP[[#This Row],[Equipe]], LEN(MIP[[#This Row],[Equipe]])-SEARCH("/",MIP[[#This Row],[Equipe]],1))</f>
        <v xml:space="preserve"> VALDEI</v>
      </c>
      <c r="AF714" s="44">
        <f>COUNTIFS('[1]Tempo parado'!H:H,"&gt;="&amp;MIP[[#This Row],[S.B Sitrack]],'[1]Tempo parado'!I:I,"&lt;="&amp;MIP[[#This Row],[C.B Sitrack]],'[1]Tempo parado'!B:B,MIP[[#This Row],[Placa]])</f>
        <v>0</v>
      </c>
      <c r="AG714" s="36"/>
      <c r="AH714" s="35"/>
      <c r="AI714" s="34"/>
      <c r="AJ714" s="34"/>
      <c r="AK71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1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14" s="32">
        <f>SUMIFS('[1]Tempo parado'!J:J,'[1]Tempo parado'!H:H,"&gt;="&amp;MIP[[#This Row],[S.B Sitrack]],'[1]Tempo parado'!I:I,"&lt;="&amp;MIP[[#This Row],[C.B Sitrack]],'[1]Tempo parado'!B:B,MIP[[#This Row],[Placa]])</f>
        <v>0</v>
      </c>
      <c r="AN714" s="32" t="str">
        <f>IFERROR(MIP[[#This Row],[Tempo parado]]/(MIP[[#This Row],[C.B Sitrack]]-MIP[[#This Row],[S.B Sitrack]]),"")</f>
        <v/>
      </c>
      <c r="AO714" s="30"/>
      <c r="AP714" s="44">
        <f>IF(AND(MIP[Exc]=0,MIP[Previsto / Realizado]="Realizado"),MIP[Sem],0)</f>
        <v>0</v>
      </c>
      <c r="AQ714" s="29">
        <f>IF(AND(MIP[Exc]=0,MIP[Previsto / Realizado]="Realizado",ISBLANK(MIP[[#This Row],[S.B Sitrack]])=FALSE,ISBLANK(MIP[[#This Row],[C.B Sitrack]])=FALSE),MIP[Sem],0)</f>
        <v>0</v>
      </c>
    </row>
    <row r="715" spans="2:43" x14ac:dyDescent="0.25">
      <c r="B715" s="29">
        <f>WEEKNUM(MIP[[#This Row],[Data]])</f>
        <v>43</v>
      </c>
      <c r="C715" s="45">
        <v>43034</v>
      </c>
      <c r="D715" s="45"/>
      <c r="E715" s="35" t="s">
        <v>10</v>
      </c>
      <c r="F715" s="35" t="s">
        <v>2</v>
      </c>
      <c r="G715" s="35"/>
      <c r="H715" s="44">
        <v>2</v>
      </c>
      <c r="I715" s="44">
        <v>6</v>
      </c>
      <c r="J715" s="44">
        <v>1</v>
      </c>
      <c r="K715" s="44">
        <v>0</v>
      </c>
      <c r="L715" s="44">
        <v>4</v>
      </c>
      <c r="M715" s="43">
        <v>0.24722222222222223</v>
      </c>
      <c r="N715" s="43">
        <v>0.27083333333333331</v>
      </c>
      <c r="O715" s="43">
        <v>0.62152777777777779</v>
      </c>
      <c r="P715" s="43">
        <v>0.65833333333333333</v>
      </c>
      <c r="Q715" s="39"/>
      <c r="R715" s="42" t="s">
        <v>17</v>
      </c>
      <c r="S715" s="29">
        <v>12</v>
      </c>
      <c r="T71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6.0416666666666619E-2</v>
      </c>
      <c r="U715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6.0416666666666619E-2</v>
      </c>
      <c r="V715" s="41">
        <f>MIP[[#This Row],[Eficiência]]</f>
        <v>0.89006861893647415</v>
      </c>
      <c r="W71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15" s="39">
        <f>IF(MIP[[#This Row],[P.S]]-MIP[[#This Row],[P.E]]&lt;0,1+MIP[[#This Row],[P.S]]-MIP[[#This Row],[P.E]]-1/24,MIP[[#This Row],[P.S]]-MIP[[#This Row],[P.E]]-1/24)</f>
        <v>0.36944444444444441</v>
      </c>
      <c r="Y715" s="39">
        <f>MIP[[#This Row],[PT-1]]*$S$3+MIP[[#This Row],[PT-2]]*$T$3+MIP[[#This Row],[PT-3]]*$U$3+MIP[[#This Row],[PT &gt; 3 Pontos]]*$V$3</f>
        <v>0.27505592737967433</v>
      </c>
      <c r="Z715" s="39">
        <f>MIP[[#This Row],[HH disponível]]-MIP[[#This Row],[HH AC TOT]]</f>
        <v>0.30902777777777779</v>
      </c>
      <c r="AA715" s="38">
        <f>MIP[[#This Row],[HH Produtivo
Total]]/MIP[[#This Row],[HH Trabalhado]]</f>
        <v>0.89006861893647415</v>
      </c>
      <c r="AB715" s="38">
        <f>MIP[[#This Row],[HH Produtivo
Total]]/MIP[[#This Row],[HH disponível]]</f>
        <v>0.74451228463671248</v>
      </c>
      <c r="AC715" s="38">
        <f>MIP[[#This Row],[HH Trabalhado]]/MIP[[#This Row],[HH disponível]]</f>
        <v>0.83646616541353391</v>
      </c>
      <c r="AD715" s="37" t="str">
        <f>LEFT(MIP[[#This Row],[Equipe]], SEARCH("/",MIP[[#This Row],[Equipe]],1)-1)</f>
        <v xml:space="preserve">JOILSON </v>
      </c>
      <c r="AE715" s="37" t="str">
        <f>RIGHT(MIP[[#This Row],[Equipe]], LEN(MIP[[#This Row],[Equipe]])-SEARCH("/",MIP[[#This Row],[Equipe]],1))</f>
        <v xml:space="preserve"> VALDEI</v>
      </c>
      <c r="AF715" s="44">
        <f>COUNTIFS('[1]Tempo parado'!H:H,"&gt;="&amp;MIP[[#This Row],[S.B Sitrack]],'[1]Tempo parado'!I:I,"&lt;="&amp;MIP[[#This Row],[C.B Sitrack]],'[1]Tempo parado'!B:B,MIP[[#This Row],[Placa]])</f>
        <v>0</v>
      </c>
      <c r="AG715" s="36"/>
      <c r="AH715" s="35"/>
      <c r="AI715" s="34"/>
      <c r="AJ715" s="34"/>
      <c r="AK71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1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15" s="32">
        <f>SUMIFS('[1]Tempo parado'!J:J,'[1]Tempo parado'!H:H,"&gt;="&amp;MIP[[#This Row],[S.B Sitrack]],'[1]Tempo parado'!I:I,"&lt;="&amp;MIP[[#This Row],[C.B Sitrack]],'[1]Tempo parado'!B:B,MIP[[#This Row],[Placa]])</f>
        <v>0</v>
      </c>
      <c r="AN715" s="32" t="str">
        <f>IFERROR(MIP[[#This Row],[Tempo parado]]/(MIP[[#This Row],[C.B Sitrack]]-MIP[[#This Row],[S.B Sitrack]]),"")</f>
        <v/>
      </c>
      <c r="AO715" s="30"/>
      <c r="AP715" s="44">
        <f>IF(AND(MIP[Exc]=0,MIP[Previsto / Realizado]="Realizado"),MIP[Sem],0)</f>
        <v>43</v>
      </c>
      <c r="AQ715" s="29">
        <f>IF(AND(MIP[Exc]=0,MIP[Previsto / Realizado]="Realizado",ISBLANK(MIP[[#This Row],[S.B Sitrack]])=FALSE,ISBLANK(MIP[[#This Row],[C.B Sitrack]])=FALSE),MIP[Sem],0)</f>
        <v>0</v>
      </c>
    </row>
    <row r="716" spans="2:43" x14ac:dyDescent="0.25">
      <c r="B716" s="29">
        <f>WEEKNUM(MIP[[#This Row],[Data]])</f>
        <v>43</v>
      </c>
      <c r="C716" s="45">
        <v>43034</v>
      </c>
      <c r="D716" s="45"/>
      <c r="E716" s="35" t="s">
        <v>3</v>
      </c>
      <c r="F716" s="35" t="s">
        <v>5</v>
      </c>
      <c r="G716" s="35"/>
      <c r="H716" s="44">
        <v>2</v>
      </c>
      <c r="I716" s="44">
        <v>5</v>
      </c>
      <c r="J716" s="44">
        <v>0</v>
      </c>
      <c r="K716" s="44">
        <v>2</v>
      </c>
      <c r="L716" s="44">
        <v>4</v>
      </c>
      <c r="M716" s="43">
        <v>0.625</v>
      </c>
      <c r="N716" s="43">
        <v>0.64583333333333337</v>
      </c>
      <c r="O716" s="43">
        <v>1.0125</v>
      </c>
      <c r="P716" s="43">
        <v>1.0333333333333334</v>
      </c>
      <c r="Q716" s="39"/>
      <c r="R716" s="42" t="s">
        <v>4</v>
      </c>
      <c r="S716" s="29">
        <v>15</v>
      </c>
      <c r="T71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716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716" s="41">
        <f>MIP[[#This Row],[Eficiência]]</f>
        <v>1.0206297440370511</v>
      </c>
      <c r="W71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16" s="39">
        <f>IF(MIP[[#This Row],[P.S]]-MIP[[#This Row],[P.E]]&lt;0,1+MIP[[#This Row],[P.S]]-MIP[[#This Row],[P.E]]-1/24,MIP[[#This Row],[P.S]]-MIP[[#This Row],[P.E]]-1/24)</f>
        <v>0.36666666666666675</v>
      </c>
      <c r="Y716" s="39">
        <f>MIP[[#This Row],[PT-1]]*$S$3+MIP[[#This Row],[PT-2]]*$T$3+MIP[[#This Row],[PT-3]]*$U$3+MIP[[#This Row],[PT &gt; 3 Pontos]]*$V$3</f>
        <v>0.33170466681204147</v>
      </c>
      <c r="Z716" s="39">
        <f>MIP[[#This Row],[HH disponível]]-MIP[[#This Row],[HH AC TOT]]</f>
        <v>0.3249999999999999</v>
      </c>
      <c r="AA716" s="38">
        <f>MIP[[#This Row],[HH Produtivo
Total]]/MIP[[#This Row],[HH Trabalhado]]</f>
        <v>1.0206297440370511</v>
      </c>
      <c r="AB716" s="38">
        <f>MIP[[#This Row],[HH Produtivo
Total]]/MIP[[#This Row],[HH disponível]]</f>
        <v>0.90464909130556748</v>
      </c>
      <c r="AC716" s="38">
        <f>MIP[[#This Row],[HH Trabalhado]]/MIP[[#This Row],[HH disponível]]</f>
        <v>0.88636363636363591</v>
      </c>
      <c r="AD716" s="37" t="str">
        <f>LEFT(MIP[[#This Row],[Equipe]], SEARCH("/",MIP[[#This Row],[Equipe]],1)-1)</f>
        <v xml:space="preserve">EDILTON </v>
      </c>
      <c r="AE716" s="37" t="str">
        <f>RIGHT(MIP[[#This Row],[Equipe]], LEN(MIP[[#This Row],[Equipe]])-SEARCH("/",MIP[[#This Row],[Equipe]],1))</f>
        <v xml:space="preserve"> GECIVALDO</v>
      </c>
      <c r="AF716" s="44">
        <f>COUNTIFS('[1]Tempo parado'!H:H,"&gt;="&amp;MIP[[#This Row],[S.B Sitrack]],'[1]Tempo parado'!I:I,"&lt;="&amp;MIP[[#This Row],[C.B Sitrack]],'[1]Tempo parado'!B:B,MIP[[#This Row],[Placa]])</f>
        <v>0</v>
      </c>
      <c r="AG716" s="36"/>
      <c r="AH716" s="35"/>
      <c r="AI716" s="34"/>
      <c r="AJ716" s="34"/>
      <c r="AK71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1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16" s="32">
        <f>SUMIFS('[1]Tempo parado'!J:J,'[1]Tempo parado'!H:H,"&gt;="&amp;MIP[[#This Row],[S.B Sitrack]],'[1]Tempo parado'!I:I,"&lt;="&amp;MIP[[#This Row],[C.B Sitrack]],'[1]Tempo parado'!B:B,MIP[[#This Row],[Placa]])</f>
        <v>0</v>
      </c>
      <c r="AN716" s="32" t="str">
        <f>IFERROR(MIP[[#This Row],[Tempo parado]]/(MIP[[#This Row],[C.B Sitrack]]-MIP[[#This Row],[S.B Sitrack]]),"")</f>
        <v/>
      </c>
      <c r="AO716" s="30"/>
      <c r="AP716" s="44">
        <f>IF(AND(MIP[Exc]=0,MIP[Previsto / Realizado]="Realizado"),MIP[Sem],0)</f>
        <v>0</v>
      </c>
      <c r="AQ716" s="29">
        <f>IF(AND(MIP[Exc]=0,MIP[Previsto / Realizado]="Realizado",ISBLANK(MIP[[#This Row],[S.B Sitrack]])=FALSE,ISBLANK(MIP[[#This Row],[C.B Sitrack]])=FALSE),MIP[Sem],0)</f>
        <v>0</v>
      </c>
    </row>
    <row r="717" spans="2:43" x14ac:dyDescent="0.25">
      <c r="B717" s="29">
        <f>WEEKNUM(MIP[[#This Row],[Data]])</f>
        <v>43</v>
      </c>
      <c r="C717" s="45">
        <v>43034</v>
      </c>
      <c r="D717" s="45"/>
      <c r="E717" s="35" t="s">
        <v>3</v>
      </c>
      <c r="F717" s="35" t="s">
        <v>2</v>
      </c>
      <c r="G717" s="35"/>
      <c r="H717" s="44">
        <v>2</v>
      </c>
      <c r="I717" s="44">
        <v>5</v>
      </c>
      <c r="J717" s="44">
        <v>0</v>
      </c>
      <c r="K717" s="44">
        <v>2</v>
      </c>
      <c r="L717" s="44">
        <v>4</v>
      </c>
      <c r="M717" s="43">
        <v>0.63888888888888895</v>
      </c>
      <c r="N717" s="43">
        <v>0.65625</v>
      </c>
      <c r="O717" s="43">
        <v>1.0201388888888889</v>
      </c>
      <c r="P717" s="43">
        <v>1.0347222222222223</v>
      </c>
      <c r="Q717" s="39"/>
      <c r="R717" s="42" t="s">
        <v>161</v>
      </c>
      <c r="S717" s="29">
        <v>15</v>
      </c>
      <c r="T71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3.1944444444444442E-2</v>
      </c>
      <c r="U717" s="39">
        <f>IF(MIP[[#This Row],[P.S]]-MIP[[#This Row],[U.P]]&gt;=0,MIP[[#This Row],[P.S]]-MIP[[#This Row],[U.P]]+MIP[[#This Row],[S.B]]-MIP[[#This Row],[P.E]],1+MIP[[#This Row],[P.S]]-MIP[[#This Row],[U.P]]+MIP[[#This Row],[S.B]]-MIP[[#This Row],[P.E]])</f>
        <v>3.1944444444444442E-2</v>
      </c>
      <c r="V717" s="41">
        <f>MIP[[#This Row],[Eficiência]]</f>
        <v>1.0294282763132321</v>
      </c>
      <c r="W71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17" s="39">
        <f>IF(MIP[[#This Row],[P.S]]-MIP[[#This Row],[P.E]]&lt;0,1+MIP[[#This Row],[P.S]]-MIP[[#This Row],[P.E]]-1/24,MIP[[#This Row],[P.S]]-MIP[[#This Row],[P.E]]-1/24)</f>
        <v>0.35416666666666669</v>
      </c>
      <c r="Y717" s="39">
        <f>MIP[[#This Row],[PT-1]]*$S$3+MIP[[#This Row],[PT-2]]*$T$3+MIP[[#This Row],[PT-3]]*$U$3+MIP[[#This Row],[PT &gt; 3 Pontos]]*$V$3</f>
        <v>0.33170466681204147</v>
      </c>
      <c r="Z717" s="39">
        <f>MIP[[#This Row],[HH disponível]]-MIP[[#This Row],[HH AC TOT]]</f>
        <v>0.32222222222222224</v>
      </c>
      <c r="AA717" s="38">
        <f>MIP[[#This Row],[HH Produtivo
Total]]/MIP[[#This Row],[HH Trabalhado]]</f>
        <v>1.0294282763132321</v>
      </c>
      <c r="AB717" s="38">
        <f>MIP[[#This Row],[HH Produtivo
Total]]/MIP[[#This Row],[HH disponível]]</f>
        <v>0.93657788276341114</v>
      </c>
      <c r="AC717" s="38">
        <f>MIP[[#This Row],[HH Trabalhado]]/MIP[[#This Row],[HH disponível]]</f>
        <v>0.90980392156862744</v>
      </c>
      <c r="AD717" s="37" t="str">
        <f>LEFT(MIP[[#This Row],[Equipe]], SEARCH("/",MIP[[#This Row],[Equipe]],1)-1)</f>
        <v xml:space="preserve">EDILTON </v>
      </c>
      <c r="AE717" s="37" t="str">
        <f>RIGHT(MIP[[#This Row],[Equipe]], LEN(MIP[[#This Row],[Equipe]])-SEARCH("/",MIP[[#This Row],[Equipe]],1))</f>
        <v xml:space="preserve"> GECIVALDO</v>
      </c>
      <c r="AF717" s="44">
        <f>COUNTIFS('[1]Tempo parado'!H:H,"&gt;="&amp;MIP[[#This Row],[S.B Sitrack]],'[1]Tempo parado'!I:I,"&lt;="&amp;MIP[[#This Row],[C.B Sitrack]],'[1]Tempo parado'!B:B,MIP[[#This Row],[Placa]])</f>
        <v>0</v>
      </c>
      <c r="AG717" s="36"/>
      <c r="AH717" s="35"/>
      <c r="AI717" s="34"/>
      <c r="AJ717" s="34"/>
      <c r="AK71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1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17" s="32">
        <f>SUMIFS('[1]Tempo parado'!J:J,'[1]Tempo parado'!H:H,"&gt;="&amp;MIP[[#This Row],[S.B Sitrack]],'[1]Tempo parado'!I:I,"&lt;="&amp;MIP[[#This Row],[C.B Sitrack]],'[1]Tempo parado'!B:B,MIP[[#This Row],[Placa]])</f>
        <v>0</v>
      </c>
      <c r="AN717" s="32" t="str">
        <f>IFERROR(MIP[[#This Row],[Tempo parado]]/(MIP[[#This Row],[C.B Sitrack]]-MIP[[#This Row],[S.B Sitrack]]),"")</f>
        <v/>
      </c>
      <c r="AO717" s="30"/>
      <c r="AP717" s="44">
        <f>IF(AND(MIP[Exc]=0,MIP[Previsto / Realizado]="Realizado"),MIP[Sem],0)</f>
        <v>43</v>
      </c>
      <c r="AQ717" s="29">
        <f>IF(AND(MIP[Exc]=0,MIP[Previsto / Realizado]="Realizado",ISBLANK(MIP[[#This Row],[S.B Sitrack]])=FALSE,ISBLANK(MIP[[#This Row],[C.B Sitrack]])=FALSE),MIP[Sem],0)</f>
        <v>0</v>
      </c>
    </row>
    <row r="718" spans="2:43" x14ac:dyDescent="0.25">
      <c r="B718" s="29">
        <f>WEEKNUM(MIP[[#This Row],[Data]])</f>
        <v>43</v>
      </c>
      <c r="C718" s="45">
        <v>43035</v>
      </c>
      <c r="D718" s="45"/>
      <c r="E718" s="35" t="s">
        <v>10</v>
      </c>
      <c r="F718" s="35" t="s">
        <v>5</v>
      </c>
      <c r="G718" s="35"/>
      <c r="H718" s="44">
        <v>2</v>
      </c>
      <c r="I718" s="44">
        <v>3</v>
      </c>
      <c r="J718" s="44">
        <v>0</v>
      </c>
      <c r="K718" s="44">
        <v>1</v>
      </c>
      <c r="L718" s="44">
        <v>6</v>
      </c>
      <c r="M718" s="43">
        <v>0.25</v>
      </c>
      <c r="N718" s="43">
        <v>0.27083333333333331</v>
      </c>
      <c r="O718" s="43">
        <v>0.63750000000000007</v>
      </c>
      <c r="P718" s="43">
        <v>0.65833333333333333</v>
      </c>
      <c r="Q718" s="39"/>
      <c r="R718" s="42" t="s">
        <v>160</v>
      </c>
      <c r="S718" s="29">
        <v>12</v>
      </c>
      <c r="T71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718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718" s="41">
        <f>MIP[[#This Row],[Eficiência]]</f>
        <v>0.79802247202609522</v>
      </c>
      <c r="W71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18" s="39">
        <f>IF(MIP[[#This Row],[P.S]]-MIP[[#This Row],[P.E]]&lt;0,1+MIP[[#This Row],[P.S]]-MIP[[#This Row],[P.E]]-1/24,MIP[[#This Row],[P.S]]-MIP[[#This Row],[P.E]]-1/24)</f>
        <v>0.36666666666666664</v>
      </c>
      <c r="Y718" s="39">
        <f>MIP[[#This Row],[PT-1]]*$S$3+MIP[[#This Row],[PT-2]]*$T$3+MIP[[#This Row],[PT-3]]*$U$3+MIP[[#This Row],[PT &gt; 3 Pontos]]*$V$3</f>
        <v>0.25935730340848101</v>
      </c>
      <c r="Z718" s="39">
        <f>MIP[[#This Row],[HH disponível]]-MIP[[#This Row],[HH AC TOT]]</f>
        <v>0.32500000000000007</v>
      </c>
      <c r="AA718" s="38">
        <f>MIP[[#This Row],[HH Produtivo
Total]]/MIP[[#This Row],[HH Trabalhado]]</f>
        <v>0.79802247202609522</v>
      </c>
      <c r="AB718" s="38">
        <f>MIP[[#This Row],[HH Produtivo
Total]]/MIP[[#This Row],[HH disponível]]</f>
        <v>0.70733810020494825</v>
      </c>
      <c r="AC718" s="38">
        <f>MIP[[#This Row],[HH Trabalhado]]/MIP[[#This Row],[HH disponível]]</f>
        <v>0.88636363636363658</v>
      </c>
      <c r="AD718" s="37" t="str">
        <f>LEFT(MIP[[#This Row],[Equipe]], SEARCH("/",MIP[[#This Row],[Equipe]],1)-1)</f>
        <v xml:space="preserve">JOILSON </v>
      </c>
      <c r="AE718" s="37" t="str">
        <f>RIGHT(MIP[[#This Row],[Equipe]], LEN(MIP[[#This Row],[Equipe]])-SEARCH("/",MIP[[#This Row],[Equipe]],1))</f>
        <v xml:space="preserve"> VALDEI</v>
      </c>
      <c r="AF718" s="44">
        <f>COUNTIFS('[1]Tempo parado'!H:H,"&gt;="&amp;MIP[[#This Row],[S.B Sitrack]],'[1]Tempo parado'!I:I,"&lt;="&amp;MIP[[#This Row],[C.B Sitrack]],'[1]Tempo parado'!B:B,MIP[[#This Row],[Placa]])</f>
        <v>0</v>
      </c>
      <c r="AG718" s="36"/>
      <c r="AH718" s="35"/>
      <c r="AI718" s="34"/>
      <c r="AJ718" s="34"/>
      <c r="AK71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1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18" s="32">
        <f>SUMIFS('[1]Tempo parado'!J:J,'[1]Tempo parado'!H:H,"&gt;="&amp;MIP[[#This Row],[S.B Sitrack]],'[1]Tempo parado'!I:I,"&lt;="&amp;MIP[[#This Row],[C.B Sitrack]],'[1]Tempo parado'!B:B,MIP[[#This Row],[Placa]])</f>
        <v>0</v>
      </c>
      <c r="AN718" s="32" t="str">
        <f>IFERROR(MIP[[#This Row],[Tempo parado]]/(MIP[[#This Row],[C.B Sitrack]]-MIP[[#This Row],[S.B Sitrack]]),"")</f>
        <v/>
      </c>
      <c r="AO718" s="30"/>
      <c r="AP718" s="44">
        <f>IF(AND(MIP[Exc]=0,MIP[Previsto / Realizado]="Realizado"),MIP[Sem],0)</f>
        <v>0</v>
      </c>
      <c r="AQ718" s="29">
        <f>IF(AND(MIP[Exc]=0,MIP[Previsto / Realizado]="Realizado",ISBLANK(MIP[[#This Row],[S.B Sitrack]])=FALSE,ISBLANK(MIP[[#This Row],[C.B Sitrack]])=FALSE),MIP[Sem],0)</f>
        <v>0</v>
      </c>
    </row>
    <row r="719" spans="2:43" x14ac:dyDescent="0.25">
      <c r="B719" s="29">
        <f>WEEKNUM(MIP[[#This Row],[Data]])</f>
        <v>43</v>
      </c>
      <c r="C719" s="45">
        <v>43035</v>
      </c>
      <c r="D719" s="45"/>
      <c r="E719" s="35" t="s">
        <v>10</v>
      </c>
      <c r="F719" s="35" t="s">
        <v>2</v>
      </c>
      <c r="G719" s="35"/>
      <c r="H719" s="44">
        <v>2</v>
      </c>
      <c r="I719" s="44">
        <v>4</v>
      </c>
      <c r="J719" s="44">
        <v>0</v>
      </c>
      <c r="K719" s="44">
        <v>1</v>
      </c>
      <c r="L719" s="44">
        <v>0</v>
      </c>
      <c r="M719" s="43">
        <v>0.24791666666666667</v>
      </c>
      <c r="N719" s="43">
        <v>0.2638888888888889</v>
      </c>
      <c r="O719" s="43">
        <v>0.56666666666666665</v>
      </c>
      <c r="P719" s="43">
        <v>0.66388888888888886</v>
      </c>
      <c r="Q719" s="39">
        <v>3.888888888888889E-2</v>
      </c>
      <c r="R719" s="42" t="s">
        <v>159</v>
      </c>
      <c r="S719" s="29">
        <v>7</v>
      </c>
      <c r="T71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0.15208333333333332</v>
      </c>
      <c r="U719" s="39">
        <f>IF(MIP[[#This Row],[P.S]]-MIP[[#This Row],[U.P]]&gt;=0,MIP[[#This Row],[P.S]]-MIP[[#This Row],[U.P]]+MIP[[#This Row],[S.B]]-MIP[[#This Row],[P.E]],1+MIP[[#This Row],[P.S]]-MIP[[#This Row],[U.P]]+MIP[[#This Row],[S.B]]-MIP[[#This Row],[P.E]])</f>
        <v>0.11319444444444443</v>
      </c>
      <c r="V719" s="41">
        <f>MIP[[#This Row],[Eficiência]]</f>
        <v>0.73302790987318833</v>
      </c>
      <c r="W71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19" s="39">
        <f>IF(MIP[[#This Row],[P.S]]-MIP[[#This Row],[P.E]]&lt;0,1+MIP[[#This Row],[P.S]]-MIP[[#This Row],[P.E]]-1/24,MIP[[#This Row],[P.S]]-MIP[[#This Row],[P.E]]-1/24)</f>
        <v>0.3743055555555555</v>
      </c>
      <c r="Y719" s="39">
        <f>MIP[[#This Row],[PT-1]]*$S$3+MIP[[#This Row],[PT-2]]*$T$3+MIP[[#This Row],[PT-3]]*$U$3+MIP[[#This Row],[PT &gt; 3 Pontos]]*$V$3</f>
        <v>0.16289509108293071</v>
      </c>
      <c r="Z719" s="39">
        <f>MIP[[#This Row],[HH disponível]]-MIP[[#This Row],[HH AC TOT]]</f>
        <v>0.22222222222222218</v>
      </c>
      <c r="AA719" s="38">
        <f>MIP[[#This Row],[HH Produtivo
Total]]/MIP[[#This Row],[HH Trabalhado]]</f>
        <v>0.73302790987318833</v>
      </c>
      <c r="AB719" s="38">
        <f>MIP[[#This Row],[HH Produtivo
Total]]/MIP[[#This Row],[HH disponível]]</f>
        <v>0.43519282218816374</v>
      </c>
      <c r="AC719" s="38">
        <f>MIP[[#This Row],[HH Trabalhado]]/MIP[[#This Row],[HH disponível]]</f>
        <v>0.59369202226345086</v>
      </c>
      <c r="AD719" s="37" t="str">
        <f>LEFT(MIP[[#This Row],[Equipe]], SEARCH("/",MIP[[#This Row],[Equipe]],1)-1)</f>
        <v xml:space="preserve">JOILSON </v>
      </c>
      <c r="AE719" s="37" t="str">
        <f>RIGHT(MIP[[#This Row],[Equipe]], LEN(MIP[[#This Row],[Equipe]])-SEARCH("/",MIP[[#This Row],[Equipe]],1))</f>
        <v xml:space="preserve"> VALDEI</v>
      </c>
      <c r="AF719" s="44">
        <f>COUNTIFS('[1]Tempo parado'!H:H,"&gt;="&amp;MIP[[#This Row],[S.B Sitrack]],'[1]Tempo parado'!I:I,"&lt;="&amp;MIP[[#This Row],[C.B Sitrack]],'[1]Tempo parado'!B:B,MIP[[#This Row],[Placa]])</f>
        <v>0</v>
      </c>
      <c r="AG719" s="36"/>
      <c r="AH719" s="35"/>
      <c r="AI719" s="34"/>
      <c r="AJ719" s="34"/>
      <c r="AK71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1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19" s="32">
        <f>SUMIFS('[1]Tempo parado'!J:J,'[1]Tempo parado'!H:H,"&gt;="&amp;MIP[[#This Row],[S.B Sitrack]],'[1]Tempo parado'!I:I,"&lt;="&amp;MIP[[#This Row],[C.B Sitrack]],'[1]Tempo parado'!B:B,MIP[[#This Row],[Placa]])</f>
        <v>0</v>
      </c>
      <c r="AN719" s="32" t="str">
        <f>IFERROR(MIP[[#This Row],[Tempo parado]]/(MIP[[#This Row],[C.B Sitrack]]-MIP[[#This Row],[S.B Sitrack]]),"")</f>
        <v/>
      </c>
      <c r="AO719" s="30"/>
      <c r="AP719" s="44">
        <f>IF(AND(MIP[Exc]=0,MIP[Previsto / Realizado]="Realizado"),MIP[Sem],0)</f>
        <v>43</v>
      </c>
      <c r="AQ719" s="29">
        <f>IF(AND(MIP[Exc]=0,MIP[Previsto / Realizado]="Realizado",ISBLANK(MIP[[#This Row],[S.B Sitrack]])=FALSE,ISBLANK(MIP[[#This Row],[C.B Sitrack]])=FALSE),MIP[Sem],0)</f>
        <v>0</v>
      </c>
    </row>
    <row r="720" spans="2:43" x14ac:dyDescent="0.25">
      <c r="B720" s="29">
        <f>WEEKNUM(MIP[[#This Row],[Data]])</f>
        <v>43</v>
      </c>
      <c r="C720" s="45">
        <v>43035</v>
      </c>
      <c r="D720" s="45"/>
      <c r="E720" s="35" t="s">
        <v>3</v>
      </c>
      <c r="F720" s="35" t="s">
        <v>5</v>
      </c>
      <c r="G720" s="35"/>
      <c r="H720" s="44">
        <v>2</v>
      </c>
      <c r="I720" s="44">
        <v>2</v>
      </c>
      <c r="J720" s="44">
        <v>1</v>
      </c>
      <c r="K720" s="44">
        <v>0</v>
      </c>
      <c r="L720" s="44">
        <v>8</v>
      </c>
      <c r="M720" s="43">
        <v>0.625</v>
      </c>
      <c r="N720" s="43">
        <v>0.64583333333333337</v>
      </c>
      <c r="O720" s="43">
        <v>1.0125</v>
      </c>
      <c r="P720" s="43">
        <v>1.0333333333333334</v>
      </c>
      <c r="Q720" s="39"/>
      <c r="R720" s="42"/>
      <c r="S720" s="29">
        <v>12</v>
      </c>
      <c r="T72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720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720" s="41">
        <f>MIP[[#This Row],[Eficiência]]</f>
        <v>0.78752172020589939</v>
      </c>
      <c r="W72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20" s="39">
        <f>IF(MIP[[#This Row],[P.S]]-MIP[[#This Row],[P.E]]&lt;0,1+MIP[[#This Row],[P.S]]-MIP[[#This Row],[P.E]]-1/24,MIP[[#This Row],[P.S]]-MIP[[#This Row],[P.E]]-1/24)</f>
        <v>0.36666666666666675</v>
      </c>
      <c r="Y720" s="39">
        <f>MIP[[#This Row],[PT-1]]*$S$3+MIP[[#This Row],[PT-2]]*$T$3+MIP[[#This Row],[PT-3]]*$U$3+MIP[[#This Row],[PT &gt; 3 Pontos]]*$V$3</f>
        <v>0.25594455906691721</v>
      </c>
      <c r="Z720" s="39">
        <f>MIP[[#This Row],[HH disponível]]-MIP[[#This Row],[HH AC TOT]]</f>
        <v>0.3249999999999999</v>
      </c>
      <c r="AA720" s="38">
        <f>MIP[[#This Row],[HH Produtivo
Total]]/MIP[[#This Row],[HH Trabalhado]]</f>
        <v>0.78752172020589939</v>
      </c>
      <c r="AB720" s="38">
        <f>MIP[[#This Row],[HH Produtivo
Total]]/MIP[[#This Row],[HH disponível]]</f>
        <v>0.69803061563704683</v>
      </c>
      <c r="AC720" s="38">
        <f>MIP[[#This Row],[HH Trabalhado]]/MIP[[#This Row],[HH disponível]]</f>
        <v>0.88636363636363591</v>
      </c>
      <c r="AD720" s="37" t="str">
        <f>LEFT(MIP[[#This Row],[Equipe]], SEARCH("/",MIP[[#This Row],[Equipe]],1)-1)</f>
        <v xml:space="preserve">EDILTON </v>
      </c>
      <c r="AE720" s="37" t="str">
        <f>RIGHT(MIP[[#This Row],[Equipe]], LEN(MIP[[#This Row],[Equipe]])-SEARCH("/",MIP[[#This Row],[Equipe]],1))</f>
        <v xml:space="preserve"> GECIVALDO</v>
      </c>
      <c r="AF720" s="44">
        <f>COUNTIFS('[1]Tempo parado'!H:H,"&gt;="&amp;MIP[[#This Row],[S.B Sitrack]],'[1]Tempo parado'!I:I,"&lt;="&amp;MIP[[#This Row],[C.B Sitrack]],'[1]Tempo parado'!B:B,MIP[[#This Row],[Placa]])</f>
        <v>0</v>
      </c>
      <c r="AG720" s="36"/>
      <c r="AH720" s="35"/>
      <c r="AI720" s="34"/>
      <c r="AJ720" s="34"/>
      <c r="AK72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2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20" s="32">
        <f>SUMIFS('[1]Tempo parado'!J:J,'[1]Tempo parado'!H:H,"&gt;="&amp;MIP[[#This Row],[S.B Sitrack]],'[1]Tempo parado'!I:I,"&lt;="&amp;MIP[[#This Row],[C.B Sitrack]],'[1]Tempo parado'!B:B,MIP[[#This Row],[Placa]])</f>
        <v>0</v>
      </c>
      <c r="AN720" s="32" t="str">
        <f>IFERROR(MIP[[#This Row],[Tempo parado]]/(MIP[[#This Row],[C.B Sitrack]]-MIP[[#This Row],[S.B Sitrack]]),"")</f>
        <v/>
      </c>
      <c r="AO720" s="30"/>
      <c r="AP720" s="44">
        <f>IF(AND(MIP[Exc]=0,MIP[Previsto / Realizado]="Realizado"),MIP[Sem],0)</f>
        <v>0</v>
      </c>
      <c r="AQ720" s="29">
        <f>IF(AND(MIP[Exc]=0,MIP[Previsto / Realizado]="Realizado",ISBLANK(MIP[[#This Row],[S.B Sitrack]])=FALSE,ISBLANK(MIP[[#This Row],[C.B Sitrack]])=FALSE),MIP[Sem],0)</f>
        <v>0</v>
      </c>
    </row>
    <row r="721" spans="2:43" x14ac:dyDescent="0.25">
      <c r="B721" s="29">
        <f>WEEKNUM(MIP[[#This Row],[Data]])</f>
        <v>43</v>
      </c>
      <c r="C721" s="45">
        <v>43035</v>
      </c>
      <c r="D721" s="45"/>
      <c r="E721" s="35" t="s">
        <v>3</v>
      </c>
      <c r="F721" s="35" t="s">
        <v>2</v>
      </c>
      <c r="G721" s="35"/>
      <c r="H721" s="44">
        <v>2</v>
      </c>
      <c r="I721" s="44">
        <v>2</v>
      </c>
      <c r="J721" s="44">
        <v>1</v>
      </c>
      <c r="K721" s="44">
        <v>0</v>
      </c>
      <c r="L721" s="44">
        <v>8</v>
      </c>
      <c r="M721" s="43">
        <v>0.61319444444444449</v>
      </c>
      <c r="N721" s="43">
        <v>0.67708333333333337</v>
      </c>
      <c r="O721" s="43">
        <v>1.0131944444444445</v>
      </c>
      <c r="P721" s="43">
        <v>1.0333333333333334</v>
      </c>
      <c r="Q721" s="39"/>
      <c r="R721" s="42"/>
      <c r="S721" s="29">
        <v>12</v>
      </c>
      <c r="T72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8.4027777777777812E-2</v>
      </c>
      <c r="U721" s="39">
        <f>IF(MIP[[#This Row],[P.S]]-MIP[[#This Row],[U.P]]&gt;=0,MIP[[#This Row],[P.S]]-MIP[[#This Row],[U.P]]+MIP[[#This Row],[S.B]]-MIP[[#This Row],[P.E]],1+MIP[[#This Row],[P.S]]-MIP[[#This Row],[U.P]]+MIP[[#This Row],[S.B]]-MIP[[#This Row],[P.E]])</f>
        <v>8.4027777777777812E-2</v>
      </c>
      <c r="V721" s="41">
        <f>MIP[[#This Row],[Eficiência]]</f>
        <v>0.86924567230273764</v>
      </c>
      <c r="W72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21" s="39">
        <f>IF(MIP[[#This Row],[P.S]]-MIP[[#This Row],[P.E]]&lt;0,1+MIP[[#This Row],[P.S]]-MIP[[#This Row],[P.E]]-1/24,MIP[[#This Row],[P.S]]-MIP[[#This Row],[P.E]]-1/24)</f>
        <v>0.37847222222222227</v>
      </c>
      <c r="Y721" s="39">
        <f>MIP[[#This Row],[PT-1]]*$S$3+MIP[[#This Row],[PT-2]]*$T$3+MIP[[#This Row],[PT-3]]*$U$3+MIP[[#This Row],[PT &gt; 3 Pontos]]*$V$3</f>
        <v>0.25594455906691721</v>
      </c>
      <c r="Z721" s="39">
        <f>MIP[[#This Row],[HH disponível]]-MIP[[#This Row],[HH AC TOT]]</f>
        <v>0.29444444444444445</v>
      </c>
      <c r="AA721" s="38">
        <f>MIP[[#This Row],[HH Produtivo
Total]]/MIP[[#This Row],[HH Trabalhado]]</f>
        <v>0.86924567230273764</v>
      </c>
      <c r="AB721" s="38">
        <f>MIP[[#This Row],[HH Produtivo
Total]]/MIP[[#This Row],[HH disponível]]</f>
        <v>0.6762571835896527</v>
      </c>
      <c r="AC721" s="38">
        <f>MIP[[#This Row],[HH Trabalhado]]/MIP[[#This Row],[HH disponível]]</f>
        <v>0.77798165137614672</v>
      </c>
      <c r="AD721" s="37" t="str">
        <f>LEFT(MIP[[#This Row],[Equipe]], SEARCH("/",MIP[[#This Row],[Equipe]],1)-1)</f>
        <v xml:space="preserve">EDILTON </v>
      </c>
      <c r="AE721" s="37" t="str">
        <f>RIGHT(MIP[[#This Row],[Equipe]], LEN(MIP[[#This Row],[Equipe]])-SEARCH("/",MIP[[#This Row],[Equipe]],1))</f>
        <v xml:space="preserve"> GECIVALDO</v>
      </c>
      <c r="AF721" s="44">
        <f>COUNTIFS('[1]Tempo parado'!H:H,"&gt;="&amp;MIP[[#This Row],[S.B Sitrack]],'[1]Tempo parado'!I:I,"&lt;="&amp;MIP[[#This Row],[C.B Sitrack]],'[1]Tempo parado'!B:B,MIP[[#This Row],[Placa]])</f>
        <v>0</v>
      </c>
      <c r="AG721" s="36"/>
      <c r="AH721" s="35"/>
      <c r="AI721" s="34"/>
      <c r="AJ721" s="34"/>
      <c r="AK72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2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21" s="32">
        <f>SUMIFS('[1]Tempo parado'!J:J,'[1]Tempo parado'!H:H,"&gt;="&amp;MIP[[#This Row],[S.B Sitrack]],'[1]Tempo parado'!I:I,"&lt;="&amp;MIP[[#This Row],[C.B Sitrack]],'[1]Tempo parado'!B:B,MIP[[#This Row],[Placa]])</f>
        <v>0</v>
      </c>
      <c r="AN721" s="32" t="str">
        <f>IFERROR(MIP[[#This Row],[Tempo parado]]/(MIP[[#This Row],[C.B Sitrack]]-MIP[[#This Row],[S.B Sitrack]]),"")</f>
        <v/>
      </c>
      <c r="AO721" s="30"/>
      <c r="AP721" s="44">
        <f>IF(AND(MIP[Exc]=0,MIP[Previsto / Realizado]="Realizado"),MIP[Sem],0)</f>
        <v>43</v>
      </c>
      <c r="AQ721" s="29">
        <f>IF(AND(MIP[Exc]=0,MIP[Previsto / Realizado]="Realizado",ISBLANK(MIP[[#This Row],[S.B Sitrack]])=FALSE,ISBLANK(MIP[[#This Row],[C.B Sitrack]])=FALSE),MIP[Sem],0)</f>
        <v>0</v>
      </c>
    </row>
    <row r="722" spans="2:43" x14ac:dyDescent="0.25">
      <c r="B722" s="29">
        <f>WEEKNUM(MIP[[#This Row],[Data]])</f>
        <v>43</v>
      </c>
      <c r="C722" s="45">
        <v>43036</v>
      </c>
      <c r="D722" s="45"/>
      <c r="E722" s="35" t="s">
        <v>10</v>
      </c>
      <c r="F722" s="35" t="s">
        <v>5</v>
      </c>
      <c r="G722" s="35"/>
      <c r="H722" s="44">
        <v>2</v>
      </c>
      <c r="I722" s="44">
        <v>1</v>
      </c>
      <c r="J722" s="44">
        <v>0</v>
      </c>
      <c r="K722" s="44">
        <v>1</v>
      </c>
      <c r="L722" s="44">
        <v>4</v>
      </c>
      <c r="M722" s="43">
        <v>0.25</v>
      </c>
      <c r="N722" s="43">
        <v>0.27083333333333331</v>
      </c>
      <c r="O722" s="43">
        <v>0.63750000000000007</v>
      </c>
      <c r="P722" s="43">
        <v>0.65833333333333333</v>
      </c>
      <c r="Q722" s="39"/>
      <c r="R722" s="42" t="s">
        <v>4</v>
      </c>
      <c r="S722" s="29">
        <v>8</v>
      </c>
      <c r="T72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722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722" s="41">
        <f>MIP[[#This Row],[Eficiência]]</f>
        <v>0.51941407916649474</v>
      </c>
      <c r="W72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22" s="39">
        <f>IF(MIP[[#This Row],[P.S]]-MIP[[#This Row],[P.E]]&lt;0,1+MIP[[#This Row],[P.S]]-MIP[[#This Row],[P.E]]-1/24,MIP[[#This Row],[P.S]]-MIP[[#This Row],[P.E]]-1/24)</f>
        <v>0.36666666666666664</v>
      </c>
      <c r="Y722" s="39">
        <f>MIP[[#This Row],[PT-1]]*$S$3+MIP[[#This Row],[PT-2]]*$T$3+MIP[[#This Row],[PT-3]]*$U$3+MIP[[#This Row],[PT &gt; 3 Pontos]]*$V$3</f>
        <v>0.16880957572911082</v>
      </c>
      <c r="Z722" s="39">
        <f>MIP[[#This Row],[HH disponível]]-MIP[[#This Row],[HH AC TOT]]</f>
        <v>0.32500000000000007</v>
      </c>
      <c r="AA722" s="38">
        <f>MIP[[#This Row],[HH Produtivo
Total]]/MIP[[#This Row],[HH Trabalhado]]</f>
        <v>0.51941407916649474</v>
      </c>
      <c r="AB722" s="38">
        <f>MIP[[#This Row],[HH Produtivo
Total]]/MIP[[#This Row],[HH disponível]]</f>
        <v>0.46038975198848409</v>
      </c>
      <c r="AC722" s="38">
        <f>MIP[[#This Row],[HH Trabalhado]]/MIP[[#This Row],[HH disponível]]</f>
        <v>0.88636363636363658</v>
      </c>
      <c r="AD722" s="37" t="str">
        <f>LEFT(MIP[[#This Row],[Equipe]], SEARCH("/",MIP[[#This Row],[Equipe]],1)-1)</f>
        <v xml:space="preserve">JOILSON </v>
      </c>
      <c r="AE722" s="37" t="str">
        <f>RIGHT(MIP[[#This Row],[Equipe]], LEN(MIP[[#This Row],[Equipe]])-SEARCH("/",MIP[[#This Row],[Equipe]],1))</f>
        <v xml:space="preserve"> VALDEI</v>
      </c>
      <c r="AF722" s="44">
        <f>COUNTIFS('[1]Tempo parado'!H:H,"&gt;="&amp;MIP[[#This Row],[S.B Sitrack]],'[1]Tempo parado'!I:I,"&lt;="&amp;MIP[[#This Row],[C.B Sitrack]],'[1]Tempo parado'!B:B,MIP[[#This Row],[Placa]])</f>
        <v>0</v>
      </c>
      <c r="AG722" s="36"/>
      <c r="AH722" s="35"/>
      <c r="AI722" s="34"/>
      <c r="AJ722" s="34"/>
      <c r="AK72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2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22" s="32">
        <f>SUMIFS('[1]Tempo parado'!J:J,'[1]Tempo parado'!H:H,"&gt;="&amp;MIP[[#This Row],[S.B Sitrack]],'[1]Tempo parado'!I:I,"&lt;="&amp;MIP[[#This Row],[C.B Sitrack]],'[1]Tempo parado'!B:B,MIP[[#This Row],[Placa]])</f>
        <v>0</v>
      </c>
      <c r="AN722" s="32" t="str">
        <f>IFERROR(MIP[[#This Row],[Tempo parado]]/(MIP[[#This Row],[C.B Sitrack]]-MIP[[#This Row],[S.B Sitrack]]),"")</f>
        <v/>
      </c>
      <c r="AO722" s="30"/>
      <c r="AP722" s="44">
        <f>IF(AND(MIP[Exc]=0,MIP[Previsto / Realizado]="Realizado"),MIP[Sem],0)</f>
        <v>0</v>
      </c>
      <c r="AQ722" s="29">
        <f>IF(AND(MIP[Exc]=0,MIP[Previsto / Realizado]="Realizado",ISBLANK(MIP[[#This Row],[S.B Sitrack]])=FALSE,ISBLANK(MIP[[#This Row],[C.B Sitrack]])=FALSE),MIP[Sem],0)</f>
        <v>0</v>
      </c>
    </row>
    <row r="723" spans="2:43" x14ac:dyDescent="0.25">
      <c r="B723" s="29">
        <f>WEEKNUM(MIP[[#This Row],[Data]])</f>
        <v>43</v>
      </c>
      <c r="C723" s="45">
        <v>43036</v>
      </c>
      <c r="D723" s="45"/>
      <c r="E723" s="35" t="s">
        <v>10</v>
      </c>
      <c r="F723" s="35" t="s">
        <v>2</v>
      </c>
      <c r="G723" s="35"/>
      <c r="H723" s="44">
        <v>2</v>
      </c>
      <c r="I723" s="44">
        <v>5</v>
      </c>
      <c r="J723" s="44">
        <v>0</v>
      </c>
      <c r="K723" s="44">
        <v>2</v>
      </c>
      <c r="L723" s="44">
        <v>4</v>
      </c>
      <c r="M723" s="43">
        <v>0.24722222222222223</v>
      </c>
      <c r="N723" s="43">
        <v>0.27083333333333331</v>
      </c>
      <c r="O723" s="43">
        <v>0.62013888888888891</v>
      </c>
      <c r="P723" s="43">
        <v>0.65833333333333333</v>
      </c>
      <c r="Q723" s="39"/>
      <c r="R723" s="42" t="s">
        <v>158</v>
      </c>
      <c r="S723" s="29">
        <v>15</v>
      </c>
      <c r="T72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6.1805555555555503E-2</v>
      </c>
      <c r="U723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6.1805555555555503E-2</v>
      </c>
      <c r="V723" s="41">
        <f>MIP[[#This Row],[Eficiência]]</f>
        <v>1.0782273593890286</v>
      </c>
      <c r="W72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23" s="39">
        <f>IF(MIP[[#This Row],[P.S]]-MIP[[#This Row],[P.E]]&lt;0,1+MIP[[#This Row],[P.S]]-MIP[[#This Row],[P.E]]-1/24,MIP[[#This Row],[P.S]]-MIP[[#This Row],[P.E]]-1/24)</f>
        <v>0.36944444444444441</v>
      </c>
      <c r="Y723" s="39">
        <f>MIP[[#This Row],[PT-1]]*$S$3+MIP[[#This Row],[PT-2]]*$T$3+MIP[[#This Row],[PT-3]]*$U$3+MIP[[#This Row],[PT &gt; 3 Pontos]]*$V$3</f>
        <v>0.33170466681204147</v>
      </c>
      <c r="Z723" s="39">
        <f>MIP[[#This Row],[HH disponível]]-MIP[[#This Row],[HH AC TOT]]</f>
        <v>0.30763888888888891</v>
      </c>
      <c r="AA723" s="38">
        <f>MIP[[#This Row],[HH Produtivo
Total]]/MIP[[#This Row],[HH Trabalhado]]</f>
        <v>1.0782273593890286</v>
      </c>
      <c r="AB723" s="38">
        <f>MIP[[#This Row],[HH Produtivo
Total]]/MIP[[#This Row],[HH disponível]]</f>
        <v>0.8978472184386086</v>
      </c>
      <c r="AC723" s="38">
        <f>MIP[[#This Row],[HH Trabalhado]]/MIP[[#This Row],[HH disponível]]</f>
        <v>0.8327067669172934</v>
      </c>
      <c r="AD723" s="37" t="str">
        <f>LEFT(MIP[[#This Row],[Equipe]], SEARCH("/",MIP[[#This Row],[Equipe]],1)-1)</f>
        <v xml:space="preserve">JOILSON </v>
      </c>
      <c r="AE723" s="37" t="str">
        <f>RIGHT(MIP[[#This Row],[Equipe]], LEN(MIP[[#This Row],[Equipe]])-SEARCH("/",MIP[[#This Row],[Equipe]],1))</f>
        <v xml:space="preserve"> VALDEI</v>
      </c>
      <c r="AF723" s="44">
        <f>COUNTIFS('[1]Tempo parado'!H:H,"&gt;="&amp;MIP[[#This Row],[S.B Sitrack]],'[1]Tempo parado'!I:I,"&lt;="&amp;MIP[[#This Row],[C.B Sitrack]],'[1]Tempo parado'!B:B,MIP[[#This Row],[Placa]])</f>
        <v>0</v>
      </c>
      <c r="AG723" s="36"/>
      <c r="AH723" s="35"/>
      <c r="AI723" s="34"/>
      <c r="AJ723" s="34"/>
      <c r="AK72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2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23" s="32">
        <f>SUMIFS('[1]Tempo parado'!J:J,'[1]Tempo parado'!H:H,"&gt;="&amp;MIP[[#This Row],[S.B Sitrack]],'[1]Tempo parado'!I:I,"&lt;="&amp;MIP[[#This Row],[C.B Sitrack]],'[1]Tempo parado'!B:B,MIP[[#This Row],[Placa]])</f>
        <v>0</v>
      </c>
      <c r="AN723" s="32" t="str">
        <f>IFERROR(MIP[[#This Row],[Tempo parado]]/(MIP[[#This Row],[C.B Sitrack]]-MIP[[#This Row],[S.B Sitrack]]),"")</f>
        <v/>
      </c>
      <c r="AO723" s="30"/>
      <c r="AP723" s="44">
        <f>IF(AND(MIP[Exc]=0,MIP[Previsto / Realizado]="Realizado"),MIP[Sem],0)</f>
        <v>43</v>
      </c>
      <c r="AQ723" s="29">
        <f>IF(AND(MIP[Exc]=0,MIP[Previsto / Realizado]="Realizado",ISBLANK(MIP[[#This Row],[S.B Sitrack]])=FALSE,ISBLANK(MIP[[#This Row],[C.B Sitrack]])=FALSE),MIP[Sem],0)</f>
        <v>0</v>
      </c>
    </row>
    <row r="724" spans="2:43" x14ac:dyDescent="0.25">
      <c r="B724" s="29">
        <f>WEEKNUM(MIP[[#This Row],[Data]])</f>
        <v>44</v>
      </c>
      <c r="C724" s="45">
        <v>43037</v>
      </c>
      <c r="D724" s="45"/>
      <c r="E724" s="35" t="s">
        <v>156</v>
      </c>
      <c r="F724" s="35" t="s">
        <v>5</v>
      </c>
      <c r="G724" s="35"/>
      <c r="H724" s="44">
        <v>2</v>
      </c>
      <c r="I724" s="44">
        <v>0</v>
      </c>
      <c r="J724" s="44">
        <v>0</v>
      </c>
      <c r="K724" s="44">
        <v>0</v>
      </c>
      <c r="L724" s="44">
        <v>0</v>
      </c>
      <c r="M724" s="43">
        <v>0.625</v>
      </c>
      <c r="N724" s="43">
        <v>0.64583333333333337</v>
      </c>
      <c r="O724" s="43">
        <v>1.0125</v>
      </c>
      <c r="P724" s="43">
        <v>1.0333333333333334</v>
      </c>
      <c r="Q724" s="39"/>
      <c r="R724" s="42" t="s">
        <v>157</v>
      </c>
      <c r="S724" s="29">
        <v>0</v>
      </c>
      <c r="T72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724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724" s="41">
        <f>MIP[[#This Row],[Eficiência]]</f>
        <v>0</v>
      </c>
      <c r="W72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24" s="39">
        <f>IF(MIP[[#This Row],[P.S]]-MIP[[#This Row],[P.E]]&lt;0,1+MIP[[#This Row],[P.S]]-MIP[[#This Row],[P.E]]-1/24,MIP[[#This Row],[P.S]]-MIP[[#This Row],[P.E]]-1/24)</f>
        <v>0.36666666666666675</v>
      </c>
      <c r="Y724" s="39">
        <f>MIP[[#This Row],[PT-1]]*$S$3+MIP[[#This Row],[PT-2]]*$T$3+MIP[[#This Row],[PT-3]]*$U$3+MIP[[#This Row],[PT &gt; 3 Pontos]]*$V$3</f>
        <v>0</v>
      </c>
      <c r="Z724" s="39">
        <f>MIP[[#This Row],[HH disponível]]-MIP[[#This Row],[HH AC TOT]]</f>
        <v>0.3249999999999999</v>
      </c>
      <c r="AA724" s="38">
        <f>MIP[[#This Row],[HH Produtivo
Total]]/MIP[[#This Row],[HH Trabalhado]]</f>
        <v>0</v>
      </c>
      <c r="AB724" s="38">
        <f>MIP[[#This Row],[HH Produtivo
Total]]/MIP[[#This Row],[HH disponível]]</f>
        <v>0</v>
      </c>
      <c r="AC724" s="38">
        <f>MIP[[#This Row],[HH Trabalhado]]/MIP[[#This Row],[HH disponível]]</f>
        <v>0.88636363636363591</v>
      </c>
      <c r="AD724" s="37" t="str">
        <f>LEFT(MIP[[#This Row],[Equipe]], SEARCH("/",MIP[[#This Row],[Equipe]],1)-1)</f>
        <v xml:space="preserve">ADEMÁRIO </v>
      </c>
      <c r="AE724" s="37" t="str">
        <f>RIGHT(MIP[[#This Row],[Equipe]], LEN(MIP[[#This Row],[Equipe]])-SEARCH("/",MIP[[#This Row],[Equipe]],1))</f>
        <v xml:space="preserve"> MARCO</v>
      </c>
      <c r="AF724" s="44">
        <f>COUNTIFS('[1]Tempo parado'!H:H,"&gt;="&amp;MIP[[#This Row],[S.B Sitrack]],'[1]Tempo parado'!I:I,"&lt;="&amp;MIP[[#This Row],[C.B Sitrack]],'[1]Tempo parado'!B:B,MIP[[#This Row],[Placa]])</f>
        <v>0</v>
      </c>
      <c r="AG724" s="36"/>
      <c r="AH724" s="35"/>
      <c r="AI724" s="34"/>
      <c r="AJ724" s="34"/>
      <c r="AK72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2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24" s="32">
        <f>SUMIFS('[1]Tempo parado'!J:J,'[1]Tempo parado'!H:H,"&gt;="&amp;MIP[[#This Row],[S.B Sitrack]],'[1]Tempo parado'!I:I,"&lt;="&amp;MIP[[#This Row],[C.B Sitrack]],'[1]Tempo parado'!B:B,MIP[[#This Row],[Placa]])</f>
        <v>0</v>
      </c>
      <c r="AN724" s="32" t="str">
        <f>IFERROR(MIP[[#This Row],[Tempo parado]]/(MIP[[#This Row],[C.B Sitrack]]-MIP[[#This Row],[S.B Sitrack]]),"")</f>
        <v/>
      </c>
      <c r="AO724" s="30"/>
      <c r="AP724" s="44">
        <f>IF(AND(MIP[Exc]=0,MIP[Previsto / Realizado]="Realizado"),MIP[Sem],0)</f>
        <v>0</v>
      </c>
      <c r="AQ724" s="29">
        <f>IF(AND(MIP[Exc]=0,MIP[Previsto / Realizado]="Realizado",ISBLANK(MIP[[#This Row],[S.B Sitrack]])=FALSE,ISBLANK(MIP[[#This Row],[C.B Sitrack]])=FALSE),MIP[Sem],0)</f>
        <v>0</v>
      </c>
    </row>
    <row r="725" spans="2:43" x14ac:dyDescent="0.25">
      <c r="B725" s="29">
        <f>WEEKNUM(MIP[[#This Row],[Data]])</f>
        <v>44</v>
      </c>
      <c r="C725" s="45">
        <v>43037</v>
      </c>
      <c r="D725" s="45"/>
      <c r="E725" s="35" t="s">
        <v>156</v>
      </c>
      <c r="F725" s="35" t="s">
        <v>2</v>
      </c>
      <c r="G725" s="35"/>
      <c r="H725" s="44">
        <v>2</v>
      </c>
      <c r="I725" s="44">
        <v>7</v>
      </c>
      <c r="J725" s="44">
        <v>2</v>
      </c>
      <c r="K725" s="44">
        <v>0</v>
      </c>
      <c r="L725" s="44">
        <v>0</v>
      </c>
      <c r="M725" s="43">
        <v>0.63541666666666663</v>
      </c>
      <c r="N725" s="43">
        <v>0.66666666666666663</v>
      </c>
      <c r="O725" s="43">
        <v>0.99652777777777779</v>
      </c>
      <c r="P725" s="43">
        <v>1.0333333333333334</v>
      </c>
      <c r="Q725" s="39">
        <v>9.5833333333333326E-2</v>
      </c>
      <c r="R725" s="42" t="s">
        <v>155</v>
      </c>
      <c r="S725" s="29">
        <v>11</v>
      </c>
      <c r="T72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0.16388888888888897</v>
      </c>
      <c r="U725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6.8055555555555647E-2</v>
      </c>
      <c r="V725" s="41">
        <f>MIP[[#This Row],[Eficiência]]</f>
        <v>1.3672124339454812</v>
      </c>
      <c r="W72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25" s="39">
        <f>IF(MIP[[#This Row],[P.S]]-MIP[[#This Row],[P.E]]&lt;0,1+MIP[[#This Row],[P.S]]-MIP[[#This Row],[P.E]]-1/24,MIP[[#This Row],[P.S]]-MIP[[#This Row],[P.E]]-1/24)</f>
        <v>0.35625000000000012</v>
      </c>
      <c r="Y725" s="39">
        <f>MIP[[#This Row],[PT-1]]*$S$3+MIP[[#This Row],[PT-2]]*$T$3+MIP[[#This Row],[PT-3]]*$U$3+MIP[[#This Row],[PT &gt; 3 Pontos]]*$V$3</f>
        <v>0.26299850291867943</v>
      </c>
      <c r="Z725" s="39">
        <f>MIP[[#This Row],[HH disponível]]-MIP[[#This Row],[HH AC TOT]]</f>
        <v>0.19236111111111115</v>
      </c>
      <c r="AA725" s="38">
        <f>MIP[[#This Row],[HH Produtivo
Total]]/MIP[[#This Row],[HH Trabalhado]]</f>
        <v>1.3672124339454812</v>
      </c>
      <c r="AB725" s="38">
        <f>MIP[[#This Row],[HH Produtivo
Total]]/MIP[[#This Row],[HH disponível]]</f>
        <v>0.73824141170155611</v>
      </c>
      <c r="AC725" s="38">
        <f>MIP[[#This Row],[HH Trabalhado]]/MIP[[#This Row],[HH disponível]]</f>
        <v>0.53996101364522409</v>
      </c>
      <c r="AD725" s="37" t="str">
        <f>LEFT(MIP[[#This Row],[Equipe]], SEARCH("/",MIP[[#This Row],[Equipe]],1)-1)</f>
        <v xml:space="preserve">ADEMÁRIO </v>
      </c>
      <c r="AE725" s="37" t="str">
        <f>RIGHT(MIP[[#This Row],[Equipe]], LEN(MIP[[#This Row],[Equipe]])-SEARCH("/",MIP[[#This Row],[Equipe]],1))</f>
        <v xml:space="preserve"> MARCO</v>
      </c>
      <c r="AF725" s="44">
        <f>COUNTIFS('[1]Tempo parado'!H:H,"&gt;="&amp;MIP[[#This Row],[S.B Sitrack]],'[1]Tempo parado'!I:I,"&lt;="&amp;MIP[[#This Row],[C.B Sitrack]],'[1]Tempo parado'!B:B,MIP[[#This Row],[Placa]])</f>
        <v>0</v>
      </c>
      <c r="AG725" s="36"/>
      <c r="AH725" s="35"/>
      <c r="AI725" s="34"/>
      <c r="AJ725" s="34"/>
      <c r="AK72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2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25" s="32">
        <f>SUMIFS('[1]Tempo parado'!J:J,'[1]Tempo parado'!H:H,"&gt;="&amp;MIP[[#This Row],[S.B Sitrack]],'[1]Tempo parado'!I:I,"&lt;="&amp;MIP[[#This Row],[C.B Sitrack]],'[1]Tempo parado'!B:B,MIP[[#This Row],[Placa]])</f>
        <v>0</v>
      </c>
      <c r="AN725" s="32" t="str">
        <f>IFERROR(MIP[[#This Row],[Tempo parado]]/(MIP[[#This Row],[C.B Sitrack]]-MIP[[#This Row],[S.B Sitrack]]),"")</f>
        <v/>
      </c>
      <c r="AO725" s="30"/>
      <c r="AP725" s="44">
        <f>IF(AND(MIP[Exc]=0,MIP[Previsto / Realizado]="Realizado"),MIP[Sem],0)</f>
        <v>44</v>
      </c>
      <c r="AQ725" s="29">
        <f>IF(AND(MIP[Exc]=0,MIP[Previsto / Realizado]="Realizado",ISBLANK(MIP[[#This Row],[S.B Sitrack]])=FALSE,ISBLANK(MIP[[#This Row],[C.B Sitrack]])=FALSE),MIP[Sem],0)</f>
        <v>0</v>
      </c>
    </row>
    <row r="726" spans="2:43" x14ac:dyDescent="0.25">
      <c r="B726" s="29">
        <f>WEEKNUM(MIP[[#This Row],[Data]])</f>
        <v>44</v>
      </c>
      <c r="C726" s="45">
        <v>43037</v>
      </c>
      <c r="D726" s="45"/>
      <c r="E726" s="35" t="s">
        <v>10</v>
      </c>
      <c r="F726" s="35" t="s">
        <v>5</v>
      </c>
      <c r="G726" s="35"/>
      <c r="H726" s="44">
        <v>2</v>
      </c>
      <c r="I726" s="44">
        <v>0</v>
      </c>
      <c r="J726" s="44">
        <v>0</v>
      </c>
      <c r="K726" s="44">
        <v>0</v>
      </c>
      <c r="L726" s="44">
        <v>0</v>
      </c>
      <c r="M726" s="43">
        <v>0.25</v>
      </c>
      <c r="N726" s="43">
        <v>0.27083333333333331</v>
      </c>
      <c r="O726" s="43">
        <v>0.63750000000000007</v>
      </c>
      <c r="P726" s="43">
        <v>0.65833333333333333</v>
      </c>
      <c r="Q726" s="39"/>
      <c r="R726" s="42" t="s">
        <v>4</v>
      </c>
      <c r="S726" s="29">
        <v>0</v>
      </c>
      <c r="T72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726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726" s="41">
        <f>MIP[[#This Row],[Eficiência]]</f>
        <v>0</v>
      </c>
      <c r="W72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26" s="39">
        <f>IF(MIP[[#This Row],[P.S]]-MIP[[#This Row],[P.E]]&lt;0,1+MIP[[#This Row],[P.S]]-MIP[[#This Row],[P.E]]-1/24,MIP[[#This Row],[P.S]]-MIP[[#This Row],[P.E]]-1/24)</f>
        <v>0.36666666666666664</v>
      </c>
      <c r="Y726" s="39">
        <f>MIP[[#This Row],[PT-1]]*$S$3+MIP[[#This Row],[PT-2]]*$T$3+MIP[[#This Row],[PT-3]]*$U$3+MIP[[#This Row],[PT &gt; 3 Pontos]]*$V$3</f>
        <v>0</v>
      </c>
      <c r="Z726" s="39">
        <f>MIP[[#This Row],[HH disponível]]-MIP[[#This Row],[HH AC TOT]]</f>
        <v>0.32500000000000007</v>
      </c>
      <c r="AA726" s="38">
        <f>MIP[[#This Row],[HH Produtivo
Total]]/MIP[[#This Row],[HH Trabalhado]]</f>
        <v>0</v>
      </c>
      <c r="AB726" s="38">
        <f>MIP[[#This Row],[HH Produtivo
Total]]/MIP[[#This Row],[HH disponível]]</f>
        <v>0</v>
      </c>
      <c r="AC726" s="38">
        <f>MIP[[#This Row],[HH Trabalhado]]/MIP[[#This Row],[HH disponível]]</f>
        <v>0.88636363636363658</v>
      </c>
      <c r="AD726" s="37" t="str">
        <f>LEFT(MIP[[#This Row],[Equipe]], SEARCH("/",MIP[[#This Row],[Equipe]],1)-1)</f>
        <v xml:space="preserve">JOILSON </v>
      </c>
      <c r="AE726" s="37" t="str">
        <f>RIGHT(MIP[[#This Row],[Equipe]], LEN(MIP[[#This Row],[Equipe]])-SEARCH("/",MIP[[#This Row],[Equipe]],1))</f>
        <v xml:space="preserve"> VALDEI</v>
      </c>
      <c r="AF726" s="44">
        <f>COUNTIFS('[1]Tempo parado'!H:H,"&gt;="&amp;MIP[[#This Row],[S.B Sitrack]],'[1]Tempo parado'!I:I,"&lt;="&amp;MIP[[#This Row],[C.B Sitrack]],'[1]Tempo parado'!B:B,MIP[[#This Row],[Placa]])</f>
        <v>0</v>
      </c>
      <c r="AG726" s="36"/>
      <c r="AH726" s="35"/>
      <c r="AI726" s="34"/>
      <c r="AJ726" s="34"/>
      <c r="AK72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2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26" s="32">
        <f>SUMIFS('[1]Tempo parado'!J:J,'[1]Tempo parado'!H:H,"&gt;="&amp;MIP[[#This Row],[S.B Sitrack]],'[1]Tempo parado'!I:I,"&lt;="&amp;MIP[[#This Row],[C.B Sitrack]],'[1]Tempo parado'!B:B,MIP[[#This Row],[Placa]])</f>
        <v>0</v>
      </c>
      <c r="AN726" s="32" t="str">
        <f>IFERROR(MIP[[#This Row],[Tempo parado]]/(MIP[[#This Row],[C.B Sitrack]]-MIP[[#This Row],[S.B Sitrack]]),"")</f>
        <v/>
      </c>
      <c r="AO726" s="30"/>
      <c r="AP726" s="44">
        <f>IF(AND(MIP[Exc]=0,MIP[Previsto / Realizado]="Realizado"),MIP[Sem],0)</f>
        <v>0</v>
      </c>
      <c r="AQ726" s="29">
        <f>IF(AND(MIP[Exc]=0,MIP[Previsto / Realizado]="Realizado",ISBLANK(MIP[[#This Row],[S.B Sitrack]])=FALSE,ISBLANK(MIP[[#This Row],[C.B Sitrack]])=FALSE),MIP[Sem],0)</f>
        <v>0</v>
      </c>
    </row>
    <row r="727" spans="2:43" x14ac:dyDescent="0.25">
      <c r="B727" s="29">
        <f>WEEKNUM(MIP[[#This Row],[Data]])</f>
        <v>44</v>
      </c>
      <c r="C727" s="45">
        <v>43037</v>
      </c>
      <c r="D727" s="45"/>
      <c r="E727" s="35" t="s">
        <v>10</v>
      </c>
      <c r="F727" s="35" t="s">
        <v>2</v>
      </c>
      <c r="G727" s="35"/>
      <c r="H727" s="44">
        <v>2</v>
      </c>
      <c r="I727" s="44">
        <v>2</v>
      </c>
      <c r="J727" s="44">
        <v>3</v>
      </c>
      <c r="K727" s="44">
        <v>0</v>
      </c>
      <c r="L727" s="44">
        <v>5</v>
      </c>
      <c r="M727" s="43">
        <v>0.24652777777777779</v>
      </c>
      <c r="N727" s="43">
        <v>0.27430555555555552</v>
      </c>
      <c r="O727" s="43">
        <v>0.60555555555555551</v>
      </c>
      <c r="P727" s="43">
        <v>0.625</v>
      </c>
      <c r="Q727" s="39"/>
      <c r="R727" s="42" t="s">
        <v>144</v>
      </c>
      <c r="S727" s="29">
        <v>13</v>
      </c>
      <c r="T72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4.7222222222222221E-2</v>
      </c>
      <c r="U727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4.7222222222222221E-2</v>
      </c>
      <c r="V727" s="41">
        <f>MIP[[#This Row],[Eficiência]]</f>
        <v>0.97732854778978773</v>
      </c>
      <c r="W72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27" s="39">
        <f>IF(MIP[[#This Row],[P.S]]-MIP[[#This Row],[P.E]]&lt;0,1+MIP[[#This Row],[P.S]]-MIP[[#This Row],[P.E]]-1/24,MIP[[#This Row],[P.S]]-MIP[[#This Row],[P.E]]-1/24)</f>
        <v>0.33680555555555552</v>
      </c>
      <c r="Y727" s="39">
        <f>MIP[[#This Row],[PT-1]]*$S$3+MIP[[#This Row],[PT-2]]*$T$3+MIP[[#This Row],[PT-3]]*$U$3+MIP[[#This Row],[PT &gt; 3 Pontos]]*$V$3</f>
        <v>0.28301805863079266</v>
      </c>
      <c r="Z727" s="39">
        <f>MIP[[#This Row],[HH disponível]]-MIP[[#This Row],[HH AC TOT]]</f>
        <v>0.2895833333333333</v>
      </c>
      <c r="AA727" s="38">
        <f>MIP[[#This Row],[HH Produtivo
Total]]/MIP[[#This Row],[HH Trabalhado]]</f>
        <v>0.97732854778978773</v>
      </c>
      <c r="AB727" s="38">
        <f>MIP[[#This Row],[HH Produtivo
Total]]/MIP[[#This Row],[HH disponível]]</f>
        <v>0.84030104005843598</v>
      </c>
      <c r="AC727" s="38">
        <f>MIP[[#This Row],[HH Trabalhado]]/MIP[[#This Row],[HH disponível]]</f>
        <v>0.85979381443298963</v>
      </c>
      <c r="AD727" s="37" t="str">
        <f>LEFT(MIP[[#This Row],[Equipe]], SEARCH("/",MIP[[#This Row],[Equipe]],1)-1)</f>
        <v xml:space="preserve">JOILSON </v>
      </c>
      <c r="AE727" s="37" t="str">
        <f>RIGHT(MIP[[#This Row],[Equipe]], LEN(MIP[[#This Row],[Equipe]])-SEARCH("/",MIP[[#This Row],[Equipe]],1))</f>
        <v xml:space="preserve"> VALDEI</v>
      </c>
      <c r="AF727" s="44">
        <f>COUNTIFS('[1]Tempo parado'!H:H,"&gt;="&amp;MIP[[#This Row],[S.B Sitrack]],'[1]Tempo parado'!I:I,"&lt;="&amp;MIP[[#This Row],[C.B Sitrack]],'[1]Tempo parado'!B:B,MIP[[#This Row],[Placa]])</f>
        <v>0</v>
      </c>
      <c r="AG727" s="36"/>
      <c r="AH727" s="35"/>
      <c r="AI727" s="34"/>
      <c r="AJ727" s="34"/>
      <c r="AK72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2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27" s="32">
        <f>SUMIFS('[1]Tempo parado'!J:J,'[1]Tempo parado'!H:H,"&gt;="&amp;MIP[[#This Row],[S.B Sitrack]],'[1]Tempo parado'!I:I,"&lt;="&amp;MIP[[#This Row],[C.B Sitrack]],'[1]Tempo parado'!B:B,MIP[[#This Row],[Placa]])</f>
        <v>0</v>
      </c>
      <c r="AN727" s="32" t="str">
        <f>IFERROR(MIP[[#This Row],[Tempo parado]]/(MIP[[#This Row],[C.B Sitrack]]-MIP[[#This Row],[S.B Sitrack]]),"")</f>
        <v/>
      </c>
      <c r="AO727" s="30"/>
      <c r="AP727" s="44">
        <f>IF(AND(MIP[Exc]=0,MIP[Previsto / Realizado]="Realizado"),MIP[Sem],0)</f>
        <v>44</v>
      </c>
      <c r="AQ727" s="29">
        <f>IF(AND(MIP[Exc]=0,MIP[Previsto / Realizado]="Realizado",ISBLANK(MIP[[#This Row],[S.B Sitrack]])=FALSE,ISBLANK(MIP[[#This Row],[C.B Sitrack]])=FALSE),MIP[Sem],0)</f>
        <v>0</v>
      </c>
    </row>
    <row r="728" spans="2:43" x14ac:dyDescent="0.25">
      <c r="B728" s="29">
        <f>WEEKNUM(MIP[[#This Row],[Data]])</f>
        <v>44</v>
      </c>
      <c r="C728" s="45">
        <v>43038</v>
      </c>
      <c r="D728" s="45"/>
      <c r="E728" s="35" t="s">
        <v>3</v>
      </c>
      <c r="F728" s="35" t="s">
        <v>5</v>
      </c>
      <c r="G728" s="35"/>
      <c r="H728" s="44">
        <v>2</v>
      </c>
      <c r="I728" s="44">
        <v>4</v>
      </c>
      <c r="J728" s="44">
        <v>1</v>
      </c>
      <c r="K728" s="44">
        <v>0</v>
      </c>
      <c r="L728" s="44">
        <v>0</v>
      </c>
      <c r="M728" s="43">
        <v>0.625</v>
      </c>
      <c r="N728" s="43">
        <v>0.64583333333333337</v>
      </c>
      <c r="O728" s="43">
        <v>1.0125</v>
      </c>
      <c r="P728" s="43">
        <v>1.0333333333333334</v>
      </c>
      <c r="Q728" s="39"/>
      <c r="R728" s="42" t="s">
        <v>4</v>
      </c>
      <c r="S728" s="29">
        <v>6</v>
      </c>
      <c r="T72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728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728" s="41">
        <f>MIP[[#This Row],[Eficiência]]</f>
        <v>0.44311439365787181</v>
      </c>
      <c r="W72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28" s="39">
        <f>IF(MIP[[#This Row],[P.S]]-MIP[[#This Row],[P.E]]&lt;0,1+MIP[[#This Row],[P.S]]-MIP[[#This Row],[P.E]]-1/24,MIP[[#This Row],[P.S]]-MIP[[#This Row],[P.E]]-1/24)</f>
        <v>0.36666666666666675</v>
      </c>
      <c r="Y728" s="39">
        <f>MIP[[#This Row],[PT-1]]*$S$3+MIP[[#This Row],[PT-2]]*$T$3+MIP[[#This Row],[PT-3]]*$U$3+MIP[[#This Row],[PT &gt; 3 Pontos]]*$V$3</f>
        <v>0.1440121779388083</v>
      </c>
      <c r="Z728" s="39">
        <f>MIP[[#This Row],[HH disponível]]-MIP[[#This Row],[HH AC TOT]]</f>
        <v>0.3249999999999999</v>
      </c>
      <c r="AA728" s="38">
        <f>MIP[[#This Row],[HH Produtivo
Total]]/MIP[[#This Row],[HH Trabalhado]]</f>
        <v>0.44311439365787181</v>
      </c>
      <c r="AB728" s="38">
        <f>MIP[[#This Row],[HH Produtivo
Total]]/MIP[[#This Row],[HH disponível]]</f>
        <v>0.39276048528765889</v>
      </c>
      <c r="AC728" s="38">
        <f>MIP[[#This Row],[HH Trabalhado]]/MIP[[#This Row],[HH disponível]]</f>
        <v>0.88636363636363591</v>
      </c>
      <c r="AD728" s="37" t="str">
        <f>LEFT(MIP[[#This Row],[Equipe]], SEARCH("/",MIP[[#This Row],[Equipe]],1)-1)</f>
        <v xml:space="preserve">EDILTON </v>
      </c>
      <c r="AE728" s="37" t="str">
        <f>RIGHT(MIP[[#This Row],[Equipe]], LEN(MIP[[#This Row],[Equipe]])-SEARCH("/",MIP[[#This Row],[Equipe]],1))</f>
        <v xml:space="preserve"> GECIVALDO</v>
      </c>
      <c r="AF728" s="44">
        <f>COUNTIFS('[1]Tempo parado'!H:H,"&gt;="&amp;MIP[[#This Row],[S.B Sitrack]],'[1]Tempo parado'!I:I,"&lt;="&amp;MIP[[#This Row],[C.B Sitrack]],'[1]Tempo parado'!B:B,MIP[[#This Row],[Placa]])</f>
        <v>0</v>
      </c>
      <c r="AG728" s="36"/>
      <c r="AH728" s="35"/>
      <c r="AI728" s="34">
        <v>43038.666863425926</v>
      </c>
      <c r="AJ728" s="34" t="s">
        <v>154</v>
      </c>
      <c r="AK728" s="32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2.4305555555555528E-2</v>
      </c>
      <c r="AL72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28" s="32">
        <f>SUMIFS('[1]Tempo parado'!J:J,'[1]Tempo parado'!H:H,"&gt;="&amp;MIP[[#This Row],[S.B Sitrack]],'[1]Tempo parado'!I:I,"&lt;="&amp;MIP[[#This Row],[C.B Sitrack]],'[1]Tempo parado'!B:B,MIP[[#This Row],[Placa]])</f>
        <v>0</v>
      </c>
      <c r="AN728" s="32">
        <f>IFERROR(MIP[[#This Row],[Tempo parado]]/(MIP[[#This Row],[C.B Sitrack]]-MIP[[#This Row],[S.B Sitrack]]),"")</f>
        <v>0</v>
      </c>
      <c r="AO728" s="30"/>
      <c r="AP728" s="44">
        <f>IF(AND(MIP[Exc]=0,MIP[Previsto / Realizado]="Realizado"),MIP[Sem],0)</f>
        <v>0</v>
      </c>
      <c r="AQ728" s="29">
        <f>IF(AND(MIP[Exc]=0,MIP[Previsto / Realizado]="Realizado",ISBLANK(MIP[[#This Row],[S.B Sitrack]])=FALSE,ISBLANK(MIP[[#This Row],[C.B Sitrack]])=FALSE),MIP[Sem],0)</f>
        <v>0</v>
      </c>
    </row>
    <row r="729" spans="2:43" x14ac:dyDescent="0.25">
      <c r="B729" s="29">
        <f>WEEKNUM(MIP[[#This Row],[Data]])</f>
        <v>44</v>
      </c>
      <c r="C729" s="45">
        <v>43038</v>
      </c>
      <c r="D729" s="45"/>
      <c r="E729" s="35" t="s">
        <v>3</v>
      </c>
      <c r="F729" s="35" t="s">
        <v>2</v>
      </c>
      <c r="G729" s="35" t="s">
        <v>1</v>
      </c>
      <c r="H729" s="44">
        <v>2</v>
      </c>
      <c r="I729" s="44">
        <v>10</v>
      </c>
      <c r="J729" s="44">
        <v>1</v>
      </c>
      <c r="K729" s="44">
        <v>0</v>
      </c>
      <c r="L729" s="44">
        <v>0</v>
      </c>
      <c r="M729" s="43">
        <v>0.61388888888888882</v>
      </c>
      <c r="N729" s="43">
        <v>0.66597222222222219</v>
      </c>
      <c r="O729" s="43">
        <v>1.0138888888888888</v>
      </c>
      <c r="P729" s="43">
        <v>3.3333333333333333E-2</v>
      </c>
      <c r="Q729" s="39"/>
      <c r="R729" s="42" t="s">
        <v>17</v>
      </c>
      <c r="S729" s="29">
        <v>12</v>
      </c>
      <c r="T72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7.1527777777777968E-2</v>
      </c>
      <c r="U729" s="39">
        <f>IF(MIP[[#This Row],[P.S]]-MIP[[#This Row],[U.P]]&gt;=0,MIP[[#This Row],[P.S]]-MIP[[#This Row],[U.P]]+MIP[[#This Row],[S.B]]-MIP[[#This Row],[P.E]],1+MIP[[#This Row],[P.S]]-MIP[[#This Row],[U.P]]+MIP[[#This Row],[S.B]]-MIP[[#This Row],[P.E]])</f>
        <v>7.1527777777777968E-2</v>
      </c>
      <c r="V729" s="41">
        <f>MIP[[#This Row],[Eficiência]]</f>
        <v>0.96054627164875561</v>
      </c>
      <c r="W72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29" s="39">
        <f>IF(MIP[[#This Row],[P.S]]-MIP[[#This Row],[P.E]]&lt;0,1+MIP[[#This Row],[P.S]]-MIP[[#This Row],[P.E]]-1/24,MIP[[#This Row],[P.S]]-MIP[[#This Row],[P.E]]-1/24)</f>
        <v>0.37777777777777793</v>
      </c>
      <c r="Y729" s="39">
        <f>MIP[[#This Row],[PT-1]]*$S$3+MIP[[#This Row],[PT-2]]*$T$3+MIP[[#This Row],[PT-3]]*$U$3+MIP[[#This Row],[PT &gt; 3 Pontos]]*$V$3</f>
        <v>0.29416729569243139</v>
      </c>
      <c r="Z729" s="39">
        <f>MIP[[#This Row],[HH disponível]]-MIP[[#This Row],[HH AC TOT]]</f>
        <v>0.30624999999999997</v>
      </c>
      <c r="AA729" s="38">
        <f>MIP[[#This Row],[HH Produtivo
Total]]/MIP[[#This Row],[HH Trabalhado]]</f>
        <v>0.96054627164875561</v>
      </c>
      <c r="AB729" s="38">
        <f>MIP[[#This Row],[HH Produtivo
Total]]/MIP[[#This Row],[HH disponível]]</f>
        <v>0.77867813565643573</v>
      </c>
      <c r="AC729" s="38">
        <f>MIP[[#This Row],[HH Trabalhado]]/MIP[[#This Row],[HH disponível]]</f>
        <v>0.81066176470588192</v>
      </c>
      <c r="AD729" s="37" t="str">
        <f>LEFT(MIP[[#This Row],[Equipe]], SEARCH("/",MIP[[#This Row],[Equipe]],1)-1)</f>
        <v xml:space="preserve">EDILTON </v>
      </c>
      <c r="AE729" s="37" t="str">
        <f>RIGHT(MIP[[#This Row],[Equipe]], LEN(MIP[[#This Row],[Equipe]])-SEARCH("/",MIP[[#This Row],[Equipe]],1))</f>
        <v xml:space="preserve"> GECIVALDO</v>
      </c>
      <c r="AF729" s="44">
        <f>COUNTIFS('[1]Tempo parado'!H:H,"&gt;="&amp;MIP[[#This Row],[S.B Sitrack]],'[1]Tempo parado'!I:I,"&lt;="&amp;MIP[[#This Row],[C.B Sitrack]],'[1]Tempo parado'!B:B,MIP[[#This Row],[Placa]])</f>
        <v>18</v>
      </c>
      <c r="AG729" s="36"/>
      <c r="AH729" s="35"/>
      <c r="AI729" s="34">
        <v>43038.666863425926</v>
      </c>
      <c r="AJ729" s="34">
        <v>43039.016134259262</v>
      </c>
      <c r="AK729" s="32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2.7777777777778269E-3</v>
      </c>
      <c r="AL72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71.5</v>
      </c>
      <c r="AM729" s="32">
        <f>SUMIFS('[1]Tempo parado'!J:J,'[1]Tempo parado'!H:H,"&gt;="&amp;MIP[[#This Row],[S.B Sitrack]],'[1]Tempo parado'!I:I,"&lt;="&amp;MIP[[#This Row],[C.B Sitrack]],'[1]Tempo parado'!B:B,MIP[[#This Row],[Placa]])</f>
        <v>0.19450231481481478</v>
      </c>
      <c r="AN729" s="31">
        <f>IFERROR(MIP[[#This Row],[Tempo parado]]/(MIP[[#This Row],[C.B Sitrack]]-MIP[[#This Row],[S.B Sitrack]]),"")</f>
        <v>0.55688106835899198</v>
      </c>
      <c r="AO729" s="30"/>
      <c r="AP729" s="44">
        <f>IF(AND(MIP[Exc]=0,MIP[Previsto / Realizado]="Realizado"),MIP[Sem],0)</f>
        <v>44</v>
      </c>
      <c r="AQ729" s="29">
        <f>IF(AND(MIP[Exc]=0,MIP[Previsto / Realizado]="Realizado",ISBLANK(MIP[[#This Row],[S.B Sitrack]])=FALSE,ISBLANK(MIP[[#This Row],[C.B Sitrack]])=FALSE),MIP[Sem],0)</f>
        <v>44</v>
      </c>
    </row>
    <row r="730" spans="2:43" x14ac:dyDescent="0.25">
      <c r="B730" s="29">
        <f>WEEKNUM(MIP[[#This Row],[Data]])</f>
        <v>44</v>
      </c>
      <c r="C730" s="45">
        <v>43039</v>
      </c>
      <c r="D730" s="45"/>
      <c r="E730" s="35" t="s">
        <v>10</v>
      </c>
      <c r="F730" s="35" t="s">
        <v>5</v>
      </c>
      <c r="G730" s="35"/>
      <c r="H730" s="44">
        <v>2</v>
      </c>
      <c r="I730" s="44">
        <v>1</v>
      </c>
      <c r="J730" s="44">
        <v>1</v>
      </c>
      <c r="K730" s="44">
        <v>0</v>
      </c>
      <c r="L730" s="44">
        <v>7</v>
      </c>
      <c r="M730" s="43">
        <v>0.25</v>
      </c>
      <c r="N730" s="43">
        <v>0.27083333333333331</v>
      </c>
      <c r="O730" s="43">
        <v>0.63750000000000007</v>
      </c>
      <c r="P730" s="43">
        <v>0.65833333333333333</v>
      </c>
      <c r="Q730" s="39"/>
      <c r="R730" s="42" t="s">
        <v>4</v>
      </c>
      <c r="S730" s="29">
        <v>10</v>
      </c>
      <c r="T73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730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730" s="41">
        <f>MIP[[#This Row],[Eficiência]]</f>
        <v>0.64821752377609876</v>
      </c>
      <c r="W73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30" s="39">
        <f>IF(MIP[[#This Row],[P.S]]-MIP[[#This Row],[P.E]]&lt;0,1+MIP[[#This Row],[P.S]]-MIP[[#This Row],[P.E]]-1/24,MIP[[#This Row],[P.S]]-MIP[[#This Row],[P.E]]-1/24)</f>
        <v>0.36666666666666664</v>
      </c>
      <c r="Y730" s="39">
        <f>MIP[[#This Row],[PT-1]]*$S$3+MIP[[#This Row],[PT-2]]*$T$3+MIP[[#This Row],[PT-3]]*$U$3+MIP[[#This Row],[PT &gt; 3 Pontos]]*$V$3</f>
        <v>0.21067069522723214</v>
      </c>
      <c r="Z730" s="39">
        <f>MIP[[#This Row],[HH disponível]]-MIP[[#This Row],[HH AC TOT]]</f>
        <v>0.32500000000000007</v>
      </c>
      <c r="AA730" s="38">
        <f>MIP[[#This Row],[HH Produtivo
Total]]/MIP[[#This Row],[HH Trabalhado]]</f>
        <v>0.64821752377609876</v>
      </c>
      <c r="AB730" s="38">
        <f>MIP[[#This Row],[HH Produtivo
Total]]/MIP[[#This Row],[HH disponível]]</f>
        <v>0.57455644152881502</v>
      </c>
      <c r="AC730" s="38">
        <f>MIP[[#This Row],[HH Trabalhado]]/MIP[[#This Row],[HH disponível]]</f>
        <v>0.88636363636363658</v>
      </c>
      <c r="AD730" s="37" t="str">
        <f>LEFT(MIP[[#This Row],[Equipe]], SEARCH("/",MIP[[#This Row],[Equipe]],1)-1)</f>
        <v xml:space="preserve">JOILSON </v>
      </c>
      <c r="AE730" s="37" t="str">
        <f>RIGHT(MIP[[#This Row],[Equipe]], LEN(MIP[[#This Row],[Equipe]])-SEARCH("/",MIP[[#This Row],[Equipe]],1))</f>
        <v xml:space="preserve"> VALDEI</v>
      </c>
      <c r="AF730" s="44">
        <f>COUNTIFS('[1]Tempo parado'!H:H,"&gt;="&amp;MIP[[#This Row],[S.B Sitrack]],'[1]Tempo parado'!I:I,"&lt;="&amp;MIP[[#This Row],[C.B Sitrack]],'[1]Tempo parado'!B:B,MIP[[#This Row],[Placa]])</f>
        <v>0</v>
      </c>
      <c r="AG730" s="36"/>
      <c r="AH730" s="35"/>
      <c r="AI730" s="34" t="s">
        <v>153</v>
      </c>
      <c r="AJ730" s="34" t="s">
        <v>152</v>
      </c>
      <c r="AK730" s="32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1.8055555555555602E-2</v>
      </c>
      <c r="AL73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30" s="32">
        <f>SUMIFS('[1]Tempo parado'!J:J,'[1]Tempo parado'!H:H,"&gt;="&amp;MIP[[#This Row],[S.B Sitrack]],'[1]Tempo parado'!I:I,"&lt;="&amp;MIP[[#This Row],[C.B Sitrack]],'[1]Tempo parado'!B:B,MIP[[#This Row],[Placa]])</f>
        <v>0</v>
      </c>
      <c r="AN730" s="32">
        <f>IFERROR(MIP[[#This Row],[Tempo parado]]/(MIP[[#This Row],[C.B Sitrack]]-MIP[[#This Row],[S.B Sitrack]]),"")</f>
        <v>0</v>
      </c>
      <c r="AO730" s="30"/>
      <c r="AP730" s="44">
        <f>IF(AND(MIP[Exc]=0,MIP[Previsto / Realizado]="Realizado"),MIP[Sem],0)</f>
        <v>0</v>
      </c>
      <c r="AQ730" s="29">
        <f>IF(AND(MIP[Exc]=0,MIP[Previsto / Realizado]="Realizado",ISBLANK(MIP[[#This Row],[S.B Sitrack]])=FALSE,ISBLANK(MIP[[#This Row],[C.B Sitrack]])=FALSE),MIP[Sem],0)</f>
        <v>0</v>
      </c>
    </row>
    <row r="731" spans="2:43" x14ac:dyDescent="0.25">
      <c r="B731" s="29">
        <f>WEEKNUM(MIP[[#This Row],[Data]])</f>
        <v>44</v>
      </c>
      <c r="C731" s="45">
        <v>43039</v>
      </c>
      <c r="D731" s="45"/>
      <c r="E731" s="35" t="s">
        <v>10</v>
      </c>
      <c r="F731" s="35" t="s">
        <v>2</v>
      </c>
      <c r="G731" s="35" t="s">
        <v>1</v>
      </c>
      <c r="H731" s="44">
        <v>2</v>
      </c>
      <c r="I731" s="44">
        <v>2</v>
      </c>
      <c r="J731" s="44">
        <v>1</v>
      </c>
      <c r="K731" s="44">
        <v>0</v>
      </c>
      <c r="L731" s="44">
        <v>7</v>
      </c>
      <c r="M731" s="43">
        <v>0.25</v>
      </c>
      <c r="N731" s="43">
        <v>0.27083333333333331</v>
      </c>
      <c r="O731" s="43">
        <v>0.61041666666666672</v>
      </c>
      <c r="P731" s="43">
        <v>0.67291666666666661</v>
      </c>
      <c r="Q731" s="39"/>
      <c r="R731" s="42" t="s">
        <v>32</v>
      </c>
      <c r="S731" s="29">
        <v>11</v>
      </c>
      <c r="T73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8.3333333333333204E-2</v>
      </c>
      <c r="U731" s="39">
        <f>IF(MIP[[#This Row],[P.S]]-MIP[[#This Row],[U.P]]&gt;=0,MIP[[#This Row],[P.S]]-MIP[[#This Row],[U.P]]+MIP[[#This Row],[S.B]]-MIP[[#This Row],[P.E]],1+MIP[[#This Row],[P.S]]-MIP[[#This Row],[U.P]]+MIP[[#This Row],[S.B]]-MIP[[#This Row],[P.E]])</f>
        <v>8.3333333333333204E-2</v>
      </c>
      <c r="V731" s="41">
        <f>MIP[[#This Row],[Eficiência]]</f>
        <v>0.79114925265287583</v>
      </c>
      <c r="W73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31" s="39">
        <f>IF(MIP[[#This Row],[P.S]]-MIP[[#This Row],[P.E]]&lt;0,1+MIP[[#This Row],[P.S]]-MIP[[#This Row],[P.E]]-1/24,MIP[[#This Row],[P.S]]-MIP[[#This Row],[P.E]]-1/24)</f>
        <v>0.38124999999999992</v>
      </c>
      <c r="Y731" s="39">
        <f>MIP[[#This Row],[PT-1]]*$S$3+MIP[[#This Row],[PT-2]]*$T$3+MIP[[#This Row],[PT-3]]*$U$3+MIP[[#This Row],[PT &gt; 3 Pontos]]*$V$3</f>
        <v>0.23569654818616931</v>
      </c>
      <c r="Z731" s="39">
        <f>MIP[[#This Row],[HH disponível]]-MIP[[#This Row],[HH AC TOT]]</f>
        <v>0.29791666666666672</v>
      </c>
      <c r="AA731" s="38">
        <f>MIP[[#This Row],[HH Produtivo
Total]]/MIP[[#This Row],[HH Trabalhado]]</f>
        <v>0.79114925265287583</v>
      </c>
      <c r="AB731" s="38">
        <f>MIP[[#This Row],[HH Produtivo
Total]]/MIP[[#This Row],[HH disponível]]</f>
        <v>0.6182204542588049</v>
      </c>
      <c r="AC731" s="38">
        <f>MIP[[#This Row],[HH Trabalhado]]/MIP[[#This Row],[HH disponível]]</f>
        <v>0.78142076502732272</v>
      </c>
      <c r="AD731" s="37" t="str">
        <f>LEFT(MIP[[#This Row],[Equipe]], SEARCH("/",MIP[[#This Row],[Equipe]],1)-1)</f>
        <v xml:space="preserve">JOILSON </v>
      </c>
      <c r="AE731" s="37" t="str">
        <f>RIGHT(MIP[[#This Row],[Equipe]], LEN(MIP[[#This Row],[Equipe]])-SEARCH("/",MIP[[#This Row],[Equipe]],1))</f>
        <v xml:space="preserve"> VALDEI</v>
      </c>
      <c r="AF731" s="44">
        <f>COUNTIFS('[1]Tempo parado'!H:H,"&gt;="&amp;MIP[[#This Row],[S.B Sitrack]],'[1]Tempo parado'!I:I,"&lt;="&amp;MIP[[#This Row],[C.B Sitrack]],'[1]Tempo parado'!B:B,MIP[[#This Row],[Placa]])</f>
        <v>4</v>
      </c>
      <c r="AG731" s="36"/>
      <c r="AH731" s="35"/>
      <c r="AI731" s="34">
        <v>43039.405150462961</v>
      </c>
      <c r="AJ731" s="34">
        <v>43039.650752314818</v>
      </c>
      <c r="AK731" s="32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0.17430555555555555</v>
      </c>
      <c r="AL73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32.799999999999997</v>
      </c>
      <c r="AM731" s="32">
        <f>SUMIFS('[1]Tempo parado'!J:J,'[1]Tempo parado'!H:H,"&gt;="&amp;MIP[[#This Row],[S.B Sitrack]],'[1]Tempo parado'!I:I,"&lt;="&amp;MIP[[#This Row],[C.B Sitrack]],'[1]Tempo parado'!B:B,MIP[[#This Row],[Placa]])</f>
        <v>0.17199074074074075</v>
      </c>
      <c r="AN731" s="31">
        <f>IFERROR(MIP[[#This Row],[Tempo parado]]/(MIP[[#This Row],[C.B Sitrack]]-MIP[[#This Row],[S.B Sitrack]]),"")</f>
        <v>0.70028275210619562</v>
      </c>
      <c r="AO731" s="30"/>
      <c r="AP731" s="44">
        <f>IF(AND(MIP[Exc]=0,MIP[Previsto / Realizado]="Realizado"),MIP[Sem],0)</f>
        <v>44</v>
      </c>
      <c r="AQ731" s="29">
        <f>IF(AND(MIP[Exc]=0,MIP[Previsto / Realizado]="Realizado",ISBLANK(MIP[[#This Row],[S.B Sitrack]])=FALSE,ISBLANK(MIP[[#This Row],[C.B Sitrack]])=FALSE),MIP[Sem],0)</f>
        <v>44</v>
      </c>
    </row>
    <row r="732" spans="2:43" x14ac:dyDescent="0.25">
      <c r="B732" s="29">
        <f>WEEKNUM(MIP[[#This Row],[Data]])</f>
        <v>44</v>
      </c>
      <c r="C732" s="45">
        <v>43039</v>
      </c>
      <c r="D732" s="45"/>
      <c r="E732" s="35" t="s">
        <v>3</v>
      </c>
      <c r="F732" s="35" t="s">
        <v>5</v>
      </c>
      <c r="G732" s="35"/>
      <c r="H732" s="44">
        <v>2</v>
      </c>
      <c r="I732" s="44">
        <v>7</v>
      </c>
      <c r="J732" s="44">
        <v>3</v>
      </c>
      <c r="K732" s="44">
        <v>0</v>
      </c>
      <c r="L732" s="44">
        <v>0</v>
      </c>
      <c r="M732" s="43">
        <v>0.625</v>
      </c>
      <c r="N732" s="43">
        <v>0.64583333333333337</v>
      </c>
      <c r="O732" s="43">
        <v>1.0125</v>
      </c>
      <c r="P732" s="43">
        <v>1.0333333333333334</v>
      </c>
      <c r="Q732" s="39"/>
      <c r="R732" s="42" t="s">
        <v>4</v>
      </c>
      <c r="S732" s="29">
        <v>13</v>
      </c>
      <c r="T73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732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732" s="41">
        <f>MIP[[#This Row],[Eficiência]]</f>
        <v>0.94433005852842811</v>
      </c>
      <c r="W73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32" s="39">
        <f>IF(MIP[[#This Row],[P.S]]-MIP[[#This Row],[P.E]]&lt;0,1+MIP[[#This Row],[P.S]]-MIP[[#This Row],[P.E]]-1/24,MIP[[#This Row],[P.S]]-MIP[[#This Row],[P.E]]-1/24)</f>
        <v>0.36666666666666675</v>
      </c>
      <c r="Y732" s="39">
        <f>MIP[[#This Row],[PT-1]]*$S$3+MIP[[#This Row],[PT-2]]*$T$3+MIP[[#This Row],[PT-3]]*$U$3+MIP[[#This Row],[PT &gt; 3 Pontos]]*$V$3</f>
        <v>0.30690726902173904</v>
      </c>
      <c r="Z732" s="39">
        <f>MIP[[#This Row],[HH disponível]]-MIP[[#This Row],[HH AC TOT]]</f>
        <v>0.3249999999999999</v>
      </c>
      <c r="AA732" s="38">
        <f>MIP[[#This Row],[HH Produtivo
Total]]/MIP[[#This Row],[HH Trabalhado]]</f>
        <v>0.94433005852842811</v>
      </c>
      <c r="AB732" s="38">
        <f>MIP[[#This Row],[HH Produtivo
Total]]/MIP[[#This Row],[HH disponível]]</f>
        <v>0.83701982460474267</v>
      </c>
      <c r="AC732" s="38">
        <f>MIP[[#This Row],[HH Trabalhado]]/MIP[[#This Row],[HH disponível]]</f>
        <v>0.88636363636363591</v>
      </c>
      <c r="AD732" s="37" t="str">
        <f>LEFT(MIP[[#This Row],[Equipe]], SEARCH("/",MIP[[#This Row],[Equipe]],1)-1)</f>
        <v xml:space="preserve">EDILTON </v>
      </c>
      <c r="AE732" s="37" t="str">
        <f>RIGHT(MIP[[#This Row],[Equipe]], LEN(MIP[[#This Row],[Equipe]])-SEARCH("/",MIP[[#This Row],[Equipe]],1))</f>
        <v xml:space="preserve"> GECIVALDO</v>
      </c>
      <c r="AF732" s="44">
        <f>COUNTIFS('[1]Tempo parado'!H:H,"&gt;="&amp;MIP[[#This Row],[S.B Sitrack]],'[1]Tempo parado'!I:I,"&lt;="&amp;MIP[[#This Row],[C.B Sitrack]],'[1]Tempo parado'!B:B,MIP[[#This Row],[Placa]])</f>
        <v>0</v>
      </c>
      <c r="AG732" s="36"/>
      <c r="AH732" s="35"/>
      <c r="AI732" s="34"/>
      <c r="AJ732" s="34"/>
      <c r="AK73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3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32" s="32">
        <f>SUMIFS('[1]Tempo parado'!J:J,'[1]Tempo parado'!H:H,"&gt;="&amp;MIP[[#This Row],[S.B Sitrack]],'[1]Tempo parado'!I:I,"&lt;="&amp;MIP[[#This Row],[C.B Sitrack]],'[1]Tempo parado'!B:B,MIP[[#This Row],[Placa]])</f>
        <v>0</v>
      </c>
      <c r="AN732" s="32" t="str">
        <f>IFERROR(MIP[[#This Row],[Tempo parado]]/(MIP[[#This Row],[C.B Sitrack]]-MIP[[#This Row],[S.B Sitrack]]),"")</f>
        <v/>
      </c>
      <c r="AO732" s="30"/>
      <c r="AP732" s="44">
        <f>IF(AND(MIP[Exc]=0,MIP[Previsto / Realizado]="Realizado"),MIP[Sem],0)</f>
        <v>0</v>
      </c>
      <c r="AQ732" s="29">
        <f>IF(AND(MIP[Exc]=0,MIP[Previsto / Realizado]="Realizado",ISBLANK(MIP[[#This Row],[S.B Sitrack]])=FALSE,ISBLANK(MIP[[#This Row],[C.B Sitrack]])=FALSE),MIP[Sem],0)</f>
        <v>0</v>
      </c>
    </row>
    <row r="733" spans="2:43" x14ac:dyDescent="0.25">
      <c r="B733" s="29">
        <f>WEEKNUM(MIP[[#This Row],[Data]])</f>
        <v>44</v>
      </c>
      <c r="C733" s="45">
        <v>43039</v>
      </c>
      <c r="D733" s="45"/>
      <c r="E733" s="46" t="s">
        <v>3</v>
      </c>
      <c r="F733" s="35" t="s">
        <v>2</v>
      </c>
      <c r="G733" s="35" t="s">
        <v>1</v>
      </c>
      <c r="H733" s="44">
        <v>2</v>
      </c>
      <c r="I733" s="44">
        <v>5</v>
      </c>
      <c r="J733" s="44">
        <v>3</v>
      </c>
      <c r="K733" s="44">
        <v>0</v>
      </c>
      <c r="L733" s="44">
        <v>0</v>
      </c>
      <c r="M733" s="43">
        <v>0.62638888888888888</v>
      </c>
      <c r="N733" s="43">
        <v>0.70833333333333337</v>
      </c>
      <c r="O733" s="43">
        <v>1.0277777777777777</v>
      </c>
      <c r="P733" s="43">
        <v>3.3333333333333333E-2</v>
      </c>
      <c r="Q733" s="39"/>
      <c r="R733" s="42" t="s">
        <v>32</v>
      </c>
      <c r="S733" s="29">
        <v>11</v>
      </c>
      <c r="T73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8.7500000000000244E-2</v>
      </c>
      <c r="U733" s="39">
        <f>IF(MIP[[#This Row],[P.S]]-MIP[[#This Row],[U.P]]&gt;=0,MIP[[#This Row],[P.S]]-MIP[[#This Row],[U.P]]+MIP[[#This Row],[S.B]]-MIP[[#This Row],[P.E]],1+MIP[[#This Row],[P.S]]-MIP[[#This Row],[U.P]]+MIP[[#This Row],[S.B]]-MIP[[#This Row],[P.E]])</f>
        <v>8.7500000000000244E-2</v>
      </c>
      <c r="V733" s="41">
        <f>MIP[[#This Row],[Eficiência]]</f>
        <v>0.92468002717391329</v>
      </c>
      <c r="W73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33" s="39">
        <f>IF(MIP[[#This Row],[P.S]]-MIP[[#This Row],[P.E]]&lt;0,1+MIP[[#This Row],[P.S]]-MIP[[#This Row],[P.E]]-1/24,MIP[[#This Row],[P.S]]-MIP[[#This Row],[P.E]]-1/24)</f>
        <v>0.36527777777777787</v>
      </c>
      <c r="Y733" s="39">
        <f>MIP[[#This Row],[PT-1]]*$S$3+MIP[[#This Row],[PT-2]]*$T$3+MIP[[#This Row],[PT-3]]*$U$3+MIP[[#This Row],[PT &gt; 3 Pontos]]*$V$3</f>
        <v>0.25685556310386465</v>
      </c>
      <c r="Z733" s="39">
        <f>MIP[[#This Row],[HH disponível]]-MIP[[#This Row],[HH AC TOT]]</f>
        <v>0.27777777777777762</v>
      </c>
      <c r="AA733" s="38">
        <f>MIP[[#This Row],[HH Produtivo
Total]]/MIP[[#This Row],[HH Trabalhado]]</f>
        <v>0.92468002717391329</v>
      </c>
      <c r="AB733" s="38">
        <f>MIP[[#This Row],[HH Produtivo
Total]]/MIP[[#This Row],[HH disponível]]</f>
        <v>0.7031787278889069</v>
      </c>
      <c r="AC733" s="38">
        <f>MIP[[#This Row],[HH Trabalhado]]/MIP[[#This Row],[HH disponível]]</f>
        <v>0.76045627376425795</v>
      </c>
      <c r="AD733" s="37" t="str">
        <f>LEFT(MIP[[#This Row],[Equipe]], SEARCH("/",MIP[[#This Row],[Equipe]],1)-1)</f>
        <v xml:space="preserve">EDILTON </v>
      </c>
      <c r="AE733" s="37" t="str">
        <f>RIGHT(MIP[[#This Row],[Equipe]], LEN(MIP[[#This Row],[Equipe]])-SEARCH("/",MIP[[#This Row],[Equipe]],1))</f>
        <v xml:space="preserve"> GECIVALDO</v>
      </c>
      <c r="AF733" s="44">
        <f>COUNTIFS('[1]Tempo parado'!H:H,"&gt;="&amp;MIP[[#This Row],[S.B Sitrack]],'[1]Tempo parado'!I:I,"&lt;="&amp;MIP[[#This Row],[C.B Sitrack]],'[1]Tempo parado'!B:B,MIP[[#This Row],[Placa]])</f>
        <v>12</v>
      </c>
      <c r="AG733" s="36"/>
      <c r="AH733" s="35"/>
      <c r="AI733" s="34">
        <v>43039.717662037037</v>
      </c>
      <c r="AJ733" s="34">
        <v>43040.013749999998</v>
      </c>
      <c r="AK733" s="32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2.3611111111110868E-2</v>
      </c>
      <c r="AL73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54.600000000000009</v>
      </c>
      <c r="AM733" s="32">
        <f>SUMIFS('[1]Tempo parado'!J:J,'[1]Tempo parado'!H:H,"&gt;="&amp;MIP[[#This Row],[S.B Sitrack]],'[1]Tempo parado'!I:I,"&lt;="&amp;MIP[[#This Row],[C.B Sitrack]],'[1]Tempo parado'!B:B,MIP[[#This Row],[Placa]])</f>
        <v>0.18503472222222225</v>
      </c>
      <c r="AN733" s="31">
        <f>IFERROR(MIP[[#This Row],[Tempo parado]]/(MIP[[#This Row],[C.B Sitrack]]-MIP[[#This Row],[S.B Sitrack]]),"")</f>
        <v>0.62493159253038588</v>
      </c>
      <c r="AO733" s="30" t="s">
        <v>151</v>
      </c>
      <c r="AP733" s="44">
        <f>IF(AND(MIP[Exc]=0,MIP[Previsto / Realizado]="Realizado"),MIP[Sem],0)</f>
        <v>44</v>
      </c>
      <c r="AQ733" s="29">
        <f>IF(AND(MIP[Exc]=0,MIP[Previsto / Realizado]="Realizado",ISBLANK(MIP[[#This Row],[S.B Sitrack]])=FALSE,ISBLANK(MIP[[#This Row],[C.B Sitrack]])=FALSE),MIP[Sem],0)</f>
        <v>44</v>
      </c>
    </row>
    <row r="734" spans="2:43" x14ac:dyDescent="0.25">
      <c r="B734" s="29">
        <f>WEEKNUM(MIP[[#This Row],[Data]])</f>
        <v>44</v>
      </c>
      <c r="C734" s="45">
        <v>43040</v>
      </c>
      <c r="D734" s="45"/>
      <c r="E734" s="35" t="s">
        <v>10</v>
      </c>
      <c r="F734" s="35" t="s">
        <v>5</v>
      </c>
      <c r="G734" s="35"/>
      <c r="H734" s="44">
        <v>2</v>
      </c>
      <c r="I734" s="44">
        <v>3</v>
      </c>
      <c r="J734" s="44">
        <v>4</v>
      </c>
      <c r="K734" s="44">
        <v>0</v>
      </c>
      <c r="L734" s="44">
        <v>0</v>
      </c>
      <c r="M734" s="43">
        <v>0.25</v>
      </c>
      <c r="N734" s="43">
        <v>0.27083333333333331</v>
      </c>
      <c r="O734" s="43">
        <v>0.63750000000000007</v>
      </c>
      <c r="P734" s="43">
        <v>0.65833333333333333</v>
      </c>
      <c r="Q734" s="39"/>
      <c r="R734" s="42" t="s">
        <v>4</v>
      </c>
      <c r="S734" s="29">
        <v>11</v>
      </c>
      <c r="T73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734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734" s="41">
        <f>MIP[[#This Row],[Eficiência]]</f>
        <v>0.77142345627399944</v>
      </c>
      <c r="W73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34" s="39">
        <f>IF(MIP[[#This Row],[P.S]]-MIP[[#This Row],[P.E]]&lt;0,1+MIP[[#This Row],[P.S]]-MIP[[#This Row],[P.E]]-1/24,MIP[[#This Row],[P.S]]-MIP[[#This Row],[P.E]]-1/24)</f>
        <v>0.36666666666666664</v>
      </c>
      <c r="Y734" s="39">
        <f>MIP[[#This Row],[PT-1]]*$S$3+MIP[[#This Row],[PT-2]]*$T$3+MIP[[#This Row],[PT-3]]*$U$3+MIP[[#This Row],[PT &gt; 3 Pontos]]*$V$3</f>
        <v>0.25071262328904986</v>
      </c>
      <c r="Z734" s="39">
        <f>MIP[[#This Row],[HH disponível]]-MIP[[#This Row],[HH AC TOT]]</f>
        <v>0.32500000000000007</v>
      </c>
      <c r="AA734" s="38">
        <f>MIP[[#This Row],[HH Produtivo
Total]]/MIP[[#This Row],[HH Trabalhado]]</f>
        <v>0.77142345627399944</v>
      </c>
      <c r="AB734" s="38">
        <f>MIP[[#This Row],[HH Produtivo
Total]]/MIP[[#This Row],[HH disponível]]</f>
        <v>0.68376169987922697</v>
      </c>
      <c r="AC734" s="38">
        <f>MIP[[#This Row],[HH Trabalhado]]/MIP[[#This Row],[HH disponível]]</f>
        <v>0.88636363636363658</v>
      </c>
      <c r="AD734" s="37" t="str">
        <f>LEFT(MIP[[#This Row],[Equipe]], SEARCH("/",MIP[[#This Row],[Equipe]],1)-1)</f>
        <v xml:space="preserve">JOILSON </v>
      </c>
      <c r="AE734" s="37" t="str">
        <f>RIGHT(MIP[[#This Row],[Equipe]], LEN(MIP[[#This Row],[Equipe]])-SEARCH("/",MIP[[#This Row],[Equipe]],1))</f>
        <v xml:space="preserve"> VALDEI</v>
      </c>
      <c r="AF734" s="44">
        <f>COUNTIFS('[1]Tempo parado'!H:H,"&gt;="&amp;MIP[[#This Row],[S.B Sitrack]],'[1]Tempo parado'!I:I,"&lt;="&amp;MIP[[#This Row],[C.B Sitrack]],'[1]Tempo parado'!B:B,MIP[[#This Row],[Placa]])</f>
        <v>0</v>
      </c>
      <c r="AG734" s="36"/>
      <c r="AH734" s="35"/>
      <c r="AI734" s="34"/>
      <c r="AJ734" s="34"/>
      <c r="AK73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3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34" s="32">
        <f>SUMIFS('[1]Tempo parado'!J:J,'[1]Tempo parado'!H:H,"&gt;="&amp;MIP[[#This Row],[S.B Sitrack]],'[1]Tempo parado'!I:I,"&lt;="&amp;MIP[[#This Row],[C.B Sitrack]],'[1]Tempo parado'!B:B,MIP[[#This Row],[Placa]])</f>
        <v>0</v>
      </c>
      <c r="AN734" s="32" t="str">
        <f>IFERROR(MIP[[#This Row],[Tempo parado]]/(MIP[[#This Row],[C.B Sitrack]]-MIP[[#This Row],[S.B Sitrack]]),"")</f>
        <v/>
      </c>
      <c r="AO734" s="30"/>
      <c r="AP734" s="44">
        <f>IF(AND(MIP[Exc]=0,MIP[Previsto / Realizado]="Realizado"),MIP[Sem],0)</f>
        <v>0</v>
      </c>
      <c r="AQ734" s="29">
        <f>IF(AND(MIP[Exc]=0,MIP[Previsto / Realizado]="Realizado",ISBLANK(MIP[[#This Row],[S.B Sitrack]])=FALSE,ISBLANK(MIP[[#This Row],[C.B Sitrack]])=FALSE),MIP[Sem],0)</f>
        <v>0</v>
      </c>
    </row>
    <row r="735" spans="2:43" x14ac:dyDescent="0.25">
      <c r="B735" s="29">
        <f>WEEKNUM(MIP[[#This Row],[Data]])</f>
        <v>44</v>
      </c>
      <c r="C735" s="45">
        <v>43040</v>
      </c>
      <c r="D735" s="45"/>
      <c r="E735" s="35" t="s">
        <v>10</v>
      </c>
      <c r="F735" s="35" t="s">
        <v>2</v>
      </c>
      <c r="G735" s="35" t="s">
        <v>1</v>
      </c>
      <c r="H735" s="44">
        <v>2</v>
      </c>
      <c r="I735" s="44">
        <v>5</v>
      </c>
      <c r="J735" s="44">
        <v>3</v>
      </c>
      <c r="K735" s="44">
        <v>0</v>
      </c>
      <c r="L735" s="44">
        <v>0</v>
      </c>
      <c r="M735" s="43">
        <v>0.25277777777777777</v>
      </c>
      <c r="N735" s="43">
        <v>0.27083333333333331</v>
      </c>
      <c r="O735" s="43">
        <v>0.58333333333333337</v>
      </c>
      <c r="P735" s="43">
        <v>0.71180555555555547</v>
      </c>
      <c r="Q735" s="39"/>
      <c r="R735" s="42" t="s">
        <v>32</v>
      </c>
      <c r="S735" s="29">
        <v>11</v>
      </c>
      <c r="T73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0.14652777777777765</v>
      </c>
      <c r="U735" s="39">
        <f>IF(MIP[[#This Row],[P.S]]-MIP[[#This Row],[U.P]]&gt;=0,MIP[[#This Row],[P.S]]-MIP[[#This Row],[U.P]]+MIP[[#This Row],[S.B]]-MIP[[#This Row],[P.E]],1+MIP[[#This Row],[P.S]]-MIP[[#This Row],[U.P]]+MIP[[#This Row],[S.B]]-MIP[[#This Row],[P.E]])</f>
        <v>0.14652777777777765</v>
      </c>
      <c r="V735" s="41">
        <f>MIP[[#This Row],[Eficiência]]</f>
        <v>0.94838977146042314</v>
      </c>
      <c r="W73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35" s="39">
        <f>IF(MIP[[#This Row],[P.S]]-MIP[[#This Row],[P.E]]&lt;0,1+MIP[[#This Row],[P.S]]-MIP[[#This Row],[P.E]]-1/24,MIP[[#This Row],[P.S]]-MIP[[#This Row],[P.E]]-1/24)</f>
        <v>0.41736111111111102</v>
      </c>
      <c r="Y735" s="39">
        <f>MIP[[#This Row],[PT-1]]*$S$3+MIP[[#This Row],[PT-2]]*$T$3+MIP[[#This Row],[PT-3]]*$U$3+MIP[[#This Row],[PT &gt; 3 Pontos]]*$V$3</f>
        <v>0.25685556310386465</v>
      </c>
      <c r="Z735" s="39">
        <f>MIP[[#This Row],[HH disponível]]-MIP[[#This Row],[HH AC TOT]]</f>
        <v>0.27083333333333337</v>
      </c>
      <c r="AA735" s="38">
        <f>MIP[[#This Row],[HH Produtivo
Total]]/MIP[[#This Row],[HH Trabalhado]]</f>
        <v>0.94838977146042314</v>
      </c>
      <c r="AB735" s="38">
        <f>MIP[[#This Row],[HH Produtivo
Total]]/MIP[[#This Row],[HH disponível]]</f>
        <v>0.61542763871807848</v>
      </c>
      <c r="AC735" s="38">
        <f>MIP[[#This Row],[HH Trabalhado]]/MIP[[#This Row],[HH disponível]]</f>
        <v>0.64891846921797025</v>
      </c>
      <c r="AD735" s="37" t="str">
        <f>LEFT(MIP[[#This Row],[Equipe]], SEARCH("/",MIP[[#This Row],[Equipe]],1)-1)</f>
        <v xml:space="preserve">JOILSON </v>
      </c>
      <c r="AE735" s="37" t="str">
        <f>RIGHT(MIP[[#This Row],[Equipe]], LEN(MIP[[#This Row],[Equipe]])-SEARCH("/",MIP[[#This Row],[Equipe]],1))</f>
        <v xml:space="preserve"> VALDEI</v>
      </c>
      <c r="AF735" s="44">
        <f>COUNTIFS('[1]Tempo parado'!H:H,"&gt;="&amp;MIP[[#This Row],[S.B Sitrack]],'[1]Tempo parado'!I:I,"&lt;="&amp;MIP[[#This Row],[C.B Sitrack]],'[1]Tempo parado'!B:B,MIP[[#This Row],[Placa]])</f>
        <v>12</v>
      </c>
      <c r="AG735" s="36"/>
      <c r="AH735" s="35"/>
      <c r="AI735" s="34">
        <v>43040.276458333334</v>
      </c>
      <c r="AJ735" s="34">
        <v>43040.595324074071</v>
      </c>
      <c r="AK735" s="32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1.7361111111111049E-2</v>
      </c>
      <c r="AL73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33.099999999999994</v>
      </c>
      <c r="AM735" s="32">
        <f>SUMIFS('[1]Tempo parado'!J:J,'[1]Tempo parado'!H:H,"&gt;="&amp;MIP[[#This Row],[S.B Sitrack]],'[1]Tempo parado'!I:I,"&lt;="&amp;MIP[[#This Row],[C.B Sitrack]],'[1]Tempo parado'!B:B,MIP[[#This Row],[Placa]])</f>
        <v>0.22335648148148149</v>
      </c>
      <c r="AN735" s="31">
        <f>IFERROR(MIP[[#This Row],[Tempo parado]]/(MIP[[#This Row],[C.B Sitrack]]-MIP[[#This Row],[S.B Sitrack]]),"")</f>
        <v>0.70047186933618943</v>
      </c>
      <c r="AO735" s="30"/>
      <c r="AP735" s="44">
        <f>IF(AND(MIP[Exc]=0,MIP[Previsto / Realizado]="Realizado"),MIP[Sem],0)</f>
        <v>44</v>
      </c>
      <c r="AQ735" s="29">
        <f>IF(AND(MIP[Exc]=0,MIP[Previsto / Realizado]="Realizado",ISBLANK(MIP[[#This Row],[S.B Sitrack]])=FALSE,ISBLANK(MIP[[#This Row],[C.B Sitrack]])=FALSE),MIP[Sem],0)</f>
        <v>44</v>
      </c>
    </row>
    <row r="736" spans="2:43" x14ac:dyDescent="0.25">
      <c r="B736" s="29">
        <f>WEEKNUM(MIP[[#This Row],[Data]])</f>
        <v>44</v>
      </c>
      <c r="C736" s="45">
        <v>43041</v>
      </c>
      <c r="D736" s="45"/>
      <c r="E736" s="35" t="s">
        <v>7</v>
      </c>
      <c r="F736" s="35" t="s">
        <v>5</v>
      </c>
      <c r="G736" s="35"/>
      <c r="H736" s="44">
        <v>2</v>
      </c>
      <c r="I736" s="44">
        <v>3</v>
      </c>
      <c r="J736" s="44">
        <v>4</v>
      </c>
      <c r="K736" s="44">
        <v>1</v>
      </c>
      <c r="L736" s="44">
        <v>0</v>
      </c>
      <c r="M736" s="43">
        <v>0.625</v>
      </c>
      <c r="N736" s="43">
        <v>0.64583333333333337</v>
      </c>
      <c r="O736" s="43">
        <v>1.0125</v>
      </c>
      <c r="P736" s="43">
        <v>1.0333333333333334</v>
      </c>
      <c r="Q736" s="39"/>
      <c r="R736" s="42"/>
      <c r="S736" s="29">
        <v>14</v>
      </c>
      <c r="T73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736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736" s="41">
        <f>MIP[[#This Row],[Eficiência]]</f>
        <v>0.96462862318840603</v>
      </c>
      <c r="W73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36" s="39">
        <f>IF(MIP[[#This Row],[P.S]]-MIP[[#This Row],[P.E]]&lt;0,1+MIP[[#This Row],[P.S]]-MIP[[#This Row],[P.E]]-1/24,MIP[[#This Row],[P.S]]-MIP[[#This Row],[P.E]]-1/24)</f>
        <v>0.36666666666666675</v>
      </c>
      <c r="Y736" s="39">
        <f>MIP[[#This Row],[PT-1]]*$S$3+MIP[[#This Row],[PT-2]]*$T$3+MIP[[#This Row],[PT-3]]*$U$3+MIP[[#This Row],[PT &gt; 3 Pontos]]*$V$3</f>
        <v>0.31350430253623185</v>
      </c>
      <c r="Z736" s="39">
        <f>MIP[[#This Row],[HH disponível]]-MIP[[#This Row],[HH AC TOT]]</f>
        <v>0.3249999999999999</v>
      </c>
      <c r="AA736" s="38">
        <f>MIP[[#This Row],[HH Produtivo
Total]]/MIP[[#This Row],[HH Trabalhado]]</f>
        <v>0.96462862318840603</v>
      </c>
      <c r="AB736" s="38">
        <f>MIP[[#This Row],[HH Produtivo
Total]]/MIP[[#This Row],[HH disponível]]</f>
        <v>0.85501173418972298</v>
      </c>
      <c r="AC736" s="38">
        <f>MIP[[#This Row],[HH Trabalhado]]/MIP[[#This Row],[HH disponível]]</f>
        <v>0.88636363636363591</v>
      </c>
      <c r="AD736" s="37" t="str">
        <f>LEFT(MIP[[#This Row],[Equipe]], SEARCH("/",MIP[[#This Row],[Equipe]],1)-1)</f>
        <v xml:space="preserve">ANDERSON </v>
      </c>
      <c r="AE736" s="37" t="str">
        <f>RIGHT(MIP[[#This Row],[Equipe]], LEN(MIP[[#This Row],[Equipe]])-SEARCH("/",MIP[[#This Row],[Equipe]],1))</f>
        <v xml:space="preserve"> MARCO</v>
      </c>
      <c r="AF736" s="44">
        <f>COUNTIFS('[1]Tempo parado'!H:H,"&gt;="&amp;MIP[[#This Row],[S.B Sitrack]],'[1]Tempo parado'!I:I,"&lt;="&amp;MIP[[#This Row],[C.B Sitrack]],'[1]Tempo parado'!B:B,MIP[[#This Row],[Placa]])</f>
        <v>0</v>
      </c>
      <c r="AG736" s="36"/>
      <c r="AH736" s="35"/>
      <c r="AI736" s="34"/>
      <c r="AJ736" s="34"/>
      <c r="AK73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3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36" s="32">
        <f>SUMIFS('[1]Tempo parado'!J:J,'[1]Tempo parado'!H:H,"&gt;="&amp;MIP[[#This Row],[S.B Sitrack]],'[1]Tempo parado'!I:I,"&lt;="&amp;MIP[[#This Row],[C.B Sitrack]],'[1]Tempo parado'!B:B,MIP[[#This Row],[Placa]])</f>
        <v>0</v>
      </c>
      <c r="AN736" s="32" t="str">
        <f>IFERROR(MIP[[#This Row],[Tempo parado]]/(MIP[[#This Row],[C.B Sitrack]]-MIP[[#This Row],[S.B Sitrack]]),"")</f>
        <v/>
      </c>
      <c r="AO736" s="30"/>
      <c r="AP736" s="44">
        <f>IF(AND(MIP[Exc]=0,MIP[Previsto / Realizado]="Realizado"),MIP[Sem],0)</f>
        <v>0</v>
      </c>
      <c r="AQ736" s="29">
        <f>IF(AND(MIP[Exc]=0,MIP[Previsto / Realizado]="Realizado",ISBLANK(MIP[[#This Row],[S.B Sitrack]])=FALSE,ISBLANK(MIP[[#This Row],[C.B Sitrack]])=FALSE),MIP[Sem],0)</f>
        <v>0</v>
      </c>
    </row>
    <row r="737" spans="2:43" x14ac:dyDescent="0.25">
      <c r="B737" s="29">
        <f>WEEKNUM(MIP[[#This Row],[Data]])</f>
        <v>44</v>
      </c>
      <c r="C737" s="45">
        <v>43041</v>
      </c>
      <c r="D737" s="45"/>
      <c r="E737" s="35" t="s">
        <v>7</v>
      </c>
      <c r="F737" s="35" t="s">
        <v>2</v>
      </c>
      <c r="G737" s="35" t="s">
        <v>6</v>
      </c>
      <c r="H737" s="44">
        <v>2</v>
      </c>
      <c r="I737" s="44">
        <v>3</v>
      </c>
      <c r="J737" s="44">
        <v>4</v>
      </c>
      <c r="K737" s="44">
        <v>1</v>
      </c>
      <c r="L737" s="44">
        <v>0</v>
      </c>
      <c r="M737" s="43">
        <v>0.6430555555555556</v>
      </c>
      <c r="N737" s="43">
        <v>0.66666666666666663</v>
      </c>
      <c r="O737" s="43">
        <v>1</v>
      </c>
      <c r="P737" s="43">
        <v>3.4027777777777775E-2</v>
      </c>
      <c r="Q737" s="39"/>
      <c r="R737" s="42"/>
      <c r="S737" s="29">
        <v>14</v>
      </c>
      <c r="T73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5.7638888888888795E-2</v>
      </c>
      <c r="U737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5.7638888888888795E-2</v>
      </c>
      <c r="V737" s="41">
        <f>MIP[[#This Row],[Eficiência]]</f>
        <v>1.0748718944099378</v>
      </c>
      <c r="W73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37" s="39">
        <f>IF(MIP[[#This Row],[P.S]]-MIP[[#This Row],[P.E]]&lt;0,1+MIP[[#This Row],[P.S]]-MIP[[#This Row],[P.E]]-1/24,MIP[[#This Row],[P.S]]-MIP[[#This Row],[P.E]]-1/24)</f>
        <v>0.34930555555555548</v>
      </c>
      <c r="Y737" s="39">
        <f>MIP[[#This Row],[PT-1]]*$S$3+MIP[[#This Row],[PT-2]]*$T$3+MIP[[#This Row],[PT-3]]*$U$3+MIP[[#This Row],[PT &gt; 3 Pontos]]*$V$3</f>
        <v>0.31350430253623185</v>
      </c>
      <c r="Z737" s="39">
        <f>MIP[[#This Row],[HH disponível]]-MIP[[#This Row],[HH AC TOT]]</f>
        <v>0.29166666666666669</v>
      </c>
      <c r="AA737" s="38">
        <f>MIP[[#This Row],[HH Produtivo
Total]]/MIP[[#This Row],[HH Trabalhado]]</f>
        <v>1.0748718944099378</v>
      </c>
      <c r="AB737" s="38">
        <f>MIP[[#This Row],[HH Produtivo
Total]]/MIP[[#This Row],[HH disponível]]</f>
        <v>0.89750734722102177</v>
      </c>
      <c r="AC737" s="38">
        <f>MIP[[#This Row],[HH Trabalhado]]/MIP[[#This Row],[HH disponível]]</f>
        <v>0.83499005964214734</v>
      </c>
      <c r="AD737" s="37" t="str">
        <f>LEFT(MIP[[#This Row],[Equipe]], SEARCH("/",MIP[[#This Row],[Equipe]],1)-1)</f>
        <v xml:space="preserve">ANDERSON </v>
      </c>
      <c r="AE737" s="37" t="str">
        <f>RIGHT(MIP[[#This Row],[Equipe]], LEN(MIP[[#This Row],[Equipe]])-SEARCH("/",MIP[[#This Row],[Equipe]],1))</f>
        <v xml:space="preserve"> MARCO</v>
      </c>
      <c r="AF737" s="44">
        <f>COUNTIFS('[1]Tempo parado'!H:H,"&gt;="&amp;MIP[[#This Row],[S.B Sitrack]],'[1]Tempo parado'!I:I,"&lt;="&amp;MIP[[#This Row],[C.B Sitrack]],'[1]Tempo parado'!B:B,MIP[[#This Row],[Placa]])</f>
        <v>0</v>
      </c>
      <c r="AG737" s="36"/>
      <c r="AH737" s="35"/>
      <c r="AI737" s="34"/>
      <c r="AJ737" s="34"/>
      <c r="AK73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3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37" s="32">
        <f>SUMIFS('[1]Tempo parado'!J:J,'[1]Tempo parado'!H:H,"&gt;="&amp;MIP[[#This Row],[S.B Sitrack]],'[1]Tempo parado'!I:I,"&lt;="&amp;MIP[[#This Row],[C.B Sitrack]],'[1]Tempo parado'!B:B,MIP[[#This Row],[Placa]])</f>
        <v>0</v>
      </c>
      <c r="AN737" s="31" t="str">
        <f>IFERROR(MIP[[#This Row],[Tempo parado]]/(MIP[[#This Row],[C.B Sitrack]]-MIP[[#This Row],[S.B Sitrack]]),"")</f>
        <v/>
      </c>
      <c r="AO737" s="30"/>
      <c r="AP737" s="44">
        <f>IF(AND(MIP[Exc]=0,MIP[Previsto / Realizado]="Realizado"),MIP[Sem],0)</f>
        <v>44</v>
      </c>
      <c r="AQ737" s="29">
        <f>IF(AND(MIP[Exc]=0,MIP[Previsto / Realizado]="Realizado",ISBLANK(MIP[[#This Row],[S.B Sitrack]])=FALSE,ISBLANK(MIP[[#This Row],[C.B Sitrack]])=FALSE),MIP[Sem],0)</f>
        <v>0</v>
      </c>
    </row>
    <row r="738" spans="2:43" x14ac:dyDescent="0.25">
      <c r="B738" s="29">
        <f>WEEKNUM(MIP[[#This Row],[Data]])</f>
        <v>44</v>
      </c>
      <c r="C738" s="45">
        <v>43041</v>
      </c>
      <c r="D738" s="45"/>
      <c r="E738" s="35" t="s">
        <v>149</v>
      </c>
      <c r="F738" s="35" t="s">
        <v>5</v>
      </c>
      <c r="G738" s="35"/>
      <c r="H738" s="44">
        <v>3</v>
      </c>
      <c r="I738" s="44">
        <v>0</v>
      </c>
      <c r="J738" s="44">
        <v>1</v>
      </c>
      <c r="K738" s="44">
        <v>0</v>
      </c>
      <c r="L738" s="44">
        <v>0</v>
      </c>
      <c r="M738" s="43">
        <v>0.91666666666666663</v>
      </c>
      <c r="N738" s="43">
        <v>0.9375</v>
      </c>
      <c r="O738" s="43">
        <v>1.2291666666666667</v>
      </c>
      <c r="P738" s="43">
        <v>1.25</v>
      </c>
      <c r="Q738" s="39"/>
      <c r="R738" s="42" t="s">
        <v>4</v>
      </c>
      <c r="S738" s="29">
        <v>2</v>
      </c>
      <c r="T73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4.166666666666663E-2</v>
      </c>
      <c r="U738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4.166666666666663E-2</v>
      </c>
      <c r="V738" s="41">
        <f>MIP[[#This Row],[Eficiência]]</f>
        <v>0.17563506441223831</v>
      </c>
      <c r="W73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38" s="39">
        <f>IF(MIP[[#This Row],[P.S]]-MIP[[#This Row],[P.E]]&lt;0,1+MIP[[#This Row],[P.S]]-MIP[[#This Row],[P.E]]-1/24,MIP[[#This Row],[P.S]]-MIP[[#This Row],[P.E]]-1/24)</f>
        <v>0.29166666666666669</v>
      </c>
      <c r="Y738" s="39">
        <f>MIP[[#This Row],[PT-1]]*$S$3+MIP[[#This Row],[PT-2]]*$T$3+MIP[[#This Row],[PT-3]]*$U$3+MIP[[#This Row],[PT &gt; 3 Pontos]]*$V$3</f>
        <v>4.3908766103059584E-2</v>
      </c>
      <c r="Z738" s="39">
        <f>MIP[[#This Row],[HH disponível]]-MIP[[#This Row],[HH AC TOT]]</f>
        <v>0.25000000000000006</v>
      </c>
      <c r="AA738" s="38">
        <f>MIP[[#This Row],[HH Produtivo
Total]]/MIP[[#This Row],[HH Trabalhado]]</f>
        <v>0.17563506441223831</v>
      </c>
      <c r="AB738" s="38">
        <f>MIP[[#This Row],[HH Produtivo
Total]]/MIP[[#This Row],[HH disponível]]</f>
        <v>0.1505443409247757</v>
      </c>
      <c r="AC738" s="38">
        <f>MIP[[#This Row],[HH Trabalhado]]/MIP[[#This Row],[HH disponível]]</f>
        <v>0.85714285714285732</v>
      </c>
      <c r="AD738" s="37" t="str">
        <f>LEFT(MIP[[#This Row],[Equipe]], SEARCH("/",MIP[[#This Row],[Equipe]],1)-1)</f>
        <v xml:space="preserve">ADEMÁRIO </v>
      </c>
      <c r="AE738" s="37" t="str">
        <f>RIGHT(MIP[[#This Row],[Equipe]], LEN(MIP[[#This Row],[Equipe]])-SEARCH("/",MIP[[#This Row],[Equipe]],1))</f>
        <v xml:space="preserve"> RONALDO / HENRIQUE</v>
      </c>
      <c r="AF738" s="44">
        <f>COUNTIFS('[1]Tempo parado'!H:H,"&gt;="&amp;MIP[[#This Row],[S.B Sitrack]],'[1]Tempo parado'!I:I,"&lt;="&amp;MIP[[#This Row],[C.B Sitrack]],'[1]Tempo parado'!B:B,MIP[[#This Row],[Placa]])</f>
        <v>0</v>
      </c>
      <c r="AG738" s="36"/>
      <c r="AH738" s="35"/>
      <c r="AI738" s="34"/>
      <c r="AJ738" s="34"/>
      <c r="AK73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3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38" s="32">
        <f>SUMIFS('[1]Tempo parado'!J:J,'[1]Tempo parado'!H:H,"&gt;="&amp;MIP[[#This Row],[S.B Sitrack]],'[1]Tempo parado'!I:I,"&lt;="&amp;MIP[[#This Row],[C.B Sitrack]],'[1]Tempo parado'!B:B,MIP[[#This Row],[Placa]])</f>
        <v>0</v>
      </c>
      <c r="AN738" s="32" t="str">
        <f>IFERROR(MIP[[#This Row],[Tempo parado]]/(MIP[[#This Row],[C.B Sitrack]]-MIP[[#This Row],[S.B Sitrack]]),"")</f>
        <v/>
      </c>
      <c r="AO738" s="30"/>
      <c r="AP738" s="44">
        <f>IF(AND(MIP[Exc]=0,MIP[Previsto / Realizado]="Realizado"),MIP[Sem],0)</f>
        <v>0</v>
      </c>
      <c r="AQ738" s="29">
        <f>IF(AND(MIP[Exc]=0,MIP[Previsto / Realizado]="Realizado",ISBLANK(MIP[[#This Row],[S.B Sitrack]])=FALSE,ISBLANK(MIP[[#This Row],[C.B Sitrack]])=FALSE),MIP[Sem],0)</f>
        <v>0</v>
      </c>
    </row>
    <row r="739" spans="2:43" x14ac:dyDescent="0.25">
      <c r="B739" s="77">
        <f>WEEKNUM(MIP[[#This Row],[Data]])</f>
        <v>44</v>
      </c>
      <c r="C739" s="81">
        <v>43041</v>
      </c>
      <c r="D739" s="81"/>
      <c r="E739" s="80" t="s">
        <v>149</v>
      </c>
      <c r="F739" s="80" t="s">
        <v>2</v>
      </c>
      <c r="G739" s="80" t="s">
        <v>39</v>
      </c>
      <c r="H739" s="44">
        <v>3</v>
      </c>
      <c r="I739" s="44">
        <v>8</v>
      </c>
      <c r="J739" s="44">
        <v>1</v>
      </c>
      <c r="K739" s="44">
        <v>0</v>
      </c>
      <c r="L739" s="44">
        <v>0</v>
      </c>
      <c r="M739" s="79">
        <v>0.93125000000000002</v>
      </c>
      <c r="N739" s="79">
        <v>0.95138888888888884</v>
      </c>
      <c r="O739" s="79">
        <v>1.2270833333333333</v>
      </c>
      <c r="P739" s="79">
        <v>0.25138888888888888</v>
      </c>
      <c r="Q739" s="78"/>
      <c r="R739" s="42" t="s">
        <v>150</v>
      </c>
      <c r="S739" s="77">
        <v>10</v>
      </c>
      <c r="T73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4.4444444444444398E-2</v>
      </c>
      <c r="U739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4.4444444444444398E-2</v>
      </c>
      <c r="V739" s="41">
        <f>MIP[[#This Row],[Eficiência]]</f>
        <v>1.0431051907280775</v>
      </c>
      <c r="W73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39" s="39">
        <f>IF(MIP[[#This Row],[P.S]]-MIP[[#This Row],[P.E]]&lt;0,1+MIP[[#This Row],[P.S]]-MIP[[#This Row],[P.E]]-1/24,MIP[[#This Row],[P.S]]-MIP[[#This Row],[P.E]]-1/24)</f>
        <v>0.27847222222222218</v>
      </c>
      <c r="Y739" s="39">
        <f>MIP[[#This Row],[PT-1]]*$S$3+MIP[[#This Row],[PT-2]]*$T$3+MIP[[#This Row],[PT-3]]*$U$3+MIP[[#This Row],[PT &gt; 3 Pontos]]*$V$3</f>
        <v>0.24411558977455702</v>
      </c>
      <c r="Z739" s="39">
        <f>MIP[[#This Row],[HH disponível]]-MIP[[#This Row],[HH AC TOT]]</f>
        <v>0.23402777777777778</v>
      </c>
      <c r="AA739" s="38">
        <f>MIP[[#This Row],[HH Produtivo
Total]]/MIP[[#This Row],[HH Trabalhado]]</f>
        <v>1.0431051907280775</v>
      </c>
      <c r="AB739" s="38">
        <f>MIP[[#This Row],[HH Produtivo
Total]]/MIP[[#This Row],[HH disponível]]</f>
        <v>0.87662456178394554</v>
      </c>
      <c r="AC739" s="38">
        <f>MIP[[#This Row],[HH Trabalhado]]/MIP[[#This Row],[HH disponível]]</f>
        <v>0.84039900249376576</v>
      </c>
      <c r="AD739" s="37" t="str">
        <f>LEFT(MIP[[#This Row],[Equipe]], SEARCH("/",MIP[[#This Row],[Equipe]],1)-1)</f>
        <v xml:space="preserve">ADEMÁRIO </v>
      </c>
      <c r="AE739" s="37" t="str">
        <f>RIGHT(MIP[[#This Row],[Equipe]], LEN(MIP[[#This Row],[Equipe]])-SEARCH("/",MIP[[#This Row],[Equipe]],1))</f>
        <v xml:space="preserve"> RONALDO / HENRIQUE</v>
      </c>
      <c r="AF739" s="76">
        <f>COUNTIFS('[1]Tempo parado'!H:H,"&gt;="&amp;MIP[[#This Row],[S.B Sitrack]],'[1]Tempo parado'!I:I,"&lt;="&amp;MIP[[#This Row],[C.B Sitrack]],'[1]Tempo parado'!B:B,MIP[[#This Row],[Placa]])</f>
        <v>2</v>
      </c>
      <c r="AG739" s="36"/>
      <c r="AH739" s="35"/>
      <c r="AI739" s="75">
        <v>43041.951192129629</v>
      </c>
      <c r="AJ739" s="75">
        <v>43042.216770833336</v>
      </c>
      <c r="AK739" s="32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1.1111111111111072E-2</v>
      </c>
      <c r="AL739" s="74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8.3000000000000007</v>
      </c>
      <c r="AM739" s="73">
        <f>SUMIFS('[1]Tempo parado'!J:J,'[1]Tempo parado'!H:H,"&gt;="&amp;MIP[[#This Row],[S.B Sitrack]],'[1]Tempo parado'!I:I,"&lt;="&amp;MIP[[#This Row],[C.B Sitrack]],'[1]Tempo parado'!B:B,MIP[[#This Row],[Placa]])</f>
        <v>0.24878472222222225</v>
      </c>
      <c r="AN739" s="72">
        <f>IFERROR(MIP[[#This Row],[Tempo parado]]/(MIP[[#This Row],[C.B Sitrack]]-MIP[[#This Row],[S.B Sitrack]]),"")</f>
        <v>0.93676457769101984</v>
      </c>
      <c r="AO739" s="30"/>
      <c r="AP739" s="44">
        <f>IF(AND(MIP[Exc]=0,MIP[Previsto / Realizado]="Realizado"),MIP[Sem],0)</f>
        <v>44</v>
      </c>
      <c r="AQ739" s="29">
        <f>IF(AND(MIP[Exc]=0,MIP[Previsto / Realizado]="Realizado",ISBLANK(MIP[[#This Row],[S.B Sitrack]])=FALSE,ISBLANK(MIP[[#This Row],[C.B Sitrack]])=FALSE),MIP[Sem],0)</f>
        <v>44</v>
      </c>
    </row>
    <row r="740" spans="2:43" x14ac:dyDescent="0.25">
      <c r="B740" s="29">
        <f>WEEKNUM(MIP[[#This Row],[Data]])</f>
        <v>44</v>
      </c>
      <c r="C740" s="45">
        <v>43042</v>
      </c>
      <c r="D740" s="45"/>
      <c r="E740" s="35" t="s">
        <v>10</v>
      </c>
      <c r="F740" s="35" t="s">
        <v>5</v>
      </c>
      <c r="G740" s="35"/>
      <c r="H740" s="44">
        <v>2</v>
      </c>
      <c r="I740" s="44">
        <v>1</v>
      </c>
      <c r="J740" s="44">
        <v>0</v>
      </c>
      <c r="K740" s="44">
        <v>0</v>
      </c>
      <c r="L740" s="44">
        <v>0</v>
      </c>
      <c r="M740" s="43">
        <v>0.25</v>
      </c>
      <c r="N740" s="43">
        <v>0.27083333333333331</v>
      </c>
      <c r="O740" s="43">
        <v>0.63750000000000007</v>
      </c>
      <c r="P740" s="43">
        <v>0.65833333333333333</v>
      </c>
      <c r="Q740" s="39"/>
      <c r="R740" s="42" t="s">
        <v>4</v>
      </c>
      <c r="S740" s="29">
        <v>1</v>
      </c>
      <c r="T74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740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740" s="41">
        <f>MIP[[#This Row],[Eficiência]]</f>
        <v>7.7002624489037469E-2</v>
      </c>
      <c r="W74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40" s="39">
        <f>IF(MIP[[#This Row],[P.S]]-MIP[[#This Row],[P.E]]&lt;0,1+MIP[[#This Row],[P.S]]-MIP[[#This Row],[P.E]]-1/24,MIP[[#This Row],[P.S]]-MIP[[#This Row],[P.E]]-1/24)</f>
        <v>0.36666666666666664</v>
      </c>
      <c r="Y740" s="39">
        <f>MIP[[#This Row],[PT-1]]*$S$3+MIP[[#This Row],[PT-2]]*$T$3+MIP[[#This Row],[PT-3]]*$U$3+MIP[[#This Row],[PT &gt; 3 Pontos]]*$V$3</f>
        <v>2.5025852958937181E-2</v>
      </c>
      <c r="Z740" s="39">
        <f>MIP[[#This Row],[HH disponível]]-MIP[[#This Row],[HH AC TOT]]</f>
        <v>0.32500000000000007</v>
      </c>
      <c r="AA740" s="38">
        <f>MIP[[#This Row],[HH Produtivo
Total]]/MIP[[#This Row],[HH Trabalhado]]</f>
        <v>7.7002624489037469E-2</v>
      </c>
      <c r="AB740" s="38">
        <f>MIP[[#This Row],[HH Produtivo
Total]]/MIP[[#This Row],[HH disponível]]</f>
        <v>6.8252326251646858E-2</v>
      </c>
      <c r="AC740" s="38">
        <f>MIP[[#This Row],[HH Trabalhado]]/MIP[[#This Row],[HH disponível]]</f>
        <v>0.88636363636363658</v>
      </c>
      <c r="AD740" s="37" t="str">
        <f>LEFT(MIP[[#This Row],[Equipe]], SEARCH("/",MIP[[#This Row],[Equipe]],1)-1)</f>
        <v xml:space="preserve">JOILSON </v>
      </c>
      <c r="AE740" s="37" t="str">
        <f>RIGHT(MIP[[#This Row],[Equipe]], LEN(MIP[[#This Row],[Equipe]])-SEARCH("/",MIP[[#This Row],[Equipe]],1))</f>
        <v xml:space="preserve"> VALDEI</v>
      </c>
      <c r="AF740" s="44">
        <f>COUNTIFS('[1]Tempo parado'!H:H,"&gt;="&amp;MIP[[#This Row],[S.B Sitrack]],'[1]Tempo parado'!I:I,"&lt;="&amp;MIP[[#This Row],[C.B Sitrack]],'[1]Tempo parado'!B:B,MIP[[#This Row],[Placa]])</f>
        <v>0</v>
      </c>
      <c r="AG740" s="36"/>
      <c r="AH740" s="35"/>
      <c r="AI740" s="34"/>
      <c r="AJ740" s="34"/>
      <c r="AK74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4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40" s="32">
        <f>SUMIFS('[1]Tempo parado'!J:J,'[1]Tempo parado'!H:H,"&gt;="&amp;MIP[[#This Row],[S.B Sitrack]],'[1]Tempo parado'!I:I,"&lt;="&amp;MIP[[#This Row],[C.B Sitrack]],'[1]Tempo parado'!B:B,MIP[[#This Row],[Placa]])</f>
        <v>0</v>
      </c>
      <c r="AN740" s="32" t="str">
        <f>IFERROR(MIP[[#This Row],[Tempo parado]]/(MIP[[#This Row],[C.B Sitrack]]-MIP[[#This Row],[S.B Sitrack]]),"")</f>
        <v/>
      </c>
      <c r="AO740" s="30"/>
      <c r="AP740" s="44">
        <f>IF(AND(MIP[Exc]=0,MIP[Previsto / Realizado]="Realizado"),MIP[Sem],0)</f>
        <v>0</v>
      </c>
      <c r="AQ740" s="29">
        <f>IF(AND(MIP[Exc]=0,MIP[Previsto / Realizado]="Realizado",ISBLANK(MIP[[#This Row],[S.B Sitrack]])=FALSE,ISBLANK(MIP[[#This Row],[C.B Sitrack]])=FALSE),MIP[Sem],0)</f>
        <v>0</v>
      </c>
    </row>
    <row r="741" spans="2:43" x14ac:dyDescent="0.25">
      <c r="B741" s="29">
        <f>WEEKNUM(MIP[[#This Row],[Data]])</f>
        <v>44</v>
      </c>
      <c r="C741" s="45">
        <v>43042</v>
      </c>
      <c r="D741" s="45"/>
      <c r="E741" s="35" t="s">
        <v>10</v>
      </c>
      <c r="F741" s="35" t="s">
        <v>2</v>
      </c>
      <c r="G741" s="35" t="s">
        <v>1</v>
      </c>
      <c r="H741" s="44">
        <v>2</v>
      </c>
      <c r="I741" s="44">
        <v>3</v>
      </c>
      <c r="J741" s="44">
        <v>2</v>
      </c>
      <c r="K741" s="44">
        <v>1</v>
      </c>
      <c r="L741" s="44">
        <v>0</v>
      </c>
      <c r="M741" s="43">
        <v>0.25763888888888892</v>
      </c>
      <c r="N741" s="43">
        <v>0.27847222222222223</v>
      </c>
      <c r="O741" s="43">
        <v>0.6166666666666667</v>
      </c>
      <c r="P741" s="43">
        <v>0.66111111111111109</v>
      </c>
      <c r="Q741" s="39"/>
      <c r="R741" s="42" t="s">
        <v>88</v>
      </c>
      <c r="S741" s="29">
        <v>10</v>
      </c>
      <c r="T74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6.5277777777777712E-2</v>
      </c>
      <c r="U741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6.5277777777777712E-2</v>
      </c>
      <c r="V741" s="41">
        <f>MIP[[#This Row],[Eficiência]]</f>
        <v>0.76109824186267516</v>
      </c>
      <c r="W74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41" s="39">
        <f>IF(MIP[[#This Row],[P.S]]-MIP[[#This Row],[P.E]]&lt;0,1+MIP[[#This Row],[P.S]]-MIP[[#This Row],[P.E]]-1/24,MIP[[#This Row],[P.S]]-MIP[[#This Row],[P.E]]-1/24)</f>
        <v>0.36180555555555549</v>
      </c>
      <c r="Y741" s="39">
        <f>MIP[[#This Row],[PT-1]]*$S$3+MIP[[#This Row],[PT-2]]*$T$3+MIP[[#This Row],[PT-3]]*$U$3+MIP[[#This Row],[PT &gt; 3 Pontos]]*$V$3</f>
        <v>0.2256867703301127</v>
      </c>
      <c r="Z741" s="39">
        <f>MIP[[#This Row],[HH disponível]]-MIP[[#This Row],[HH AC TOT]]</f>
        <v>0.29652777777777778</v>
      </c>
      <c r="AA741" s="38">
        <f>MIP[[#This Row],[HH Produtivo
Total]]/MIP[[#This Row],[HH Trabalhado]]</f>
        <v>0.76109824186267516</v>
      </c>
      <c r="AB741" s="38">
        <f>MIP[[#This Row],[HH Produtivo
Total]]/MIP[[#This Row],[HH disponível]]</f>
        <v>0.62377917327324828</v>
      </c>
      <c r="AC741" s="38">
        <f>MIP[[#This Row],[HH Trabalhado]]/MIP[[#This Row],[HH disponível]]</f>
        <v>0.81957773512476018</v>
      </c>
      <c r="AD741" s="37" t="str">
        <f>LEFT(MIP[[#This Row],[Equipe]], SEARCH("/",MIP[[#This Row],[Equipe]],1)-1)</f>
        <v xml:space="preserve">JOILSON </v>
      </c>
      <c r="AE741" s="37" t="str">
        <f>RIGHT(MIP[[#This Row],[Equipe]], LEN(MIP[[#This Row],[Equipe]])-SEARCH("/",MIP[[#This Row],[Equipe]],1))</f>
        <v xml:space="preserve"> VALDEI</v>
      </c>
      <c r="AF741" s="44">
        <f>COUNTIFS('[1]Tempo parado'!H:H,"&gt;="&amp;MIP[[#This Row],[S.B Sitrack]],'[1]Tempo parado'!I:I,"&lt;="&amp;MIP[[#This Row],[C.B Sitrack]],'[1]Tempo parado'!B:B,MIP[[#This Row],[Placa]])</f>
        <v>15</v>
      </c>
      <c r="AG741" s="36"/>
      <c r="AH741" s="35"/>
      <c r="AI741" s="34">
        <v>43042.281435185185</v>
      </c>
      <c r="AJ741" s="34">
        <v>43042.637337962966</v>
      </c>
      <c r="AK741" s="32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2.2916666666666585E-2</v>
      </c>
      <c r="AL74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39.799999999999997</v>
      </c>
      <c r="AM741" s="32">
        <f>SUMIFS('[1]Tempo parado'!J:J,'[1]Tempo parado'!H:H,"&gt;="&amp;MIP[[#This Row],[S.B Sitrack]],'[1]Tempo parado'!I:I,"&lt;="&amp;MIP[[#This Row],[C.B Sitrack]],'[1]Tempo parado'!B:B,MIP[[#This Row],[Placa]])</f>
        <v>0.26069444444444445</v>
      </c>
      <c r="AN741" s="31">
        <f>IFERROR(MIP[[#This Row],[Tempo parado]]/(MIP[[#This Row],[C.B Sitrack]]-MIP[[#This Row],[S.B Sitrack]]),"")</f>
        <v>0.73248780487139331</v>
      </c>
      <c r="AO741" s="30"/>
      <c r="AP741" s="44">
        <f>IF(AND(MIP[Exc]=0,MIP[Previsto / Realizado]="Realizado"),MIP[Sem],0)</f>
        <v>44</v>
      </c>
      <c r="AQ741" s="29">
        <f>IF(AND(MIP[Exc]=0,MIP[Previsto / Realizado]="Realizado",ISBLANK(MIP[[#This Row],[S.B Sitrack]])=FALSE,ISBLANK(MIP[[#This Row],[C.B Sitrack]])=FALSE),MIP[Sem],0)</f>
        <v>44</v>
      </c>
    </row>
    <row r="742" spans="2:43" x14ac:dyDescent="0.25">
      <c r="B742" s="29">
        <f>WEEKNUM(MIP[[#This Row],[Data]])</f>
        <v>44</v>
      </c>
      <c r="C742" s="45">
        <v>43042</v>
      </c>
      <c r="D742" s="45"/>
      <c r="E742" s="35" t="s">
        <v>3</v>
      </c>
      <c r="F742" s="35" t="s">
        <v>5</v>
      </c>
      <c r="G742" s="35"/>
      <c r="H742" s="44">
        <v>2</v>
      </c>
      <c r="I742" s="44">
        <v>2</v>
      </c>
      <c r="J742" s="44">
        <v>0</v>
      </c>
      <c r="K742" s="44">
        <v>0</v>
      </c>
      <c r="L742" s="44">
        <v>0</v>
      </c>
      <c r="M742" s="43">
        <v>0.625</v>
      </c>
      <c r="N742" s="43">
        <v>0.64583333333333337</v>
      </c>
      <c r="O742" s="43">
        <v>1.0125</v>
      </c>
      <c r="P742" s="43">
        <v>1.0333333333333334</v>
      </c>
      <c r="Q742" s="39"/>
      <c r="R742" s="42" t="s">
        <v>4</v>
      </c>
      <c r="S742" s="29">
        <v>2</v>
      </c>
      <c r="T74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742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742" s="41">
        <f>MIP[[#This Row],[Eficiência]]</f>
        <v>0.15400524897807499</v>
      </c>
      <c r="W74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42" s="39">
        <f>IF(MIP[[#This Row],[P.S]]-MIP[[#This Row],[P.E]]&lt;0,1+MIP[[#This Row],[P.S]]-MIP[[#This Row],[P.E]]-1/24,MIP[[#This Row],[P.S]]-MIP[[#This Row],[P.E]]-1/24)</f>
        <v>0.36666666666666675</v>
      </c>
      <c r="Y742" s="39">
        <f>MIP[[#This Row],[PT-1]]*$S$3+MIP[[#This Row],[PT-2]]*$T$3+MIP[[#This Row],[PT-3]]*$U$3+MIP[[#This Row],[PT &gt; 3 Pontos]]*$V$3</f>
        <v>5.0051705917874362E-2</v>
      </c>
      <c r="Z742" s="39">
        <f>MIP[[#This Row],[HH disponível]]-MIP[[#This Row],[HH AC TOT]]</f>
        <v>0.3249999999999999</v>
      </c>
      <c r="AA742" s="38">
        <f>MIP[[#This Row],[HH Produtivo
Total]]/MIP[[#This Row],[HH Trabalhado]]</f>
        <v>0.15400524897807499</v>
      </c>
      <c r="AB742" s="38">
        <f>MIP[[#This Row],[HH Produtivo
Total]]/MIP[[#This Row],[HH disponível]]</f>
        <v>0.13650465250329369</v>
      </c>
      <c r="AC742" s="38">
        <f>MIP[[#This Row],[HH Trabalhado]]/MIP[[#This Row],[HH disponível]]</f>
        <v>0.88636363636363591</v>
      </c>
      <c r="AD742" s="37" t="str">
        <f>LEFT(MIP[[#This Row],[Equipe]], SEARCH("/",MIP[[#This Row],[Equipe]],1)-1)</f>
        <v xml:space="preserve">EDILTON </v>
      </c>
      <c r="AE742" s="37" t="str">
        <f>RIGHT(MIP[[#This Row],[Equipe]], LEN(MIP[[#This Row],[Equipe]])-SEARCH("/",MIP[[#This Row],[Equipe]],1))</f>
        <v xml:space="preserve"> GECIVALDO</v>
      </c>
      <c r="AF742" s="44">
        <f>COUNTIFS('[1]Tempo parado'!H:H,"&gt;="&amp;MIP[[#This Row],[S.B Sitrack]],'[1]Tempo parado'!I:I,"&lt;="&amp;MIP[[#This Row],[C.B Sitrack]],'[1]Tempo parado'!B:B,MIP[[#This Row],[Placa]])</f>
        <v>0</v>
      </c>
      <c r="AG742" s="36"/>
      <c r="AH742" s="35"/>
      <c r="AI742" s="34"/>
      <c r="AJ742" s="34"/>
      <c r="AK74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4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42" s="32">
        <f>SUMIFS('[1]Tempo parado'!J:J,'[1]Tempo parado'!H:H,"&gt;="&amp;MIP[[#This Row],[S.B Sitrack]],'[1]Tempo parado'!I:I,"&lt;="&amp;MIP[[#This Row],[C.B Sitrack]],'[1]Tempo parado'!B:B,MIP[[#This Row],[Placa]])</f>
        <v>0</v>
      </c>
      <c r="AN742" s="32" t="str">
        <f>IFERROR(MIP[[#This Row],[Tempo parado]]/(MIP[[#This Row],[C.B Sitrack]]-MIP[[#This Row],[S.B Sitrack]]),"")</f>
        <v/>
      </c>
      <c r="AO742" s="30"/>
      <c r="AP742" s="44">
        <f>IF(AND(MIP[Exc]=0,MIP[Previsto / Realizado]="Realizado"),MIP[Sem],0)</f>
        <v>0</v>
      </c>
      <c r="AQ742" s="29">
        <f>IF(AND(MIP[Exc]=0,MIP[Previsto / Realizado]="Realizado",ISBLANK(MIP[[#This Row],[S.B Sitrack]])=FALSE,ISBLANK(MIP[[#This Row],[C.B Sitrack]])=FALSE),MIP[Sem],0)</f>
        <v>0</v>
      </c>
    </row>
    <row r="743" spans="2:43" x14ac:dyDescent="0.25">
      <c r="B743" s="29">
        <f>WEEKNUM(MIP[[#This Row],[Data]])</f>
        <v>44</v>
      </c>
      <c r="C743" s="45">
        <v>43042</v>
      </c>
      <c r="D743" s="45"/>
      <c r="E743" s="35" t="s">
        <v>3</v>
      </c>
      <c r="F743" s="35" t="s">
        <v>2</v>
      </c>
      <c r="G743" s="35" t="s">
        <v>1</v>
      </c>
      <c r="H743" s="44">
        <v>2</v>
      </c>
      <c r="I743" s="44">
        <v>5</v>
      </c>
      <c r="J743" s="44">
        <v>0</v>
      </c>
      <c r="K743" s="44">
        <v>2</v>
      </c>
      <c r="L743" s="44">
        <v>0</v>
      </c>
      <c r="M743" s="43">
        <v>0.60347222222222219</v>
      </c>
      <c r="N743" s="43">
        <v>0.67708333333333337</v>
      </c>
      <c r="O743" s="43">
        <v>1.0256944444444445</v>
      </c>
      <c r="P743" s="43">
        <v>3.6805555555555557E-2</v>
      </c>
      <c r="Q743" s="39"/>
      <c r="R743" s="42" t="s">
        <v>11</v>
      </c>
      <c r="S743" s="29">
        <v>11</v>
      </c>
      <c r="T74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8.4722222222222254E-2</v>
      </c>
      <c r="U743" s="39">
        <f>IF(MIP[[#This Row],[P.S]]-MIP[[#This Row],[U.P]]&gt;=0,MIP[[#This Row],[P.S]]-MIP[[#This Row],[U.P]]+MIP[[#This Row],[S.B]]-MIP[[#This Row],[P.E]],1+MIP[[#This Row],[P.S]]-MIP[[#This Row],[U.P]]+MIP[[#This Row],[S.B]]-MIP[[#This Row],[P.E]])</f>
        <v>8.4722222222222254E-2</v>
      </c>
      <c r="V743" s="41">
        <f>MIP[[#This Row],[Eficiência]]</f>
        <v>0.8168013066430585</v>
      </c>
      <c r="W74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43" s="39">
        <f>IF(MIP[[#This Row],[P.S]]-MIP[[#This Row],[P.E]]&lt;0,1+MIP[[#This Row],[P.S]]-MIP[[#This Row],[P.E]]-1/24,MIP[[#This Row],[P.S]]-MIP[[#This Row],[P.E]]-1/24)</f>
        <v>0.39166666666666666</v>
      </c>
      <c r="Y743" s="39">
        <f>MIP[[#This Row],[PT-1]]*$S$3+MIP[[#This Row],[PT-2]]*$T$3+MIP[[#This Row],[PT-3]]*$U$3+MIP[[#This Row],[PT &gt; 3 Pontos]]*$V$3</f>
        <v>0.25071262328904986</v>
      </c>
      <c r="Z743" s="39">
        <f>MIP[[#This Row],[HH disponível]]-MIP[[#This Row],[HH AC TOT]]</f>
        <v>0.30694444444444441</v>
      </c>
      <c r="AA743" s="38">
        <f>MIP[[#This Row],[HH Produtivo
Total]]/MIP[[#This Row],[HH Trabalhado]]</f>
        <v>0.8168013066430585</v>
      </c>
      <c r="AB743" s="38">
        <f>MIP[[#This Row],[HH Produtivo
Total]]/MIP[[#This Row],[HH disponível]]</f>
        <v>0.6401173360571486</v>
      </c>
      <c r="AC743" s="38">
        <f>MIP[[#This Row],[HH Trabalhado]]/MIP[[#This Row],[HH disponível]]</f>
        <v>0.78368794326241131</v>
      </c>
      <c r="AD743" s="37" t="str">
        <f>LEFT(MIP[[#This Row],[Equipe]], SEARCH("/",MIP[[#This Row],[Equipe]],1)-1)</f>
        <v xml:space="preserve">EDILTON </v>
      </c>
      <c r="AE743" s="37" t="str">
        <f>RIGHT(MIP[[#This Row],[Equipe]], LEN(MIP[[#This Row],[Equipe]])-SEARCH("/",MIP[[#This Row],[Equipe]],1))</f>
        <v xml:space="preserve"> GECIVALDO</v>
      </c>
      <c r="AF743" s="44">
        <f>COUNTIFS('[1]Tempo parado'!H:H,"&gt;="&amp;MIP[[#This Row],[S.B Sitrack]],'[1]Tempo parado'!I:I,"&lt;="&amp;MIP[[#This Row],[C.B Sitrack]],'[1]Tempo parado'!B:B,MIP[[#This Row],[Placa]])</f>
        <v>14</v>
      </c>
      <c r="AG743" s="36"/>
      <c r="AH743" s="35"/>
      <c r="AI743" s="34">
        <v>43042.678310185183</v>
      </c>
      <c r="AJ743" s="34">
        <v>43043.020254629628</v>
      </c>
      <c r="AK743" s="32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6.2499999999999049E-3</v>
      </c>
      <c r="AL74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58.3</v>
      </c>
      <c r="AM743" s="32">
        <f>SUMIFS('[1]Tempo parado'!J:J,'[1]Tempo parado'!H:H,"&gt;="&amp;MIP[[#This Row],[S.B Sitrack]],'[1]Tempo parado'!I:I,"&lt;="&amp;MIP[[#This Row],[C.B Sitrack]],'[1]Tempo parado'!B:B,MIP[[#This Row],[Placa]])</f>
        <v>0.21968750000000001</v>
      </c>
      <c r="AN743" s="31">
        <f>IFERROR(MIP[[#This Row],[Tempo parado]]/(MIP[[#This Row],[C.B Sitrack]]-MIP[[#This Row],[S.B Sitrack]]),"")</f>
        <v>0.64246547522351716</v>
      </c>
      <c r="AO743" s="30"/>
      <c r="AP743" s="44">
        <f>IF(AND(MIP[Exc]=0,MIP[Previsto / Realizado]="Realizado"),MIP[Sem],0)</f>
        <v>44</v>
      </c>
      <c r="AQ743" s="29">
        <f>IF(AND(MIP[Exc]=0,MIP[Previsto / Realizado]="Realizado",ISBLANK(MIP[[#This Row],[S.B Sitrack]])=FALSE,ISBLANK(MIP[[#This Row],[C.B Sitrack]])=FALSE),MIP[Sem],0)</f>
        <v>44</v>
      </c>
    </row>
    <row r="744" spans="2:43" x14ac:dyDescent="0.25">
      <c r="B744" s="29">
        <f>WEEKNUM(MIP[[#This Row],[Data]])</f>
        <v>44</v>
      </c>
      <c r="C744" s="45">
        <v>43042</v>
      </c>
      <c r="D744" s="45"/>
      <c r="E744" s="35" t="s">
        <v>149</v>
      </c>
      <c r="F744" s="35" t="s">
        <v>5</v>
      </c>
      <c r="G744" s="35"/>
      <c r="H744" s="44">
        <v>3</v>
      </c>
      <c r="I744" s="44">
        <v>0</v>
      </c>
      <c r="J744" s="44">
        <v>0</v>
      </c>
      <c r="K744" s="44">
        <v>0</v>
      </c>
      <c r="L744" s="44">
        <v>0</v>
      </c>
      <c r="M744" s="43">
        <v>0.91666666666666663</v>
      </c>
      <c r="N744" s="43">
        <v>0.9375</v>
      </c>
      <c r="O744" s="43">
        <v>1.2291666666666667</v>
      </c>
      <c r="P744" s="43">
        <v>1.25</v>
      </c>
      <c r="Q744" s="39"/>
      <c r="R744" s="42" t="s">
        <v>4</v>
      </c>
      <c r="S744" s="29">
        <v>0</v>
      </c>
      <c r="T74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4.166666666666663E-2</v>
      </c>
      <c r="U744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4.166666666666663E-2</v>
      </c>
      <c r="V744" s="41">
        <f>MIP[[#This Row],[Eficiência]]</f>
        <v>0</v>
      </c>
      <c r="W74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44" s="39">
        <f>IF(MIP[[#This Row],[P.S]]-MIP[[#This Row],[P.E]]&lt;0,1+MIP[[#This Row],[P.S]]-MIP[[#This Row],[P.E]]-1/24,MIP[[#This Row],[P.S]]-MIP[[#This Row],[P.E]]-1/24)</f>
        <v>0.29166666666666669</v>
      </c>
      <c r="Y744" s="39">
        <f>MIP[[#This Row],[PT-1]]*$S$3+MIP[[#This Row],[PT-2]]*$T$3+MIP[[#This Row],[PT-3]]*$U$3+MIP[[#This Row],[PT &gt; 3 Pontos]]*$V$3</f>
        <v>0</v>
      </c>
      <c r="Z744" s="39">
        <f>MIP[[#This Row],[HH disponível]]-MIP[[#This Row],[HH AC TOT]]</f>
        <v>0.25000000000000006</v>
      </c>
      <c r="AA744" s="38">
        <f>MIP[[#This Row],[HH Produtivo
Total]]/MIP[[#This Row],[HH Trabalhado]]</f>
        <v>0</v>
      </c>
      <c r="AB744" s="38">
        <f>MIP[[#This Row],[HH Produtivo
Total]]/MIP[[#This Row],[HH disponível]]</f>
        <v>0</v>
      </c>
      <c r="AC744" s="38">
        <f>MIP[[#This Row],[HH Trabalhado]]/MIP[[#This Row],[HH disponível]]</f>
        <v>0.85714285714285732</v>
      </c>
      <c r="AD744" s="37" t="str">
        <f>LEFT(MIP[[#This Row],[Equipe]], SEARCH("/",MIP[[#This Row],[Equipe]],1)-1)</f>
        <v xml:space="preserve">ADEMÁRIO </v>
      </c>
      <c r="AE744" s="37" t="str">
        <f>RIGHT(MIP[[#This Row],[Equipe]], LEN(MIP[[#This Row],[Equipe]])-SEARCH("/",MIP[[#This Row],[Equipe]],1))</f>
        <v xml:space="preserve"> RONALDO / HENRIQUE</v>
      </c>
      <c r="AF744" s="44">
        <f>COUNTIFS('[1]Tempo parado'!H:H,"&gt;="&amp;MIP[[#This Row],[S.B Sitrack]],'[1]Tempo parado'!I:I,"&lt;="&amp;MIP[[#This Row],[C.B Sitrack]],'[1]Tempo parado'!B:B,MIP[[#This Row],[Placa]])</f>
        <v>0</v>
      </c>
      <c r="AG744" s="36"/>
      <c r="AH744" s="35"/>
      <c r="AI744" s="34"/>
      <c r="AJ744" s="34"/>
      <c r="AK74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4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44" s="32">
        <f>SUMIFS('[1]Tempo parado'!J:J,'[1]Tempo parado'!H:H,"&gt;="&amp;MIP[[#This Row],[S.B Sitrack]],'[1]Tempo parado'!I:I,"&lt;="&amp;MIP[[#This Row],[C.B Sitrack]],'[1]Tempo parado'!B:B,MIP[[#This Row],[Placa]])</f>
        <v>0</v>
      </c>
      <c r="AN744" s="32" t="str">
        <f>IFERROR(MIP[[#This Row],[Tempo parado]]/(MIP[[#This Row],[C.B Sitrack]]-MIP[[#This Row],[S.B Sitrack]]),"")</f>
        <v/>
      </c>
      <c r="AO744" s="30"/>
      <c r="AP744" s="44">
        <f>IF(AND(MIP[Exc]=0,MIP[Previsto / Realizado]="Realizado"),MIP[Sem],0)</f>
        <v>0</v>
      </c>
      <c r="AQ744" s="29">
        <f>IF(AND(MIP[Exc]=0,MIP[Previsto / Realizado]="Realizado",ISBLANK(MIP[[#This Row],[S.B Sitrack]])=FALSE,ISBLANK(MIP[[#This Row],[C.B Sitrack]])=FALSE),MIP[Sem],0)</f>
        <v>0</v>
      </c>
    </row>
    <row r="745" spans="2:43" x14ac:dyDescent="0.25">
      <c r="B745" s="29">
        <f>WEEKNUM(MIP[[#This Row],[Data]])</f>
        <v>44</v>
      </c>
      <c r="C745" s="45">
        <v>43042</v>
      </c>
      <c r="D745" s="45"/>
      <c r="E745" s="35" t="s">
        <v>149</v>
      </c>
      <c r="F745" s="35" t="s">
        <v>2</v>
      </c>
      <c r="G745" s="35" t="s">
        <v>1</v>
      </c>
      <c r="H745" s="44">
        <v>3</v>
      </c>
      <c r="I745" s="44">
        <v>0</v>
      </c>
      <c r="J745" s="44">
        <v>0</v>
      </c>
      <c r="K745" s="44">
        <v>0</v>
      </c>
      <c r="L745" s="44">
        <v>15</v>
      </c>
      <c r="M745" s="43">
        <v>0.9291666666666667</v>
      </c>
      <c r="N745" s="43">
        <v>0.94861111111111107</v>
      </c>
      <c r="O745" s="43">
        <v>1.2159722222222222</v>
      </c>
      <c r="P745" s="43">
        <v>0.22222222222222221</v>
      </c>
      <c r="Q745" s="39"/>
      <c r="R745" s="42" t="s">
        <v>148</v>
      </c>
      <c r="S745" s="29">
        <v>15</v>
      </c>
      <c r="T74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2.5694444444444464E-2</v>
      </c>
      <c r="U745" s="39">
        <f>IF(MIP[[#This Row],[P.S]]-MIP[[#This Row],[U.P]]&gt;=0,MIP[[#This Row],[P.S]]-MIP[[#This Row],[U.P]]+MIP[[#This Row],[S.B]]-MIP[[#This Row],[P.E]],1+MIP[[#This Row],[P.S]]-MIP[[#This Row],[U.P]]+MIP[[#This Row],[S.B]]-MIP[[#This Row],[P.E]])</f>
        <v>2.5694444444444464E-2</v>
      </c>
      <c r="V745" s="41">
        <f>MIP[[#This Row],[Eficiência]]</f>
        <v>1.3457139539204763</v>
      </c>
      <c r="W74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45" s="39">
        <f>IF(MIP[[#This Row],[P.S]]-MIP[[#This Row],[P.E]]&lt;0,1+MIP[[#This Row],[P.S]]-MIP[[#This Row],[P.E]]-1/24,MIP[[#This Row],[P.S]]-MIP[[#This Row],[P.E]]-1/24)</f>
        <v>0.25138888888888894</v>
      </c>
      <c r="Y745" s="39">
        <f>MIP[[#This Row],[PT-1]]*$S$3+MIP[[#This Row],[PT-2]]*$T$3+MIP[[#This Row],[PT-3]]*$U$3+MIP[[#This Row],[PT &gt; 3 Pontos]]*$V$3</f>
        <v>0.30372016321121864</v>
      </c>
      <c r="Z745" s="39">
        <f>MIP[[#This Row],[HH disponível]]-MIP[[#This Row],[HH AC TOT]]</f>
        <v>0.22569444444444448</v>
      </c>
      <c r="AA745" s="38">
        <f>MIP[[#This Row],[HH Produtivo
Total]]/MIP[[#This Row],[HH Trabalhado]]</f>
        <v>1.3457139539204763</v>
      </c>
      <c r="AB745" s="38">
        <f>MIP[[#This Row],[HH Produtivo
Total]]/MIP[[#This Row],[HH disponível]]</f>
        <v>1.2081686050391016</v>
      </c>
      <c r="AC745" s="38">
        <f>MIP[[#This Row],[HH Trabalhado]]/MIP[[#This Row],[HH disponível]]</f>
        <v>0.89779005524861877</v>
      </c>
      <c r="AD745" s="37" t="str">
        <f>LEFT(MIP[[#This Row],[Equipe]], SEARCH("/",MIP[[#This Row],[Equipe]],1)-1)</f>
        <v xml:space="preserve">ADEMÁRIO </v>
      </c>
      <c r="AE745" s="37" t="str">
        <f>RIGHT(MIP[[#This Row],[Equipe]], LEN(MIP[[#This Row],[Equipe]])-SEARCH("/",MIP[[#This Row],[Equipe]],1))</f>
        <v xml:space="preserve"> RONALDO / HENRIQUE</v>
      </c>
      <c r="AF745" s="44">
        <f>COUNTIFS('[1]Tempo parado'!H:H,"&gt;="&amp;MIP[[#This Row],[S.B Sitrack]],'[1]Tempo parado'!I:I,"&lt;="&amp;MIP[[#This Row],[C.B Sitrack]],'[1]Tempo parado'!B:B,MIP[[#This Row],[Placa]])</f>
        <v>4</v>
      </c>
      <c r="AG745" s="36"/>
      <c r="AH745" s="35"/>
      <c r="AI745" s="34">
        <v>43042.932245370372</v>
      </c>
      <c r="AJ745" s="34">
        <v>43043.020254629628</v>
      </c>
      <c r="AK745" s="32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0.21249999999999994</v>
      </c>
      <c r="AL74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16</v>
      </c>
      <c r="AM745" s="32">
        <f>SUMIFS('[1]Tempo parado'!J:J,'[1]Tempo parado'!H:H,"&gt;="&amp;MIP[[#This Row],[S.B Sitrack]],'[1]Tempo parado'!I:I,"&lt;="&amp;MIP[[#This Row],[C.B Sitrack]],'[1]Tempo parado'!B:B,MIP[[#This Row],[Placa]])</f>
        <v>5.9710648148148138E-2</v>
      </c>
      <c r="AN745" s="31">
        <f>IFERROR(MIP[[#This Row],[Tempo parado]]/(MIP[[#This Row],[C.B Sitrack]]-MIP[[#This Row],[S.B Sitrack]]),"")</f>
        <v>0.67845870596883628</v>
      </c>
      <c r="AO745" s="30"/>
      <c r="AP745" s="44">
        <f>IF(AND(MIP[Exc]=0,MIP[Previsto / Realizado]="Realizado"),MIP[Sem],0)</f>
        <v>44</v>
      </c>
      <c r="AQ745" s="29">
        <f>IF(AND(MIP[Exc]=0,MIP[Previsto / Realizado]="Realizado",ISBLANK(MIP[[#This Row],[S.B Sitrack]])=FALSE,ISBLANK(MIP[[#This Row],[C.B Sitrack]])=FALSE),MIP[Sem],0)</f>
        <v>44</v>
      </c>
    </row>
    <row r="746" spans="2:43" x14ac:dyDescent="0.25">
      <c r="B746" s="29">
        <f>WEEKNUM(MIP[[#This Row],[Data]])</f>
        <v>44</v>
      </c>
      <c r="C746" s="45">
        <v>43043</v>
      </c>
      <c r="D746" s="45"/>
      <c r="E746" s="35" t="s">
        <v>136</v>
      </c>
      <c r="F746" s="35" t="s">
        <v>5</v>
      </c>
      <c r="G746" s="35"/>
      <c r="H746" s="44">
        <v>2</v>
      </c>
      <c r="I746" s="44">
        <v>0</v>
      </c>
      <c r="J746" s="44">
        <v>0</v>
      </c>
      <c r="K746" s="44">
        <v>0</v>
      </c>
      <c r="L746" s="44">
        <v>0</v>
      </c>
      <c r="M746" s="43">
        <v>0.625</v>
      </c>
      <c r="N746" s="43">
        <v>0.64583333333333337</v>
      </c>
      <c r="O746" s="43">
        <v>1.0125</v>
      </c>
      <c r="P746" s="43">
        <v>1.0333333333333334</v>
      </c>
      <c r="Q746" s="39"/>
      <c r="R746" s="42" t="s">
        <v>4</v>
      </c>
      <c r="S746" s="29">
        <v>0</v>
      </c>
      <c r="T74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746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746" s="41">
        <f>MIP[[#This Row],[Eficiência]]</f>
        <v>0</v>
      </c>
      <c r="W74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46" s="39">
        <f>IF(MIP[[#This Row],[P.S]]-MIP[[#This Row],[P.E]]&lt;0,1+MIP[[#This Row],[P.S]]-MIP[[#This Row],[P.E]]-1/24,MIP[[#This Row],[P.S]]-MIP[[#This Row],[P.E]]-1/24)</f>
        <v>0.36666666666666675</v>
      </c>
      <c r="Y746" s="39">
        <f>MIP[[#This Row],[PT-1]]*$S$3+MIP[[#This Row],[PT-2]]*$T$3+MIP[[#This Row],[PT-3]]*$U$3+MIP[[#This Row],[PT &gt; 3 Pontos]]*$V$3</f>
        <v>0</v>
      </c>
      <c r="Z746" s="39">
        <f>MIP[[#This Row],[HH disponível]]-MIP[[#This Row],[HH AC TOT]]</f>
        <v>0.3249999999999999</v>
      </c>
      <c r="AA746" s="38">
        <f>MIP[[#This Row],[HH Produtivo
Total]]/MIP[[#This Row],[HH Trabalhado]]</f>
        <v>0</v>
      </c>
      <c r="AB746" s="38">
        <f>MIP[[#This Row],[HH Produtivo
Total]]/MIP[[#This Row],[HH disponível]]</f>
        <v>0</v>
      </c>
      <c r="AC746" s="38">
        <f>MIP[[#This Row],[HH Trabalhado]]/MIP[[#This Row],[HH disponível]]</f>
        <v>0.88636363636363591</v>
      </c>
      <c r="AD746" s="37" t="str">
        <f>LEFT(MIP[[#This Row],[Equipe]], SEARCH("/",MIP[[#This Row],[Equipe]],1)-1)</f>
        <v xml:space="preserve">GECIVALDO </v>
      </c>
      <c r="AE746" s="37" t="str">
        <f>RIGHT(MIP[[#This Row],[Equipe]], LEN(MIP[[#This Row],[Equipe]])-SEARCH("/",MIP[[#This Row],[Equipe]],1))</f>
        <v xml:space="preserve"> RONALDO</v>
      </c>
      <c r="AF746" s="44">
        <f>COUNTIFS('[1]Tempo parado'!H:H,"&gt;="&amp;MIP[[#This Row],[S.B Sitrack]],'[1]Tempo parado'!I:I,"&lt;="&amp;MIP[[#This Row],[C.B Sitrack]],'[1]Tempo parado'!B:B,MIP[[#This Row],[Placa]])</f>
        <v>0</v>
      </c>
      <c r="AG746" s="36"/>
      <c r="AH746" s="35"/>
      <c r="AI746" s="34"/>
      <c r="AJ746" s="34"/>
      <c r="AK74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4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46" s="32">
        <f>SUMIFS('[1]Tempo parado'!J:J,'[1]Tempo parado'!H:H,"&gt;="&amp;MIP[[#This Row],[S.B Sitrack]],'[1]Tempo parado'!I:I,"&lt;="&amp;MIP[[#This Row],[C.B Sitrack]],'[1]Tempo parado'!B:B,MIP[[#This Row],[Placa]])</f>
        <v>0</v>
      </c>
      <c r="AN746" s="32" t="str">
        <f>IFERROR(MIP[[#This Row],[Tempo parado]]/(MIP[[#This Row],[C.B Sitrack]]-MIP[[#This Row],[S.B Sitrack]]),"")</f>
        <v/>
      </c>
      <c r="AO746" s="30"/>
      <c r="AP746" s="44">
        <f>IF(AND(MIP[Exc]=0,MIP[Previsto / Realizado]="Realizado"),MIP[Sem],0)</f>
        <v>0</v>
      </c>
      <c r="AQ746" s="29">
        <f>IF(AND(MIP[Exc]=0,MIP[Previsto / Realizado]="Realizado",ISBLANK(MIP[[#This Row],[S.B Sitrack]])=FALSE,ISBLANK(MIP[[#This Row],[C.B Sitrack]])=FALSE),MIP[Sem],0)</f>
        <v>0</v>
      </c>
    </row>
    <row r="747" spans="2:43" x14ac:dyDescent="0.25">
      <c r="B747" s="29">
        <f>WEEKNUM(MIP[[#This Row],[Data]])</f>
        <v>44</v>
      </c>
      <c r="C747" s="45">
        <v>43043</v>
      </c>
      <c r="D747" s="45"/>
      <c r="E747" s="46" t="s">
        <v>136</v>
      </c>
      <c r="F747" s="35" t="s">
        <v>2</v>
      </c>
      <c r="G747" s="35" t="s">
        <v>1</v>
      </c>
      <c r="H747" s="44">
        <v>2</v>
      </c>
      <c r="I747" s="44">
        <v>0</v>
      </c>
      <c r="J747" s="44">
        <v>0</v>
      </c>
      <c r="K747" s="44">
        <v>2</v>
      </c>
      <c r="L747" s="44">
        <v>4</v>
      </c>
      <c r="M747" s="43">
        <v>0.7104166666666667</v>
      </c>
      <c r="N747" s="43">
        <v>0.72291666666666676</v>
      </c>
      <c r="O747" s="43">
        <v>1.0291666666666666</v>
      </c>
      <c r="P747" s="68">
        <v>3.9583333333333331E-2</v>
      </c>
      <c r="Q747" s="39"/>
      <c r="R747" s="42"/>
      <c r="S747" s="29">
        <v>10</v>
      </c>
      <c r="T74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2.2916666666666807E-2</v>
      </c>
      <c r="U747" s="39">
        <f>IF(MIP[[#This Row],[P.S]]-MIP[[#This Row],[U.P]]&gt;=0,MIP[[#This Row],[P.S]]-MIP[[#This Row],[U.P]]+MIP[[#This Row],[S.B]]-MIP[[#This Row],[P.E]],1+MIP[[#This Row],[P.S]]-MIP[[#This Row],[U.P]]+MIP[[#This Row],[S.B]]-MIP[[#This Row],[P.E]])</f>
        <v>2.2916666666666807E-2</v>
      </c>
      <c r="V747" s="41">
        <f>MIP[[#This Row],[Eficiência]]</f>
        <v>0.78075742494748646</v>
      </c>
      <c r="W74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47" s="39">
        <f>IF(MIP[[#This Row],[P.S]]-MIP[[#This Row],[P.E]]&lt;0,1+MIP[[#This Row],[P.S]]-MIP[[#This Row],[P.E]]-1/24,MIP[[#This Row],[P.S]]-MIP[[#This Row],[P.E]]-1/24)</f>
        <v>0.28749999999999992</v>
      </c>
      <c r="Y747" s="39">
        <f>MIP[[#This Row],[PT-1]]*$S$3+MIP[[#This Row],[PT-2]]*$T$3+MIP[[#This Row],[PT-3]]*$U$3+MIP[[#This Row],[PT &gt; 3 Pontos]]*$V$3</f>
        <v>0.20657540201735561</v>
      </c>
      <c r="Z747" s="39">
        <f>MIP[[#This Row],[HH disponível]]-MIP[[#This Row],[HH AC TOT]]</f>
        <v>0.26458333333333311</v>
      </c>
      <c r="AA747" s="38">
        <f>MIP[[#This Row],[HH Produtivo
Total]]/MIP[[#This Row],[HH Trabalhado]]</f>
        <v>0.78075742494748646</v>
      </c>
      <c r="AB747" s="38">
        <f>MIP[[#This Row],[HH Produtivo
Total]]/MIP[[#This Row],[HH disponível]]</f>
        <v>0.71852313745167184</v>
      </c>
      <c r="AC747" s="38">
        <f>MIP[[#This Row],[HH Trabalhado]]/MIP[[#This Row],[HH disponível]]</f>
        <v>0.9202898550724633</v>
      </c>
      <c r="AD747" s="37" t="str">
        <f>LEFT(MIP[[#This Row],[Equipe]], SEARCH("/",MIP[[#This Row],[Equipe]],1)-1)</f>
        <v xml:space="preserve">GECIVALDO </v>
      </c>
      <c r="AE747" s="37" t="str">
        <f>RIGHT(MIP[[#This Row],[Equipe]], LEN(MIP[[#This Row],[Equipe]])-SEARCH("/",MIP[[#This Row],[Equipe]],1))</f>
        <v xml:space="preserve"> RONALDO</v>
      </c>
      <c r="AF747" s="44">
        <f>COUNTIFS('[1]Tempo parado'!H:H,"&gt;="&amp;MIP[[#This Row],[S.B Sitrack]],'[1]Tempo parado'!I:I,"&lt;="&amp;MIP[[#This Row],[C.B Sitrack]],'[1]Tempo parado'!B:B,MIP[[#This Row],[Placa]])</f>
        <v>9</v>
      </c>
      <c r="AG747" s="36"/>
      <c r="AH747" s="35"/>
      <c r="AI747" s="34">
        <v>43043.725752314815</v>
      </c>
      <c r="AJ747" s="34">
        <v>43044.02553240741</v>
      </c>
      <c r="AK747" s="32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6.944444444444333E-3</v>
      </c>
      <c r="AL74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52.8</v>
      </c>
      <c r="AM747" s="32">
        <f>SUMIFS('[1]Tempo parado'!J:J,'[1]Tempo parado'!H:H,"&gt;="&amp;MIP[[#This Row],[S.B Sitrack]],'[1]Tempo parado'!I:I,"&lt;="&amp;MIP[[#This Row],[C.B Sitrack]],'[1]Tempo parado'!B:B,MIP[[#This Row],[Placa]])</f>
        <v>0.20107638888888887</v>
      </c>
      <c r="AN747" s="31">
        <f>IFERROR(MIP[[#This Row],[Tempo parado]]/(MIP[[#This Row],[C.B Sitrack]]-MIP[[#This Row],[S.B Sitrack]]),"")</f>
        <v>0.67074630322608475</v>
      </c>
      <c r="AO747" s="30" t="s">
        <v>147</v>
      </c>
      <c r="AP747" s="44">
        <f>IF(AND(MIP[Exc]=0,MIP[Previsto / Realizado]="Realizado"),MIP[Sem],0)</f>
        <v>44</v>
      </c>
      <c r="AQ747" s="29">
        <f>IF(AND(MIP[Exc]=0,MIP[Previsto / Realizado]="Realizado",ISBLANK(MIP[[#This Row],[S.B Sitrack]])=FALSE,ISBLANK(MIP[[#This Row],[C.B Sitrack]])=FALSE),MIP[Sem],0)</f>
        <v>44</v>
      </c>
    </row>
    <row r="748" spans="2:43" x14ac:dyDescent="0.25">
      <c r="B748" s="29">
        <f>WEEKNUM(MIP[[#This Row],[Data]])</f>
        <v>44</v>
      </c>
      <c r="C748" s="45">
        <v>43043</v>
      </c>
      <c r="D748" s="45"/>
      <c r="E748" s="35" t="s">
        <v>7</v>
      </c>
      <c r="F748" s="35" t="s">
        <v>5</v>
      </c>
      <c r="G748" s="35"/>
      <c r="H748" s="44">
        <v>2</v>
      </c>
      <c r="I748" s="44">
        <v>1</v>
      </c>
      <c r="J748" s="44">
        <v>1</v>
      </c>
      <c r="K748" s="44">
        <v>1</v>
      </c>
      <c r="L748" s="44">
        <v>0</v>
      </c>
      <c r="M748" s="43">
        <v>0.625</v>
      </c>
      <c r="N748" s="43">
        <v>0.64583333333333337</v>
      </c>
      <c r="O748" s="43">
        <v>1.0125</v>
      </c>
      <c r="P748" s="43">
        <v>1.0333333333333334</v>
      </c>
      <c r="Q748" s="39"/>
      <c r="R748" s="42" t="s">
        <v>146</v>
      </c>
      <c r="S748" s="29">
        <v>6</v>
      </c>
      <c r="T74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748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748" s="41">
        <f>MIP[[#This Row],[Eficiência]]</f>
        <v>0.40531168710516552</v>
      </c>
      <c r="W74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48" s="39">
        <f>IF(MIP[[#This Row],[P.S]]-MIP[[#This Row],[P.E]]&lt;0,1+MIP[[#This Row],[P.S]]-MIP[[#This Row],[P.E]]-1/24,MIP[[#This Row],[P.S]]-MIP[[#This Row],[P.E]]-1/24)</f>
        <v>0.36666666666666675</v>
      </c>
      <c r="Y748" s="39">
        <f>MIP[[#This Row],[PT-1]]*$S$3+MIP[[#This Row],[PT-2]]*$T$3+MIP[[#This Row],[PT-3]]*$U$3+MIP[[#This Row],[PT &gt; 3 Pontos]]*$V$3</f>
        <v>0.13172629830917876</v>
      </c>
      <c r="Z748" s="39">
        <f>MIP[[#This Row],[HH disponível]]-MIP[[#This Row],[HH AC TOT]]</f>
        <v>0.3249999999999999</v>
      </c>
      <c r="AA748" s="38">
        <f>MIP[[#This Row],[HH Produtivo
Total]]/MIP[[#This Row],[HH Trabalhado]]</f>
        <v>0.40531168710516552</v>
      </c>
      <c r="AB748" s="38">
        <f>MIP[[#This Row],[HH Produtivo
Total]]/MIP[[#This Row],[HH disponível]]</f>
        <v>0.3592535408432147</v>
      </c>
      <c r="AC748" s="38">
        <f>MIP[[#This Row],[HH Trabalhado]]/MIP[[#This Row],[HH disponível]]</f>
        <v>0.88636363636363591</v>
      </c>
      <c r="AD748" s="37" t="str">
        <f>LEFT(MIP[[#This Row],[Equipe]], SEARCH("/",MIP[[#This Row],[Equipe]],1)-1)</f>
        <v xml:space="preserve">ANDERSON </v>
      </c>
      <c r="AE748" s="37" t="str">
        <f>RIGHT(MIP[[#This Row],[Equipe]], LEN(MIP[[#This Row],[Equipe]])-SEARCH("/",MIP[[#This Row],[Equipe]],1))</f>
        <v xml:space="preserve"> MARCO</v>
      </c>
      <c r="AF748" s="44">
        <f>COUNTIFS('[1]Tempo parado'!H:H,"&gt;="&amp;MIP[[#This Row],[S.B Sitrack]],'[1]Tempo parado'!I:I,"&lt;="&amp;MIP[[#This Row],[C.B Sitrack]],'[1]Tempo parado'!B:B,MIP[[#This Row],[Placa]])</f>
        <v>0</v>
      </c>
      <c r="AG748" s="36"/>
      <c r="AH748" s="35"/>
      <c r="AI748" s="34"/>
      <c r="AJ748" s="34"/>
      <c r="AK74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4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48" s="32">
        <f>SUMIFS('[1]Tempo parado'!J:J,'[1]Tempo parado'!H:H,"&gt;="&amp;MIP[[#This Row],[S.B Sitrack]],'[1]Tempo parado'!I:I,"&lt;="&amp;MIP[[#This Row],[C.B Sitrack]],'[1]Tempo parado'!B:B,MIP[[#This Row],[Placa]])</f>
        <v>0</v>
      </c>
      <c r="AN748" s="32" t="str">
        <f>IFERROR(MIP[[#This Row],[Tempo parado]]/(MIP[[#This Row],[C.B Sitrack]]-MIP[[#This Row],[S.B Sitrack]]),"")</f>
        <v/>
      </c>
      <c r="AO748" s="30"/>
      <c r="AP748" s="44">
        <f>IF(AND(MIP[Exc]=0,MIP[Previsto / Realizado]="Realizado"),MIP[Sem],0)</f>
        <v>0</v>
      </c>
      <c r="AQ748" s="29">
        <f>IF(AND(MIP[Exc]=0,MIP[Previsto / Realizado]="Realizado",ISBLANK(MIP[[#This Row],[S.B Sitrack]])=FALSE,ISBLANK(MIP[[#This Row],[C.B Sitrack]])=FALSE),MIP[Sem],0)</f>
        <v>0</v>
      </c>
    </row>
    <row r="749" spans="2:43" x14ac:dyDescent="0.25">
      <c r="B749" s="29">
        <f>WEEKNUM(MIP[[#This Row],[Data]])</f>
        <v>44</v>
      </c>
      <c r="C749" s="45">
        <v>43043</v>
      </c>
      <c r="D749" s="45"/>
      <c r="E749" s="35" t="s">
        <v>7</v>
      </c>
      <c r="F749" s="35" t="s">
        <v>2</v>
      </c>
      <c r="G749" s="35" t="s">
        <v>6</v>
      </c>
      <c r="H749" s="44">
        <v>2</v>
      </c>
      <c r="I749" s="44">
        <v>1</v>
      </c>
      <c r="J749" s="44">
        <v>1</v>
      </c>
      <c r="K749" s="44">
        <v>1</v>
      </c>
      <c r="L749" s="44">
        <v>7</v>
      </c>
      <c r="M749" s="43">
        <v>0.63888888888888895</v>
      </c>
      <c r="N749" s="43">
        <v>0.65694444444444444</v>
      </c>
      <c r="O749" s="43">
        <v>1.0138888888888888</v>
      </c>
      <c r="P749" s="43">
        <v>3.8194444444444441E-2</v>
      </c>
      <c r="Q749" s="39">
        <v>3.4722222222222224E-2</v>
      </c>
      <c r="R749" s="42" t="s">
        <v>145</v>
      </c>
      <c r="S749" s="29">
        <v>13</v>
      </c>
      <c r="T74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7.7083333333333295E-2</v>
      </c>
      <c r="U749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4.2361111111111072E-2</v>
      </c>
      <c r="V749" s="41">
        <f>MIP[[#This Row],[Eficiência]]</f>
        <v>0.97471737436424855</v>
      </c>
      <c r="W74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49" s="39">
        <f>IF(MIP[[#This Row],[P.S]]-MIP[[#This Row],[P.E]]&lt;0,1+MIP[[#This Row],[P.S]]-MIP[[#This Row],[P.E]]-1/24,MIP[[#This Row],[P.S]]-MIP[[#This Row],[P.E]]-1/24)</f>
        <v>0.35763888888888878</v>
      </c>
      <c r="Y749" s="39">
        <f>MIP[[#This Row],[PT-1]]*$S$3+MIP[[#This Row],[PT-2]]*$T$3+MIP[[#This Row],[PT-3]]*$U$3+MIP[[#This Row],[PT &gt; 3 Pontos]]*$V$3</f>
        <v>0.27346237447441413</v>
      </c>
      <c r="Z749" s="39">
        <f>MIP[[#This Row],[HH disponível]]-MIP[[#This Row],[HH AC TOT]]</f>
        <v>0.2805555555555555</v>
      </c>
      <c r="AA749" s="38">
        <f>MIP[[#This Row],[HH Produtivo
Total]]/MIP[[#This Row],[HH Trabalhado]]</f>
        <v>0.97471737436424855</v>
      </c>
      <c r="AB749" s="38">
        <f>MIP[[#This Row],[HH Produtivo
Total]]/MIP[[#This Row],[HH disponível]]</f>
        <v>0.76463265872457564</v>
      </c>
      <c r="AC749" s="38">
        <f>MIP[[#This Row],[HH Trabalhado]]/MIP[[#This Row],[HH disponível]]</f>
        <v>0.78446601941747585</v>
      </c>
      <c r="AD749" s="37" t="str">
        <f>LEFT(MIP[[#This Row],[Equipe]], SEARCH("/",MIP[[#This Row],[Equipe]],1)-1)</f>
        <v xml:space="preserve">ANDERSON </v>
      </c>
      <c r="AE749" s="37" t="str">
        <f>RIGHT(MIP[[#This Row],[Equipe]], LEN(MIP[[#This Row],[Equipe]])-SEARCH("/",MIP[[#This Row],[Equipe]],1))</f>
        <v xml:space="preserve"> MARCO</v>
      </c>
      <c r="AF749" s="44">
        <f>COUNTIFS('[1]Tempo parado'!H:H,"&gt;="&amp;MIP[[#This Row],[S.B Sitrack]],'[1]Tempo parado'!I:I,"&lt;="&amp;MIP[[#This Row],[C.B Sitrack]],'[1]Tempo parado'!B:B,MIP[[#This Row],[Placa]])</f>
        <v>0</v>
      </c>
      <c r="AG749" s="36"/>
      <c r="AH749" s="35"/>
      <c r="AI749" s="34"/>
      <c r="AJ749" s="34">
        <v>43044.02447916667</v>
      </c>
      <c r="AK74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4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49" s="32">
        <f>SUMIFS('[1]Tempo parado'!J:J,'[1]Tempo parado'!H:H,"&gt;="&amp;MIP[[#This Row],[S.B Sitrack]],'[1]Tempo parado'!I:I,"&lt;="&amp;MIP[[#This Row],[C.B Sitrack]],'[1]Tempo parado'!B:B,MIP[[#This Row],[Placa]])</f>
        <v>0</v>
      </c>
      <c r="AN749" s="31">
        <f>IFERROR(MIP[[#This Row],[Tempo parado]]/(MIP[[#This Row],[C.B Sitrack]]-MIP[[#This Row],[S.B Sitrack]]),"")</f>
        <v>0</v>
      </c>
      <c r="AO749" s="30"/>
      <c r="AP749" s="44">
        <f>IF(AND(MIP[Exc]=0,MIP[Previsto / Realizado]="Realizado"),MIP[Sem],0)</f>
        <v>44</v>
      </c>
      <c r="AQ749" s="29">
        <f>IF(AND(MIP[Exc]=0,MIP[Previsto / Realizado]="Realizado",ISBLANK(MIP[[#This Row],[S.B Sitrack]])=FALSE,ISBLANK(MIP[[#This Row],[C.B Sitrack]])=FALSE),MIP[Sem],0)</f>
        <v>0</v>
      </c>
    </row>
    <row r="750" spans="2:43" x14ac:dyDescent="0.25">
      <c r="B750" s="29">
        <f>WEEKNUM(MIP[[#This Row],[Data]])</f>
        <v>45</v>
      </c>
      <c r="C750" s="45">
        <v>43044</v>
      </c>
      <c r="D750" s="45"/>
      <c r="E750" s="35" t="s">
        <v>3</v>
      </c>
      <c r="F750" s="35" t="s">
        <v>5</v>
      </c>
      <c r="G750" s="35"/>
      <c r="H750" s="44">
        <v>2</v>
      </c>
      <c r="I750" s="44">
        <v>0</v>
      </c>
      <c r="J750" s="44">
        <v>0</v>
      </c>
      <c r="K750" s="44">
        <v>0</v>
      </c>
      <c r="L750" s="44">
        <v>0</v>
      </c>
      <c r="M750" s="43">
        <v>0.625</v>
      </c>
      <c r="N750" s="43">
        <v>0.64583333333333337</v>
      </c>
      <c r="O750" s="43">
        <v>1.0125</v>
      </c>
      <c r="P750" s="43">
        <v>1.0333333333333334</v>
      </c>
      <c r="Q750" s="39"/>
      <c r="R750" s="42" t="s">
        <v>4</v>
      </c>
      <c r="S750" s="29">
        <v>0</v>
      </c>
      <c r="T75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750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750" s="41">
        <f>MIP[[#This Row],[Eficiência]]</f>
        <v>0</v>
      </c>
      <c r="W75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50" s="39">
        <f>IF(MIP[[#This Row],[P.S]]-MIP[[#This Row],[P.E]]&lt;0,1+MIP[[#This Row],[P.S]]-MIP[[#This Row],[P.E]]-1/24,MIP[[#This Row],[P.S]]-MIP[[#This Row],[P.E]]-1/24)</f>
        <v>0.36666666666666675</v>
      </c>
      <c r="Y750" s="39">
        <f>MIP[[#This Row],[PT-1]]*$S$3+MIP[[#This Row],[PT-2]]*$T$3+MIP[[#This Row],[PT-3]]*$U$3+MIP[[#This Row],[PT &gt; 3 Pontos]]*$V$3</f>
        <v>0</v>
      </c>
      <c r="Z750" s="39">
        <f>MIP[[#This Row],[HH disponível]]-MIP[[#This Row],[HH AC TOT]]</f>
        <v>0.3249999999999999</v>
      </c>
      <c r="AA750" s="38">
        <f>MIP[[#This Row],[HH Produtivo
Total]]/MIP[[#This Row],[HH Trabalhado]]</f>
        <v>0</v>
      </c>
      <c r="AB750" s="38">
        <f>MIP[[#This Row],[HH Produtivo
Total]]/MIP[[#This Row],[HH disponível]]</f>
        <v>0</v>
      </c>
      <c r="AC750" s="38">
        <f>MIP[[#This Row],[HH Trabalhado]]/MIP[[#This Row],[HH disponível]]</f>
        <v>0.88636363636363591</v>
      </c>
      <c r="AD750" s="37" t="str">
        <f>LEFT(MIP[[#This Row],[Equipe]], SEARCH("/",MIP[[#This Row],[Equipe]],1)-1)</f>
        <v xml:space="preserve">EDILTON </v>
      </c>
      <c r="AE750" s="37" t="str">
        <f>RIGHT(MIP[[#This Row],[Equipe]], LEN(MIP[[#This Row],[Equipe]])-SEARCH("/",MIP[[#This Row],[Equipe]],1))</f>
        <v xml:space="preserve"> GECIVALDO</v>
      </c>
      <c r="AF750" s="44">
        <f>COUNTIFS('[1]Tempo parado'!H:H,"&gt;="&amp;MIP[[#This Row],[S.B Sitrack]],'[1]Tempo parado'!I:I,"&lt;="&amp;MIP[[#This Row],[C.B Sitrack]],'[1]Tempo parado'!B:B,MIP[[#This Row],[Placa]])</f>
        <v>0</v>
      </c>
      <c r="AG750" s="36"/>
      <c r="AH750" s="35"/>
      <c r="AI750" s="34"/>
      <c r="AJ750" s="34"/>
      <c r="AK75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5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50" s="32">
        <f>SUMIFS('[1]Tempo parado'!J:J,'[1]Tempo parado'!H:H,"&gt;="&amp;MIP[[#This Row],[S.B Sitrack]],'[1]Tempo parado'!I:I,"&lt;="&amp;MIP[[#This Row],[C.B Sitrack]],'[1]Tempo parado'!B:B,MIP[[#This Row],[Placa]])</f>
        <v>0</v>
      </c>
      <c r="AN750" s="32" t="str">
        <f>IFERROR(MIP[[#This Row],[Tempo parado]]/(MIP[[#This Row],[C.B Sitrack]]-MIP[[#This Row],[S.B Sitrack]]),"")</f>
        <v/>
      </c>
      <c r="AO750" s="30"/>
      <c r="AP750" s="44">
        <f>IF(AND(MIP[Exc]=0,MIP[Previsto / Realizado]="Realizado"),MIP[Sem],0)</f>
        <v>0</v>
      </c>
      <c r="AQ750" s="29">
        <f>IF(AND(MIP[Exc]=0,MIP[Previsto / Realizado]="Realizado",ISBLANK(MIP[[#This Row],[S.B Sitrack]])=FALSE,ISBLANK(MIP[[#This Row],[C.B Sitrack]])=FALSE),MIP[Sem],0)</f>
        <v>0</v>
      </c>
    </row>
    <row r="751" spans="2:43" x14ac:dyDescent="0.25">
      <c r="B751" s="29">
        <f>WEEKNUM(MIP[[#This Row],[Data]])</f>
        <v>45</v>
      </c>
      <c r="C751" s="45">
        <v>43044</v>
      </c>
      <c r="D751" s="45"/>
      <c r="E751" s="35" t="s">
        <v>3</v>
      </c>
      <c r="F751" s="35" t="s">
        <v>2</v>
      </c>
      <c r="G751" s="35" t="s">
        <v>1</v>
      </c>
      <c r="H751" s="44">
        <v>2</v>
      </c>
      <c r="I751" s="44">
        <v>7</v>
      </c>
      <c r="J751" s="44">
        <v>1</v>
      </c>
      <c r="K751" s="44">
        <v>0</v>
      </c>
      <c r="L751" s="44">
        <v>4</v>
      </c>
      <c r="M751" s="43">
        <v>0.61944444444444446</v>
      </c>
      <c r="N751" s="43">
        <v>0.66736111111111107</v>
      </c>
      <c r="O751" s="43">
        <v>1.0208333333333333</v>
      </c>
      <c r="P751" s="68">
        <v>3.3333333333333333E-2</v>
      </c>
      <c r="Q751" s="39"/>
      <c r="R751" s="42" t="s">
        <v>144</v>
      </c>
      <c r="S751" s="29">
        <v>13</v>
      </c>
      <c r="T75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6.0416666666666785E-2</v>
      </c>
      <c r="U751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6.0416666666666785E-2</v>
      </c>
      <c r="V751" s="41">
        <f>MIP[[#This Row],[Eficiência]]</f>
        <v>0.96240036456035771</v>
      </c>
      <c r="W75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51" s="39">
        <f>IF(MIP[[#This Row],[P.S]]-MIP[[#This Row],[P.E]]&lt;0,1+MIP[[#This Row],[P.S]]-MIP[[#This Row],[P.E]]-1/24,MIP[[#This Row],[P.S]]-MIP[[#This Row],[P.E]]-1/24)</f>
        <v>0.37222222222222229</v>
      </c>
      <c r="Y751" s="39">
        <f>MIP[[#This Row],[PT-1]]*$S$3+MIP[[#This Row],[PT-2]]*$T$3+MIP[[#This Row],[PT-3]]*$U$3+MIP[[#This Row],[PT &gt; 3 Pontos]]*$V$3</f>
        <v>0.30008178033861149</v>
      </c>
      <c r="Z751" s="39">
        <f>MIP[[#This Row],[HH disponível]]-MIP[[#This Row],[HH AC TOT]]</f>
        <v>0.3118055555555555</v>
      </c>
      <c r="AA751" s="38">
        <f>MIP[[#This Row],[HH Produtivo
Total]]/MIP[[#This Row],[HH Trabalhado]]</f>
        <v>0.96240036456035771</v>
      </c>
      <c r="AB751" s="38">
        <f>MIP[[#This Row],[HH Produtivo
Total]]/MIP[[#This Row],[HH disponível]]</f>
        <v>0.80618985762612028</v>
      </c>
      <c r="AC751" s="38">
        <f>MIP[[#This Row],[HH Trabalhado]]/MIP[[#This Row],[HH disponível]]</f>
        <v>0.83768656716417877</v>
      </c>
      <c r="AD751" s="37" t="str">
        <f>LEFT(MIP[[#This Row],[Equipe]], SEARCH("/",MIP[[#This Row],[Equipe]],1)-1)</f>
        <v xml:space="preserve">EDILTON </v>
      </c>
      <c r="AE751" s="37" t="str">
        <f>RIGHT(MIP[[#This Row],[Equipe]], LEN(MIP[[#This Row],[Equipe]])-SEARCH("/",MIP[[#This Row],[Equipe]],1))</f>
        <v xml:space="preserve"> GECIVALDO</v>
      </c>
      <c r="AF751" s="44">
        <f>COUNTIFS('[1]Tempo parado'!H:H,"&gt;="&amp;MIP[[#This Row],[S.B Sitrack]],'[1]Tempo parado'!I:I,"&lt;="&amp;MIP[[#This Row],[C.B Sitrack]],'[1]Tempo parado'!B:B,MIP[[#This Row],[Placa]])</f>
        <v>16</v>
      </c>
      <c r="AG751" s="36"/>
      <c r="AH751" s="35"/>
      <c r="AI751" s="34">
        <v>43044.670289351852</v>
      </c>
      <c r="AJ751" s="34">
        <v>43045.015324074076</v>
      </c>
      <c r="AK751" s="32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8.33333333333325E-3</v>
      </c>
      <c r="AL75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55.499999999999993</v>
      </c>
      <c r="AM751" s="32">
        <f>SUMIFS('[1]Tempo parado'!J:J,'[1]Tempo parado'!H:H,"&gt;="&amp;MIP[[#This Row],[S.B Sitrack]],'[1]Tempo parado'!I:I,"&lt;="&amp;MIP[[#This Row],[C.B Sitrack]],'[1]Tempo parado'!B:B,MIP[[#This Row],[Placa]])</f>
        <v>0.23396990740740739</v>
      </c>
      <c r="AN751" s="31">
        <f>IFERROR(MIP[[#This Row],[Tempo parado]]/(MIP[[#This Row],[C.B Sitrack]]-MIP[[#This Row],[S.B Sitrack]]),"")</f>
        <v>0.67810539733261321</v>
      </c>
      <c r="AO751" s="30"/>
      <c r="AP751" s="44">
        <f>IF(AND(MIP[Exc]=0,MIP[Previsto / Realizado]="Realizado"),MIP[Sem],0)</f>
        <v>45</v>
      </c>
      <c r="AQ751" s="29">
        <f>IF(AND(MIP[Exc]=0,MIP[Previsto / Realizado]="Realizado",ISBLANK(MIP[[#This Row],[S.B Sitrack]])=FALSE,ISBLANK(MIP[[#This Row],[C.B Sitrack]])=FALSE),MIP[Sem],0)</f>
        <v>45</v>
      </c>
    </row>
    <row r="752" spans="2:43" x14ac:dyDescent="0.25">
      <c r="B752" s="29">
        <f>WEEKNUM(MIP[[#This Row],[Data]])</f>
        <v>45</v>
      </c>
      <c r="C752" s="45">
        <v>43044</v>
      </c>
      <c r="D752" s="45"/>
      <c r="E752" s="35" t="s">
        <v>7</v>
      </c>
      <c r="F752" s="35" t="s">
        <v>5</v>
      </c>
      <c r="G752" s="35"/>
      <c r="H752" s="44">
        <v>2</v>
      </c>
      <c r="I752" s="44">
        <v>0</v>
      </c>
      <c r="J752" s="44">
        <v>0</v>
      </c>
      <c r="K752" s="44">
        <v>0</v>
      </c>
      <c r="L752" s="44">
        <v>0</v>
      </c>
      <c r="M752" s="43">
        <v>0.625</v>
      </c>
      <c r="N752" s="43">
        <v>0.64583333333333337</v>
      </c>
      <c r="O752" s="43">
        <v>1.0125</v>
      </c>
      <c r="P752" s="43">
        <v>1.0333333333333334</v>
      </c>
      <c r="Q752" s="39"/>
      <c r="R752" s="42" t="s">
        <v>4</v>
      </c>
      <c r="S752" s="29">
        <v>0</v>
      </c>
      <c r="T75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752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752" s="41">
        <f>MIP[[#This Row],[Eficiência]]</f>
        <v>0</v>
      </c>
      <c r="W75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52" s="39">
        <f>IF(MIP[[#This Row],[P.S]]-MIP[[#This Row],[P.E]]&lt;0,1+MIP[[#This Row],[P.S]]-MIP[[#This Row],[P.E]]-1/24,MIP[[#This Row],[P.S]]-MIP[[#This Row],[P.E]]-1/24)</f>
        <v>0.36666666666666675</v>
      </c>
      <c r="Y752" s="39">
        <f>MIP[[#This Row],[PT-1]]*$S$3+MIP[[#This Row],[PT-2]]*$T$3+MIP[[#This Row],[PT-3]]*$U$3+MIP[[#This Row],[PT &gt; 3 Pontos]]*$V$3</f>
        <v>0</v>
      </c>
      <c r="Z752" s="39">
        <f>MIP[[#This Row],[HH disponível]]-MIP[[#This Row],[HH AC TOT]]</f>
        <v>0.3249999999999999</v>
      </c>
      <c r="AA752" s="38">
        <f>MIP[[#This Row],[HH Produtivo
Total]]/MIP[[#This Row],[HH Trabalhado]]</f>
        <v>0</v>
      </c>
      <c r="AB752" s="38">
        <f>MIP[[#This Row],[HH Produtivo
Total]]/MIP[[#This Row],[HH disponível]]</f>
        <v>0</v>
      </c>
      <c r="AC752" s="38">
        <f>MIP[[#This Row],[HH Trabalhado]]/MIP[[#This Row],[HH disponível]]</f>
        <v>0.88636363636363591</v>
      </c>
      <c r="AD752" s="37" t="str">
        <f>LEFT(MIP[[#This Row],[Equipe]], SEARCH("/",MIP[[#This Row],[Equipe]],1)-1)</f>
        <v xml:space="preserve">ANDERSON </v>
      </c>
      <c r="AE752" s="37" t="str">
        <f>RIGHT(MIP[[#This Row],[Equipe]], LEN(MIP[[#This Row],[Equipe]])-SEARCH("/",MIP[[#This Row],[Equipe]],1))</f>
        <v xml:space="preserve"> MARCO</v>
      </c>
      <c r="AF752" s="44">
        <f>COUNTIFS('[1]Tempo parado'!H:H,"&gt;="&amp;MIP[[#This Row],[S.B Sitrack]],'[1]Tempo parado'!I:I,"&lt;="&amp;MIP[[#This Row],[C.B Sitrack]],'[1]Tempo parado'!B:B,MIP[[#This Row],[Placa]])</f>
        <v>0</v>
      </c>
      <c r="AG752" s="36"/>
      <c r="AH752" s="35"/>
      <c r="AI752" s="34"/>
      <c r="AJ752" s="34"/>
      <c r="AK75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5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52" s="32">
        <f>SUMIFS('[1]Tempo parado'!J:J,'[1]Tempo parado'!H:H,"&gt;="&amp;MIP[[#This Row],[S.B Sitrack]],'[1]Tempo parado'!I:I,"&lt;="&amp;MIP[[#This Row],[C.B Sitrack]],'[1]Tempo parado'!B:B,MIP[[#This Row],[Placa]])</f>
        <v>0</v>
      </c>
      <c r="AN752" s="32" t="str">
        <f>IFERROR(MIP[[#This Row],[Tempo parado]]/(MIP[[#This Row],[C.B Sitrack]]-MIP[[#This Row],[S.B Sitrack]]),"")</f>
        <v/>
      </c>
      <c r="AO752" s="30"/>
      <c r="AP752" s="44">
        <f>IF(AND(MIP[Exc]=0,MIP[Previsto / Realizado]="Realizado"),MIP[Sem],0)</f>
        <v>0</v>
      </c>
      <c r="AQ752" s="29">
        <f>IF(AND(MIP[Exc]=0,MIP[Previsto / Realizado]="Realizado",ISBLANK(MIP[[#This Row],[S.B Sitrack]])=FALSE,ISBLANK(MIP[[#This Row],[C.B Sitrack]])=FALSE),MIP[Sem],0)</f>
        <v>0</v>
      </c>
    </row>
    <row r="753" spans="2:43" x14ac:dyDescent="0.25">
      <c r="B753" s="29">
        <f>WEEKNUM(MIP[[#This Row],[Data]])</f>
        <v>45</v>
      </c>
      <c r="C753" s="45">
        <v>43044</v>
      </c>
      <c r="D753" s="45"/>
      <c r="E753" s="35" t="s">
        <v>7</v>
      </c>
      <c r="F753" s="35" t="s">
        <v>2</v>
      </c>
      <c r="G753" s="35" t="s">
        <v>6</v>
      </c>
      <c r="H753" s="44">
        <v>2</v>
      </c>
      <c r="I753" s="44">
        <v>9</v>
      </c>
      <c r="J753" s="44">
        <v>1</v>
      </c>
      <c r="K753" s="44">
        <v>0</v>
      </c>
      <c r="L753" s="44">
        <v>4</v>
      </c>
      <c r="M753" s="43">
        <v>0.64027777777777783</v>
      </c>
      <c r="N753" s="43">
        <v>0.66666666666666663</v>
      </c>
      <c r="O753" s="43">
        <v>1.0138888888888888</v>
      </c>
      <c r="P753" s="68">
        <v>3.3333333333333333E-2</v>
      </c>
      <c r="Q753" s="39"/>
      <c r="R753" s="42"/>
      <c r="S753" s="29">
        <v>15</v>
      </c>
      <c r="T75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4.5833333333333393E-2</v>
      </c>
      <c r="U753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4.5833333333333393E-2</v>
      </c>
      <c r="V753" s="41">
        <f>MIP[[#This Row],[Eficiência]]</f>
        <v>1.1458914095666812</v>
      </c>
      <c r="W75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53" s="39">
        <f>IF(MIP[[#This Row],[P.S]]-MIP[[#This Row],[P.E]]&lt;0,1+MIP[[#This Row],[P.S]]-MIP[[#This Row],[P.E]]-1/24,MIP[[#This Row],[P.S]]-MIP[[#This Row],[P.E]]-1/24)</f>
        <v>0.35138888888888892</v>
      </c>
      <c r="Y753" s="39">
        <f>MIP[[#This Row],[PT-1]]*$S$3+MIP[[#This Row],[PT-2]]*$T$3+MIP[[#This Row],[PT-3]]*$U$3+MIP[[#This Row],[PT &gt; 3 Pontos]]*$V$3</f>
        <v>0.35013348625648588</v>
      </c>
      <c r="Z753" s="39">
        <f>MIP[[#This Row],[HH disponível]]-MIP[[#This Row],[HH AC TOT]]</f>
        <v>0.30555555555555552</v>
      </c>
      <c r="AA753" s="38">
        <f>MIP[[#This Row],[HH Produtivo
Total]]/MIP[[#This Row],[HH Trabalhado]]</f>
        <v>1.1458914095666812</v>
      </c>
      <c r="AB753" s="38">
        <f>MIP[[#This Row],[HH Produtivo
Total]]/MIP[[#This Row],[HH disponível]]</f>
        <v>0.99642731266667905</v>
      </c>
      <c r="AC753" s="38">
        <f>MIP[[#This Row],[HH Trabalhado]]/MIP[[#This Row],[HH disponível]]</f>
        <v>0.86956521739130421</v>
      </c>
      <c r="AD753" s="37" t="str">
        <f>LEFT(MIP[[#This Row],[Equipe]], SEARCH("/",MIP[[#This Row],[Equipe]],1)-1)</f>
        <v xml:space="preserve">ANDERSON </v>
      </c>
      <c r="AE753" s="37" t="str">
        <f>RIGHT(MIP[[#This Row],[Equipe]], LEN(MIP[[#This Row],[Equipe]])-SEARCH("/",MIP[[#This Row],[Equipe]],1))</f>
        <v xml:space="preserve"> MARCO</v>
      </c>
      <c r="AF753" s="44">
        <f>COUNTIFS('[1]Tempo parado'!H:H,"&gt;="&amp;MIP[[#This Row],[S.B Sitrack]],'[1]Tempo parado'!I:I,"&lt;="&amp;MIP[[#This Row],[C.B Sitrack]],'[1]Tempo parado'!B:B,MIP[[#This Row],[Placa]])</f>
        <v>0</v>
      </c>
      <c r="AG753" s="36"/>
      <c r="AH753" s="35"/>
      <c r="AI753" s="34"/>
      <c r="AJ753" s="34">
        <v>43045.016979166663</v>
      </c>
      <c r="AK75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5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53" s="32">
        <f>SUMIFS('[1]Tempo parado'!J:J,'[1]Tempo parado'!H:H,"&gt;="&amp;MIP[[#This Row],[S.B Sitrack]],'[1]Tempo parado'!I:I,"&lt;="&amp;MIP[[#This Row],[C.B Sitrack]],'[1]Tempo parado'!B:B,MIP[[#This Row],[Placa]])</f>
        <v>0</v>
      </c>
      <c r="AN753" s="31">
        <f>IFERROR(MIP[[#This Row],[Tempo parado]]/(MIP[[#This Row],[C.B Sitrack]]-MIP[[#This Row],[S.B Sitrack]]),"")</f>
        <v>0</v>
      </c>
      <c r="AO753" s="30"/>
      <c r="AP753" s="44">
        <f>IF(AND(MIP[Exc]=0,MIP[Previsto / Realizado]="Realizado"),MIP[Sem],0)</f>
        <v>45</v>
      </c>
      <c r="AQ753" s="29">
        <f>IF(AND(MIP[Exc]=0,MIP[Previsto / Realizado]="Realizado",ISBLANK(MIP[[#This Row],[S.B Sitrack]])=FALSE,ISBLANK(MIP[[#This Row],[C.B Sitrack]])=FALSE),MIP[Sem],0)</f>
        <v>0</v>
      </c>
    </row>
    <row r="754" spans="2:43" x14ac:dyDescent="0.25">
      <c r="B754" s="29">
        <f>WEEKNUM(MIP[[#This Row],[Data]])</f>
        <v>45</v>
      </c>
      <c r="C754" s="45">
        <v>43045</v>
      </c>
      <c r="D754" s="45"/>
      <c r="E754" s="35" t="s">
        <v>10</v>
      </c>
      <c r="F754" s="35" t="s">
        <v>5</v>
      </c>
      <c r="G754" s="35"/>
      <c r="H754" s="44">
        <v>2</v>
      </c>
      <c r="I754" s="44">
        <v>5</v>
      </c>
      <c r="J754" s="44">
        <v>0</v>
      </c>
      <c r="K754" s="44">
        <v>0</v>
      </c>
      <c r="L754" s="44">
        <v>0</v>
      </c>
      <c r="M754" s="43">
        <v>0.25</v>
      </c>
      <c r="N754" s="43">
        <v>0.27083333333333331</v>
      </c>
      <c r="O754" s="43">
        <v>0.63750000000000007</v>
      </c>
      <c r="P754" s="43">
        <v>0.65833333333333333</v>
      </c>
      <c r="Q754" s="39"/>
      <c r="R754" s="42" t="s">
        <v>4</v>
      </c>
      <c r="S754" s="29">
        <v>5</v>
      </c>
      <c r="T75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754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754" s="41">
        <f>MIP[[#This Row],[Eficiência]]</f>
        <v>0.38501312244518726</v>
      </c>
      <c r="W75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54" s="39">
        <f>IF(MIP[[#This Row],[P.S]]-MIP[[#This Row],[P.E]]&lt;0,1+MIP[[#This Row],[P.S]]-MIP[[#This Row],[P.E]]-1/24,MIP[[#This Row],[P.S]]-MIP[[#This Row],[P.E]]-1/24)</f>
        <v>0.36666666666666664</v>
      </c>
      <c r="Y754" s="39">
        <f>MIP[[#This Row],[PT-1]]*$S$3+MIP[[#This Row],[PT-2]]*$T$3+MIP[[#This Row],[PT-3]]*$U$3+MIP[[#This Row],[PT &gt; 3 Pontos]]*$V$3</f>
        <v>0.12512926479468589</v>
      </c>
      <c r="Z754" s="39">
        <f>MIP[[#This Row],[HH disponível]]-MIP[[#This Row],[HH AC TOT]]</f>
        <v>0.32500000000000007</v>
      </c>
      <c r="AA754" s="38">
        <f>MIP[[#This Row],[HH Produtivo
Total]]/MIP[[#This Row],[HH Trabalhado]]</f>
        <v>0.38501312244518726</v>
      </c>
      <c r="AB754" s="38">
        <f>MIP[[#This Row],[HH Produtivo
Total]]/MIP[[#This Row],[HH disponível]]</f>
        <v>0.34126163125823428</v>
      </c>
      <c r="AC754" s="38">
        <f>MIP[[#This Row],[HH Trabalhado]]/MIP[[#This Row],[HH disponível]]</f>
        <v>0.88636363636363658</v>
      </c>
      <c r="AD754" s="37" t="str">
        <f>LEFT(MIP[[#This Row],[Equipe]], SEARCH("/",MIP[[#This Row],[Equipe]],1)-1)</f>
        <v xml:space="preserve">JOILSON </v>
      </c>
      <c r="AE754" s="37" t="str">
        <f>RIGHT(MIP[[#This Row],[Equipe]], LEN(MIP[[#This Row],[Equipe]])-SEARCH("/",MIP[[#This Row],[Equipe]],1))</f>
        <v xml:space="preserve"> VALDEI</v>
      </c>
      <c r="AF754" s="44">
        <f>COUNTIFS('[1]Tempo parado'!H:H,"&gt;="&amp;MIP[[#This Row],[S.B Sitrack]],'[1]Tempo parado'!I:I,"&lt;="&amp;MIP[[#This Row],[C.B Sitrack]],'[1]Tempo parado'!B:B,MIP[[#This Row],[Placa]])</f>
        <v>0</v>
      </c>
      <c r="AG754" s="36"/>
      <c r="AH754" s="35"/>
      <c r="AI754" s="34"/>
      <c r="AJ754" s="34"/>
      <c r="AK75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5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54" s="32">
        <f>SUMIFS('[1]Tempo parado'!J:J,'[1]Tempo parado'!H:H,"&gt;="&amp;MIP[[#This Row],[S.B Sitrack]],'[1]Tempo parado'!I:I,"&lt;="&amp;MIP[[#This Row],[C.B Sitrack]],'[1]Tempo parado'!B:B,MIP[[#This Row],[Placa]])</f>
        <v>0</v>
      </c>
      <c r="AN754" s="32" t="str">
        <f>IFERROR(MIP[[#This Row],[Tempo parado]]/(MIP[[#This Row],[C.B Sitrack]]-MIP[[#This Row],[S.B Sitrack]]),"")</f>
        <v/>
      </c>
      <c r="AO754" s="30"/>
      <c r="AP754" s="44">
        <f>IF(AND(MIP[Exc]=0,MIP[Previsto / Realizado]="Realizado"),MIP[Sem],0)</f>
        <v>0</v>
      </c>
      <c r="AQ754" s="29">
        <f>IF(AND(MIP[Exc]=0,MIP[Previsto / Realizado]="Realizado",ISBLANK(MIP[[#This Row],[S.B Sitrack]])=FALSE,ISBLANK(MIP[[#This Row],[C.B Sitrack]])=FALSE),MIP[Sem],0)</f>
        <v>0</v>
      </c>
    </row>
    <row r="755" spans="2:43" x14ac:dyDescent="0.25">
      <c r="B755" s="29">
        <f>WEEKNUM(MIP[[#This Row],[Data]])</f>
        <v>45</v>
      </c>
      <c r="C755" s="45">
        <v>43045</v>
      </c>
      <c r="D755" s="45"/>
      <c r="E755" s="35" t="s">
        <v>10</v>
      </c>
      <c r="F755" s="35" t="s">
        <v>2</v>
      </c>
      <c r="G755" s="35" t="s">
        <v>1</v>
      </c>
      <c r="H755" s="44">
        <v>2</v>
      </c>
      <c r="I755" s="44">
        <v>8</v>
      </c>
      <c r="J755" s="44">
        <v>1</v>
      </c>
      <c r="K755" s="44">
        <v>0</v>
      </c>
      <c r="L755" s="44">
        <v>0</v>
      </c>
      <c r="M755" s="43">
        <v>0.25</v>
      </c>
      <c r="N755" s="43">
        <v>0.27083333333333331</v>
      </c>
      <c r="O755" s="43">
        <v>0.61111111111111105</v>
      </c>
      <c r="P755" s="43">
        <v>0.66041666666666665</v>
      </c>
      <c r="Q755" s="39"/>
      <c r="R755" s="42" t="s">
        <v>9</v>
      </c>
      <c r="S755" s="29">
        <v>10</v>
      </c>
      <c r="T75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7.0138888888888917E-2</v>
      </c>
      <c r="U755" s="39">
        <f>IF(MIP[[#This Row],[P.S]]-MIP[[#This Row],[U.P]]&gt;=0,MIP[[#This Row],[P.S]]-MIP[[#This Row],[U.P]]+MIP[[#This Row],[S.B]]-MIP[[#This Row],[P.E]],1+MIP[[#This Row],[P.S]]-MIP[[#This Row],[U.P]]+MIP[[#This Row],[S.B]]-MIP[[#This Row],[P.E]])</f>
        <v>7.0138888888888917E-2</v>
      </c>
      <c r="V755" s="41">
        <f>MIP[[#This Row],[Eficiência]]</f>
        <v>0.81750337040781906</v>
      </c>
      <c r="W75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55" s="39">
        <f>IF(MIP[[#This Row],[P.S]]-MIP[[#This Row],[P.E]]&lt;0,1+MIP[[#This Row],[P.S]]-MIP[[#This Row],[P.E]]-1/24,MIP[[#This Row],[P.S]]-MIP[[#This Row],[P.E]]-1/24)</f>
        <v>0.36874999999999997</v>
      </c>
      <c r="Y755" s="39">
        <f>MIP[[#This Row],[PT-1]]*$S$3+MIP[[#This Row],[PT-2]]*$T$3+MIP[[#This Row],[PT-3]]*$U$3+MIP[[#This Row],[PT &gt; 3 Pontos]]*$V$3</f>
        <v>0.24411558977455702</v>
      </c>
      <c r="Z755" s="39">
        <f>MIP[[#This Row],[HH disponível]]-MIP[[#This Row],[HH AC TOT]]</f>
        <v>0.29861111111111105</v>
      </c>
      <c r="AA755" s="38">
        <f>MIP[[#This Row],[HH Produtivo
Total]]/MIP[[#This Row],[HH Trabalhado]]</f>
        <v>0.81750337040781906</v>
      </c>
      <c r="AB755" s="38">
        <f>MIP[[#This Row],[HH Produtivo
Total]]/MIP[[#This Row],[HH disponível]]</f>
        <v>0.66200837904964627</v>
      </c>
      <c r="AC755" s="38">
        <f>MIP[[#This Row],[HH Trabalhado]]/MIP[[#This Row],[HH disponível]]</f>
        <v>0.80979284369114868</v>
      </c>
      <c r="AD755" s="37" t="str">
        <f>LEFT(MIP[[#This Row],[Equipe]], SEARCH("/",MIP[[#This Row],[Equipe]],1)-1)</f>
        <v xml:space="preserve">JOILSON </v>
      </c>
      <c r="AE755" s="37" t="str">
        <f>RIGHT(MIP[[#This Row],[Equipe]], LEN(MIP[[#This Row],[Equipe]])-SEARCH("/",MIP[[#This Row],[Equipe]],1))</f>
        <v xml:space="preserve"> VALDEI</v>
      </c>
      <c r="AF755" s="44">
        <f>COUNTIFS('[1]Tempo parado'!H:H,"&gt;="&amp;MIP[[#This Row],[S.B Sitrack]],'[1]Tempo parado'!I:I,"&lt;="&amp;MIP[[#This Row],[C.B Sitrack]],'[1]Tempo parado'!B:B,MIP[[#This Row],[Placa]])</f>
        <v>11</v>
      </c>
      <c r="AG755" s="36"/>
      <c r="AH755" s="35"/>
      <c r="AI755" s="34">
        <v>43045.282546296294</v>
      </c>
      <c r="AJ755" s="34">
        <v>43045.624456018515</v>
      </c>
      <c r="AK755" s="32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2.4305555555555636E-2</v>
      </c>
      <c r="AL75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37.6</v>
      </c>
      <c r="AM755" s="32">
        <f>SUMIFS('[1]Tempo parado'!J:J,'[1]Tempo parado'!H:H,"&gt;="&amp;MIP[[#This Row],[S.B Sitrack]],'[1]Tempo parado'!I:I,"&lt;="&amp;MIP[[#This Row],[C.B Sitrack]],'[1]Tempo parado'!B:B,MIP[[#This Row],[Placa]])</f>
        <v>0.22768518518518518</v>
      </c>
      <c r="AN755" s="31">
        <f>IFERROR(MIP[[#This Row],[Tempo parado]]/(MIP[[#This Row],[C.B Sitrack]]-MIP[[#This Row],[S.B Sitrack]]),"")</f>
        <v>0.66592193900179741</v>
      </c>
      <c r="AO755" s="30"/>
      <c r="AP755" s="44">
        <f>IF(AND(MIP[Exc]=0,MIP[Previsto / Realizado]="Realizado"),MIP[Sem],0)</f>
        <v>45</v>
      </c>
      <c r="AQ755" s="29">
        <f>IF(AND(MIP[Exc]=0,MIP[Previsto / Realizado]="Realizado",ISBLANK(MIP[[#This Row],[S.B Sitrack]])=FALSE,ISBLANK(MIP[[#This Row],[C.B Sitrack]])=FALSE),MIP[Sem],0)</f>
        <v>45</v>
      </c>
    </row>
    <row r="756" spans="2:43" x14ac:dyDescent="0.25">
      <c r="B756" s="29">
        <f>WEEKNUM(MIP[[#This Row],[Data]])</f>
        <v>45</v>
      </c>
      <c r="C756" s="45">
        <v>43045</v>
      </c>
      <c r="D756" s="45"/>
      <c r="E756" s="35" t="s">
        <v>7</v>
      </c>
      <c r="F756" s="35" t="s">
        <v>5</v>
      </c>
      <c r="G756" s="35"/>
      <c r="H756" s="44">
        <v>2</v>
      </c>
      <c r="I756" s="44">
        <v>0</v>
      </c>
      <c r="J756" s="44">
        <v>3</v>
      </c>
      <c r="K756" s="44">
        <v>0</v>
      </c>
      <c r="L756" s="44">
        <v>4</v>
      </c>
      <c r="M756" s="43">
        <v>0.625</v>
      </c>
      <c r="N756" s="43">
        <v>0.64583333333333337</v>
      </c>
      <c r="O756" s="43">
        <v>1.0125</v>
      </c>
      <c r="P756" s="43">
        <v>1.0333333333333334</v>
      </c>
      <c r="Q756" s="39"/>
      <c r="R756" s="42" t="s">
        <v>70</v>
      </c>
      <c r="S756" s="29">
        <v>10</v>
      </c>
      <c r="T75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756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756" s="41">
        <f>MIP[[#This Row],[Eficiência]]</f>
        <v>0.65451797486821683</v>
      </c>
      <c r="W75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56" s="39">
        <f>IF(MIP[[#This Row],[P.S]]-MIP[[#This Row],[P.E]]&lt;0,1+MIP[[#This Row],[P.S]]-MIP[[#This Row],[P.E]]-1/24,MIP[[#This Row],[P.S]]-MIP[[#This Row],[P.E]]-1/24)</f>
        <v>0.36666666666666675</v>
      </c>
      <c r="Y756" s="39">
        <f>MIP[[#This Row],[PT-1]]*$S$3+MIP[[#This Row],[PT-2]]*$T$3+MIP[[#This Row],[PT-3]]*$U$3+MIP[[#This Row],[PT &gt; 3 Pontos]]*$V$3</f>
        <v>0.21271834183217039</v>
      </c>
      <c r="Z756" s="39">
        <f>MIP[[#This Row],[HH disponível]]-MIP[[#This Row],[HH AC TOT]]</f>
        <v>0.3249999999999999</v>
      </c>
      <c r="AA756" s="38">
        <f>MIP[[#This Row],[HH Produtivo
Total]]/MIP[[#This Row],[HH Trabalhado]]</f>
        <v>0.65451797486821683</v>
      </c>
      <c r="AB756" s="38">
        <f>MIP[[#This Row],[HH Produtivo
Total]]/MIP[[#This Row],[HH disponível]]</f>
        <v>0.58014093226955543</v>
      </c>
      <c r="AC756" s="38">
        <f>MIP[[#This Row],[HH Trabalhado]]/MIP[[#This Row],[HH disponível]]</f>
        <v>0.88636363636363591</v>
      </c>
      <c r="AD756" s="37" t="str">
        <f>LEFT(MIP[[#This Row],[Equipe]], SEARCH("/",MIP[[#This Row],[Equipe]],1)-1)</f>
        <v xml:space="preserve">ANDERSON </v>
      </c>
      <c r="AE756" s="37" t="str">
        <f>RIGHT(MIP[[#This Row],[Equipe]], LEN(MIP[[#This Row],[Equipe]])-SEARCH("/",MIP[[#This Row],[Equipe]],1))</f>
        <v xml:space="preserve"> MARCO</v>
      </c>
      <c r="AF756" s="44">
        <f>COUNTIFS('[1]Tempo parado'!H:H,"&gt;="&amp;MIP[[#This Row],[S.B Sitrack]],'[1]Tempo parado'!I:I,"&lt;="&amp;MIP[[#This Row],[C.B Sitrack]],'[1]Tempo parado'!B:B,MIP[[#This Row],[Placa]])</f>
        <v>0</v>
      </c>
      <c r="AG756" s="36"/>
      <c r="AH756" s="35"/>
      <c r="AI756" s="34"/>
      <c r="AJ756" s="34"/>
      <c r="AK75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5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56" s="32">
        <f>SUMIFS('[1]Tempo parado'!J:J,'[1]Tempo parado'!H:H,"&gt;="&amp;MIP[[#This Row],[S.B Sitrack]],'[1]Tempo parado'!I:I,"&lt;="&amp;MIP[[#This Row],[C.B Sitrack]],'[1]Tempo parado'!B:B,MIP[[#This Row],[Placa]])</f>
        <v>0</v>
      </c>
      <c r="AN756" s="32" t="str">
        <f>IFERROR(MIP[[#This Row],[Tempo parado]]/(MIP[[#This Row],[C.B Sitrack]]-MIP[[#This Row],[S.B Sitrack]]),"")</f>
        <v/>
      </c>
      <c r="AO756" s="30"/>
      <c r="AP756" s="44">
        <f>IF(AND(MIP[Exc]=0,MIP[Previsto / Realizado]="Realizado"),MIP[Sem],0)</f>
        <v>0</v>
      </c>
      <c r="AQ756" s="29">
        <f>IF(AND(MIP[Exc]=0,MIP[Previsto / Realizado]="Realizado",ISBLANK(MIP[[#This Row],[S.B Sitrack]])=FALSE,ISBLANK(MIP[[#This Row],[C.B Sitrack]])=FALSE),MIP[Sem],0)</f>
        <v>0</v>
      </c>
    </row>
    <row r="757" spans="2:43" x14ac:dyDescent="0.25">
      <c r="B757" s="29">
        <f>WEEKNUM(MIP[[#This Row],[Data]])</f>
        <v>45</v>
      </c>
      <c r="C757" s="45">
        <v>43045</v>
      </c>
      <c r="D757" s="45"/>
      <c r="E757" s="35" t="s">
        <v>7</v>
      </c>
      <c r="F757" s="35" t="s">
        <v>2</v>
      </c>
      <c r="G757" s="35" t="s">
        <v>6</v>
      </c>
      <c r="H757" s="44">
        <v>2</v>
      </c>
      <c r="I757" s="44">
        <v>0</v>
      </c>
      <c r="J757" s="44">
        <v>3</v>
      </c>
      <c r="K757" s="44">
        <v>0</v>
      </c>
      <c r="L757" s="44">
        <v>9</v>
      </c>
      <c r="M757" s="43">
        <v>0.62638888888888888</v>
      </c>
      <c r="N757" s="43">
        <v>0.66666666666666663</v>
      </c>
      <c r="O757" s="43">
        <v>1.0104166666666667</v>
      </c>
      <c r="P757" s="68">
        <v>3.0555555555555555E-2</v>
      </c>
      <c r="Q757" s="39"/>
      <c r="R757" s="42" t="s">
        <v>9</v>
      </c>
      <c r="S757" s="29">
        <v>15</v>
      </c>
      <c r="T75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6.0416666666666452E-2</v>
      </c>
      <c r="U757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6.0416666666666452E-2</v>
      </c>
      <c r="V757" s="41">
        <f>MIP[[#This Row],[Eficiência]]</f>
        <v>1.039310553056805</v>
      </c>
      <c r="W75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57" s="39">
        <f>IF(MIP[[#This Row],[P.S]]-MIP[[#This Row],[P.E]]&lt;0,1+MIP[[#This Row],[P.S]]-MIP[[#This Row],[P.E]]-1/24,MIP[[#This Row],[P.S]]-MIP[[#This Row],[P.E]]-1/24)</f>
        <v>0.36249999999999988</v>
      </c>
      <c r="Y757" s="39">
        <f>MIP[[#This Row],[PT-1]]*$S$3+MIP[[#This Row],[PT-2]]*$T$3+MIP[[#This Row],[PT-3]]*$U$3+MIP[[#This Row],[PT &gt; 3 Pontos]]*$V$3</f>
        <v>0.31395839623590993</v>
      </c>
      <c r="Z757" s="39">
        <f>MIP[[#This Row],[HH disponível]]-MIP[[#This Row],[HH AC TOT]]</f>
        <v>0.30208333333333343</v>
      </c>
      <c r="AA757" s="38">
        <f>MIP[[#This Row],[HH Produtivo
Total]]/MIP[[#This Row],[HH Trabalhado]]</f>
        <v>1.039310553056805</v>
      </c>
      <c r="AB757" s="38">
        <f>MIP[[#This Row],[HH Produtivo
Total]]/MIP[[#This Row],[HH disponível]]</f>
        <v>0.866092127547338</v>
      </c>
      <c r="AC757" s="38">
        <f>MIP[[#This Row],[HH Trabalhado]]/MIP[[#This Row],[HH disponível]]</f>
        <v>0.83333333333333381</v>
      </c>
      <c r="AD757" s="37" t="str">
        <f>LEFT(MIP[[#This Row],[Equipe]], SEARCH("/",MIP[[#This Row],[Equipe]],1)-1)</f>
        <v xml:space="preserve">ANDERSON </v>
      </c>
      <c r="AE757" s="37" t="str">
        <f>RIGHT(MIP[[#This Row],[Equipe]], LEN(MIP[[#This Row],[Equipe]])-SEARCH("/",MIP[[#This Row],[Equipe]],1))</f>
        <v xml:space="preserve"> MARCO</v>
      </c>
      <c r="AF757" s="44">
        <f>COUNTIFS('[1]Tempo parado'!H:H,"&gt;="&amp;MIP[[#This Row],[S.B Sitrack]],'[1]Tempo parado'!I:I,"&lt;="&amp;MIP[[#This Row],[C.B Sitrack]],'[1]Tempo parado'!B:B,MIP[[#This Row],[Placa]])</f>
        <v>0</v>
      </c>
      <c r="AG757" s="36"/>
      <c r="AH757" s="35"/>
      <c r="AI757" s="34"/>
      <c r="AJ757" s="34">
        <v>43046.016956018517</v>
      </c>
      <c r="AK75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5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57" s="32">
        <f>SUMIFS('[1]Tempo parado'!J:J,'[1]Tempo parado'!H:H,"&gt;="&amp;MIP[[#This Row],[S.B Sitrack]],'[1]Tempo parado'!I:I,"&lt;="&amp;MIP[[#This Row],[C.B Sitrack]],'[1]Tempo parado'!B:B,MIP[[#This Row],[Placa]])</f>
        <v>0</v>
      </c>
      <c r="AN757" s="31">
        <f>IFERROR(MIP[[#This Row],[Tempo parado]]/(MIP[[#This Row],[C.B Sitrack]]-MIP[[#This Row],[S.B Sitrack]]),"")</f>
        <v>0</v>
      </c>
      <c r="AO757" s="30"/>
      <c r="AP757" s="44">
        <f>IF(AND(MIP[Exc]=0,MIP[Previsto / Realizado]="Realizado"),MIP[Sem],0)</f>
        <v>45</v>
      </c>
      <c r="AQ757" s="29">
        <f>IF(AND(MIP[Exc]=0,MIP[Previsto / Realizado]="Realizado",ISBLANK(MIP[[#This Row],[S.B Sitrack]])=FALSE,ISBLANK(MIP[[#This Row],[C.B Sitrack]])=FALSE),MIP[Sem],0)</f>
        <v>0</v>
      </c>
    </row>
    <row r="758" spans="2:43" x14ac:dyDescent="0.25">
      <c r="B758" s="29">
        <f>WEEKNUM(MIP[[#This Row],[Data]])</f>
        <v>45</v>
      </c>
      <c r="C758" s="45">
        <v>43045</v>
      </c>
      <c r="D758" s="45"/>
      <c r="E758" s="35" t="s">
        <v>19</v>
      </c>
      <c r="F758" s="35" t="s">
        <v>5</v>
      </c>
      <c r="G758" s="35"/>
      <c r="H758" s="44">
        <v>2</v>
      </c>
      <c r="I758" s="44">
        <v>4</v>
      </c>
      <c r="J758" s="44">
        <v>2</v>
      </c>
      <c r="K758" s="44">
        <v>2</v>
      </c>
      <c r="L758" s="44">
        <v>0</v>
      </c>
      <c r="M758" s="43">
        <v>0.625</v>
      </c>
      <c r="N758" s="43">
        <v>0.64583333333333337</v>
      </c>
      <c r="O758" s="43">
        <v>1.0125</v>
      </c>
      <c r="P758" s="43">
        <v>1.0333333333333334</v>
      </c>
      <c r="Q758" s="39"/>
      <c r="R758" s="42" t="s">
        <v>4</v>
      </c>
      <c r="S758" s="29">
        <v>14</v>
      </c>
      <c r="T75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758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758" s="41">
        <f>MIP[[#This Row],[Eficiência]]</f>
        <v>0.96462862318840603</v>
      </c>
      <c r="W75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58" s="39">
        <f>IF(MIP[[#This Row],[P.S]]-MIP[[#This Row],[P.E]]&lt;0,1+MIP[[#This Row],[P.S]]-MIP[[#This Row],[P.E]]-1/24,MIP[[#This Row],[P.S]]-MIP[[#This Row],[P.E]]-1/24)</f>
        <v>0.36666666666666675</v>
      </c>
      <c r="Y758" s="39">
        <f>MIP[[#This Row],[PT-1]]*$S$3+MIP[[#This Row],[PT-2]]*$T$3+MIP[[#This Row],[PT-3]]*$U$3+MIP[[#This Row],[PT &gt; 3 Pontos]]*$V$3</f>
        <v>0.31350430253623185</v>
      </c>
      <c r="Z758" s="39">
        <f>MIP[[#This Row],[HH disponível]]-MIP[[#This Row],[HH AC TOT]]</f>
        <v>0.3249999999999999</v>
      </c>
      <c r="AA758" s="38">
        <f>MIP[[#This Row],[HH Produtivo
Total]]/MIP[[#This Row],[HH Trabalhado]]</f>
        <v>0.96462862318840603</v>
      </c>
      <c r="AB758" s="38">
        <f>MIP[[#This Row],[HH Produtivo
Total]]/MIP[[#This Row],[HH disponível]]</f>
        <v>0.85501173418972298</v>
      </c>
      <c r="AC758" s="38">
        <f>MIP[[#This Row],[HH Trabalhado]]/MIP[[#This Row],[HH disponível]]</f>
        <v>0.88636363636363591</v>
      </c>
      <c r="AD758" s="37" t="str">
        <f>LEFT(MIP[[#This Row],[Equipe]], SEARCH("/",MIP[[#This Row],[Equipe]],1)-1)</f>
        <v xml:space="preserve">ADEMÁRIO </v>
      </c>
      <c r="AE758" s="37" t="str">
        <f>RIGHT(MIP[[#This Row],[Equipe]], LEN(MIP[[#This Row],[Equipe]])-SEARCH("/",MIP[[#This Row],[Equipe]],1))</f>
        <v xml:space="preserve"> RONALDO</v>
      </c>
      <c r="AF758" s="44">
        <f>COUNTIFS('[1]Tempo parado'!H:H,"&gt;="&amp;MIP[[#This Row],[S.B Sitrack]],'[1]Tempo parado'!I:I,"&lt;="&amp;MIP[[#This Row],[C.B Sitrack]],'[1]Tempo parado'!B:B,MIP[[#This Row],[Placa]])</f>
        <v>0</v>
      </c>
      <c r="AG758" s="36"/>
      <c r="AH758" s="35"/>
      <c r="AI758" s="34"/>
      <c r="AJ758" s="34"/>
      <c r="AK75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5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58" s="32">
        <f>SUMIFS('[1]Tempo parado'!J:J,'[1]Tempo parado'!H:H,"&gt;="&amp;MIP[[#This Row],[S.B Sitrack]],'[1]Tempo parado'!I:I,"&lt;="&amp;MIP[[#This Row],[C.B Sitrack]],'[1]Tempo parado'!B:B,MIP[[#This Row],[Placa]])</f>
        <v>0</v>
      </c>
      <c r="AN758" s="32" t="str">
        <f>IFERROR(MIP[[#This Row],[Tempo parado]]/(MIP[[#This Row],[C.B Sitrack]]-MIP[[#This Row],[S.B Sitrack]]),"")</f>
        <v/>
      </c>
      <c r="AO758" s="30"/>
      <c r="AP758" s="44">
        <f>IF(AND(MIP[Exc]=0,MIP[Previsto / Realizado]="Realizado"),MIP[Sem],0)</f>
        <v>0</v>
      </c>
      <c r="AQ758" s="29">
        <f>IF(AND(MIP[Exc]=0,MIP[Previsto / Realizado]="Realizado",ISBLANK(MIP[[#This Row],[S.B Sitrack]])=FALSE,ISBLANK(MIP[[#This Row],[C.B Sitrack]])=FALSE),MIP[Sem],0)</f>
        <v>0</v>
      </c>
    </row>
    <row r="759" spans="2:43" x14ac:dyDescent="0.25">
      <c r="B759" s="29">
        <f>WEEKNUM(MIP[[#This Row],[Data]])</f>
        <v>45</v>
      </c>
      <c r="C759" s="45">
        <v>43045</v>
      </c>
      <c r="D759" s="45"/>
      <c r="E759" s="35" t="s">
        <v>19</v>
      </c>
      <c r="F759" s="35" t="s">
        <v>2</v>
      </c>
      <c r="G759" s="35" t="s">
        <v>39</v>
      </c>
      <c r="H759" s="44">
        <v>2</v>
      </c>
      <c r="I759" s="44">
        <v>4</v>
      </c>
      <c r="J759" s="44">
        <v>2</v>
      </c>
      <c r="K759" s="44">
        <v>2</v>
      </c>
      <c r="L759" s="44">
        <v>0</v>
      </c>
      <c r="M759" s="43">
        <v>0.63611111111111118</v>
      </c>
      <c r="N759" s="43">
        <v>0.6875</v>
      </c>
      <c r="O759" s="43">
        <v>1.0069444444444444</v>
      </c>
      <c r="P759" s="43">
        <v>3.6111111111111115E-2</v>
      </c>
      <c r="Q759" s="39"/>
      <c r="R759" s="42" t="s">
        <v>32</v>
      </c>
      <c r="S759" s="29">
        <v>14</v>
      </c>
      <c r="T75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8.0555555555555602E-2</v>
      </c>
      <c r="U759" s="39">
        <f>IF(MIP[[#This Row],[P.S]]-MIP[[#This Row],[U.P]]&gt;=0,MIP[[#This Row],[P.S]]-MIP[[#This Row],[U.P]]+MIP[[#This Row],[S.B]]-MIP[[#This Row],[P.E]],1+MIP[[#This Row],[P.S]]-MIP[[#This Row],[U.P]]+MIP[[#This Row],[S.B]]-MIP[[#This Row],[P.E]])</f>
        <v>8.0555555555555602E-2</v>
      </c>
      <c r="V759" s="41">
        <f>MIP[[#This Row],[Eficiência]]</f>
        <v>1.1286154891304347</v>
      </c>
      <c r="W75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59" s="39">
        <f>IF(MIP[[#This Row],[P.S]]-MIP[[#This Row],[P.E]]&lt;0,1+MIP[[#This Row],[P.S]]-MIP[[#This Row],[P.E]]-1/24,MIP[[#This Row],[P.S]]-MIP[[#This Row],[P.E]]-1/24)</f>
        <v>0.35833333333333334</v>
      </c>
      <c r="Y759" s="39">
        <f>MIP[[#This Row],[PT-1]]*$S$3+MIP[[#This Row],[PT-2]]*$T$3+MIP[[#This Row],[PT-3]]*$U$3+MIP[[#This Row],[PT &gt; 3 Pontos]]*$V$3</f>
        <v>0.31350430253623185</v>
      </c>
      <c r="Z759" s="39">
        <f>MIP[[#This Row],[HH disponível]]-MIP[[#This Row],[HH AC TOT]]</f>
        <v>0.27777777777777773</v>
      </c>
      <c r="AA759" s="38">
        <f>MIP[[#This Row],[HH Produtivo
Total]]/MIP[[#This Row],[HH Trabalhado]]</f>
        <v>1.1286154891304347</v>
      </c>
      <c r="AB759" s="38">
        <f>MIP[[#This Row],[HH Produtivo
Total]]/MIP[[#This Row],[HH disponível]]</f>
        <v>0.8748957280080889</v>
      </c>
      <c r="AC759" s="38">
        <f>MIP[[#This Row],[HH Trabalhado]]/MIP[[#This Row],[HH disponível]]</f>
        <v>0.77519379844961223</v>
      </c>
      <c r="AD759" s="37" t="str">
        <f>LEFT(MIP[[#This Row],[Equipe]], SEARCH("/",MIP[[#This Row],[Equipe]],1)-1)</f>
        <v xml:space="preserve">ADEMÁRIO </v>
      </c>
      <c r="AE759" s="37" t="str">
        <f>RIGHT(MIP[[#This Row],[Equipe]], LEN(MIP[[#This Row],[Equipe]])-SEARCH("/",MIP[[#This Row],[Equipe]],1))</f>
        <v xml:space="preserve"> RONALDO</v>
      </c>
      <c r="AF759" s="44">
        <f>COUNTIFS('[1]Tempo parado'!H:H,"&gt;="&amp;MIP[[#This Row],[S.B Sitrack]],'[1]Tempo parado'!I:I,"&lt;="&amp;MIP[[#This Row],[C.B Sitrack]],'[1]Tempo parado'!B:B,MIP[[#This Row],[Placa]])</f>
        <v>15</v>
      </c>
      <c r="AG759" s="36"/>
      <c r="AH759" s="35"/>
      <c r="AI759" s="34">
        <v>43045.683287037034</v>
      </c>
      <c r="AJ759" s="34">
        <v>43046.004293981481</v>
      </c>
      <c r="AK759" s="32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7.638888888888847E-3</v>
      </c>
      <c r="AL75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37.9</v>
      </c>
      <c r="AM759" s="32">
        <f>SUMIFS('[1]Tempo parado'!J:J,'[1]Tempo parado'!H:H,"&gt;="&amp;MIP[[#This Row],[S.B Sitrack]],'[1]Tempo parado'!I:I,"&lt;="&amp;MIP[[#This Row],[C.B Sitrack]],'[1]Tempo parado'!B:B,MIP[[#This Row],[Placa]])</f>
        <v>0.21986111111111109</v>
      </c>
      <c r="AN759" s="31">
        <f>IFERROR(MIP[[#This Row],[Tempo parado]]/(MIP[[#This Row],[C.B Sitrack]]-MIP[[#This Row],[S.B Sitrack]]),"")</f>
        <v>0.68491076256953465</v>
      </c>
      <c r="AO759" s="30"/>
      <c r="AP759" s="44">
        <f>IF(AND(MIP[Exc]=0,MIP[Previsto / Realizado]="Realizado"),MIP[Sem],0)</f>
        <v>45</v>
      </c>
      <c r="AQ759" s="29">
        <f>IF(AND(MIP[Exc]=0,MIP[Previsto / Realizado]="Realizado",ISBLANK(MIP[[#This Row],[S.B Sitrack]])=FALSE,ISBLANK(MIP[[#This Row],[C.B Sitrack]])=FALSE),MIP[Sem],0)</f>
        <v>45</v>
      </c>
    </row>
    <row r="760" spans="2:43" x14ac:dyDescent="0.25">
      <c r="B760" s="29">
        <f>WEEKNUM(MIP[[#This Row],[Data]])</f>
        <v>45</v>
      </c>
      <c r="C760" s="45">
        <v>43046</v>
      </c>
      <c r="D760" s="45"/>
      <c r="E760" s="35" t="s">
        <v>136</v>
      </c>
      <c r="F760" s="35" t="s">
        <v>5</v>
      </c>
      <c r="G760" s="35"/>
      <c r="H760" s="44">
        <v>2</v>
      </c>
      <c r="I760" s="44">
        <v>7</v>
      </c>
      <c r="J760" s="44">
        <v>2</v>
      </c>
      <c r="K760" s="44">
        <v>0</v>
      </c>
      <c r="L760" s="44">
        <v>0</v>
      </c>
      <c r="M760" s="43">
        <v>0.625</v>
      </c>
      <c r="N760" s="43">
        <v>0.64583333333333337</v>
      </c>
      <c r="O760" s="43">
        <v>1.0125</v>
      </c>
      <c r="P760" s="43">
        <v>1.0333333333333334</v>
      </c>
      <c r="Q760" s="39"/>
      <c r="R760" s="42" t="s">
        <v>4</v>
      </c>
      <c r="S760" s="29">
        <v>11</v>
      </c>
      <c r="T76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760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760" s="41">
        <f>MIP[[#This Row],[Eficiência]]</f>
        <v>0.80922616282670623</v>
      </c>
      <c r="W76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60" s="39">
        <f>IF(MIP[[#This Row],[P.S]]-MIP[[#This Row],[P.E]]&lt;0,1+MIP[[#This Row],[P.S]]-MIP[[#This Row],[P.E]]-1/24,MIP[[#This Row],[P.S]]-MIP[[#This Row],[P.E]]-1/24)</f>
        <v>0.36666666666666675</v>
      </c>
      <c r="Y760" s="39">
        <f>MIP[[#This Row],[PT-1]]*$S$3+MIP[[#This Row],[PT-2]]*$T$3+MIP[[#This Row],[PT-3]]*$U$3+MIP[[#This Row],[PT &gt; 3 Pontos]]*$V$3</f>
        <v>0.26299850291867943</v>
      </c>
      <c r="Z760" s="39">
        <f>MIP[[#This Row],[HH disponível]]-MIP[[#This Row],[HH AC TOT]]</f>
        <v>0.3249999999999999</v>
      </c>
      <c r="AA760" s="38">
        <f>MIP[[#This Row],[HH Produtivo
Total]]/MIP[[#This Row],[HH Trabalhado]]</f>
        <v>0.80922616282670623</v>
      </c>
      <c r="AB760" s="38">
        <f>MIP[[#This Row],[HH Produtivo
Total]]/MIP[[#This Row],[HH disponível]]</f>
        <v>0.71726864432367099</v>
      </c>
      <c r="AC760" s="38">
        <f>MIP[[#This Row],[HH Trabalhado]]/MIP[[#This Row],[HH disponível]]</f>
        <v>0.88636363636363591</v>
      </c>
      <c r="AD760" s="37" t="str">
        <f>LEFT(MIP[[#This Row],[Equipe]], SEARCH("/",MIP[[#This Row],[Equipe]],1)-1)</f>
        <v xml:space="preserve">GECIVALDO </v>
      </c>
      <c r="AE760" s="37" t="str">
        <f>RIGHT(MIP[[#This Row],[Equipe]], LEN(MIP[[#This Row],[Equipe]])-SEARCH("/",MIP[[#This Row],[Equipe]],1))</f>
        <v xml:space="preserve"> RONALDO</v>
      </c>
      <c r="AF760" s="44">
        <f>COUNTIFS('[1]Tempo parado'!H:H,"&gt;="&amp;MIP[[#This Row],[S.B Sitrack]],'[1]Tempo parado'!I:I,"&lt;="&amp;MIP[[#This Row],[C.B Sitrack]],'[1]Tempo parado'!B:B,MIP[[#This Row],[Placa]])</f>
        <v>0</v>
      </c>
      <c r="AG760" s="36"/>
      <c r="AH760" s="35"/>
      <c r="AI760" s="34"/>
      <c r="AJ760" s="34"/>
      <c r="AK76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6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60" s="32">
        <f>SUMIFS('[1]Tempo parado'!J:J,'[1]Tempo parado'!H:H,"&gt;="&amp;MIP[[#This Row],[S.B Sitrack]],'[1]Tempo parado'!I:I,"&lt;="&amp;MIP[[#This Row],[C.B Sitrack]],'[1]Tempo parado'!B:B,MIP[[#This Row],[Placa]])</f>
        <v>0</v>
      </c>
      <c r="AN760" s="32" t="str">
        <f>IFERROR(MIP[[#This Row],[Tempo parado]]/(MIP[[#This Row],[C.B Sitrack]]-MIP[[#This Row],[S.B Sitrack]]),"")</f>
        <v/>
      </c>
      <c r="AO760" s="30"/>
      <c r="AP760" s="44">
        <f>IF(AND(MIP[Exc]=0,MIP[Previsto / Realizado]="Realizado"),MIP[Sem],0)</f>
        <v>0</v>
      </c>
      <c r="AQ760" s="29">
        <f>IF(AND(MIP[Exc]=0,MIP[Previsto / Realizado]="Realizado",ISBLANK(MIP[[#This Row],[S.B Sitrack]])=FALSE,ISBLANK(MIP[[#This Row],[C.B Sitrack]])=FALSE),MIP[Sem],0)</f>
        <v>0</v>
      </c>
    </row>
    <row r="761" spans="2:43" x14ac:dyDescent="0.25">
      <c r="B761" s="29">
        <f>WEEKNUM(MIP[[#This Row],[Data]])</f>
        <v>45</v>
      </c>
      <c r="C761" s="45">
        <v>43046</v>
      </c>
      <c r="D761" s="45"/>
      <c r="E761" s="35" t="s">
        <v>136</v>
      </c>
      <c r="F761" s="35" t="s">
        <v>2</v>
      </c>
      <c r="G761" s="35" t="s">
        <v>39</v>
      </c>
      <c r="H761" s="44">
        <v>2</v>
      </c>
      <c r="I761" s="44">
        <v>8</v>
      </c>
      <c r="J761" s="44">
        <v>1</v>
      </c>
      <c r="K761" s="44">
        <v>0</v>
      </c>
      <c r="L761" s="44">
        <v>0</v>
      </c>
      <c r="M761" s="43">
        <v>0.61805555555555558</v>
      </c>
      <c r="N761" s="43">
        <v>0.65833333333333333</v>
      </c>
      <c r="O761" s="43">
        <v>1.007638888888889</v>
      </c>
      <c r="P761" s="68">
        <v>3.888888888888889E-2</v>
      </c>
      <c r="Q761" s="39">
        <v>2.0833333333333332E-2</v>
      </c>
      <c r="R761" s="42" t="s">
        <v>143</v>
      </c>
      <c r="S761" s="29">
        <v>10</v>
      </c>
      <c r="T76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9.2361111111111074E-2</v>
      </c>
      <c r="U761" s="39">
        <f>IF(MIP[[#This Row],[P.S]]-MIP[[#This Row],[U.P]]&gt;=0,MIP[[#This Row],[P.S]]-MIP[[#This Row],[U.P]]+MIP[[#This Row],[S.B]]-MIP[[#This Row],[P.E]],1+MIP[[#This Row],[P.S]]-MIP[[#This Row],[U.P]]+MIP[[#This Row],[S.B]]-MIP[[#This Row],[P.E]])</f>
        <v>7.1527777777777746E-2</v>
      </c>
      <c r="V761" s="41">
        <f>MIP[[#This Row],[Eficiência]]</f>
        <v>0.85115363020668766</v>
      </c>
      <c r="W76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61" s="39">
        <f>IF(MIP[[#This Row],[P.S]]-MIP[[#This Row],[P.E]]&lt;0,1+MIP[[#This Row],[P.S]]-MIP[[#This Row],[P.E]]-1/24,MIP[[#This Row],[P.S]]-MIP[[#This Row],[P.E]]-1/24)</f>
        <v>0.37916666666666671</v>
      </c>
      <c r="Y761" s="39">
        <f>MIP[[#This Row],[PT-1]]*$S$3+MIP[[#This Row],[PT-2]]*$T$3+MIP[[#This Row],[PT-3]]*$U$3+MIP[[#This Row],[PT &gt; 3 Pontos]]*$V$3</f>
        <v>0.24411558977455702</v>
      </c>
      <c r="Z761" s="39">
        <f>MIP[[#This Row],[HH disponível]]-MIP[[#This Row],[HH AC TOT]]</f>
        <v>0.28680555555555565</v>
      </c>
      <c r="AA761" s="38">
        <f>MIP[[#This Row],[HH Produtivo
Total]]/MIP[[#This Row],[HH Trabalhado]]</f>
        <v>0.85115363020668766</v>
      </c>
      <c r="AB761" s="38">
        <f>MIP[[#This Row],[HH Produtivo
Total]]/MIP[[#This Row],[HH disponível]]</f>
        <v>0.64382133566916133</v>
      </c>
      <c r="AC761" s="38">
        <f>MIP[[#This Row],[HH Trabalhado]]/MIP[[#This Row],[HH disponível]]</f>
        <v>0.75641025641025661</v>
      </c>
      <c r="AD761" s="37" t="str">
        <f>LEFT(MIP[[#This Row],[Equipe]], SEARCH("/",MIP[[#This Row],[Equipe]],1)-1)</f>
        <v xml:space="preserve">GECIVALDO </v>
      </c>
      <c r="AE761" s="37" t="str">
        <f>RIGHT(MIP[[#This Row],[Equipe]], LEN(MIP[[#This Row],[Equipe]])-SEARCH("/",MIP[[#This Row],[Equipe]],1))</f>
        <v xml:space="preserve"> RONALDO</v>
      </c>
      <c r="AF761" s="44">
        <f>COUNTIFS('[1]Tempo parado'!H:H,"&gt;="&amp;MIP[[#This Row],[S.B Sitrack]],'[1]Tempo parado'!I:I,"&lt;="&amp;MIP[[#This Row],[C.B Sitrack]],'[1]Tempo parado'!B:B,MIP[[#This Row],[Placa]])</f>
        <v>17</v>
      </c>
      <c r="AG761" s="36"/>
      <c r="AH761" s="35"/>
      <c r="AI761" s="34">
        <v>43046.662581018521</v>
      </c>
      <c r="AJ761" s="34">
        <v>43047.016944444447</v>
      </c>
      <c r="AK761" s="32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1.3194444444444346E-2</v>
      </c>
      <c r="AL76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32.199999999999996</v>
      </c>
      <c r="AM761" s="32">
        <f>SUMIFS('[1]Tempo parado'!J:J,'[1]Tempo parado'!H:H,"&gt;="&amp;MIP[[#This Row],[S.B Sitrack]],'[1]Tempo parado'!I:I,"&lt;="&amp;MIP[[#This Row],[C.B Sitrack]],'[1]Tempo parado'!B:B,MIP[[#This Row],[Placa]])</f>
        <v>0.25593750000000004</v>
      </c>
      <c r="AN761" s="31">
        <f>IFERROR(MIP[[#This Row],[Tempo parado]]/(MIP[[#This Row],[C.B Sitrack]]-MIP[[#This Row],[S.B Sitrack]]),"")</f>
        <v>0.72224581115084385</v>
      </c>
      <c r="AO761" s="30"/>
      <c r="AP761" s="44">
        <f>IF(AND(MIP[Exc]=0,MIP[Previsto / Realizado]="Realizado"),MIP[Sem],0)</f>
        <v>45</v>
      </c>
      <c r="AQ761" s="29">
        <f>IF(AND(MIP[Exc]=0,MIP[Previsto / Realizado]="Realizado",ISBLANK(MIP[[#This Row],[S.B Sitrack]])=FALSE,ISBLANK(MIP[[#This Row],[C.B Sitrack]])=FALSE),MIP[Sem],0)</f>
        <v>45</v>
      </c>
    </row>
    <row r="762" spans="2:43" x14ac:dyDescent="0.25">
      <c r="B762" s="29">
        <f>WEEKNUM(MIP[[#This Row],[Data]])</f>
        <v>45</v>
      </c>
      <c r="C762" s="45">
        <v>43046</v>
      </c>
      <c r="D762" s="45"/>
      <c r="E762" s="35" t="s">
        <v>10</v>
      </c>
      <c r="F762" s="35" t="s">
        <v>5</v>
      </c>
      <c r="G762" s="35"/>
      <c r="H762" s="44">
        <v>2</v>
      </c>
      <c r="I762" s="44">
        <v>1</v>
      </c>
      <c r="J762" s="44">
        <v>1</v>
      </c>
      <c r="K762" s="44">
        <v>1</v>
      </c>
      <c r="L762" s="44">
        <v>0</v>
      </c>
      <c r="M762" s="43">
        <v>0.25</v>
      </c>
      <c r="N762" s="43">
        <v>0.27083333333333331</v>
      </c>
      <c r="O762" s="43">
        <v>0.63750000000000007</v>
      </c>
      <c r="P762" s="43">
        <v>0.65833333333333333</v>
      </c>
      <c r="Q762" s="39"/>
      <c r="R762" s="42" t="s">
        <v>142</v>
      </c>
      <c r="S762" s="29">
        <v>6</v>
      </c>
      <c r="T76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762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762" s="41">
        <f>MIP[[#This Row],[Eficiência]]</f>
        <v>0.40531168710516535</v>
      </c>
      <c r="W76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62" s="39">
        <f>IF(MIP[[#This Row],[P.S]]-MIP[[#This Row],[P.E]]&lt;0,1+MIP[[#This Row],[P.S]]-MIP[[#This Row],[P.E]]-1/24,MIP[[#This Row],[P.S]]-MIP[[#This Row],[P.E]]-1/24)</f>
        <v>0.36666666666666664</v>
      </c>
      <c r="Y762" s="39">
        <f>MIP[[#This Row],[PT-1]]*$S$3+MIP[[#This Row],[PT-2]]*$T$3+MIP[[#This Row],[PT-3]]*$U$3+MIP[[#This Row],[PT &gt; 3 Pontos]]*$V$3</f>
        <v>0.13172629830917876</v>
      </c>
      <c r="Z762" s="39">
        <f>MIP[[#This Row],[HH disponível]]-MIP[[#This Row],[HH AC TOT]]</f>
        <v>0.32500000000000007</v>
      </c>
      <c r="AA762" s="38">
        <f>MIP[[#This Row],[HH Produtivo
Total]]/MIP[[#This Row],[HH Trabalhado]]</f>
        <v>0.40531168710516535</v>
      </c>
      <c r="AB762" s="38">
        <f>MIP[[#This Row],[HH Produtivo
Total]]/MIP[[#This Row],[HH disponível]]</f>
        <v>0.35925354084321481</v>
      </c>
      <c r="AC762" s="38">
        <f>MIP[[#This Row],[HH Trabalhado]]/MIP[[#This Row],[HH disponível]]</f>
        <v>0.88636363636363658</v>
      </c>
      <c r="AD762" s="37" t="str">
        <f>LEFT(MIP[[#This Row],[Equipe]], SEARCH("/",MIP[[#This Row],[Equipe]],1)-1)</f>
        <v xml:space="preserve">JOILSON </v>
      </c>
      <c r="AE762" s="37" t="str">
        <f>RIGHT(MIP[[#This Row],[Equipe]], LEN(MIP[[#This Row],[Equipe]])-SEARCH("/",MIP[[#This Row],[Equipe]],1))</f>
        <v xml:space="preserve"> VALDEI</v>
      </c>
      <c r="AF762" s="44">
        <f>COUNTIFS('[1]Tempo parado'!H:H,"&gt;="&amp;MIP[[#This Row],[S.B Sitrack]],'[1]Tempo parado'!I:I,"&lt;="&amp;MIP[[#This Row],[C.B Sitrack]],'[1]Tempo parado'!B:B,MIP[[#This Row],[Placa]])</f>
        <v>0</v>
      </c>
      <c r="AG762" s="36"/>
      <c r="AH762" s="35"/>
      <c r="AI762" s="34"/>
      <c r="AJ762" s="34"/>
      <c r="AK76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6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62" s="32">
        <f>SUMIFS('[1]Tempo parado'!J:J,'[1]Tempo parado'!H:H,"&gt;="&amp;MIP[[#This Row],[S.B Sitrack]],'[1]Tempo parado'!I:I,"&lt;="&amp;MIP[[#This Row],[C.B Sitrack]],'[1]Tempo parado'!B:B,MIP[[#This Row],[Placa]])</f>
        <v>0</v>
      </c>
      <c r="AN762" s="32" t="str">
        <f>IFERROR(MIP[[#This Row],[Tempo parado]]/(MIP[[#This Row],[C.B Sitrack]]-MIP[[#This Row],[S.B Sitrack]]),"")</f>
        <v/>
      </c>
      <c r="AO762" s="30"/>
      <c r="AP762" s="44">
        <f>IF(AND(MIP[Exc]=0,MIP[Previsto / Realizado]="Realizado"),MIP[Sem],0)</f>
        <v>0</v>
      </c>
      <c r="AQ762" s="29">
        <f>IF(AND(MIP[Exc]=0,MIP[Previsto / Realizado]="Realizado",ISBLANK(MIP[[#This Row],[S.B Sitrack]])=FALSE,ISBLANK(MIP[[#This Row],[C.B Sitrack]])=FALSE),MIP[Sem],0)</f>
        <v>0</v>
      </c>
    </row>
    <row r="763" spans="2:43" x14ac:dyDescent="0.25">
      <c r="B763" s="29">
        <f>WEEKNUM(MIP[[#This Row],[Data]])</f>
        <v>45</v>
      </c>
      <c r="C763" s="45">
        <v>43046</v>
      </c>
      <c r="D763" s="45"/>
      <c r="E763" s="35" t="s">
        <v>10</v>
      </c>
      <c r="F763" s="35" t="s">
        <v>2</v>
      </c>
      <c r="G763" s="35" t="s">
        <v>1</v>
      </c>
      <c r="H763" s="44">
        <v>2</v>
      </c>
      <c r="I763" s="44">
        <v>4</v>
      </c>
      <c r="J763" s="44">
        <v>1</v>
      </c>
      <c r="K763" s="44">
        <v>1</v>
      </c>
      <c r="L763" s="44">
        <v>0</v>
      </c>
      <c r="M763" s="43">
        <v>0.25</v>
      </c>
      <c r="N763" s="43">
        <v>0.27083333333333331</v>
      </c>
      <c r="O763" s="43">
        <v>0.62847222222222221</v>
      </c>
      <c r="P763" s="43">
        <v>0.65833333333333333</v>
      </c>
      <c r="Q763" s="39">
        <v>4.5138888888888888E-2</v>
      </c>
      <c r="R763" s="42" t="s">
        <v>141</v>
      </c>
      <c r="S763" s="29">
        <v>9</v>
      </c>
      <c r="T76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9.5833333333333326E-2</v>
      </c>
      <c r="U763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5.0694444444444431E-2</v>
      </c>
      <c r="V763" s="41">
        <f>MIP[[#This Row],[Eficiência]]</f>
        <v>0.76358347268673343</v>
      </c>
      <c r="W76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63" s="39">
        <f>IF(MIP[[#This Row],[P.S]]-MIP[[#This Row],[P.E]]&lt;0,1+MIP[[#This Row],[P.S]]-MIP[[#This Row],[P.E]]-1/24,MIP[[#This Row],[P.S]]-MIP[[#This Row],[P.E]]-1/24)</f>
        <v>0.36666666666666664</v>
      </c>
      <c r="Y763" s="39">
        <f>MIP[[#This Row],[PT-1]]*$S$3+MIP[[#This Row],[PT-2]]*$T$3+MIP[[#This Row],[PT-3]]*$U$3+MIP[[#This Row],[PT &gt; 3 Pontos]]*$V$3</f>
        <v>0.20680385718599029</v>
      </c>
      <c r="Z763" s="39">
        <f>MIP[[#This Row],[HH disponível]]-MIP[[#This Row],[HH AC TOT]]</f>
        <v>0.27083333333333331</v>
      </c>
      <c r="AA763" s="38">
        <f>MIP[[#This Row],[HH Produtivo
Total]]/MIP[[#This Row],[HH Trabalhado]]</f>
        <v>0.76358347268673343</v>
      </c>
      <c r="AB763" s="38">
        <f>MIP[[#This Row],[HH Produtivo
Total]]/MIP[[#This Row],[HH disponível]]</f>
        <v>0.5640105195981554</v>
      </c>
      <c r="AC763" s="38">
        <f>MIP[[#This Row],[HH Trabalhado]]/MIP[[#This Row],[HH disponível]]</f>
        <v>0.73863636363636365</v>
      </c>
      <c r="AD763" s="37" t="str">
        <f>LEFT(MIP[[#This Row],[Equipe]], SEARCH("/",MIP[[#This Row],[Equipe]],1)-1)</f>
        <v xml:space="preserve">JOILSON </v>
      </c>
      <c r="AE763" s="37" t="str">
        <f>RIGHT(MIP[[#This Row],[Equipe]], LEN(MIP[[#This Row],[Equipe]])-SEARCH("/",MIP[[#This Row],[Equipe]],1))</f>
        <v xml:space="preserve"> VALDEI</v>
      </c>
      <c r="AF763" s="44">
        <f>COUNTIFS('[1]Tempo parado'!H:H,"&gt;="&amp;MIP[[#This Row],[S.B Sitrack]],'[1]Tempo parado'!I:I,"&lt;="&amp;MIP[[#This Row],[C.B Sitrack]],'[1]Tempo parado'!B:B,MIP[[#This Row],[Placa]])</f>
        <v>14</v>
      </c>
      <c r="AG763" s="36"/>
      <c r="AH763" s="35"/>
      <c r="AI763" s="34">
        <v>43046.272523148145</v>
      </c>
      <c r="AJ763" s="34">
        <v>43046.635844907411</v>
      </c>
      <c r="AK763" s="32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8.3333333333333037E-3</v>
      </c>
      <c r="AL76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45.800000000000011</v>
      </c>
      <c r="AM763" s="32">
        <f>SUMIFS('[1]Tempo parado'!J:J,'[1]Tempo parado'!H:H,"&gt;="&amp;MIP[[#This Row],[S.B Sitrack]],'[1]Tempo parado'!I:I,"&lt;="&amp;MIP[[#This Row],[C.B Sitrack]],'[1]Tempo parado'!B:B,MIP[[#This Row],[Placa]])</f>
        <v>0.25190972222222219</v>
      </c>
      <c r="AN763" s="31">
        <f>IFERROR(MIP[[#This Row],[Tempo parado]]/(MIP[[#This Row],[C.B Sitrack]]-MIP[[#This Row],[S.B Sitrack]]),"")</f>
        <v>0.69335159758053755</v>
      </c>
      <c r="AO763" s="30"/>
      <c r="AP763" s="44">
        <f>IF(AND(MIP[Exc]=0,MIP[Previsto / Realizado]="Realizado"),MIP[Sem],0)</f>
        <v>45</v>
      </c>
      <c r="AQ763" s="29">
        <f>IF(AND(MIP[Exc]=0,MIP[Previsto / Realizado]="Realizado",ISBLANK(MIP[[#This Row],[S.B Sitrack]])=FALSE,ISBLANK(MIP[[#This Row],[C.B Sitrack]])=FALSE),MIP[Sem],0)</f>
        <v>45</v>
      </c>
    </row>
    <row r="764" spans="2:43" x14ac:dyDescent="0.25">
      <c r="B764" s="29">
        <f>WEEKNUM(MIP[[#This Row],[Data]])</f>
        <v>45</v>
      </c>
      <c r="C764" s="45">
        <v>43047</v>
      </c>
      <c r="D764" s="45"/>
      <c r="E764" s="35" t="s">
        <v>7</v>
      </c>
      <c r="F764" s="35" t="s">
        <v>5</v>
      </c>
      <c r="G764" s="35"/>
      <c r="H764" s="44">
        <v>2</v>
      </c>
      <c r="I764" s="44">
        <v>7</v>
      </c>
      <c r="J764" s="44">
        <v>3</v>
      </c>
      <c r="K764" s="44">
        <v>0</v>
      </c>
      <c r="L764" s="44">
        <v>4</v>
      </c>
      <c r="M764" s="43">
        <v>0.625</v>
      </c>
      <c r="N764" s="43">
        <v>0.64583333333333337</v>
      </c>
      <c r="O764" s="43">
        <v>1.0125</v>
      </c>
      <c r="P764" s="43">
        <v>1.0333333333333334</v>
      </c>
      <c r="Q764" s="39"/>
      <c r="R764" s="42"/>
      <c r="S764" s="29">
        <v>17</v>
      </c>
      <c r="T76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764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764" s="41">
        <f>MIP[[#This Row],[Eficiência]]</f>
        <v>1.1935363462914792</v>
      </c>
      <c r="W76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64" s="39">
        <f>IF(MIP[[#This Row],[P.S]]-MIP[[#This Row],[P.E]]&lt;0,1+MIP[[#This Row],[P.S]]-MIP[[#This Row],[P.E]]-1/24,MIP[[#This Row],[P.S]]-MIP[[#This Row],[P.E]]-1/24)</f>
        <v>0.36666666666666675</v>
      </c>
      <c r="Y764" s="39">
        <f>MIP[[#This Row],[PT-1]]*$S$3+MIP[[#This Row],[PT-2]]*$T$3+MIP[[#This Row],[PT-3]]*$U$3+MIP[[#This Row],[PT &gt; 3 Pontos]]*$V$3</f>
        <v>0.38789931254473065</v>
      </c>
      <c r="Z764" s="39">
        <f>MIP[[#This Row],[HH disponível]]-MIP[[#This Row],[HH AC TOT]]</f>
        <v>0.3249999999999999</v>
      </c>
      <c r="AA764" s="38">
        <f>MIP[[#This Row],[HH Produtivo
Total]]/MIP[[#This Row],[HH Trabalhado]]</f>
        <v>1.1935363462914792</v>
      </c>
      <c r="AB764" s="38">
        <f>MIP[[#This Row],[HH Produtivo
Total]]/MIP[[#This Row],[HH disponível]]</f>
        <v>1.0579072160310834</v>
      </c>
      <c r="AC764" s="38">
        <f>MIP[[#This Row],[HH Trabalhado]]/MIP[[#This Row],[HH disponível]]</f>
        <v>0.88636363636363591</v>
      </c>
      <c r="AD764" s="37" t="str">
        <f>LEFT(MIP[[#This Row],[Equipe]], SEARCH("/",MIP[[#This Row],[Equipe]],1)-1)</f>
        <v xml:space="preserve">ANDERSON </v>
      </c>
      <c r="AE764" s="37" t="str">
        <f>RIGHT(MIP[[#This Row],[Equipe]], LEN(MIP[[#This Row],[Equipe]])-SEARCH("/",MIP[[#This Row],[Equipe]],1))</f>
        <v xml:space="preserve"> MARCO</v>
      </c>
      <c r="AF764" s="44">
        <f>COUNTIFS('[1]Tempo parado'!H:H,"&gt;="&amp;MIP[[#This Row],[S.B Sitrack]],'[1]Tempo parado'!I:I,"&lt;="&amp;MIP[[#This Row],[C.B Sitrack]],'[1]Tempo parado'!B:B,MIP[[#This Row],[Placa]])</f>
        <v>0</v>
      </c>
      <c r="AG764" s="36"/>
      <c r="AH764" s="35"/>
      <c r="AI764" s="34"/>
      <c r="AJ764" s="34"/>
      <c r="AK76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6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64" s="32">
        <f>SUMIFS('[1]Tempo parado'!J:J,'[1]Tempo parado'!H:H,"&gt;="&amp;MIP[[#This Row],[S.B Sitrack]],'[1]Tempo parado'!I:I,"&lt;="&amp;MIP[[#This Row],[C.B Sitrack]],'[1]Tempo parado'!B:B,MIP[[#This Row],[Placa]])</f>
        <v>0</v>
      </c>
      <c r="AN764" s="32" t="str">
        <f>IFERROR(MIP[[#This Row],[Tempo parado]]/(MIP[[#This Row],[C.B Sitrack]]-MIP[[#This Row],[S.B Sitrack]]),"")</f>
        <v/>
      </c>
      <c r="AO764" s="30"/>
      <c r="AP764" s="44">
        <f>IF(AND(MIP[Exc]=0,MIP[Previsto / Realizado]="Realizado"),MIP[Sem],0)</f>
        <v>0</v>
      </c>
      <c r="AQ764" s="29">
        <f>IF(AND(MIP[Exc]=0,MIP[Previsto / Realizado]="Realizado",ISBLANK(MIP[[#This Row],[S.B Sitrack]])=FALSE,ISBLANK(MIP[[#This Row],[C.B Sitrack]])=FALSE),MIP[Sem],0)</f>
        <v>0</v>
      </c>
    </row>
    <row r="765" spans="2:43" x14ac:dyDescent="0.25">
      <c r="B765" s="29">
        <f>WEEKNUM(MIP[[#This Row],[Data]])</f>
        <v>45</v>
      </c>
      <c r="C765" s="45">
        <v>43047</v>
      </c>
      <c r="D765" s="45"/>
      <c r="E765" s="35" t="s">
        <v>7</v>
      </c>
      <c r="F765" s="35" t="s">
        <v>2</v>
      </c>
      <c r="G765" s="35" t="s">
        <v>6</v>
      </c>
      <c r="H765" s="44">
        <v>2</v>
      </c>
      <c r="I765" s="44">
        <v>6</v>
      </c>
      <c r="J765" s="44">
        <v>3</v>
      </c>
      <c r="K765" s="44">
        <v>0</v>
      </c>
      <c r="L765" s="44">
        <v>4</v>
      </c>
      <c r="M765" s="43">
        <v>0.62708333333333333</v>
      </c>
      <c r="N765" s="43">
        <v>0.64583333333333337</v>
      </c>
      <c r="O765" s="43">
        <v>1.0069444444444444</v>
      </c>
      <c r="P765" s="68">
        <v>3.4027777777777775E-2</v>
      </c>
      <c r="Q765" s="39">
        <v>0.13680555555555554</v>
      </c>
      <c r="R765" s="42"/>
      <c r="S765" s="29">
        <v>16</v>
      </c>
      <c r="T76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0.18263888888888893</v>
      </c>
      <c r="U765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4.5833333333333393E-2</v>
      </c>
      <c r="V765" s="41">
        <f>MIP[[#This Row],[Eficiência]]</f>
        <v>1.9868356722568163</v>
      </c>
      <c r="W76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65" s="39">
        <f>IF(MIP[[#This Row],[P.S]]-MIP[[#This Row],[P.E]]&lt;0,1+MIP[[#This Row],[P.S]]-MIP[[#This Row],[P.E]]-1/24,MIP[[#This Row],[P.S]]-MIP[[#This Row],[P.E]]-1/24)</f>
        <v>0.36527777777777776</v>
      </c>
      <c r="Y765" s="39">
        <f>MIP[[#This Row],[PT-1]]*$S$3+MIP[[#This Row],[PT-2]]*$T$3+MIP[[#This Row],[PT-3]]*$U$3+MIP[[#This Row],[PT &gt; 3 Pontos]]*$V$3</f>
        <v>0.36287345958579342</v>
      </c>
      <c r="Z765" s="39">
        <f>MIP[[#This Row],[HH disponível]]-MIP[[#This Row],[HH AC TOT]]</f>
        <v>0.18263888888888882</v>
      </c>
      <c r="AA765" s="38">
        <f>MIP[[#This Row],[HH Produtivo
Total]]/MIP[[#This Row],[HH Trabalhado]]</f>
        <v>1.9868356722568163</v>
      </c>
      <c r="AB765" s="38">
        <f>MIP[[#This Row],[HH Produtivo
Total]]/MIP[[#This Row],[HH disponível]]</f>
        <v>0.99341783612840795</v>
      </c>
      <c r="AC765" s="38">
        <f>MIP[[#This Row],[HH Trabalhado]]/MIP[[#This Row],[HH disponível]]</f>
        <v>0.49999999999999983</v>
      </c>
      <c r="AD765" s="37" t="str">
        <f>LEFT(MIP[[#This Row],[Equipe]], SEARCH("/",MIP[[#This Row],[Equipe]],1)-1)</f>
        <v xml:space="preserve">ANDERSON </v>
      </c>
      <c r="AE765" s="37" t="str">
        <f>RIGHT(MIP[[#This Row],[Equipe]], LEN(MIP[[#This Row],[Equipe]])-SEARCH("/",MIP[[#This Row],[Equipe]],1))</f>
        <v xml:space="preserve"> MARCO</v>
      </c>
      <c r="AF765" s="44">
        <f>COUNTIFS('[1]Tempo parado'!H:H,"&gt;="&amp;MIP[[#This Row],[S.B Sitrack]],'[1]Tempo parado'!I:I,"&lt;="&amp;MIP[[#This Row],[C.B Sitrack]],'[1]Tempo parado'!B:B,MIP[[#This Row],[Placa]])</f>
        <v>11</v>
      </c>
      <c r="AG765" s="36"/>
      <c r="AH765" s="35"/>
      <c r="AI765" s="34">
        <v>43047.649814814817</v>
      </c>
      <c r="AJ765" s="34">
        <v>43048.023009259261</v>
      </c>
      <c r="AK765" s="32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1.9444444444444459E-2</v>
      </c>
      <c r="AL76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31.399999999999995</v>
      </c>
      <c r="AM765" s="32">
        <f>SUMIFS('[1]Tempo parado'!J:J,'[1]Tempo parado'!H:H,"&gt;="&amp;MIP[[#This Row],[S.B Sitrack]],'[1]Tempo parado'!I:I,"&lt;="&amp;MIP[[#This Row],[C.B Sitrack]],'[1]Tempo parado'!B:B,MIP[[#This Row],[Placa]])</f>
        <v>0.27099537037037036</v>
      </c>
      <c r="AN765" s="31">
        <f>IFERROR(MIP[[#This Row],[Tempo parado]]/(MIP[[#This Row],[C.B Sitrack]]-MIP[[#This Row],[S.B Sitrack]]),"")</f>
        <v>0.7261506016624506</v>
      </c>
      <c r="AO765" s="30"/>
      <c r="AP765" s="44">
        <f>IF(AND(MIP[Exc]=0,MIP[Previsto / Realizado]="Realizado"),MIP[Sem],0)</f>
        <v>45</v>
      </c>
      <c r="AQ765" s="29">
        <f>IF(AND(MIP[Exc]=0,MIP[Previsto / Realizado]="Realizado",ISBLANK(MIP[[#This Row],[S.B Sitrack]])=FALSE,ISBLANK(MIP[[#This Row],[C.B Sitrack]])=FALSE),MIP[Sem],0)</f>
        <v>45</v>
      </c>
    </row>
    <row r="766" spans="2:43" x14ac:dyDescent="0.25">
      <c r="B766" s="29">
        <f>WEEKNUM(MIP[[#This Row],[Data]])</f>
        <v>45</v>
      </c>
      <c r="C766" s="45">
        <v>43047</v>
      </c>
      <c r="D766" s="45"/>
      <c r="E766" s="35" t="s">
        <v>19</v>
      </c>
      <c r="F766" s="35" t="s">
        <v>5</v>
      </c>
      <c r="G766" s="35"/>
      <c r="H766" s="44">
        <v>2</v>
      </c>
      <c r="I766" s="44">
        <v>9</v>
      </c>
      <c r="J766" s="44">
        <v>1</v>
      </c>
      <c r="K766" s="44">
        <v>1</v>
      </c>
      <c r="L766" s="44">
        <v>8</v>
      </c>
      <c r="M766" s="43">
        <v>0.625</v>
      </c>
      <c r="N766" s="43">
        <v>0.64583333333333337</v>
      </c>
      <c r="O766" s="43">
        <v>1.0125</v>
      </c>
      <c r="P766" s="43">
        <v>1.0333333333333334</v>
      </c>
      <c r="Q766" s="39"/>
      <c r="R766" s="42" t="s">
        <v>4</v>
      </c>
      <c r="S766" s="29">
        <v>22</v>
      </c>
      <c r="T76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766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766" s="41">
        <f>MIP[[#This Row],[Eficiência]]</f>
        <v>1.519745258543568</v>
      </c>
      <c r="W76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66" s="39">
        <f>IF(MIP[[#This Row],[P.S]]-MIP[[#This Row],[P.E]]&lt;0,1+MIP[[#This Row],[P.S]]-MIP[[#This Row],[P.E]]-1/24,MIP[[#This Row],[P.S]]-MIP[[#This Row],[P.E]]-1/24)</f>
        <v>0.36666666666666675</v>
      </c>
      <c r="Y766" s="39">
        <f>MIP[[#This Row],[PT-1]]*$S$3+MIP[[#This Row],[PT-2]]*$T$3+MIP[[#This Row],[PT-3]]*$U$3+MIP[[#This Row],[PT &gt; 3 Pontos]]*$V$3</f>
        <v>0.49391720902665948</v>
      </c>
      <c r="Z766" s="39">
        <f>MIP[[#This Row],[HH disponível]]-MIP[[#This Row],[HH AC TOT]]</f>
        <v>0.3249999999999999</v>
      </c>
      <c r="AA766" s="38">
        <f>MIP[[#This Row],[HH Produtivo
Total]]/MIP[[#This Row],[HH Trabalhado]]</f>
        <v>1.519745258543568</v>
      </c>
      <c r="AB766" s="38">
        <f>MIP[[#This Row],[HH Produtivo
Total]]/MIP[[#This Row],[HH disponível]]</f>
        <v>1.3470469337090709</v>
      </c>
      <c r="AC766" s="38">
        <f>MIP[[#This Row],[HH Trabalhado]]/MIP[[#This Row],[HH disponível]]</f>
        <v>0.88636363636363591</v>
      </c>
      <c r="AD766" s="37" t="str">
        <f>LEFT(MIP[[#This Row],[Equipe]], SEARCH("/",MIP[[#This Row],[Equipe]],1)-1)</f>
        <v xml:space="preserve">ADEMÁRIO </v>
      </c>
      <c r="AE766" s="37" t="str">
        <f>RIGHT(MIP[[#This Row],[Equipe]], LEN(MIP[[#This Row],[Equipe]])-SEARCH("/",MIP[[#This Row],[Equipe]],1))</f>
        <v xml:space="preserve"> RONALDO</v>
      </c>
      <c r="AF766" s="44">
        <f>COUNTIFS('[1]Tempo parado'!H:H,"&gt;="&amp;MIP[[#This Row],[S.B Sitrack]],'[1]Tempo parado'!I:I,"&lt;="&amp;MIP[[#This Row],[C.B Sitrack]],'[1]Tempo parado'!B:B,MIP[[#This Row],[Placa]])</f>
        <v>0</v>
      </c>
      <c r="AG766" s="36"/>
      <c r="AH766" s="35"/>
      <c r="AI766" s="34"/>
      <c r="AJ766" s="34"/>
      <c r="AK76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6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66" s="32">
        <f>SUMIFS('[1]Tempo parado'!J:J,'[1]Tempo parado'!H:H,"&gt;="&amp;MIP[[#This Row],[S.B Sitrack]],'[1]Tempo parado'!I:I,"&lt;="&amp;MIP[[#This Row],[C.B Sitrack]],'[1]Tempo parado'!B:B,MIP[[#This Row],[Placa]])</f>
        <v>0</v>
      </c>
      <c r="AN766" s="32" t="str">
        <f>IFERROR(MIP[[#This Row],[Tempo parado]]/(MIP[[#This Row],[C.B Sitrack]]-MIP[[#This Row],[S.B Sitrack]]),"")</f>
        <v/>
      </c>
      <c r="AO766" s="30"/>
      <c r="AP766" s="44">
        <f>IF(AND(MIP[Exc]=0,MIP[Previsto / Realizado]="Realizado"),MIP[Sem],0)</f>
        <v>0</v>
      </c>
      <c r="AQ766" s="29">
        <f>IF(AND(MIP[Exc]=0,MIP[Previsto / Realizado]="Realizado",ISBLANK(MIP[[#This Row],[S.B Sitrack]])=FALSE,ISBLANK(MIP[[#This Row],[C.B Sitrack]])=FALSE),MIP[Sem],0)</f>
        <v>0</v>
      </c>
    </row>
    <row r="767" spans="2:43" x14ac:dyDescent="0.25">
      <c r="B767" s="29">
        <f>WEEKNUM(MIP[[#This Row],[Data]])</f>
        <v>45</v>
      </c>
      <c r="C767" s="45">
        <v>43047</v>
      </c>
      <c r="D767" s="45"/>
      <c r="E767" s="35" t="s">
        <v>19</v>
      </c>
      <c r="F767" s="35" t="s">
        <v>2</v>
      </c>
      <c r="G767" s="35" t="s">
        <v>39</v>
      </c>
      <c r="H767" s="44">
        <v>2</v>
      </c>
      <c r="I767" s="44">
        <v>5</v>
      </c>
      <c r="J767" s="44">
        <v>0</v>
      </c>
      <c r="K767" s="44">
        <v>0</v>
      </c>
      <c r="L767" s="44">
        <v>0</v>
      </c>
      <c r="M767" s="43">
        <v>0.65138888888888891</v>
      </c>
      <c r="N767" s="43">
        <v>0.65833333333333333</v>
      </c>
      <c r="O767" s="43">
        <v>1.0104166666666667</v>
      </c>
      <c r="P767" s="43">
        <v>4.2361111111111106E-2</v>
      </c>
      <c r="Q767" s="39"/>
      <c r="R767" s="42" t="s">
        <v>140</v>
      </c>
      <c r="S767" s="29">
        <v>5</v>
      </c>
      <c r="T76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3.8888888888888751E-2</v>
      </c>
      <c r="U767" s="39">
        <f>IF(MIP[[#This Row],[P.S]]-MIP[[#This Row],[U.P]]&gt;=0,MIP[[#This Row],[P.S]]-MIP[[#This Row],[U.P]]+MIP[[#This Row],[S.B]]-MIP[[#This Row],[P.E]],1+MIP[[#This Row],[P.S]]-MIP[[#This Row],[U.P]]+MIP[[#This Row],[S.B]]-MIP[[#This Row],[P.E]])</f>
        <v>3.8888888888888751E-2</v>
      </c>
      <c r="V767" s="41">
        <f>MIP[[#This Row],[Eficiência]]</f>
        <v>0.40310098725804844</v>
      </c>
      <c r="W76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67" s="39">
        <f>IF(MIP[[#This Row],[P.S]]-MIP[[#This Row],[P.E]]&lt;0,1+MIP[[#This Row],[P.S]]-MIP[[#This Row],[P.E]]-1/24,MIP[[#This Row],[P.S]]-MIP[[#This Row],[P.E]]-1/24)</f>
        <v>0.34930555555555548</v>
      </c>
      <c r="Y767" s="39">
        <f>MIP[[#This Row],[PT-1]]*$S$3+MIP[[#This Row],[PT-2]]*$T$3+MIP[[#This Row],[PT-3]]*$U$3+MIP[[#This Row],[PT &gt; 3 Pontos]]*$V$3</f>
        <v>0.12512926479468589</v>
      </c>
      <c r="Z767" s="39">
        <f>MIP[[#This Row],[HH disponível]]-MIP[[#This Row],[HH AC TOT]]</f>
        <v>0.31041666666666673</v>
      </c>
      <c r="AA767" s="38">
        <f>MIP[[#This Row],[HH Produtivo
Total]]/MIP[[#This Row],[HH Trabalhado]]</f>
        <v>0.40310098725804844</v>
      </c>
      <c r="AB767" s="38">
        <f>MIP[[#This Row],[HH Produtivo
Total]]/MIP[[#This Row],[HH disponível]]</f>
        <v>0.35822294493906109</v>
      </c>
      <c r="AC767" s="38">
        <f>MIP[[#This Row],[HH Trabalhado]]/MIP[[#This Row],[HH disponível]]</f>
        <v>0.88866799204771407</v>
      </c>
      <c r="AD767" s="37" t="str">
        <f>LEFT(MIP[[#This Row],[Equipe]], SEARCH("/",MIP[[#This Row],[Equipe]],1)-1)</f>
        <v xml:space="preserve">ADEMÁRIO </v>
      </c>
      <c r="AE767" s="37" t="str">
        <f>RIGHT(MIP[[#This Row],[Equipe]], LEN(MIP[[#This Row],[Equipe]])-SEARCH("/",MIP[[#This Row],[Equipe]],1))</f>
        <v xml:space="preserve"> RONALDO</v>
      </c>
      <c r="AF767" s="44">
        <f>COUNTIFS('[1]Tempo parado'!H:H,"&gt;="&amp;MIP[[#This Row],[S.B Sitrack]],'[1]Tempo parado'!I:I,"&lt;="&amp;MIP[[#This Row],[C.B Sitrack]],'[1]Tempo parado'!B:B,MIP[[#This Row],[Placa]])</f>
        <v>12</v>
      </c>
      <c r="AG767" s="36"/>
      <c r="AH767" s="35"/>
      <c r="AI767" s="34">
        <v>43047.658958333333</v>
      </c>
      <c r="AJ767" s="34">
        <v>43048.023159722223</v>
      </c>
      <c r="AK767" s="32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1.2499999999999928E-2</v>
      </c>
      <c r="AL76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31.600000000000005</v>
      </c>
      <c r="AM767" s="32">
        <f>SUMIFS('[1]Tempo parado'!J:J,'[1]Tempo parado'!H:H,"&gt;="&amp;MIP[[#This Row],[S.B Sitrack]],'[1]Tempo parado'!I:I,"&lt;="&amp;MIP[[#This Row],[C.B Sitrack]],'[1]Tempo parado'!B:B,MIP[[#This Row],[Placa]])</f>
        <v>0.28971064814814812</v>
      </c>
      <c r="AN767" s="31">
        <f>IFERROR(MIP[[#This Row],[Tempo parado]]/(MIP[[#This Row],[C.B Sitrack]]-MIP[[#This Row],[S.B Sitrack]]),"")</f>
        <v>0.79546826834362605</v>
      </c>
      <c r="AO767" s="30"/>
      <c r="AP767" s="44">
        <f>IF(AND(MIP[Exc]=0,MIP[Previsto / Realizado]="Realizado"),MIP[Sem],0)</f>
        <v>45</v>
      </c>
      <c r="AQ767" s="29">
        <f>IF(AND(MIP[Exc]=0,MIP[Previsto / Realizado]="Realizado",ISBLANK(MIP[[#This Row],[S.B Sitrack]])=FALSE,ISBLANK(MIP[[#This Row],[C.B Sitrack]])=FALSE),MIP[Sem],0)</f>
        <v>45</v>
      </c>
    </row>
    <row r="768" spans="2:43" x14ac:dyDescent="0.25">
      <c r="B768" s="29">
        <f>WEEKNUM(MIP[[#This Row],[Data]])</f>
        <v>45</v>
      </c>
      <c r="C768" s="45">
        <v>43048</v>
      </c>
      <c r="D768" s="45"/>
      <c r="E768" s="35" t="s">
        <v>10</v>
      </c>
      <c r="F768" s="35" t="s">
        <v>5</v>
      </c>
      <c r="G768" s="35"/>
      <c r="H768" s="44">
        <v>2</v>
      </c>
      <c r="I768" s="44">
        <v>10</v>
      </c>
      <c r="J768" s="44">
        <v>1</v>
      </c>
      <c r="K768" s="44">
        <v>0</v>
      </c>
      <c r="L768" s="44">
        <v>0</v>
      </c>
      <c r="M768" s="43">
        <v>0.25</v>
      </c>
      <c r="N768" s="43">
        <v>0.27083333333333331</v>
      </c>
      <c r="O768" s="43">
        <v>0.63750000000000007</v>
      </c>
      <c r="P768" s="43">
        <v>0.65833333333333333</v>
      </c>
      <c r="Q768" s="39"/>
      <c r="R768" s="42" t="s">
        <v>4</v>
      </c>
      <c r="S768" s="29">
        <v>12</v>
      </c>
      <c r="T76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768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768" s="41">
        <f>MIP[[#This Row],[Eficiência]]</f>
        <v>0.9051301405920964</v>
      </c>
      <c r="W76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68" s="39">
        <f>IF(MIP[[#This Row],[P.S]]-MIP[[#This Row],[P.E]]&lt;0,1+MIP[[#This Row],[P.S]]-MIP[[#This Row],[P.E]]-1/24,MIP[[#This Row],[P.S]]-MIP[[#This Row],[P.E]]-1/24)</f>
        <v>0.36666666666666664</v>
      </c>
      <c r="Y768" s="39">
        <f>MIP[[#This Row],[PT-1]]*$S$3+MIP[[#This Row],[PT-2]]*$T$3+MIP[[#This Row],[PT-3]]*$U$3+MIP[[#This Row],[PT &gt; 3 Pontos]]*$V$3</f>
        <v>0.29416729569243139</v>
      </c>
      <c r="Z768" s="39">
        <f>MIP[[#This Row],[HH disponível]]-MIP[[#This Row],[HH AC TOT]]</f>
        <v>0.32500000000000007</v>
      </c>
      <c r="AA768" s="38">
        <f>MIP[[#This Row],[HH Produtivo
Total]]/MIP[[#This Row],[HH Trabalhado]]</f>
        <v>0.9051301405920964</v>
      </c>
      <c r="AB768" s="38">
        <f>MIP[[#This Row],[HH Produtivo
Total]]/MIP[[#This Row],[HH disponível]]</f>
        <v>0.80227444279754023</v>
      </c>
      <c r="AC768" s="38">
        <f>MIP[[#This Row],[HH Trabalhado]]/MIP[[#This Row],[HH disponível]]</f>
        <v>0.88636363636363658</v>
      </c>
      <c r="AD768" s="37" t="str">
        <f>LEFT(MIP[[#This Row],[Equipe]], SEARCH("/",MIP[[#This Row],[Equipe]],1)-1)</f>
        <v xml:space="preserve">JOILSON </v>
      </c>
      <c r="AE768" s="37" t="str">
        <f>RIGHT(MIP[[#This Row],[Equipe]], LEN(MIP[[#This Row],[Equipe]])-SEARCH("/",MIP[[#This Row],[Equipe]],1))</f>
        <v xml:space="preserve"> VALDEI</v>
      </c>
      <c r="AF768" s="44">
        <f>COUNTIFS('[1]Tempo parado'!H:H,"&gt;="&amp;MIP[[#This Row],[S.B Sitrack]],'[1]Tempo parado'!I:I,"&lt;="&amp;MIP[[#This Row],[C.B Sitrack]],'[1]Tempo parado'!B:B,MIP[[#This Row],[Placa]])</f>
        <v>0</v>
      </c>
      <c r="AG768" s="36"/>
      <c r="AH768" s="35"/>
      <c r="AI768" s="34"/>
      <c r="AJ768" s="34"/>
      <c r="AK76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6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68" s="32">
        <f>SUMIFS('[1]Tempo parado'!J:J,'[1]Tempo parado'!H:H,"&gt;="&amp;MIP[[#This Row],[S.B Sitrack]],'[1]Tempo parado'!I:I,"&lt;="&amp;MIP[[#This Row],[C.B Sitrack]],'[1]Tempo parado'!B:B,MIP[[#This Row],[Placa]])</f>
        <v>0</v>
      </c>
      <c r="AN768" s="32" t="str">
        <f>IFERROR(MIP[[#This Row],[Tempo parado]]/(MIP[[#This Row],[C.B Sitrack]]-MIP[[#This Row],[S.B Sitrack]]),"")</f>
        <v/>
      </c>
      <c r="AO768" s="30"/>
      <c r="AP768" s="44">
        <f>IF(AND(MIP[Exc]=0,MIP[Previsto / Realizado]="Realizado"),MIP[Sem],0)</f>
        <v>0</v>
      </c>
      <c r="AQ768" s="29">
        <f>IF(AND(MIP[Exc]=0,MIP[Previsto / Realizado]="Realizado",ISBLANK(MIP[[#This Row],[S.B Sitrack]])=FALSE,ISBLANK(MIP[[#This Row],[C.B Sitrack]])=FALSE),MIP[Sem],0)</f>
        <v>0</v>
      </c>
    </row>
    <row r="769" spans="2:43" x14ac:dyDescent="0.25">
      <c r="B769" s="29">
        <f>WEEKNUM(MIP[[#This Row],[Data]])</f>
        <v>45</v>
      </c>
      <c r="C769" s="45">
        <v>43048</v>
      </c>
      <c r="D769" s="45"/>
      <c r="E769" s="35" t="s">
        <v>10</v>
      </c>
      <c r="F769" s="35" t="s">
        <v>2</v>
      </c>
      <c r="G769" s="35" t="s">
        <v>1</v>
      </c>
      <c r="H769" s="44">
        <v>2</v>
      </c>
      <c r="I769" s="44">
        <v>9</v>
      </c>
      <c r="J769" s="44">
        <v>1</v>
      </c>
      <c r="K769" s="44">
        <v>0</v>
      </c>
      <c r="L769" s="44">
        <v>0</v>
      </c>
      <c r="M769" s="43">
        <v>0.24722222222222223</v>
      </c>
      <c r="N769" s="43">
        <v>0.2673611111111111</v>
      </c>
      <c r="O769" s="43">
        <v>0.6020833333333333</v>
      </c>
      <c r="P769" s="43">
        <v>0.65833333333333333</v>
      </c>
      <c r="Q769" s="39"/>
      <c r="R769" s="42" t="s">
        <v>32</v>
      </c>
      <c r="S769" s="29">
        <v>11</v>
      </c>
      <c r="T76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7.6388888888888895E-2</v>
      </c>
      <c r="U769" s="39">
        <f>IF(MIP[[#This Row],[P.S]]-MIP[[#This Row],[U.P]]&gt;=0,MIP[[#This Row],[P.S]]-MIP[[#This Row],[U.P]]+MIP[[#This Row],[S.B]]-MIP[[#This Row],[P.E]],1+MIP[[#This Row],[P.S]]-MIP[[#This Row],[U.P]]+MIP[[#This Row],[S.B]]-MIP[[#This Row],[P.E]])</f>
        <v>7.6388888888888895E-2</v>
      </c>
      <c r="V769" s="41">
        <f>MIP[[#This Row],[Eficiência]]</f>
        <v>0.91839734013325058</v>
      </c>
      <c r="W76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69" s="39">
        <f>IF(MIP[[#This Row],[P.S]]-MIP[[#This Row],[P.E]]&lt;0,1+MIP[[#This Row],[P.S]]-MIP[[#This Row],[P.E]]-1/24,MIP[[#This Row],[P.S]]-MIP[[#This Row],[P.E]]-1/24)</f>
        <v>0.36944444444444441</v>
      </c>
      <c r="Y769" s="39">
        <f>MIP[[#This Row],[PT-1]]*$S$3+MIP[[#This Row],[PT-2]]*$T$3+MIP[[#This Row],[PT-3]]*$U$3+MIP[[#This Row],[PT &gt; 3 Pontos]]*$V$3</f>
        <v>0.26914144273349422</v>
      </c>
      <c r="Z769" s="39">
        <f>MIP[[#This Row],[HH disponível]]-MIP[[#This Row],[HH AC TOT]]</f>
        <v>0.29305555555555551</v>
      </c>
      <c r="AA769" s="38">
        <f>MIP[[#This Row],[HH Produtivo
Total]]/MIP[[#This Row],[HH Trabalhado]]</f>
        <v>0.91839734013325058</v>
      </c>
      <c r="AB769" s="38">
        <f>MIP[[#This Row],[HH Produtivo
Total]]/MIP[[#This Row],[HH disponível]]</f>
        <v>0.72850315326359349</v>
      </c>
      <c r="AC769" s="38">
        <f>MIP[[#This Row],[HH Trabalhado]]/MIP[[#This Row],[HH disponível]]</f>
        <v>0.79323308270676685</v>
      </c>
      <c r="AD769" s="37" t="str">
        <f>LEFT(MIP[[#This Row],[Equipe]], SEARCH("/",MIP[[#This Row],[Equipe]],1)-1)</f>
        <v xml:space="preserve">JOILSON </v>
      </c>
      <c r="AE769" s="37" t="str">
        <f>RIGHT(MIP[[#This Row],[Equipe]], LEN(MIP[[#This Row],[Equipe]])-SEARCH("/",MIP[[#This Row],[Equipe]],1))</f>
        <v xml:space="preserve"> VALDEI</v>
      </c>
      <c r="AF769" s="44">
        <f>COUNTIFS('[1]Tempo parado'!H:H,"&gt;="&amp;MIP[[#This Row],[S.B Sitrack]],'[1]Tempo parado'!I:I,"&lt;="&amp;MIP[[#This Row],[C.B Sitrack]],'[1]Tempo parado'!B:B,MIP[[#This Row],[Placa]])</f>
        <v>10</v>
      </c>
      <c r="AG769" s="36"/>
      <c r="AH769" s="35"/>
      <c r="AI769" s="34">
        <v>43048.277141203704</v>
      </c>
      <c r="AJ769" s="34">
        <v>43048.621388888889</v>
      </c>
      <c r="AK769" s="32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2.8472222222222288E-2</v>
      </c>
      <c r="AL76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46.400000000000006</v>
      </c>
      <c r="AM769" s="32">
        <f>SUMIFS('[1]Tempo parado'!J:J,'[1]Tempo parado'!H:H,"&gt;="&amp;MIP[[#This Row],[S.B Sitrack]],'[1]Tempo parado'!I:I,"&lt;="&amp;MIP[[#This Row],[C.B Sitrack]],'[1]Tempo parado'!B:B,MIP[[#This Row],[Placa]])</f>
        <v>0.2288425925925926</v>
      </c>
      <c r="AN769" s="31">
        <f>IFERROR(MIP[[#This Row],[Tempo parado]]/(MIP[[#This Row],[C.B Sitrack]]-MIP[[#This Row],[S.B Sitrack]]),"")</f>
        <v>0.66476145647730001</v>
      </c>
      <c r="AO769" s="30"/>
      <c r="AP769" s="44">
        <f>IF(AND(MIP[Exc]=0,MIP[Previsto / Realizado]="Realizado"),MIP[Sem],0)</f>
        <v>45</v>
      </c>
      <c r="AQ769" s="29">
        <f>IF(AND(MIP[Exc]=0,MIP[Previsto / Realizado]="Realizado",ISBLANK(MIP[[#This Row],[S.B Sitrack]])=FALSE,ISBLANK(MIP[[#This Row],[C.B Sitrack]])=FALSE),MIP[Sem],0)</f>
        <v>45</v>
      </c>
    </row>
    <row r="770" spans="2:43" x14ac:dyDescent="0.25">
      <c r="B770" s="29">
        <f>WEEKNUM(MIP[[#This Row],[Data]])</f>
        <v>45</v>
      </c>
      <c r="C770" s="45">
        <v>43048</v>
      </c>
      <c r="D770" s="45"/>
      <c r="E770" s="35" t="s">
        <v>72</v>
      </c>
      <c r="F770" s="35" t="s">
        <v>5</v>
      </c>
      <c r="G770" s="35"/>
      <c r="H770" s="44">
        <v>3</v>
      </c>
      <c r="I770" s="44">
        <v>6</v>
      </c>
      <c r="J770" s="44">
        <v>2</v>
      </c>
      <c r="K770" s="44">
        <v>1</v>
      </c>
      <c r="L770" s="44">
        <v>4</v>
      </c>
      <c r="M770" s="43">
        <v>0.625</v>
      </c>
      <c r="N770" s="43">
        <v>0.64583333333333337</v>
      </c>
      <c r="O770" s="43">
        <v>1.0125</v>
      </c>
      <c r="P770" s="43">
        <v>1.0333333333333334</v>
      </c>
      <c r="Q770" s="39"/>
      <c r="R770" s="42" t="s">
        <v>4</v>
      </c>
      <c r="S770" s="29">
        <v>17</v>
      </c>
      <c r="T77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770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770" s="41">
        <f>MIP[[#This Row],[Eficiência]]</f>
        <v>1.1746349930151263</v>
      </c>
      <c r="W77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70" s="39">
        <f>IF(MIP[[#This Row],[P.S]]-MIP[[#This Row],[P.E]]&lt;0,1+MIP[[#This Row],[P.S]]-MIP[[#This Row],[P.E]]-1/24,MIP[[#This Row],[P.S]]-MIP[[#This Row],[P.E]]-1/24)</f>
        <v>0.36666666666666675</v>
      </c>
      <c r="Y770" s="39">
        <f>MIP[[#This Row],[PT-1]]*$S$3+MIP[[#This Row],[PT-2]]*$T$3+MIP[[#This Row],[PT-3]]*$U$3+MIP[[#This Row],[PT &gt; 3 Pontos]]*$V$3</f>
        <v>0.38175637272991592</v>
      </c>
      <c r="Z770" s="39">
        <f>MIP[[#This Row],[HH disponível]]-MIP[[#This Row],[HH AC TOT]]</f>
        <v>0.3249999999999999</v>
      </c>
      <c r="AA770" s="38">
        <f>MIP[[#This Row],[HH Produtivo
Total]]/MIP[[#This Row],[HH Trabalhado]]</f>
        <v>1.1746349930151263</v>
      </c>
      <c r="AB770" s="38">
        <f>MIP[[#This Row],[HH Produtivo
Total]]/MIP[[#This Row],[HH disponível]]</f>
        <v>1.0411537438088614</v>
      </c>
      <c r="AC770" s="38">
        <f>MIP[[#This Row],[HH Trabalhado]]/MIP[[#This Row],[HH disponível]]</f>
        <v>0.88636363636363591</v>
      </c>
      <c r="AD770" s="37" t="str">
        <f>LEFT(MIP[[#This Row],[Equipe]], SEARCH("/",MIP[[#This Row],[Equipe]],1)-1)</f>
        <v xml:space="preserve">ANDERSON </v>
      </c>
      <c r="AE770" s="37" t="str">
        <f>RIGHT(MIP[[#This Row],[Equipe]], LEN(MIP[[#This Row],[Equipe]])-SEARCH("/",MIP[[#This Row],[Equipe]],1))</f>
        <v xml:space="preserve"> GECIVALDO / MARCO</v>
      </c>
      <c r="AF770" s="44">
        <f>COUNTIFS('[1]Tempo parado'!H:H,"&gt;="&amp;MIP[[#This Row],[S.B Sitrack]],'[1]Tempo parado'!I:I,"&lt;="&amp;MIP[[#This Row],[C.B Sitrack]],'[1]Tempo parado'!B:B,MIP[[#This Row],[Placa]])</f>
        <v>0</v>
      </c>
      <c r="AG770" s="36"/>
      <c r="AH770" s="35"/>
      <c r="AI770" s="34"/>
      <c r="AJ770" s="34"/>
      <c r="AK77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7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70" s="32">
        <f>SUMIFS('[1]Tempo parado'!J:J,'[1]Tempo parado'!H:H,"&gt;="&amp;MIP[[#This Row],[S.B Sitrack]],'[1]Tempo parado'!I:I,"&lt;="&amp;MIP[[#This Row],[C.B Sitrack]],'[1]Tempo parado'!B:B,MIP[[#This Row],[Placa]])</f>
        <v>0</v>
      </c>
      <c r="AN770" s="32" t="str">
        <f>IFERROR(MIP[[#This Row],[Tempo parado]]/(MIP[[#This Row],[C.B Sitrack]]-MIP[[#This Row],[S.B Sitrack]]),"")</f>
        <v/>
      </c>
      <c r="AO770" s="30"/>
      <c r="AP770" s="44">
        <f>IF(AND(MIP[Exc]=0,MIP[Previsto / Realizado]="Realizado"),MIP[Sem],0)</f>
        <v>0</v>
      </c>
      <c r="AQ770" s="29">
        <f>IF(AND(MIP[Exc]=0,MIP[Previsto / Realizado]="Realizado",ISBLANK(MIP[[#This Row],[S.B Sitrack]])=FALSE,ISBLANK(MIP[[#This Row],[C.B Sitrack]])=FALSE),MIP[Sem],0)</f>
        <v>0</v>
      </c>
    </row>
    <row r="771" spans="2:43" x14ac:dyDescent="0.25">
      <c r="B771" s="29">
        <f>WEEKNUM(MIP[[#This Row],[Data]])</f>
        <v>45</v>
      </c>
      <c r="C771" s="45">
        <v>43048</v>
      </c>
      <c r="D771" s="45"/>
      <c r="E771" s="35" t="s">
        <v>72</v>
      </c>
      <c r="F771" s="35" t="s">
        <v>2</v>
      </c>
      <c r="G771" s="35" t="s">
        <v>6</v>
      </c>
      <c r="H771" s="44">
        <v>3</v>
      </c>
      <c r="I771" s="44">
        <v>6</v>
      </c>
      <c r="J771" s="44">
        <v>2</v>
      </c>
      <c r="K771" s="44">
        <v>0</v>
      </c>
      <c r="L771" s="44">
        <v>4</v>
      </c>
      <c r="M771" s="43">
        <v>0.62986111111111109</v>
      </c>
      <c r="N771" s="43">
        <v>0.65972222222222221</v>
      </c>
      <c r="O771" s="43">
        <v>1.0145833333333334</v>
      </c>
      <c r="P771" s="43">
        <v>3.3333333333333333E-2</v>
      </c>
      <c r="Q771" s="39"/>
      <c r="R771" s="42" t="s">
        <v>32</v>
      </c>
      <c r="S771" s="29">
        <v>14</v>
      </c>
      <c r="T77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4.861111111111116E-2</v>
      </c>
      <c r="U771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4.861111111111116E-2</v>
      </c>
      <c r="V771" s="41">
        <f>MIP[[#This Row],[Eficiência]]</f>
        <v>1.0184238550224762</v>
      </c>
      <c r="W77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71" s="39">
        <f>IF(MIP[[#This Row],[P.S]]-MIP[[#This Row],[P.E]]&lt;0,1+MIP[[#This Row],[P.S]]-MIP[[#This Row],[P.E]]-1/24,MIP[[#This Row],[P.S]]-MIP[[#This Row],[P.E]]-1/24)</f>
        <v>0.36180555555555566</v>
      </c>
      <c r="Y771" s="39">
        <f>MIP[[#This Row],[PT-1]]*$S$3+MIP[[#This Row],[PT-2]]*$T$3+MIP[[#This Row],[PT-3]]*$U$3+MIP[[#This Row],[PT &gt; 3 Pontos]]*$V$3</f>
        <v>0.31896469348273393</v>
      </c>
      <c r="Z771" s="39">
        <f>MIP[[#This Row],[HH disponível]]-MIP[[#This Row],[HH AC TOT]]</f>
        <v>0.3131944444444445</v>
      </c>
      <c r="AA771" s="38">
        <f>MIP[[#This Row],[HH Produtivo
Total]]/MIP[[#This Row],[HH Trabalhado]]</f>
        <v>1.0184238550224762</v>
      </c>
      <c r="AB771" s="38">
        <f>MIP[[#This Row],[HH Produtivo
Total]]/MIP[[#This Row],[HH disponível]]</f>
        <v>0.88159147526897641</v>
      </c>
      <c r="AC771" s="38">
        <f>MIP[[#This Row],[HH Trabalhado]]/MIP[[#This Row],[HH disponível]]</f>
        <v>0.86564299424184254</v>
      </c>
      <c r="AD771" s="37" t="str">
        <f>LEFT(MIP[[#This Row],[Equipe]], SEARCH("/",MIP[[#This Row],[Equipe]],1)-1)</f>
        <v xml:space="preserve">ANDERSON </v>
      </c>
      <c r="AE771" s="37" t="str">
        <f>RIGHT(MIP[[#This Row],[Equipe]], LEN(MIP[[#This Row],[Equipe]])-SEARCH("/",MIP[[#This Row],[Equipe]],1))</f>
        <v xml:space="preserve"> GECIVALDO / MARCO</v>
      </c>
      <c r="AF771" s="44">
        <f>COUNTIFS('[1]Tempo parado'!H:H,"&gt;="&amp;MIP[[#This Row],[S.B Sitrack]],'[1]Tempo parado'!I:I,"&lt;="&amp;MIP[[#This Row],[C.B Sitrack]],'[1]Tempo parado'!B:B,MIP[[#This Row],[Placa]])</f>
        <v>12</v>
      </c>
      <c r="AG771" s="36"/>
      <c r="AH771" s="35"/>
      <c r="AI771" s="34">
        <v>43048.660949074074</v>
      </c>
      <c r="AJ771" s="34">
        <v>43049.024409722224</v>
      </c>
      <c r="AK771" s="32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1.0416666666666605E-2</v>
      </c>
      <c r="AL77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61.3</v>
      </c>
      <c r="AM771" s="32">
        <f>SUMIFS('[1]Tempo parado'!J:J,'[1]Tempo parado'!H:H,"&gt;="&amp;MIP[[#This Row],[S.B Sitrack]],'[1]Tempo parado'!I:I,"&lt;="&amp;MIP[[#This Row],[C.B Sitrack]],'[1]Tempo parado'!B:B,MIP[[#This Row],[Placa]])</f>
        <v>0.20922453703703706</v>
      </c>
      <c r="AN771" s="31">
        <f>IFERROR(MIP[[#This Row],[Tempo parado]]/(MIP[[#This Row],[C.B Sitrack]]-MIP[[#This Row],[S.B Sitrack]]),"")</f>
        <v>0.57564563894865373</v>
      </c>
      <c r="AO771" s="30"/>
      <c r="AP771" s="44">
        <f>IF(AND(MIP[Exc]=0,MIP[Previsto / Realizado]="Realizado"),MIP[Sem],0)</f>
        <v>45</v>
      </c>
      <c r="AQ771" s="29">
        <f>IF(AND(MIP[Exc]=0,MIP[Previsto / Realizado]="Realizado",ISBLANK(MIP[[#This Row],[S.B Sitrack]])=FALSE,ISBLANK(MIP[[#This Row],[C.B Sitrack]])=FALSE),MIP[Sem],0)</f>
        <v>45</v>
      </c>
    </row>
    <row r="772" spans="2:43" x14ac:dyDescent="0.25">
      <c r="B772" s="29">
        <f>WEEKNUM(MIP[[#This Row],[Data]])</f>
        <v>45</v>
      </c>
      <c r="C772" s="45">
        <v>43049</v>
      </c>
      <c r="D772" s="45"/>
      <c r="E772" s="35" t="s">
        <v>10</v>
      </c>
      <c r="F772" s="35" t="s">
        <v>5</v>
      </c>
      <c r="G772" s="35"/>
      <c r="H772" s="44">
        <v>2</v>
      </c>
      <c r="I772" s="44">
        <v>6</v>
      </c>
      <c r="J772" s="44">
        <v>3</v>
      </c>
      <c r="K772" s="44">
        <v>1</v>
      </c>
      <c r="L772" s="44">
        <v>0</v>
      </c>
      <c r="M772" s="43">
        <v>0.25</v>
      </c>
      <c r="N772" s="43">
        <v>0.27083333333333331</v>
      </c>
      <c r="O772" s="43">
        <v>0.63750000000000007</v>
      </c>
      <c r="P772" s="43">
        <v>0.65833333333333333</v>
      </c>
      <c r="Q772" s="39"/>
      <c r="R772" s="42"/>
      <c r="S772" s="29">
        <v>15</v>
      </c>
      <c r="T77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772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772" s="41">
        <f>MIP[[#This Row],[Eficiência]]</f>
        <v>1.0605326009537961</v>
      </c>
      <c r="W77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72" s="39">
        <f>IF(MIP[[#This Row],[P.S]]-MIP[[#This Row],[P.E]]&lt;0,1+MIP[[#This Row],[P.S]]-MIP[[#This Row],[P.E]]-1/24,MIP[[#This Row],[P.S]]-MIP[[#This Row],[P.E]]-1/24)</f>
        <v>0.36666666666666664</v>
      </c>
      <c r="Y772" s="39">
        <f>MIP[[#This Row],[PT-1]]*$S$3+MIP[[#This Row],[PT-2]]*$T$3+MIP[[#This Row],[PT-3]]*$U$3+MIP[[#This Row],[PT &gt; 3 Pontos]]*$V$3</f>
        <v>0.3446730953099838</v>
      </c>
      <c r="Z772" s="39">
        <f>MIP[[#This Row],[HH disponível]]-MIP[[#This Row],[HH AC TOT]]</f>
        <v>0.32500000000000007</v>
      </c>
      <c r="AA772" s="38">
        <f>MIP[[#This Row],[HH Produtivo
Total]]/MIP[[#This Row],[HH Trabalhado]]</f>
        <v>1.0605326009537961</v>
      </c>
      <c r="AB772" s="38">
        <f>MIP[[#This Row],[HH Produtivo
Total]]/MIP[[#This Row],[HH disponível]]</f>
        <v>0.94001753266359223</v>
      </c>
      <c r="AC772" s="38">
        <f>MIP[[#This Row],[HH Trabalhado]]/MIP[[#This Row],[HH disponível]]</f>
        <v>0.88636363636363658</v>
      </c>
      <c r="AD772" s="37" t="str">
        <f>LEFT(MIP[[#This Row],[Equipe]], SEARCH("/",MIP[[#This Row],[Equipe]],1)-1)</f>
        <v xml:space="preserve">JOILSON </v>
      </c>
      <c r="AE772" s="37" t="str">
        <f>RIGHT(MIP[[#This Row],[Equipe]], LEN(MIP[[#This Row],[Equipe]])-SEARCH("/",MIP[[#This Row],[Equipe]],1))</f>
        <v xml:space="preserve"> VALDEI</v>
      </c>
      <c r="AF772" s="44">
        <f>COUNTIFS('[1]Tempo parado'!H:H,"&gt;="&amp;MIP[[#This Row],[S.B Sitrack]],'[1]Tempo parado'!I:I,"&lt;="&amp;MIP[[#This Row],[C.B Sitrack]],'[1]Tempo parado'!B:B,MIP[[#This Row],[Placa]])</f>
        <v>0</v>
      </c>
      <c r="AG772" s="36"/>
      <c r="AH772" s="35"/>
      <c r="AI772" s="34"/>
      <c r="AJ772" s="34"/>
      <c r="AK77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7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72" s="32">
        <f>SUMIFS('[1]Tempo parado'!J:J,'[1]Tempo parado'!H:H,"&gt;="&amp;MIP[[#This Row],[S.B Sitrack]],'[1]Tempo parado'!I:I,"&lt;="&amp;MIP[[#This Row],[C.B Sitrack]],'[1]Tempo parado'!B:B,MIP[[#This Row],[Placa]])</f>
        <v>0</v>
      </c>
      <c r="AN772" s="32" t="str">
        <f>IFERROR(MIP[[#This Row],[Tempo parado]]/(MIP[[#This Row],[C.B Sitrack]]-MIP[[#This Row],[S.B Sitrack]]),"")</f>
        <v/>
      </c>
      <c r="AO772" s="30"/>
      <c r="AP772" s="44">
        <f>IF(AND(MIP[Exc]=0,MIP[Previsto / Realizado]="Realizado"),MIP[Sem],0)</f>
        <v>0</v>
      </c>
      <c r="AQ772" s="29">
        <f>IF(AND(MIP[Exc]=0,MIP[Previsto / Realizado]="Realizado",ISBLANK(MIP[[#This Row],[S.B Sitrack]])=FALSE,ISBLANK(MIP[[#This Row],[C.B Sitrack]])=FALSE),MIP[Sem],0)</f>
        <v>0</v>
      </c>
    </row>
    <row r="773" spans="2:43" x14ac:dyDescent="0.25">
      <c r="B773" s="29">
        <f>WEEKNUM(MIP[[#This Row],[Data]])</f>
        <v>45</v>
      </c>
      <c r="C773" s="45">
        <v>43049</v>
      </c>
      <c r="D773" s="45"/>
      <c r="E773" s="35" t="s">
        <v>10</v>
      </c>
      <c r="F773" s="35" t="s">
        <v>2</v>
      </c>
      <c r="G773" s="35" t="s">
        <v>1</v>
      </c>
      <c r="H773" s="44">
        <v>2</v>
      </c>
      <c r="I773" s="44">
        <v>5</v>
      </c>
      <c r="J773" s="44">
        <v>3</v>
      </c>
      <c r="K773" s="44">
        <v>1</v>
      </c>
      <c r="L773" s="44">
        <v>0</v>
      </c>
      <c r="M773" s="43">
        <v>0.24374999999999999</v>
      </c>
      <c r="N773" s="43">
        <v>0.26805555555555555</v>
      </c>
      <c r="O773" s="43">
        <v>0.62291666666666667</v>
      </c>
      <c r="P773" s="43">
        <v>0.65833333333333333</v>
      </c>
      <c r="Q773" s="39"/>
      <c r="R773" s="42"/>
      <c r="S773" s="29">
        <v>14</v>
      </c>
      <c r="T77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5.9722222222222204E-2</v>
      </c>
      <c r="U773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5.9722222222222204E-2</v>
      </c>
      <c r="V773" s="41">
        <f>MIP[[#This Row],[Eficiência]]</f>
        <v>1.0206031684822776</v>
      </c>
      <c r="W77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73" s="39">
        <f>IF(MIP[[#This Row],[P.S]]-MIP[[#This Row],[P.E]]&lt;0,1+MIP[[#This Row],[P.S]]-MIP[[#This Row],[P.E]]-1/24,MIP[[#This Row],[P.S]]-MIP[[#This Row],[P.E]]-1/24)</f>
        <v>0.37291666666666662</v>
      </c>
      <c r="Y773" s="39">
        <f>MIP[[#This Row],[PT-1]]*$S$3+MIP[[#This Row],[PT-2]]*$T$3+MIP[[#This Row],[PT-3]]*$U$3+MIP[[#This Row],[PT &gt; 3 Pontos]]*$V$3</f>
        <v>0.31964724235104663</v>
      </c>
      <c r="Z773" s="39">
        <f>MIP[[#This Row],[HH disponível]]-MIP[[#This Row],[HH AC TOT]]</f>
        <v>0.31319444444444444</v>
      </c>
      <c r="AA773" s="38">
        <f>MIP[[#This Row],[HH Produtivo
Total]]/MIP[[#This Row],[HH Trabalhado]]</f>
        <v>1.0206031684822776</v>
      </c>
      <c r="AB773" s="38">
        <f>MIP[[#This Row],[HH Produtivo
Total]]/MIP[[#This Row],[HH disponível]]</f>
        <v>0.85715461636034862</v>
      </c>
      <c r="AC773" s="38">
        <f>MIP[[#This Row],[HH Trabalhado]]/MIP[[#This Row],[HH disponível]]</f>
        <v>0.83985102420856617</v>
      </c>
      <c r="AD773" s="37" t="str">
        <f>LEFT(MIP[[#This Row],[Equipe]], SEARCH("/",MIP[[#This Row],[Equipe]],1)-1)</f>
        <v xml:space="preserve">JOILSON </v>
      </c>
      <c r="AE773" s="37" t="str">
        <f>RIGHT(MIP[[#This Row],[Equipe]], LEN(MIP[[#This Row],[Equipe]])-SEARCH("/",MIP[[#This Row],[Equipe]],1))</f>
        <v xml:space="preserve"> VALDEI</v>
      </c>
      <c r="AF773" s="44">
        <f>COUNTIFS('[1]Tempo parado'!H:H,"&gt;="&amp;MIP[[#This Row],[S.B Sitrack]],'[1]Tempo parado'!I:I,"&lt;="&amp;MIP[[#This Row],[C.B Sitrack]],'[1]Tempo parado'!B:B,MIP[[#This Row],[Placa]])</f>
        <v>16</v>
      </c>
      <c r="AG773" s="36"/>
      <c r="AH773" s="35"/>
      <c r="AI773" s="34">
        <v>43049.290335648147</v>
      </c>
      <c r="AJ773" s="34">
        <v>43049.632361111115</v>
      </c>
      <c r="AK773" s="32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3.125E-2</v>
      </c>
      <c r="AL77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48.399999999999991</v>
      </c>
      <c r="AM773" s="32">
        <f>SUMIFS('[1]Tempo parado'!J:J,'[1]Tempo parado'!H:H,"&gt;="&amp;MIP[[#This Row],[S.B Sitrack]],'[1]Tempo parado'!I:I,"&lt;="&amp;MIP[[#This Row],[C.B Sitrack]],'[1]Tempo parado'!B:B,MIP[[#This Row],[Placa]])</f>
        <v>0.20054398148148148</v>
      </c>
      <c r="AN773" s="31">
        <f>IFERROR(MIP[[#This Row],[Tempo parado]]/(MIP[[#This Row],[C.B Sitrack]]-MIP[[#This Row],[S.B Sitrack]]),"")</f>
        <v>0.58634225575381627</v>
      </c>
      <c r="AO773" s="30"/>
      <c r="AP773" s="44">
        <f>IF(AND(MIP[Exc]=0,MIP[Previsto / Realizado]="Realizado"),MIP[Sem],0)</f>
        <v>45</v>
      </c>
      <c r="AQ773" s="29">
        <f>IF(AND(MIP[Exc]=0,MIP[Previsto / Realizado]="Realizado",ISBLANK(MIP[[#This Row],[S.B Sitrack]])=FALSE,ISBLANK(MIP[[#This Row],[C.B Sitrack]])=FALSE),MIP[Sem],0)</f>
        <v>45</v>
      </c>
    </row>
    <row r="774" spans="2:43" x14ac:dyDescent="0.25">
      <c r="B774" s="29">
        <f>WEEKNUM(MIP[[#This Row],[Data]])</f>
        <v>45</v>
      </c>
      <c r="C774" s="45">
        <v>43049</v>
      </c>
      <c r="D774" s="45"/>
      <c r="E774" s="35" t="s">
        <v>7</v>
      </c>
      <c r="F774" s="35" t="s">
        <v>5</v>
      </c>
      <c r="G774" s="35"/>
      <c r="H774" s="44">
        <v>2</v>
      </c>
      <c r="I774" s="44">
        <v>5</v>
      </c>
      <c r="J774" s="44">
        <v>3</v>
      </c>
      <c r="K774" s="44">
        <v>0</v>
      </c>
      <c r="L774" s="44">
        <v>4</v>
      </c>
      <c r="M774" s="43">
        <v>0.625</v>
      </c>
      <c r="N774" s="43">
        <v>0.64583333333333337</v>
      </c>
      <c r="O774" s="43">
        <v>1.0125</v>
      </c>
      <c r="P774" s="43">
        <v>1.0333333333333334</v>
      </c>
      <c r="Q774" s="39"/>
      <c r="R774" s="42"/>
      <c r="S774" s="29">
        <v>15</v>
      </c>
      <c r="T77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774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774" s="41">
        <f>MIP[[#This Row],[Eficiência]]</f>
        <v>1.0395310973134044</v>
      </c>
      <c r="W774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74" s="39">
        <f>IF(MIP[[#This Row],[P.S]]-MIP[[#This Row],[P.E]]&lt;0,1+MIP[[#This Row],[P.S]]-MIP[[#This Row],[P.E]]-1/24,MIP[[#This Row],[P.S]]-MIP[[#This Row],[P.E]]-1/24)</f>
        <v>0.36666666666666675</v>
      </c>
      <c r="Y774" s="39">
        <f>MIP[[#This Row],[PT-1]]*$S$3+MIP[[#This Row],[PT-2]]*$T$3+MIP[[#This Row],[PT-3]]*$U$3+MIP[[#This Row],[PT &gt; 3 Pontos]]*$V$3</f>
        <v>0.33784760662685631</v>
      </c>
      <c r="Z774" s="39">
        <f>MIP[[#This Row],[HH disponível]]-MIP[[#This Row],[HH AC TOT]]</f>
        <v>0.3249999999999999</v>
      </c>
      <c r="AA774" s="38">
        <f>MIP[[#This Row],[HH Produtivo
Total]]/MIP[[#This Row],[HH Trabalhado]]</f>
        <v>1.0395310973134044</v>
      </c>
      <c r="AB774" s="38">
        <f>MIP[[#This Row],[HH Produtivo
Total]]/MIP[[#This Row],[HH disponível]]</f>
        <v>0.92140256352778971</v>
      </c>
      <c r="AC774" s="38">
        <f>MIP[[#This Row],[HH Trabalhado]]/MIP[[#This Row],[HH disponível]]</f>
        <v>0.88636363636363591</v>
      </c>
      <c r="AD774" s="37" t="str">
        <f>LEFT(MIP[[#This Row],[Equipe]], SEARCH("/",MIP[[#This Row],[Equipe]],1)-1)</f>
        <v xml:space="preserve">ANDERSON </v>
      </c>
      <c r="AE774" s="37" t="str">
        <f>RIGHT(MIP[[#This Row],[Equipe]], LEN(MIP[[#This Row],[Equipe]])-SEARCH("/",MIP[[#This Row],[Equipe]],1))</f>
        <v xml:space="preserve"> MARCO</v>
      </c>
      <c r="AF774" s="44">
        <f>COUNTIFS('[1]Tempo parado'!H:H,"&gt;="&amp;MIP[[#This Row],[S.B Sitrack]],'[1]Tempo parado'!I:I,"&lt;="&amp;MIP[[#This Row],[C.B Sitrack]],'[1]Tempo parado'!B:B,MIP[[#This Row],[Placa]])</f>
        <v>0</v>
      </c>
      <c r="AG774" s="36"/>
      <c r="AH774" s="35"/>
      <c r="AI774" s="34"/>
      <c r="AJ774" s="34"/>
      <c r="AK77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7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74" s="32">
        <f>SUMIFS('[1]Tempo parado'!J:J,'[1]Tempo parado'!H:H,"&gt;="&amp;MIP[[#This Row],[S.B Sitrack]],'[1]Tempo parado'!I:I,"&lt;="&amp;MIP[[#This Row],[C.B Sitrack]],'[1]Tempo parado'!B:B,MIP[[#This Row],[Placa]])</f>
        <v>0</v>
      </c>
      <c r="AN774" s="32" t="str">
        <f>IFERROR(MIP[[#This Row],[Tempo parado]]/(MIP[[#This Row],[C.B Sitrack]]-MIP[[#This Row],[S.B Sitrack]]),"")</f>
        <v/>
      </c>
      <c r="AO774" s="30"/>
      <c r="AP774" s="44">
        <f>IF(AND(MIP[Exc]=0,MIP[Previsto / Realizado]="Realizado"),MIP[Sem],0)</f>
        <v>0</v>
      </c>
      <c r="AQ774" s="29">
        <f>IF(AND(MIP[Exc]=0,MIP[Previsto / Realizado]="Realizado",ISBLANK(MIP[[#This Row],[S.B Sitrack]])=FALSE,ISBLANK(MIP[[#This Row],[C.B Sitrack]])=FALSE),MIP[Sem],0)</f>
        <v>0</v>
      </c>
    </row>
    <row r="775" spans="2:43" x14ac:dyDescent="0.25">
      <c r="B775" s="29">
        <f>WEEKNUM(MIP[[#This Row],[Data]])</f>
        <v>45</v>
      </c>
      <c r="C775" s="45">
        <v>43049</v>
      </c>
      <c r="D775" s="45"/>
      <c r="E775" s="35" t="s">
        <v>7</v>
      </c>
      <c r="F775" s="35" t="s">
        <v>2</v>
      </c>
      <c r="G775" s="35" t="s">
        <v>6</v>
      </c>
      <c r="H775" s="44">
        <v>2</v>
      </c>
      <c r="I775" s="44">
        <v>5</v>
      </c>
      <c r="J775" s="44">
        <v>3</v>
      </c>
      <c r="K775" s="44">
        <v>0</v>
      </c>
      <c r="L775" s="44">
        <v>4</v>
      </c>
      <c r="M775" s="43">
        <v>0.6333333333333333</v>
      </c>
      <c r="N775" s="43">
        <v>0.67708333333333337</v>
      </c>
      <c r="O775" s="43">
        <v>1.0166666666666666</v>
      </c>
      <c r="P775" s="68">
        <v>7.7083333333333337E-2</v>
      </c>
      <c r="Q775" s="39"/>
      <c r="R775" s="42" t="s">
        <v>32</v>
      </c>
      <c r="S775" s="29">
        <v>15</v>
      </c>
      <c r="T77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0.10416666666666685</v>
      </c>
      <c r="U775" s="39">
        <f>IF(MIP[[#This Row],[P.S]]-MIP[[#This Row],[U.P]]&gt;=0,MIP[[#This Row],[P.S]]-MIP[[#This Row],[U.P]]+MIP[[#This Row],[S.B]]-MIP[[#This Row],[P.E]],1+MIP[[#This Row],[P.S]]-MIP[[#This Row],[U.P]]+MIP[[#This Row],[S.B]]-MIP[[#This Row],[P.E]])</f>
        <v>0.10416666666666685</v>
      </c>
      <c r="V775" s="41">
        <f>MIP[[#This Row],[Eficiência]]</f>
        <v>1.1340339243418958</v>
      </c>
      <c r="W775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75" s="39">
        <f>IF(MIP[[#This Row],[P.S]]-MIP[[#This Row],[P.E]]&lt;0,1+MIP[[#This Row],[P.S]]-MIP[[#This Row],[P.E]]-1/24,MIP[[#This Row],[P.S]]-MIP[[#This Row],[P.E]]-1/24)</f>
        <v>0.4020833333333334</v>
      </c>
      <c r="Y775" s="39">
        <f>MIP[[#This Row],[PT-1]]*$S$3+MIP[[#This Row],[PT-2]]*$T$3+MIP[[#This Row],[PT-3]]*$U$3+MIP[[#This Row],[PT &gt; 3 Pontos]]*$V$3</f>
        <v>0.33784760662685631</v>
      </c>
      <c r="Z775" s="39">
        <f>MIP[[#This Row],[HH disponível]]-MIP[[#This Row],[HH AC TOT]]</f>
        <v>0.29791666666666655</v>
      </c>
      <c r="AA775" s="38">
        <f>MIP[[#This Row],[HH Produtivo
Total]]/MIP[[#This Row],[HH Trabalhado]]</f>
        <v>1.1340339243418958</v>
      </c>
      <c r="AB775" s="38">
        <f>MIP[[#This Row],[HH Produtivo
Total]]/MIP[[#This Row],[HH disponível]]</f>
        <v>0.84024275223259581</v>
      </c>
      <c r="AC775" s="38">
        <f>MIP[[#This Row],[HH Trabalhado]]/MIP[[#This Row],[HH disponível]]</f>
        <v>0.74093264248704627</v>
      </c>
      <c r="AD775" s="37" t="str">
        <f>LEFT(MIP[[#This Row],[Equipe]], SEARCH("/",MIP[[#This Row],[Equipe]],1)-1)</f>
        <v xml:space="preserve">ANDERSON </v>
      </c>
      <c r="AE775" s="37" t="str">
        <f>RIGHT(MIP[[#This Row],[Equipe]], LEN(MIP[[#This Row],[Equipe]])-SEARCH("/",MIP[[#This Row],[Equipe]],1))</f>
        <v xml:space="preserve"> MARCO</v>
      </c>
      <c r="AF775" s="44">
        <f>COUNTIFS('[1]Tempo parado'!H:H,"&gt;="&amp;MIP[[#This Row],[S.B Sitrack]],'[1]Tempo parado'!I:I,"&lt;="&amp;MIP[[#This Row],[C.B Sitrack]],'[1]Tempo parado'!B:B,MIP[[#This Row],[Placa]])</f>
        <v>12</v>
      </c>
      <c r="AG775" s="36"/>
      <c r="AH775" s="35"/>
      <c r="AI775" s="34">
        <v>43049.676574074074</v>
      </c>
      <c r="AJ775" s="34">
        <v>43050.018703703703</v>
      </c>
      <c r="AK775" s="32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2.0833333333333919E-3</v>
      </c>
      <c r="AL77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23</v>
      </c>
      <c r="AM775" s="32">
        <f>SUMIFS('[1]Tempo parado'!J:J,'[1]Tempo parado'!H:H,"&gt;="&amp;MIP[[#This Row],[S.B Sitrack]],'[1]Tempo parado'!I:I,"&lt;="&amp;MIP[[#This Row],[C.B Sitrack]],'[1]Tempo parado'!B:B,MIP[[#This Row],[Placa]])</f>
        <v>0.26188657407407406</v>
      </c>
      <c r="AN775" s="31">
        <f>IFERROR(MIP[[#This Row],[Tempo parado]]/(MIP[[#This Row],[C.B Sitrack]]-MIP[[#This Row],[S.B Sitrack]]),"")</f>
        <v>0.76546008119176301</v>
      </c>
      <c r="AO775" s="30"/>
      <c r="AP775" s="44">
        <f>IF(AND(MIP[Exc]=0,MIP[Previsto / Realizado]="Realizado"),MIP[Sem],0)</f>
        <v>45</v>
      </c>
      <c r="AQ775" s="29">
        <f>IF(AND(MIP[Exc]=0,MIP[Previsto / Realizado]="Realizado",ISBLANK(MIP[[#This Row],[S.B Sitrack]])=FALSE,ISBLANK(MIP[[#This Row],[C.B Sitrack]])=FALSE),MIP[Sem],0)</f>
        <v>45</v>
      </c>
    </row>
    <row r="776" spans="2:43" x14ac:dyDescent="0.25">
      <c r="B776" s="29">
        <f>WEEKNUM(MIP[[#This Row],[Data]])</f>
        <v>45</v>
      </c>
      <c r="C776" s="45">
        <v>43050</v>
      </c>
      <c r="D776" s="45"/>
      <c r="E776" s="35" t="s">
        <v>10</v>
      </c>
      <c r="F776" s="35" t="s">
        <v>5</v>
      </c>
      <c r="G776" s="35"/>
      <c r="H776" s="44">
        <v>2</v>
      </c>
      <c r="I776" s="44">
        <v>3</v>
      </c>
      <c r="J776" s="44">
        <v>1</v>
      </c>
      <c r="K776" s="44">
        <v>1</v>
      </c>
      <c r="L776" s="44">
        <v>5</v>
      </c>
      <c r="M776" s="43">
        <v>0.25</v>
      </c>
      <c r="N776" s="43">
        <v>0.27083333333333331</v>
      </c>
      <c r="O776" s="43">
        <v>0.63750000000000007</v>
      </c>
      <c r="P776" s="43">
        <v>0.65833333333333333</v>
      </c>
      <c r="Q776" s="39"/>
      <c r="R776" s="42"/>
      <c r="S776" s="29">
        <v>13</v>
      </c>
      <c r="T77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776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776" s="41">
        <f>MIP[[#This Row],[Eficiência]]</f>
        <v>0.87082479578705418</v>
      </c>
      <c r="W776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76" s="39">
        <f>IF(MIP[[#This Row],[P.S]]-MIP[[#This Row],[P.E]]&lt;0,1+MIP[[#This Row],[P.S]]-MIP[[#This Row],[P.E]]-1/24,MIP[[#This Row],[P.S]]-MIP[[#This Row],[P.E]]-1/24)</f>
        <v>0.36666666666666664</v>
      </c>
      <c r="Y776" s="39">
        <f>MIP[[#This Row],[PT-1]]*$S$3+MIP[[#This Row],[PT-2]]*$T$3+MIP[[#This Row],[PT-3]]*$U$3+MIP[[#This Row],[PT &gt; 3 Pontos]]*$V$3</f>
        <v>0.28301805863079266</v>
      </c>
      <c r="Z776" s="39">
        <f>MIP[[#This Row],[HH disponível]]-MIP[[#This Row],[HH AC TOT]]</f>
        <v>0.32500000000000007</v>
      </c>
      <c r="AA776" s="38">
        <f>MIP[[#This Row],[HH Produtivo
Total]]/MIP[[#This Row],[HH Trabalhado]]</f>
        <v>0.87082479578705418</v>
      </c>
      <c r="AB776" s="38">
        <f>MIP[[#This Row],[HH Produtivo
Total]]/MIP[[#This Row],[HH disponível]]</f>
        <v>0.77186743262943458</v>
      </c>
      <c r="AC776" s="38">
        <f>MIP[[#This Row],[HH Trabalhado]]/MIP[[#This Row],[HH disponível]]</f>
        <v>0.88636363636363658</v>
      </c>
      <c r="AD776" s="37" t="str">
        <f>LEFT(MIP[[#This Row],[Equipe]], SEARCH("/",MIP[[#This Row],[Equipe]],1)-1)</f>
        <v xml:space="preserve">JOILSON </v>
      </c>
      <c r="AE776" s="37" t="str">
        <f>RIGHT(MIP[[#This Row],[Equipe]], LEN(MIP[[#This Row],[Equipe]])-SEARCH("/",MIP[[#This Row],[Equipe]],1))</f>
        <v xml:space="preserve"> VALDEI</v>
      </c>
      <c r="AF776" s="44">
        <f>COUNTIFS('[1]Tempo parado'!H:H,"&gt;="&amp;MIP[[#This Row],[S.B Sitrack]],'[1]Tempo parado'!I:I,"&lt;="&amp;MIP[[#This Row],[C.B Sitrack]],'[1]Tempo parado'!B:B,MIP[[#This Row],[Placa]])</f>
        <v>0</v>
      </c>
      <c r="AG776" s="36"/>
      <c r="AH776" s="35"/>
      <c r="AI776" s="34"/>
      <c r="AJ776" s="34"/>
      <c r="AK77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7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76" s="32">
        <f>SUMIFS('[1]Tempo parado'!J:J,'[1]Tempo parado'!H:H,"&gt;="&amp;MIP[[#This Row],[S.B Sitrack]],'[1]Tempo parado'!I:I,"&lt;="&amp;MIP[[#This Row],[C.B Sitrack]],'[1]Tempo parado'!B:B,MIP[[#This Row],[Placa]])</f>
        <v>0</v>
      </c>
      <c r="AN776" s="32" t="str">
        <f>IFERROR(MIP[[#This Row],[Tempo parado]]/(MIP[[#This Row],[C.B Sitrack]]-MIP[[#This Row],[S.B Sitrack]]),"")</f>
        <v/>
      </c>
      <c r="AO776" s="30"/>
      <c r="AP776" s="44">
        <f>IF(AND(MIP[Exc]=0,MIP[Previsto / Realizado]="Realizado"),MIP[Sem],0)</f>
        <v>0</v>
      </c>
      <c r="AQ776" s="29">
        <f>IF(AND(MIP[Exc]=0,MIP[Previsto / Realizado]="Realizado",ISBLANK(MIP[[#This Row],[S.B Sitrack]])=FALSE,ISBLANK(MIP[[#This Row],[C.B Sitrack]])=FALSE),MIP[Sem],0)</f>
        <v>0</v>
      </c>
    </row>
    <row r="777" spans="2:43" x14ac:dyDescent="0.25">
      <c r="B777" s="29">
        <f>WEEKNUM(MIP[[#This Row],[Data]])</f>
        <v>45</v>
      </c>
      <c r="C777" s="45">
        <v>43050</v>
      </c>
      <c r="D777" s="45"/>
      <c r="E777" s="35" t="s">
        <v>10</v>
      </c>
      <c r="F777" s="35" t="s">
        <v>2</v>
      </c>
      <c r="G777" s="35" t="s">
        <v>1</v>
      </c>
      <c r="H777" s="44">
        <v>2</v>
      </c>
      <c r="I777" s="44">
        <v>4</v>
      </c>
      <c r="J777" s="44">
        <v>1</v>
      </c>
      <c r="K777" s="44">
        <v>1</v>
      </c>
      <c r="L777" s="44">
        <v>5</v>
      </c>
      <c r="M777" s="43">
        <v>0.25069444444444444</v>
      </c>
      <c r="N777" s="43">
        <v>0.27777777777777779</v>
      </c>
      <c r="O777" s="43">
        <v>0.60972222222222217</v>
      </c>
      <c r="P777" s="43">
        <v>0.65972222222222221</v>
      </c>
      <c r="Q777" s="39"/>
      <c r="R777" s="42" t="s">
        <v>32</v>
      </c>
      <c r="S777" s="29">
        <v>14</v>
      </c>
      <c r="T77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7.7083333333333393E-2</v>
      </c>
      <c r="U777" s="39">
        <f>IF(MIP[[#This Row],[P.S]]-MIP[[#This Row],[U.P]]&gt;=0,MIP[[#This Row],[P.S]]-MIP[[#This Row],[U.P]]+MIP[[#This Row],[S.B]]-MIP[[#This Row],[P.E]],1+MIP[[#This Row],[P.S]]-MIP[[#This Row],[U.P]]+MIP[[#This Row],[S.B]]-MIP[[#This Row],[P.E]])</f>
        <v>7.7083333333333393E-2</v>
      </c>
      <c r="V777" s="41">
        <f>MIP[[#This Row],[Eficiência]]</f>
        <v>1.0612039059550504</v>
      </c>
      <c r="W777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77" s="39">
        <f>IF(MIP[[#This Row],[P.S]]-MIP[[#This Row],[P.E]]&lt;0,1+MIP[[#This Row],[P.S]]-MIP[[#This Row],[P.E]]-1/24,MIP[[#This Row],[P.S]]-MIP[[#This Row],[P.E]]-1/24)</f>
        <v>0.36736111111111108</v>
      </c>
      <c r="Y777" s="39">
        <f>MIP[[#This Row],[PT-1]]*$S$3+MIP[[#This Row],[PT-2]]*$T$3+MIP[[#This Row],[PT-3]]*$U$3+MIP[[#This Row],[PT &gt; 3 Pontos]]*$V$3</f>
        <v>0.30804391158972982</v>
      </c>
      <c r="Z777" s="39">
        <f>MIP[[#This Row],[HH disponível]]-MIP[[#This Row],[HH AC TOT]]</f>
        <v>0.29027777777777769</v>
      </c>
      <c r="AA777" s="38">
        <f>MIP[[#This Row],[HH Produtivo
Total]]/MIP[[#This Row],[HH Trabalhado]]</f>
        <v>1.0612039059550504</v>
      </c>
      <c r="AB777" s="38">
        <f>MIP[[#This Row],[HH Produtivo
Total]]/MIP[[#This Row],[HH disponível]]</f>
        <v>0.83853163079245929</v>
      </c>
      <c r="AC777" s="38">
        <f>MIP[[#This Row],[HH Trabalhado]]/MIP[[#This Row],[HH disponível]]</f>
        <v>0.79017013232514155</v>
      </c>
      <c r="AD777" s="37" t="str">
        <f>LEFT(MIP[[#This Row],[Equipe]], SEARCH("/",MIP[[#This Row],[Equipe]],1)-1)</f>
        <v xml:space="preserve">JOILSON </v>
      </c>
      <c r="AE777" s="37" t="str">
        <f>RIGHT(MIP[[#This Row],[Equipe]], LEN(MIP[[#This Row],[Equipe]])-SEARCH("/",MIP[[#This Row],[Equipe]],1))</f>
        <v xml:space="preserve"> VALDEI</v>
      </c>
      <c r="AF777" s="44">
        <f>COUNTIFS('[1]Tempo parado'!H:H,"&gt;="&amp;MIP[[#This Row],[S.B Sitrack]],'[1]Tempo parado'!I:I,"&lt;="&amp;MIP[[#This Row],[C.B Sitrack]],'[1]Tempo parado'!B:B,MIP[[#This Row],[Placa]])</f>
        <v>13</v>
      </c>
      <c r="AG777" s="36"/>
      <c r="AH777" s="35"/>
      <c r="AI777" s="34">
        <v>43050.277453703704</v>
      </c>
      <c r="AJ777" s="34">
        <v>43050.634212962963</v>
      </c>
      <c r="AK777" s="32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2.5000000000000022E-2</v>
      </c>
      <c r="AL77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48.2</v>
      </c>
      <c r="AM777" s="32">
        <f>SUMIFS('[1]Tempo parado'!J:J,'[1]Tempo parado'!H:H,"&gt;="&amp;MIP[[#This Row],[S.B Sitrack]],'[1]Tempo parado'!I:I,"&lt;="&amp;MIP[[#This Row],[C.B Sitrack]],'[1]Tempo parado'!B:B,MIP[[#This Row],[Placa]])</f>
        <v>0.23148148148148145</v>
      </c>
      <c r="AN777" s="31">
        <f>IFERROR(MIP[[#This Row],[Tempo parado]]/(MIP[[#This Row],[C.B Sitrack]]-MIP[[#This Row],[S.B Sitrack]]),"")</f>
        <v>0.64884505580118446</v>
      </c>
      <c r="AO777" s="30"/>
      <c r="AP777" s="44">
        <f>IF(AND(MIP[Exc]=0,MIP[Previsto / Realizado]="Realizado"),MIP[Sem],0)</f>
        <v>45</v>
      </c>
      <c r="AQ777" s="29">
        <f>IF(AND(MIP[Exc]=0,MIP[Previsto / Realizado]="Realizado",ISBLANK(MIP[[#This Row],[S.B Sitrack]])=FALSE,ISBLANK(MIP[[#This Row],[C.B Sitrack]])=FALSE),MIP[Sem],0)</f>
        <v>45</v>
      </c>
    </row>
    <row r="778" spans="2:43" x14ac:dyDescent="0.25">
      <c r="B778" s="29">
        <f>WEEKNUM(MIP[[#This Row],[Data]])</f>
        <v>46</v>
      </c>
      <c r="C778" s="45">
        <v>43051</v>
      </c>
      <c r="D778" s="45"/>
      <c r="E778" s="35" t="s">
        <v>10</v>
      </c>
      <c r="F778" s="35" t="s">
        <v>5</v>
      </c>
      <c r="G778" s="35"/>
      <c r="H778" s="44">
        <v>2</v>
      </c>
      <c r="I778" s="44">
        <v>6</v>
      </c>
      <c r="J778" s="44">
        <v>1</v>
      </c>
      <c r="K778" s="44">
        <v>0</v>
      </c>
      <c r="L778" s="44">
        <v>0</v>
      </c>
      <c r="M778" s="43">
        <v>0.25</v>
      </c>
      <c r="N778" s="43">
        <v>0.27083333333333331</v>
      </c>
      <c r="O778" s="43">
        <v>0.63750000000000007</v>
      </c>
      <c r="P778" s="43">
        <v>0.65833333333333333</v>
      </c>
      <c r="Q778" s="39"/>
      <c r="R778" s="42"/>
      <c r="S778" s="29">
        <v>8</v>
      </c>
      <c r="T77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778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778" s="41">
        <f>MIP[[#This Row],[Eficiência]]</f>
        <v>0.59711964263594652</v>
      </c>
      <c r="W778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78" s="39">
        <f>IF(MIP[[#This Row],[P.S]]-MIP[[#This Row],[P.E]]&lt;0,1+MIP[[#This Row],[P.S]]-MIP[[#This Row],[P.E]]-1/24,MIP[[#This Row],[P.S]]-MIP[[#This Row],[P.E]]-1/24)</f>
        <v>0.36666666666666664</v>
      </c>
      <c r="Y778" s="39">
        <f>MIP[[#This Row],[PT-1]]*$S$3+MIP[[#This Row],[PT-2]]*$T$3+MIP[[#This Row],[PT-3]]*$U$3+MIP[[#This Row],[PT &gt; 3 Pontos]]*$V$3</f>
        <v>0.19406388385668266</v>
      </c>
      <c r="Z778" s="39">
        <f>MIP[[#This Row],[HH disponível]]-MIP[[#This Row],[HH AC TOT]]</f>
        <v>0.32500000000000007</v>
      </c>
      <c r="AA778" s="38">
        <f>MIP[[#This Row],[HH Produtivo
Total]]/MIP[[#This Row],[HH Trabalhado]]</f>
        <v>0.59711964263594652</v>
      </c>
      <c r="AB778" s="38">
        <f>MIP[[#This Row],[HH Produtivo
Total]]/MIP[[#This Row],[HH disponível]]</f>
        <v>0.52926513779095274</v>
      </c>
      <c r="AC778" s="38">
        <f>MIP[[#This Row],[HH Trabalhado]]/MIP[[#This Row],[HH disponível]]</f>
        <v>0.88636363636363658</v>
      </c>
      <c r="AD778" s="37" t="str">
        <f>LEFT(MIP[[#This Row],[Equipe]], SEARCH("/",MIP[[#This Row],[Equipe]],1)-1)</f>
        <v xml:space="preserve">JOILSON </v>
      </c>
      <c r="AE778" s="37" t="str">
        <f>RIGHT(MIP[[#This Row],[Equipe]], LEN(MIP[[#This Row],[Equipe]])-SEARCH("/",MIP[[#This Row],[Equipe]],1))</f>
        <v xml:space="preserve"> VALDEI</v>
      </c>
      <c r="AF778" s="44">
        <f>COUNTIFS('[1]Tempo parado'!H:H,"&gt;="&amp;MIP[[#This Row],[S.B Sitrack]],'[1]Tempo parado'!I:I,"&lt;="&amp;MIP[[#This Row],[C.B Sitrack]],'[1]Tempo parado'!B:B,MIP[[#This Row],[Placa]])</f>
        <v>0</v>
      </c>
      <c r="AG778" s="36"/>
      <c r="AH778" s="35"/>
      <c r="AI778" s="34"/>
      <c r="AJ778" s="34"/>
      <c r="AK77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7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78" s="32">
        <f>SUMIFS('[1]Tempo parado'!J:J,'[1]Tempo parado'!H:H,"&gt;="&amp;MIP[[#This Row],[S.B Sitrack]],'[1]Tempo parado'!I:I,"&lt;="&amp;MIP[[#This Row],[C.B Sitrack]],'[1]Tempo parado'!B:B,MIP[[#This Row],[Placa]])</f>
        <v>0</v>
      </c>
      <c r="AN778" s="32" t="str">
        <f>IFERROR(MIP[[#This Row],[Tempo parado]]/(MIP[[#This Row],[C.B Sitrack]]-MIP[[#This Row],[S.B Sitrack]]),"")</f>
        <v/>
      </c>
      <c r="AO778" s="30"/>
      <c r="AP778" s="44">
        <f>IF(AND(MIP[Exc]=0,MIP[Previsto / Realizado]="Realizado"),MIP[Sem],0)</f>
        <v>0</v>
      </c>
      <c r="AQ778" s="29">
        <f>IF(AND(MIP[Exc]=0,MIP[Previsto / Realizado]="Realizado",ISBLANK(MIP[[#This Row],[S.B Sitrack]])=FALSE,ISBLANK(MIP[[#This Row],[C.B Sitrack]])=FALSE),MIP[Sem],0)</f>
        <v>0</v>
      </c>
    </row>
    <row r="779" spans="2:43" x14ac:dyDescent="0.25">
      <c r="B779" s="29">
        <f>WEEKNUM(MIP[[#This Row],[Data]])</f>
        <v>46</v>
      </c>
      <c r="C779" s="45">
        <v>43051</v>
      </c>
      <c r="D779" s="45"/>
      <c r="E779" s="35" t="s">
        <v>10</v>
      </c>
      <c r="F779" s="35" t="s">
        <v>2</v>
      </c>
      <c r="G779" s="35" t="s">
        <v>1</v>
      </c>
      <c r="H779" s="44">
        <v>2</v>
      </c>
      <c r="I779" s="44">
        <v>7</v>
      </c>
      <c r="J779" s="44">
        <v>1</v>
      </c>
      <c r="K779" s="44">
        <v>0</v>
      </c>
      <c r="L779" s="44">
        <v>0</v>
      </c>
      <c r="M779" s="43">
        <v>0.24930555555555556</v>
      </c>
      <c r="N779" s="43">
        <v>0.2638888888888889</v>
      </c>
      <c r="O779" s="43">
        <v>0.61805555555555558</v>
      </c>
      <c r="P779" s="43">
        <v>0.66666666666666663</v>
      </c>
      <c r="Q779" s="39"/>
      <c r="R779" s="42" t="s">
        <v>32</v>
      </c>
      <c r="S779" s="29">
        <v>9</v>
      </c>
      <c r="T77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6.3194444444444386E-2</v>
      </c>
      <c r="U779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6.3194444444444386E-2</v>
      </c>
      <c r="V779" s="41">
        <f>MIP[[#This Row],[Eficiência]]</f>
        <v>0.70108715780998354</v>
      </c>
      <c r="W779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79" s="39">
        <f>IF(MIP[[#This Row],[P.S]]-MIP[[#This Row],[P.E]]&lt;0,1+MIP[[#This Row],[P.S]]-MIP[[#This Row],[P.E]]-1/24,MIP[[#This Row],[P.S]]-MIP[[#This Row],[P.E]]-1/24)</f>
        <v>0.37569444444444439</v>
      </c>
      <c r="Y779" s="39">
        <f>MIP[[#This Row],[PT-1]]*$S$3+MIP[[#This Row],[PT-2]]*$T$3+MIP[[#This Row],[PT-3]]*$U$3+MIP[[#This Row],[PT &gt; 3 Pontos]]*$V$3</f>
        <v>0.21908973681561986</v>
      </c>
      <c r="Z779" s="39">
        <f>MIP[[#This Row],[HH disponível]]-MIP[[#This Row],[HH AC TOT]]</f>
        <v>0.3125</v>
      </c>
      <c r="AA779" s="38">
        <f>MIP[[#This Row],[HH Produtivo
Total]]/MIP[[#This Row],[HH Trabalhado]]</f>
        <v>0.70108715780998354</v>
      </c>
      <c r="AB779" s="38">
        <f>MIP[[#This Row],[HH Produtivo
Total]]/MIP[[#This Row],[HH disponível]]</f>
        <v>0.58315937340941337</v>
      </c>
      <c r="AC779" s="38">
        <f>MIP[[#This Row],[HH Trabalhado]]/MIP[[#This Row],[HH disponível]]</f>
        <v>0.83179297597042523</v>
      </c>
      <c r="AD779" s="37" t="str">
        <f>LEFT(MIP[[#This Row],[Equipe]], SEARCH("/",MIP[[#This Row],[Equipe]],1)-1)</f>
        <v xml:space="preserve">JOILSON </v>
      </c>
      <c r="AE779" s="37" t="str">
        <f>RIGHT(MIP[[#This Row],[Equipe]], LEN(MIP[[#This Row],[Equipe]])-SEARCH("/",MIP[[#This Row],[Equipe]],1))</f>
        <v xml:space="preserve"> VALDEI</v>
      </c>
      <c r="AF779" s="44">
        <f>COUNTIFS('[1]Tempo parado'!H:H,"&gt;="&amp;MIP[[#This Row],[S.B Sitrack]],'[1]Tempo parado'!I:I,"&lt;="&amp;MIP[[#This Row],[C.B Sitrack]],'[1]Tempo parado'!B:B,MIP[[#This Row],[Placa]])</f>
        <v>18</v>
      </c>
      <c r="AG779" s="36"/>
      <c r="AH779" s="35"/>
      <c r="AI779" s="34">
        <v>43051.268599537034</v>
      </c>
      <c r="AJ779" s="34">
        <v>43051.633159722223</v>
      </c>
      <c r="AK779" s="32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1.8749999999999933E-2</v>
      </c>
      <c r="AL77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46.800000000000011</v>
      </c>
      <c r="AM779" s="32">
        <f>SUMIFS('[1]Tempo parado'!J:J,'[1]Tempo parado'!H:H,"&gt;="&amp;MIP[[#This Row],[S.B Sitrack]],'[1]Tempo parado'!I:I,"&lt;="&amp;MIP[[#This Row],[C.B Sitrack]],'[1]Tempo parado'!B:B,MIP[[#This Row],[Placa]])</f>
        <v>0.24231481481481482</v>
      </c>
      <c r="AN779" s="31">
        <f>IFERROR(MIP[[#This Row],[Tempo parado]]/(MIP[[#This Row],[C.B Sitrack]]-MIP[[#This Row],[S.B Sitrack]]),"")</f>
        <v>0.66467712234915322</v>
      </c>
      <c r="AO779" s="30"/>
      <c r="AP779" s="44">
        <f>IF(AND(MIP[Exc]=0,MIP[Previsto / Realizado]="Realizado"),MIP[Sem],0)</f>
        <v>46</v>
      </c>
      <c r="AQ779" s="29">
        <f>IF(AND(MIP[Exc]=0,MIP[Previsto / Realizado]="Realizado",ISBLANK(MIP[[#This Row],[S.B Sitrack]])=FALSE,ISBLANK(MIP[[#This Row],[C.B Sitrack]])=FALSE),MIP[Sem],0)</f>
        <v>46</v>
      </c>
    </row>
    <row r="780" spans="2:43" x14ac:dyDescent="0.25">
      <c r="B780" s="29">
        <f>WEEKNUM(MIP[[#This Row],[Data]])</f>
        <v>46</v>
      </c>
      <c r="C780" s="45">
        <v>43052</v>
      </c>
      <c r="D780" s="45"/>
      <c r="E780" s="35" t="s">
        <v>72</v>
      </c>
      <c r="F780" s="35" t="s">
        <v>5</v>
      </c>
      <c r="G780" s="35"/>
      <c r="H780" s="44">
        <v>3</v>
      </c>
      <c r="I780" s="44">
        <v>2</v>
      </c>
      <c r="J780" s="44">
        <v>5</v>
      </c>
      <c r="K780" s="44">
        <v>0</v>
      </c>
      <c r="L780" s="44">
        <v>0</v>
      </c>
      <c r="M780" s="43">
        <v>0.625</v>
      </c>
      <c r="N780" s="43">
        <v>0.64583333333333337</v>
      </c>
      <c r="O780" s="43">
        <v>1.0125</v>
      </c>
      <c r="P780" s="43">
        <v>1.0333333333333334</v>
      </c>
      <c r="Q780" s="39"/>
      <c r="R780" s="42"/>
      <c r="S780" s="29">
        <v>12</v>
      </c>
      <c r="T78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780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780" s="41">
        <f>MIP[[#This Row],[Eficiência]]</f>
        <v>0.82952472748668404</v>
      </c>
      <c r="W780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80" s="39">
        <f>IF(MIP[[#This Row],[P.S]]-MIP[[#This Row],[P.E]]&lt;0,1+MIP[[#This Row],[P.S]]-MIP[[#This Row],[P.E]]-1/24,MIP[[#This Row],[P.S]]-MIP[[#This Row],[P.E]]-1/24)</f>
        <v>0.36666666666666675</v>
      </c>
      <c r="Y780" s="39">
        <f>MIP[[#This Row],[PT-1]]*$S$3+MIP[[#This Row],[PT-2]]*$T$3+MIP[[#This Row],[PT-3]]*$U$3+MIP[[#This Row],[PT &gt; 3 Pontos]]*$V$3</f>
        <v>0.26959553643317224</v>
      </c>
      <c r="Z780" s="39">
        <f>MIP[[#This Row],[HH disponível]]-MIP[[#This Row],[HH AC TOT]]</f>
        <v>0.3249999999999999</v>
      </c>
      <c r="AA780" s="38">
        <f>MIP[[#This Row],[HH Produtivo
Total]]/MIP[[#This Row],[HH Trabalhado]]</f>
        <v>0.82952472748668404</v>
      </c>
      <c r="AB780" s="38">
        <f>MIP[[#This Row],[HH Produtivo
Total]]/MIP[[#This Row],[HH disponível]]</f>
        <v>0.73526055390865142</v>
      </c>
      <c r="AC780" s="38">
        <f>MIP[[#This Row],[HH Trabalhado]]/MIP[[#This Row],[HH disponível]]</f>
        <v>0.88636363636363591</v>
      </c>
      <c r="AD780" s="37" t="str">
        <f>LEFT(MIP[[#This Row],[Equipe]], SEARCH("/",MIP[[#This Row],[Equipe]],1)-1)</f>
        <v xml:space="preserve">ANDERSON </v>
      </c>
      <c r="AE780" s="37" t="str">
        <f>RIGHT(MIP[[#This Row],[Equipe]], LEN(MIP[[#This Row],[Equipe]])-SEARCH("/",MIP[[#This Row],[Equipe]],1))</f>
        <v xml:space="preserve"> GECIVALDO / MARCO</v>
      </c>
      <c r="AF780" s="44">
        <f>COUNTIFS('[1]Tempo parado'!H:H,"&gt;="&amp;MIP[[#This Row],[S.B Sitrack]],'[1]Tempo parado'!I:I,"&lt;="&amp;MIP[[#This Row],[C.B Sitrack]],'[1]Tempo parado'!B:B,MIP[[#This Row],[Placa]])</f>
        <v>0</v>
      </c>
      <c r="AG780" s="36"/>
      <c r="AH780" s="35"/>
      <c r="AI780" s="34"/>
      <c r="AJ780" s="34"/>
      <c r="AK78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8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80" s="32">
        <f>SUMIFS('[1]Tempo parado'!J:J,'[1]Tempo parado'!H:H,"&gt;="&amp;MIP[[#This Row],[S.B Sitrack]],'[1]Tempo parado'!I:I,"&lt;="&amp;MIP[[#This Row],[C.B Sitrack]],'[1]Tempo parado'!B:B,MIP[[#This Row],[Placa]])</f>
        <v>0</v>
      </c>
      <c r="AN780" s="32" t="str">
        <f>IFERROR(MIP[[#This Row],[Tempo parado]]/(MIP[[#This Row],[C.B Sitrack]]-MIP[[#This Row],[S.B Sitrack]]),"")</f>
        <v/>
      </c>
      <c r="AO780" s="30"/>
      <c r="AP780" s="44">
        <f>IF(AND(MIP[Exc]=0,MIP[Previsto / Realizado]="Realizado"),MIP[Sem],0)</f>
        <v>0</v>
      </c>
      <c r="AQ780" s="29">
        <f>IF(AND(MIP[Exc]=0,MIP[Previsto / Realizado]="Realizado",ISBLANK(MIP[[#This Row],[S.B Sitrack]])=FALSE,ISBLANK(MIP[[#This Row],[C.B Sitrack]])=FALSE),MIP[Sem],0)</f>
        <v>0</v>
      </c>
    </row>
    <row r="781" spans="2:43" x14ac:dyDescent="0.25">
      <c r="B781" s="29">
        <f>WEEKNUM(MIP[[#This Row],[Data]])</f>
        <v>46</v>
      </c>
      <c r="C781" s="45">
        <v>43052</v>
      </c>
      <c r="D781" s="45"/>
      <c r="E781" s="35" t="s">
        <v>72</v>
      </c>
      <c r="F781" s="35" t="s">
        <v>2</v>
      </c>
      <c r="G781" s="35" t="s">
        <v>6</v>
      </c>
      <c r="H781" s="44">
        <v>3</v>
      </c>
      <c r="I781" s="44">
        <v>3</v>
      </c>
      <c r="J781" s="44">
        <v>5</v>
      </c>
      <c r="K781" s="44">
        <v>0</v>
      </c>
      <c r="L781" s="44">
        <v>0</v>
      </c>
      <c r="M781" s="43">
        <v>0.625</v>
      </c>
      <c r="N781" s="43">
        <v>0.68055555555555547</v>
      </c>
      <c r="O781" s="43">
        <v>1.0298611111111111</v>
      </c>
      <c r="P781" s="68">
        <v>3.3333333333333333E-2</v>
      </c>
      <c r="Q781" s="39"/>
      <c r="R781" s="42" t="s">
        <v>32</v>
      </c>
      <c r="S781" s="29">
        <v>13</v>
      </c>
      <c r="T78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5.902777777777779E-2</v>
      </c>
      <c r="U781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5.902777777777779E-2</v>
      </c>
      <c r="V781" s="41">
        <f>MIP[[#This Row],[Eficiência]]</f>
        <v>0.95768578041678898</v>
      </c>
      <c r="W781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81" s="39">
        <f>IF(MIP[[#This Row],[P.S]]-MIP[[#This Row],[P.E]]&lt;0,1+MIP[[#This Row],[P.S]]-MIP[[#This Row],[P.E]]-1/24,MIP[[#This Row],[P.S]]-MIP[[#This Row],[P.E]]-1/24)</f>
        <v>0.36666666666666675</v>
      </c>
      <c r="Y781" s="39">
        <f>MIP[[#This Row],[PT-1]]*$S$3+MIP[[#This Row],[PT-2]]*$T$3+MIP[[#This Row],[PT-3]]*$U$3+MIP[[#This Row],[PT &gt; 3 Pontos]]*$V$3</f>
        <v>0.29462138939210947</v>
      </c>
      <c r="Z781" s="39">
        <f>MIP[[#This Row],[HH disponível]]-MIP[[#This Row],[HH AC TOT]]</f>
        <v>0.30763888888888896</v>
      </c>
      <c r="AA781" s="38">
        <f>MIP[[#This Row],[HH Produtivo
Total]]/MIP[[#This Row],[HH Trabalhado]]</f>
        <v>0.95768578041678898</v>
      </c>
      <c r="AB781" s="38">
        <f>MIP[[#This Row],[HH Produtivo
Total]]/MIP[[#This Row],[HH disponível]]</f>
        <v>0.80351288016029832</v>
      </c>
      <c r="AC781" s="38">
        <f>MIP[[#This Row],[HH Trabalhado]]/MIP[[#This Row],[HH disponível]]</f>
        <v>0.83901515151515149</v>
      </c>
      <c r="AD781" s="37" t="str">
        <f>LEFT(MIP[[#This Row],[Equipe]], SEARCH("/",MIP[[#This Row],[Equipe]],1)-1)</f>
        <v xml:space="preserve">ANDERSON </v>
      </c>
      <c r="AE781" s="37" t="str">
        <f>RIGHT(MIP[[#This Row],[Equipe]], LEN(MIP[[#This Row],[Equipe]])-SEARCH("/",MIP[[#This Row],[Equipe]],1))</f>
        <v xml:space="preserve"> GECIVALDO / MARCO</v>
      </c>
      <c r="AF781" s="44">
        <f>COUNTIFS('[1]Tempo parado'!H:H,"&gt;="&amp;MIP[[#This Row],[S.B Sitrack]],'[1]Tempo parado'!I:I,"&lt;="&amp;MIP[[#This Row],[C.B Sitrack]],'[1]Tempo parado'!B:B,MIP[[#This Row],[Placa]])</f>
        <v>10</v>
      </c>
      <c r="AG781" s="36"/>
      <c r="AH781" s="35"/>
      <c r="AI781" s="34">
        <v>43052.680208333331</v>
      </c>
      <c r="AJ781" s="34">
        <v>43053.021111111113</v>
      </c>
      <c r="AK781" s="32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9.7222222222221148E-3</v>
      </c>
      <c r="AL78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34.199999999999996</v>
      </c>
      <c r="AM781" s="32">
        <f>SUMIFS('[1]Tempo parado'!J:J,'[1]Tempo parado'!H:H,"&gt;="&amp;MIP[[#This Row],[S.B Sitrack]],'[1]Tempo parado'!I:I,"&lt;="&amp;MIP[[#This Row],[C.B Sitrack]],'[1]Tempo parado'!B:B,MIP[[#This Row],[Placa]])</f>
        <v>0.25231481481481483</v>
      </c>
      <c r="AN781" s="31">
        <f>IFERROR(MIP[[#This Row],[Tempo parado]]/(MIP[[#This Row],[C.B Sitrack]]-MIP[[#This Row],[S.B Sitrack]]),"")</f>
        <v>0.74013716302559873</v>
      </c>
      <c r="AO781" s="30"/>
      <c r="AP781" s="44">
        <f>IF(AND(MIP[Exc]=0,MIP[Previsto / Realizado]="Realizado"),MIP[Sem],0)</f>
        <v>46</v>
      </c>
      <c r="AQ781" s="29">
        <f>IF(AND(MIP[Exc]=0,MIP[Previsto / Realizado]="Realizado",ISBLANK(MIP[[#This Row],[S.B Sitrack]])=FALSE,ISBLANK(MIP[[#This Row],[C.B Sitrack]])=FALSE),MIP[Sem],0)</f>
        <v>46</v>
      </c>
    </row>
    <row r="782" spans="2:43" x14ac:dyDescent="0.25">
      <c r="B782" s="29">
        <f>WEEKNUM(MIP[[#This Row],[Data]])</f>
        <v>46</v>
      </c>
      <c r="C782" s="45">
        <v>43052</v>
      </c>
      <c r="D782" s="45"/>
      <c r="E782" s="35" t="s">
        <v>19</v>
      </c>
      <c r="F782" s="35" t="s">
        <v>5</v>
      </c>
      <c r="G782" s="35"/>
      <c r="H782" s="44">
        <v>2</v>
      </c>
      <c r="I782" s="44">
        <v>3</v>
      </c>
      <c r="J782" s="44">
        <v>0</v>
      </c>
      <c r="K782" s="44">
        <v>1</v>
      </c>
      <c r="L782" s="44">
        <v>13</v>
      </c>
      <c r="M782" s="43">
        <v>0.625</v>
      </c>
      <c r="N782" s="43">
        <v>0.64583333333333337</v>
      </c>
      <c r="O782" s="43">
        <v>1.0125</v>
      </c>
      <c r="P782" s="43">
        <v>1.0333333333333334</v>
      </c>
      <c r="Q782" s="39"/>
      <c r="R782" s="42"/>
      <c r="S782" s="29">
        <v>19</v>
      </c>
      <c r="T78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782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782" s="41">
        <f>MIP[[#This Row],[Eficiência]]</f>
        <v>1.2341334756114355</v>
      </c>
      <c r="W782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82" s="39">
        <f>IF(MIP[[#This Row],[P.S]]-MIP[[#This Row],[P.E]]&lt;0,1+MIP[[#This Row],[P.S]]-MIP[[#This Row],[P.E]]-1/24,MIP[[#This Row],[P.S]]-MIP[[#This Row],[P.E]]-1/24)</f>
        <v>0.36666666666666675</v>
      </c>
      <c r="Y782" s="39">
        <f>MIP[[#This Row],[PT-1]]*$S$3+MIP[[#This Row],[PT-2]]*$T$3+MIP[[#This Row],[PT-3]]*$U$3+MIP[[#This Row],[PT &gt; 3 Pontos]]*$V$3</f>
        <v>0.40109337957371638</v>
      </c>
      <c r="Z782" s="39">
        <f>MIP[[#This Row],[HH disponível]]-MIP[[#This Row],[HH AC TOT]]</f>
        <v>0.3249999999999999</v>
      </c>
      <c r="AA782" s="38">
        <f>MIP[[#This Row],[HH Produtivo
Total]]/MIP[[#This Row],[HH Trabalhado]]</f>
        <v>1.2341334756114355</v>
      </c>
      <c r="AB782" s="38">
        <f>MIP[[#This Row],[HH Produtivo
Total]]/MIP[[#This Row],[HH disponível]]</f>
        <v>1.0938910352010445</v>
      </c>
      <c r="AC782" s="38">
        <f>MIP[[#This Row],[HH Trabalhado]]/MIP[[#This Row],[HH disponível]]</f>
        <v>0.88636363636363591</v>
      </c>
      <c r="AD782" s="37" t="str">
        <f>LEFT(MIP[[#This Row],[Equipe]], SEARCH("/",MIP[[#This Row],[Equipe]],1)-1)</f>
        <v xml:space="preserve">ADEMÁRIO </v>
      </c>
      <c r="AE782" s="37" t="str">
        <f>RIGHT(MIP[[#This Row],[Equipe]], LEN(MIP[[#This Row],[Equipe]])-SEARCH("/",MIP[[#This Row],[Equipe]],1))</f>
        <v xml:space="preserve"> RONALDO</v>
      </c>
      <c r="AF782" s="44">
        <f>COUNTIFS('[1]Tempo parado'!H:H,"&gt;="&amp;MIP[[#This Row],[S.B Sitrack]],'[1]Tempo parado'!I:I,"&lt;="&amp;MIP[[#This Row],[C.B Sitrack]],'[1]Tempo parado'!B:B,MIP[[#This Row],[Placa]])</f>
        <v>0</v>
      </c>
      <c r="AG782" s="36"/>
      <c r="AH782" s="35"/>
      <c r="AI782" s="34"/>
      <c r="AJ782" s="34"/>
      <c r="AK78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8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82" s="32">
        <f>SUMIFS('[1]Tempo parado'!J:J,'[1]Tempo parado'!H:H,"&gt;="&amp;MIP[[#This Row],[S.B Sitrack]],'[1]Tempo parado'!I:I,"&lt;="&amp;MIP[[#This Row],[C.B Sitrack]],'[1]Tempo parado'!B:B,MIP[[#This Row],[Placa]])</f>
        <v>0</v>
      </c>
      <c r="AN782" s="32" t="str">
        <f>IFERROR(MIP[[#This Row],[Tempo parado]]/(MIP[[#This Row],[C.B Sitrack]]-MIP[[#This Row],[S.B Sitrack]]),"")</f>
        <v/>
      </c>
      <c r="AO782" s="30"/>
      <c r="AP782" s="44">
        <f>IF(AND(MIP[Exc]=0,MIP[Previsto / Realizado]="Realizado"),MIP[Sem],0)</f>
        <v>0</v>
      </c>
      <c r="AQ782" s="29">
        <f>IF(AND(MIP[Exc]=0,MIP[Previsto / Realizado]="Realizado",ISBLANK(MIP[[#This Row],[S.B Sitrack]])=FALSE,ISBLANK(MIP[[#This Row],[C.B Sitrack]])=FALSE),MIP[Sem],0)</f>
        <v>0</v>
      </c>
    </row>
    <row r="783" spans="2:43" x14ac:dyDescent="0.25">
      <c r="B783" s="29">
        <f>WEEKNUM(MIP[[#This Row],[Data]])</f>
        <v>46</v>
      </c>
      <c r="C783" s="45">
        <v>43052</v>
      </c>
      <c r="D783" s="45"/>
      <c r="E783" s="46" t="s">
        <v>19</v>
      </c>
      <c r="F783" s="35" t="s">
        <v>2</v>
      </c>
      <c r="G783" s="35" t="s">
        <v>39</v>
      </c>
      <c r="H783" s="44">
        <v>2</v>
      </c>
      <c r="I783" s="44">
        <v>2</v>
      </c>
      <c r="J783" s="44">
        <v>0</v>
      </c>
      <c r="K783" s="44">
        <v>1</v>
      </c>
      <c r="L783" s="44">
        <v>13</v>
      </c>
      <c r="M783" s="43">
        <v>0.63680555555555551</v>
      </c>
      <c r="N783" s="43">
        <v>0.69097222222222221</v>
      </c>
      <c r="O783" s="43">
        <v>1.0069444444444444</v>
      </c>
      <c r="P783" s="43">
        <v>4.5833333333333337E-2</v>
      </c>
      <c r="Q783" s="39"/>
      <c r="R783" s="42"/>
      <c r="S783" s="29">
        <v>18</v>
      </c>
      <c r="T78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9.3055555555555669E-2</v>
      </c>
      <c r="U783" s="39">
        <f>IF(MIP[[#This Row],[P.S]]-MIP[[#This Row],[U.P]]&gt;=0,MIP[[#This Row],[P.S]]-MIP[[#This Row],[U.P]]+MIP[[#This Row],[S.B]]-MIP[[#This Row],[P.E]],1+MIP[[#This Row],[P.S]]-MIP[[#This Row],[U.P]]+MIP[[#This Row],[S.B]]-MIP[[#This Row],[P.E]])</f>
        <v>9.3055555555555669E-2</v>
      </c>
      <c r="V783" s="41">
        <f>MIP[[#This Row],[Eficiência]]</f>
        <v>1.3709803501905875</v>
      </c>
      <c r="W783" s="71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83" s="39">
        <f>IF(MIP[[#This Row],[P.S]]-MIP[[#This Row],[P.E]]&lt;0,1+MIP[[#This Row],[P.S]]-MIP[[#This Row],[P.E]]-1/24,MIP[[#This Row],[P.S]]-MIP[[#This Row],[P.E]]-1/24)</f>
        <v>0.36736111111111119</v>
      </c>
      <c r="Y783" s="39">
        <f>MIP[[#This Row],[PT-1]]*$S$3+MIP[[#This Row],[PT-2]]*$T$3+MIP[[#This Row],[PT-3]]*$U$3+MIP[[#This Row],[PT &gt; 3 Pontos]]*$V$3</f>
        <v>0.37606752661477916</v>
      </c>
      <c r="Z783" s="39">
        <f>MIP[[#This Row],[HH disponível]]-MIP[[#This Row],[HH AC TOT]]</f>
        <v>0.27430555555555552</v>
      </c>
      <c r="AA783" s="38">
        <f>MIP[[#This Row],[HH Produtivo
Total]]/MIP[[#This Row],[HH Trabalhado]]</f>
        <v>1.3709803501905875</v>
      </c>
      <c r="AB783" s="38">
        <f>MIP[[#This Row],[HH Produtivo
Total]]/MIP[[#This Row],[HH disponível]]</f>
        <v>1.0236998834126312</v>
      </c>
      <c r="AC783" s="38">
        <f>MIP[[#This Row],[HH Trabalhado]]/MIP[[#This Row],[HH disponível]]</f>
        <v>0.74669187145557636</v>
      </c>
      <c r="AD783" s="37" t="str">
        <f>LEFT(MIP[[#This Row],[Equipe]], SEARCH("/",MIP[[#This Row],[Equipe]],1)-1)</f>
        <v xml:space="preserve">ADEMÁRIO </v>
      </c>
      <c r="AE783" s="37" t="str">
        <f>RIGHT(MIP[[#This Row],[Equipe]], LEN(MIP[[#This Row],[Equipe]])-SEARCH("/",MIP[[#This Row],[Equipe]],1))</f>
        <v xml:space="preserve"> RONALDO</v>
      </c>
      <c r="AF783" s="44">
        <f>COUNTIFS('[1]Tempo parado'!H:H,"&gt;="&amp;MIP[[#This Row],[S.B Sitrack]],'[1]Tempo parado'!I:I,"&lt;="&amp;MIP[[#This Row],[C.B Sitrack]],'[1]Tempo parado'!B:B,MIP[[#This Row],[Placa]])</f>
        <v>9</v>
      </c>
      <c r="AG783" s="36"/>
      <c r="AH783" s="35"/>
      <c r="AI783" s="34">
        <v>43052.69122685185</v>
      </c>
      <c r="AJ783" s="34">
        <v>43053.020451388889</v>
      </c>
      <c r="AK783" s="32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1.319444444444447E-2</v>
      </c>
      <c r="AL78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54.500000000000007</v>
      </c>
      <c r="AM783" s="32">
        <f>SUMIFS('[1]Tempo parado'!J:J,'[1]Tempo parado'!H:H,"&gt;="&amp;MIP[[#This Row],[S.B Sitrack]],'[1]Tempo parado'!I:I,"&lt;="&amp;MIP[[#This Row],[C.B Sitrack]],'[1]Tempo parado'!B:B,MIP[[#This Row],[Placa]])</f>
        <v>0.23180555555555554</v>
      </c>
      <c r="AN783" s="31">
        <f>IFERROR(MIP[[#This Row],[Tempo parado]]/(MIP[[#This Row],[C.B Sitrack]]-MIP[[#This Row],[S.B Sitrack]]),"")</f>
        <v>0.70409562312728902</v>
      </c>
      <c r="AO783" s="70" t="s">
        <v>139</v>
      </c>
      <c r="AP783" s="44">
        <f>IF(AND(MIP[Exc]=0,MIP[Previsto / Realizado]="Realizado"),MIP[Sem],0)</f>
        <v>46</v>
      </c>
      <c r="AQ783" s="29">
        <f>IF(AND(MIP[Exc]=0,MIP[Previsto / Realizado]="Realizado",ISBLANK(MIP[[#This Row],[S.B Sitrack]])=FALSE,ISBLANK(MIP[[#This Row],[C.B Sitrack]])=FALSE),MIP[Sem],0)</f>
        <v>46</v>
      </c>
    </row>
    <row r="784" spans="2:43" x14ac:dyDescent="0.25">
      <c r="B784" s="29">
        <f>WEEKNUM(MIP[[#This Row],[Data]])</f>
        <v>46</v>
      </c>
      <c r="C784" s="45">
        <v>43053</v>
      </c>
      <c r="D784" s="45"/>
      <c r="E784" s="35" t="s">
        <v>10</v>
      </c>
      <c r="F784" s="35" t="s">
        <v>5</v>
      </c>
      <c r="G784" s="35"/>
      <c r="H784" s="44">
        <v>2</v>
      </c>
      <c r="I784" s="44">
        <v>2</v>
      </c>
      <c r="J784" s="44">
        <v>0</v>
      </c>
      <c r="K784" s="44">
        <v>1</v>
      </c>
      <c r="L784" s="44">
        <v>0</v>
      </c>
      <c r="M784" s="43">
        <v>0.25</v>
      </c>
      <c r="N784" s="43">
        <v>0.27083333333333331</v>
      </c>
      <c r="O784" s="43">
        <v>0.63750000000000007</v>
      </c>
      <c r="P784" s="43">
        <v>0.65833333333333333</v>
      </c>
      <c r="Q784" s="39"/>
      <c r="R784" s="67"/>
      <c r="S784" s="29">
        <f>MIP[[#This Row],[PT-1]]+MIP[[#This Row],[PT-2]]*2+MIP[[#This Row],[PT-3]]*3+MIP[[#This Row],[PT &gt; 3 Pontos]]</f>
        <v>5</v>
      </c>
      <c r="T78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784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784" s="41">
        <f>MIP[[#This Row],[Eficiência]]</f>
        <v>0.34721041589248097</v>
      </c>
      <c r="W784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84" s="39">
        <f>IF(MIP[[#This Row],[P.S]]-MIP[[#This Row],[P.E]]&lt;0,1+MIP[[#This Row],[P.S]]-MIP[[#This Row],[P.E]]-1/24,MIP[[#This Row],[P.S]]-MIP[[#This Row],[P.E]]-1/24)</f>
        <v>0.36666666666666664</v>
      </c>
      <c r="Y784" s="39">
        <f>MIP[[#This Row],[PT-1]]*$S$3+MIP[[#This Row],[PT-2]]*$T$3+MIP[[#This Row],[PT-3]]*$U$3+MIP[[#This Row],[PT &gt; 3 Pontos]]*$V$3</f>
        <v>0.11284338516505635</v>
      </c>
      <c r="Z784" s="39">
        <f>MIP[[#This Row],[HH disponível]]-MIP[[#This Row],[HH AC TOT]]</f>
        <v>0.32500000000000007</v>
      </c>
      <c r="AA784" s="38">
        <f>MIP[[#This Row],[HH Produtivo
Total]]/MIP[[#This Row],[HH Trabalhado]]</f>
        <v>0.34721041589248097</v>
      </c>
      <c r="AB784" s="38">
        <f>MIP[[#This Row],[HH Produtivo
Total]]/MIP[[#This Row],[HH disponível]]</f>
        <v>0.30775468681379003</v>
      </c>
      <c r="AC784" s="38">
        <f>MIP[[#This Row],[HH Trabalhado]]/MIP[[#This Row],[HH disponível]]</f>
        <v>0.88636363636363658</v>
      </c>
      <c r="AD784" s="37" t="str">
        <f>LEFT(MIP[[#This Row],[Equipe]], SEARCH("/",MIP[[#This Row],[Equipe]],1)-1)</f>
        <v xml:space="preserve">JOILSON </v>
      </c>
      <c r="AE784" s="37" t="str">
        <f>RIGHT(MIP[[#This Row],[Equipe]], LEN(MIP[[#This Row],[Equipe]])-SEARCH("/",MIP[[#This Row],[Equipe]],1))</f>
        <v xml:space="preserve"> VALDEI</v>
      </c>
      <c r="AF784" s="29">
        <f>COUNTIFS('[1]Tempo parado'!H:H,"&gt;="&amp;MIP[[#This Row],[S.B Sitrack]],'[1]Tempo parado'!I:I,"&lt;="&amp;MIP[[#This Row],[C.B Sitrack]],'[1]Tempo parado'!B:B,MIP[[#This Row],[Placa]])</f>
        <v>0</v>
      </c>
      <c r="AG784" s="36"/>
      <c r="AH784" s="35"/>
      <c r="AI784" s="34"/>
      <c r="AJ784" s="34"/>
      <c r="AK78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8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84" s="32">
        <f>SUMIFS('[1]Tempo parado'!J:J,'[1]Tempo parado'!H:H,"&gt;="&amp;MIP[[#This Row],[S.B Sitrack]],'[1]Tempo parado'!I:I,"&lt;="&amp;MIP[[#This Row],[C.B Sitrack]],'[1]Tempo parado'!B:B,MIP[[#This Row],[Placa]])</f>
        <v>0</v>
      </c>
      <c r="AN784" s="31" t="str">
        <f>IFERROR(MIP[[#This Row],[Tempo parado]]/(MIP[[#This Row],[C.B Sitrack]]-MIP[[#This Row],[S.B Sitrack]]),"")</f>
        <v/>
      </c>
      <c r="AO784" s="30"/>
      <c r="AP784" s="44">
        <f>IF(AND(MIP[Exc]=0,MIP[Previsto / Realizado]="Realizado"),MIP[Sem],0)</f>
        <v>0</v>
      </c>
      <c r="AQ784" s="29">
        <f>IF(AND(MIP[Exc]=0,MIP[Previsto / Realizado]="Realizado",ISBLANK(MIP[[#This Row],[S.B Sitrack]])=FALSE,ISBLANK(MIP[[#This Row],[C.B Sitrack]])=FALSE),MIP[Sem],0)</f>
        <v>0</v>
      </c>
    </row>
    <row r="785" spans="2:43" x14ac:dyDescent="0.25">
      <c r="B785" s="29">
        <f>WEEKNUM(MIP[[#This Row],[Data]])</f>
        <v>46</v>
      </c>
      <c r="C785" s="45">
        <v>43053</v>
      </c>
      <c r="D785" s="45"/>
      <c r="E785" s="35" t="s">
        <v>10</v>
      </c>
      <c r="F785" s="35" t="s">
        <v>2</v>
      </c>
      <c r="G785" s="35" t="s">
        <v>39</v>
      </c>
      <c r="H785" s="44">
        <v>2</v>
      </c>
      <c r="I785" s="44">
        <v>4</v>
      </c>
      <c r="J785" s="44">
        <v>0</v>
      </c>
      <c r="K785" s="44">
        <v>1</v>
      </c>
      <c r="L785" s="44">
        <v>0</v>
      </c>
      <c r="M785" s="43">
        <v>0.24722222222222223</v>
      </c>
      <c r="N785" s="43">
        <v>0.28819444444444448</v>
      </c>
      <c r="O785" s="43">
        <v>0.61805555555555558</v>
      </c>
      <c r="P785" s="43">
        <v>0.65763888888888888</v>
      </c>
      <c r="Q785" s="39">
        <v>4.6527777777777779E-2</v>
      </c>
      <c r="R785" s="42" t="s">
        <v>138</v>
      </c>
      <c r="S785" s="29">
        <f>MIP[[#This Row],[PT-1]]+MIP[[#This Row],[PT-2]]*2+MIP[[#This Row],[PT-3]]*3+MIP[[#This Row],[PT &gt; 3 Pontos]]</f>
        <v>7</v>
      </c>
      <c r="T78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0.12708333333333333</v>
      </c>
      <c r="U785" s="39">
        <f>IF(MIP[[#This Row],[P.S]]-MIP[[#This Row],[U.P]]&gt;=0,MIP[[#This Row],[P.S]]-MIP[[#This Row],[U.P]]+MIP[[#This Row],[S.B]]-MIP[[#This Row],[P.E]],1+MIP[[#This Row],[P.S]]-MIP[[#This Row],[U.P]]+MIP[[#This Row],[S.B]]-MIP[[#This Row],[P.E]])</f>
        <v>8.0555555555555547E-2</v>
      </c>
      <c r="V785" s="41">
        <f>MIP[[#This Row],[Eficiência]]</f>
        <v>0.67404865275695469</v>
      </c>
      <c r="W785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85" s="39">
        <f>IF(MIP[[#This Row],[P.S]]-MIP[[#This Row],[P.E]]&lt;0,1+MIP[[#This Row],[P.S]]-MIP[[#This Row],[P.E]]-1/24,MIP[[#This Row],[P.S]]-MIP[[#This Row],[P.E]]-1/24)</f>
        <v>0.36874999999999997</v>
      </c>
      <c r="Y785" s="39">
        <f>MIP[[#This Row],[PT-1]]*$S$3+MIP[[#This Row],[PT-2]]*$T$3+MIP[[#This Row],[PT-3]]*$U$3+MIP[[#This Row],[PT &gt; 3 Pontos]]*$V$3</f>
        <v>0.16289509108293071</v>
      </c>
      <c r="Z785" s="39">
        <f>MIP[[#This Row],[HH disponível]]-MIP[[#This Row],[HH AC TOT]]</f>
        <v>0.24166666666666664</v>
      </c>
      <c r="AA785" s="38">
        <f>MIP[[#This Row],[HH Produtivo
Total]]/MIP[[#This Row],[HH Trabalhado]]</f>
        <v>0.67404865275695469</v>
      </c>
      <c r="AB785" s="38">
        <f>MIP[[#This Row],[HH Produtivo
Total]]/MIP[[#This Row],[HH disponível]]</f>
        <v>0.44174939954693077</v>
      </c>
      <c r="AC785" s="38">
        <f>MIP[[#This Row],[HH Trabalhado]]/MIP[[#This Row],[HH disponível]]</f>
        <v>0.65536723163841804</v>
      </c>
      <c r="AD785" s="37" t="str">
        <f>LEFT(MIP[[#This Row],[Equipe]], SEARCH("/",MIP[[#This Row],[Equipe]],1)-1)</f>
        <v xml:space="preserve">JOILSON </v>
      </c>
      <c r="AE785" s="37" t="str">
        <f>RIGHT(MIP[[#This Row],[Equipe]], LEN(MIP[[#This Row],[Equipe]])-SEARCH("/",MIP[[#This Row],[Equipe]],1))</f>
        <v xml:space="preserve"> VALDEI</v>
      </c>
      <c r="AF785" s="29">
        <f>COUNTIFS('[1]Tempo parado'!H:H,"&gt;="&amp;MIP[[#This Row],[S.B Sitrack]],'[1]Tempo parado'!I:I,"&lt;="&amp;MIP[[#This Row],[C.B Sitrack]],'[1]Tempo parado'!B:B,MIP[[#This Row],[Placa]])</f>
        <v>11</v>
      </c>
      <c r="AG785" s="36"/>
      <c r="AH785" s="35"/>
      <c r="AI785" s="34">
        <v>43053.28633101852</v>
      </c>
      <c r="AJ785" s="34">
        <v>43053.617905092593</v>
      </c>
      <c r="AK785" s="32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2.7777777777777679E-3</v>
      </c>
      <c r="AL78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30.300000000000004</v>
      </c>
      <c r="AM785" s="32">
        <f>SUMIFS('[1]Tempo parado'!J:J,'[1]Tempo parado'!H:H,"&gt;="&amp;MIP[[#This Row],[S.B Sitrack]],'[1]Tempo parado'!I:I,"&lt;="&amp;MIP[[#This Row],[C.B Sitrack]],'[1]Tempo parado'!B:B,MIP[[#This Row],[Placa]])</f>
        <v>0.2459027777777778</v>
      </c>
      <c r="AN785" s="31">
        <f>IFERROR(MIP[[#This Row],[Tempo parado]]/(MIP[[#This Row],[C.B Sitrack]]-MIP[[#This Row],[S.B Sitrack]]),"")</f>
        <v>0.74162245183216002</v>
      </c>
      <c r="AO785" s="30"/>
      <c r="AP785" s="44">
        <f>IF(AND(MIP[Exc]=0,MIP[Previsto / Realizado]="Realizado"),MIP[Sem],0)</f>
        <v>46</v>
      </c>
      <c r="AQ785" s="29">
        <f>IF(AND(MIP[Exc]=0,MIP[Previsto / Realizado]="Realizado",ISBLANK(MIP[[#This Row],[S.B Sitrack]])=FALSE,ISBLANK(MIP[[#This Row],[C.B Sitrack]])=FALSE),MIP[Sem],0)</f>
        <v>46</v>
      </c>
    </row>
    <row r="786" spans="2:43" x14ac:dyDescent="0.25">
      <c r="B786" s="29">
        <f>WEEKNUM(MIP[[#This Row],[Data]])</f>
        <v>46</v>
      </c>
      <c r="C786" s="45">
        <v>43053</v>
      </c>
      <c r="D786" s="45"/>
      <c r="E786" s="35" t="s">
        <v>72</v>
      </c>
      <c r="F786" s="35" t="s">
        <v>5</v>
      </c>
      <c r="G786" s="35"/>
      <c r="H786" s="44">
        <v>3</v>
      </c>
      <c r="I786" s="44">
        <v>1</v>
      </c>
      <c r="J786" s="44">
        <v>3</v>
      </c>
      <c r="K786" s="44">
        <v>0</v>
      </c>
      <c r="L786" s="44">
        <v>5</v>
      </c>
      <c r="M786" s="43">
        <v>0.625</v>
      </c>
      <c r="N786" s="43">
        <v>0.64583333333333337</v>
      </c>
      <c r="O786" s="43">
        <v>1.0125</v>
      </c>
      <c r="P786" s="43">
        <v>1.0333333333333334</v>
      </c>
      <c r="Q786" s="39"/>
      <c r="R786" s="67"/>
      <c r="S786" s="29">
        <f>MIP[[#This Row],[PT-1]]+MIP[[#This Row],[PT-2]]*2+MIP[[#This Row],[PT-3]]*3+MIP[[#This Row],[PT &gt; 3 Pontos]]</f>
        <v>12</v>
      </c>
      <c r="T78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786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786" s="41">
        <f>MIP[[#This Row],[Eficiência]]</f>
        <v>0.79382217129801702</v>
      </c>
      <c r="W786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86" s="39">
        <f>IF(MIP[[#This Row],[P.S]]-MIP[[#This Row],[P.E]]&lt;0,1+MIP[[#This Row],[P.S]]-MIP[[#This Row],[P.E]]-1/24,MIP[[#This Row],[P.S]]-MIP[[#This Row],[P.E]]-1/24)</f>
        <v>0.36666666666666675</v>
      </c>
      <c r="Y786" s="39">
        <f>MIP[[#This Row],[PT-1]]*$S$3+MIP[[#This Row],[PT-2]]*$T$3+MIP[[#This Row],[PT-3]]*$U$3+MIP[[#This Row],[PT &gt; 3 Pontos]]*$V$3</f>
        <v>0.25799220567185543</v>
      </c>
      <c r="Z786" s="39">
        <f>MIP[[#This Row],[HH disponível]]-MIP[[#This Row],[HH AC TOT]]</f>
        <v>0.3249999999999999</v>
      </c>
      <c r="AA786" s="38">
        <f>MIP[[#This Row],[HH Produtivo
Total]]/MIP[[#This Row],[HH Trabalhado]]</f>
        <v>0.79382217129801702</v>
      </c>
      <c r="AB786" s="38">
        <f>MIP[[#This Row],[HH Produtivo
Total]]/MIP[[#This Row],[HH disponível]]</f>
        <v>0.70361510637778735</v>
      </c>
      <c r="AC786" s="38">
        <f>MIP[[#This Row],[HH Trabalhado]]/MIP[[#This Row],[HH disponível]]</f>
        <v>0.88636363636363591</v>
      </c>
      <c r="AD786" s="37" t="str">
        <f>LEFT(MIP[[#This Row],[Equipe]], SEARCH("/",MIP[[#This Row],[Equipe]],1)-1)</f>
        <v xml:space="preserve">ANDERSON </v>
      </c>
      <c r="AE786" s="37" t="str">
        <f>RIGHT(MIP[[#This Row],[Equipe]], LEN(MIP[[#This Row],[Equipe]])-SEARCH("/",MIP[[#This Row],[Equipe]],1))</f>
        <v xml:space="preserve"> GECIVALDO / MARCO</v>
      </c>
      <c r="AF786" s="29">
        <f>COUNTIFS('[1]Tempo parado'!H:H,"&gt;="&amp;MIP[[#This Row],[S.B Sitrack]],'[1]Tempo parado'!I:I,"&lt;="&amp;MIP[[#This Row],[C.B Sitrack]],'[1]Tempo parado'!B:B,MIP[[#This Row],[Placa]])</f>
        <v>0</v>
      </c>
      <c r="AG786" s="36"/>
      <c r="AH786" s="35"/>
      <c r="AI786" s="34"/>
      <c r="AJ786" s="34"/>
      <c r="AK78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8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86" s="32">
        <f>SUMIFS('[1]Tempo parado'!J:J,'[1]Tempo parado'!H:H,"&gt;="&amp;MIP[[#This Row],[S.B Sitrack]],'[1]Tempo parado'!I:I,"&lt;="&amp;MIP[[#This Row],[C.B Sitrack]],'[1]Tempo parado'!B:B,MIP[[#This Row],[Placa]])</f>
        <v>0</v>
      </c>
      <c r="AN786" s="31" t="str">
        <f>IFERROR(MIP[[#This Row],[Tempo parado]]/(MIP[[#This Row],[C.B Sitrack]]-MIP[[#This Row],[S.B Sitrack]]),"")</f>
        <v/>
      </c>
      <c r="AO786" s="30"/>
      <c r="AP786" s="44">
        <f>IF(AND(MIP[Exc]=0,MIP[Previsto / Realizado]="Realizado"),MIP[Sem],0)</f>
        <v>0</v>
      </c>
      <c r="AQ786" s="29">
        <f>IF(AND(MIP[Exc]=0,MIP[Previsto / Realizado]="Realizado",ISBLANK(MIP[[#This Row],[S.B Sitrack]])=FALSE,ISBLANK(MIP[[#This Row],[C.B Sitrack]])=FALSE),MIP[Sem],0)</f>
        <v>0</v>
      </c>
    </row>
    <row r="787" spans="2:43" x14ac:dyDescent="0.25">
      <c r="B787" s="29">
        <f>WEEKNUM(MIP[[#This Row],[Data]])</f>
        <v>46</v>
      </c>
      <c r="C787" s="45">
        <v>43053</v>
      </c>
      <c r="D787" s="45"/>
      <c r="E787" s="35" t="s">
        <v>72</v>
      </c>
      <c r="F787" s="35" t="s">
        <v>2</v>
      </c>
      <c r="G787" s="35" t="s">
        <v>6</v>
      </c>
      <c r="H787" s="44">
        <v>3</v>
      </c>
      <c r="I787" s="44">
        <v>2</v>
      </c>
      <c r="J787" s="44">
        <v>3</v>
      </c>
      <c r="K787" s="44">
        <v>0</v>
      </c>
      <c r="L787" s="44">
        <v>5</v>
      </c>
      <c r="M787" s="43">
        <v>0.64027777777777783</v>
      </c>
      <c r="N787" s="43">
        <v>0.67361111111111116</v>
      </c>
      <c r="O787" s="43">
        <v>1.0243055555555556</v>
      </c>
      <c r="P787" s="68">
        <v>3.5416666666666666E-2</v>
      </c>
      <c r="Q787" s="39"/>
      <c r="R787" s="42" t="s">
        <v>137</v>
      </c>
      <c r="S787" s="29">
        <f>MIP[[#This Row],[PT-1]]+MIP[[#This Row],[PT-2]]*2+MIP[[#This Row],[PT-3]]*3+MIP[[#This Row],[PT &gt; 3 Pontos]]</f>
        <v>13</v>
      </c>
      <c r="T78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4.4444444444444398E-2</v>
      </c>
      <c r="U787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4.4444444444444398E-2</v>
      </c>
      <c r="V787" s="41">
        <f>MIP[[#This Row],[Eficiência]]</f>
        <v>0.91583371781649769</v>
      </c>
      <c r="W787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87" s="39">
        <f>IF(MIP[[#This Row],[P.S]]-MIP[[#This Row],[P.E]]&lt;0,1+MIP[[#This Row],[P.S]]-MIP[[#This Row],[P.E]]-1/24,MIP[[#This Row],[P.S]]-MIP[[#This Row],[P.E]]-1/24)</f>
        <v>0.35347222222222213</v>
      </c>
      <c r="Y787" s="39">
        <f>MIP[[#This Row],[PT-1]]*$S$3+MIP[[#This Row],[PT-2]]*$T$3+MIP[[#This Row],[PT-3]]*$U$3+MIP[[#This Row],[PT &gt; 3 Pontos]]*$V$3</f>
        <v>0.28301805863079266</v>
      </c>
      <c r="Z787" s="39">
        <f>MIP[[#This Row],[HH disponível]]-MIP[[#This Row],[HH AC TOT]]</f>
        <v>0.30902777777777773</v>
      </c>
      <c r="AA787" s="38">
        <f>MIP[[#This Row],[HH Produtivo
Total]]/MIP[[#This Row],[HH Trabalhado]]</f>
        <v>0.91583371781649769</v>
      </c>
      <c r="AB787" s="38">
        <f>MIP[[#This Row],[HH Produtivo
Total]]/MIP[[#This Row],[HH disponível]]</f>
        <v>0.80067977294369652</v>
      </c>
      <c r="AC787" s="38">
        <f>MIP[[#This Row],[HH Trabalhado]]/MIP[[#This Row],[HH disponível]]</f>
        <v>0.87426326129666021</v>
      </c>
      <c r="AD787" s="37" t="str">
        <f>LEFT(MIP[[#This Row],[Equipe]], SEARCH("/",MIP[[#This Row],[Equipe]],1)-1)</f>
        <v xml:space="preserve">ANDERSON </v>
      </c>
      <c r="AE787" s="37" t="str">
        <f>RIGHT(MIP[[#This Row],[Equipe]], LEN(MIP[[#This Row],[Equipe]])-SEARCH("/",MIP[[#This Row],[Equipe]],1))</f>
        <v xml:space="preserve"> GECIVALDO / MARCO</v>
      </c>
      <c r="AF787" s="29">
        <f>COUNTIFS('[1]Tempo parado'!H:H,"&gt;="&amp;MIP[[#This Row],[S.B Sitrack]],'[1]Tempo parado'!I:I,"&lt;="&amp;MIP[[#This Row],[C.B Sitrack]],'[1]Tempo parado'!B:B,MIP[[#This Row],[Placa]])</f>
        <v>10</v>
      </c>
      <c r="AG787" s="36"/>
      <c r="AH787" s="35"/>
      <c r="AI787" s="34">
        <v>43053.671620370369</v>
      </c>
      <c r="AJ787" s="34">
        <v>43054.021817129629</v>
      </c>
      <c r="AK787" s="32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4.8611111111111251E-3</v>
      </c>
      <c r="AL78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56.4</v>
      </c>
      <c r="AM787" s="32">
        <f>SUMIFS('[1]Tempo parado'!J:J,'[1]Tempo parado'!H:H,"&gt;="&amp;MIP[[#This Row],[S.B Sitrack]],'[1]Tempo parado'!I:I,"&lt;="&amp;MIP[[#This Row],[C.B Sitrack]],'[1]Tempo parado'!B:B,MIP[[#This Row],[Placa]])</f>
        <v>0.22546296296296295</v>
      </c>
      <c r="AN787" s="31">
        <f>IFERROR(MIP[[#This Row],[Tempo parado]]/(MIP[[#This Row],[C.B Sitrack]]-MIP[[#This Row],[S.B Sitrack]]),"")</f>
        <v>0.64381795947882581</v>
      </c>
      <c r="AO787" s="30"/>
      <c r="AP787" s="44">
        <f>IF(AND(MIP[Exc]=0,MIP[Previsto / Realizado]="Realizado"),MIP[Sem],0)</f>
        <v>46</v>
      </c>
      <c r="AQ787" s="29">
        <f>IF(AND(MIP[Exc]=0,MIP[Previsto / Realizado]="Realizado",ISBLANK(MIP[[#This Row],[S.B Sitrack]])=FALSE,ISBLANK(MIP[[#This Row],[C.B Sitrack]])=FALSE),MIP[Sem],0)</f>
        <v>46</v>
      </c>
    </row>
    <row r="788" spans="2:43" x14ac:dyDescent="0.25">
      <c r="B788" s="29">
        <f>WEEKNUM(MIP[[#This Row],[Data]])</f>
        <v>46</v>
      </c>
      <c r="C788" s="45">
        <v>43054</v>
      </c>
      <c r="D788" s="45"/>
      <c r="E788" s="35" t="s">
        <v>136</v>
      </c>
      <c r="F788" s="35" t="s">
        <v>5</v>
      </c>
      <c r="G788" s="35"/>
      <c r="H788" s="44">
        <v>2</v>
      </c>
      <c r="I788" s="44">
        <v>3</v>
      </c>
      <c r="J788" s="44">
        <v>2</v>
      </c>
      <c r="K788" s="44">
        <v>1</v>
      </c>
      <c r="L788" s="44">
        <v>0</v>
      </c>
      <c r="M788" s="43">
        <v>0.625</v>
      </c>
      <c r="N788" s="43">
        <v>0.64583333333333337</v>
      </c>
      <c r="O788" s="43">
        <v>1.0125</v>
      </c>
      <c r="P788" s="43">
        <v>1.0333333333333334</v>
      </c>
      <c r="Q788" s="39"/>
      <c r="R788" s="67"/>
      <c r="S788" s="29">
        <f>MIP[[#This Row],[PT-1]]+MIP[[#This Row],[PT-2]]*2+MIP[[#This Row],[PT-3]]*3+MIP[[#This Row],[PT &gt; 3 Pontos]]</f>
        <v>10</v>
      </c>
      <c r="T78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788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788" s="41">
        <f>MIP[[#This Row],[Eficiência]]</f>
        <v>0.69442083178496239</v>
      </c>
      <c r="W788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88" s="39">
        <f>IF(MIP[[#This Row],[P.S]]-MIP[[#This Row],[P.E]]&lt;0,1+MIP[[#This Row],[P.S]]-MIP[[#This Row],[P.E]]-1/24,MIP[[#This Row],[P.S]]-MIP[[#This Row],[P.E]]-1/24)</f>
        <v>0.36666666666666675</v>
      </c>
      <c r="Y788" s="39">
        <f>MIP[[#This Row],[PT-1]]*$S$3+MIP[[#This Row],[PT-2]]*$T$3+MIP[[#This Row],[PT-3]]*$U$3+MIP[[#This Row],[PT &gt; 3 Pontos]]*$V$3</f>
        <v>0.2256867703301127</v>
      </c>
      <c r="Z788" s="39">
        <f>MIP[[#This Row],[HH disponível]]-MIP[[#This Row],[HH AC TOT]]</f>
        <v>0.3249999999999999</v>
      </c>
      <c r="AA788" s="38">
        <f>MIP[[#This Row],[HH Produtivo
Total]]/MIP[[#This Row],[HH Trabalhado]]</f>
        <v>0.69442083178496239</v>
      </c>
      <c r="AB788" s="38">
        <f>MIP[[#This Row],[HH Produtivo
Total]]/MIP[[#This Row],[HH disponível]]</f>
        <v>0.61550937362757996</v>
      </c>
      <c r="AC788" s="38">
        <f>MIP[[#This Row],[HH Trabalhado]]/MIP[[#This Row],[HH disponível]]</f>
        <v>0.88636363636363591</v>
      </c>
      <c r="AD788" s="37" t="str">
        <f>LEFT(MIP[[#This Row],[Equipe]], SEARCH("/",MIP[[#This Row],[Equipe]],1)-1)</f>
        <v xml:space="preserve">GECIVALDO </v>
      </c>
      <c r="AE788" s="37" t="str">
        <f>RIGHT(MIP[[#This Row],[Equipe]], LEN(MIP[[#This Row],[Equipe]])-SEARCH("/",MIP[[#This Row],[Equipe]],1))</f>
        <v xml:space="preserve"> RONALDO</v>
      </c>
      <c r="AF788" s="29">
        <f>COUNTIFS('[1]Tempo parado'!H:H,"&gt;="&amp;MIP[[#This Row],[S.B Sitrack]],'[1]Tempo parado'!I:I,"&lt;="&amp;MIP[[#This Row],[C.B Sitrack]],'[1]Tempo parado'!B:B,MIP[[#This Row],[Placa]])</f>
        <v>0</v>
      </c>
      <c r="AG788" s="36"/>
      <c r="AH788" s="35"/>
      <c r="AI788" s="34"/>
      <c r="AJ788" s="34"/>
      <c r="AK78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8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88" s="32">
        <f>SUMIFS('[1]Tempo parado'!J:J,'[1]Tempo parado'!H:H,"&gt;="&amp;MIP[[#This Row],[S.B Sitrack]],'[1]Tempo parado'!I:I,"&lt;="&amp;MIP[[#This Row],[C.B Sitrack]],'[1]Tempo parado'!B:B,MIP[[#This Row],[Placa]])</f>
        <v>0</v>
      </c>
      <c r="AN788" s="31" t="str">
        <f>IFERROR(MIP[[#This Row],[Tempo parado]]/(MIP[[#This Row],[C.B Sitrack]]-MIP[[#This Row],[S.B Sitrack]]),"")</f>
        <v/>
      </c>
      <c r="AO788" s="30"/>
      <c r="AP788" s="44">
        <f>IF(AND(MIP[Exc]=0,MIP[Previsto / Realizado]="Realizado"),MIP[Sem],0)</f>
        <v>0</v>
      </c>
      <c r="AQ788" s="29">
        <f>IF(AND(MIP[Exc]=0,MIP[Previsto / Realizado]="Realizado",ISBLANK(MIP[[#This Row],[S.B Sitrack]])=FALSE,ISBLANK(MIP[[#This Row],[C.B Sitrack]])=FALSE),MIP[Sem],0)</f>
        <v>0</v>
      </c>
    </row>
    <row r="789" spans="2:43" x14ac:dyDescent="0.25">
      <c r="B789" s="29">
        <f>WEEKNUM(MIP[[#This Row],[Data]])</f>
        <v>46</v>
      </c>
      <c r="C789" s="45">
        <v>43054</v>
      </c>
      <c r="D789" s="45"/>
      <c r="E789" s="46" t="s">
        <v>136</v>
      </c>
      <c r="F789" s="35" t="s">
        <v>2</v>
      </c>
      <c r="G789" s="35" t="s">
        <v>6</v>
      </c>
      <c r="H789" s="44">
        <v>2</v>
      </c>
      <c r="I789" s="44">
        <v>4</v>
      </c>
      <c r="J789" s="44">
        <v>2</v>
      </c>
      <c r="K789" s="44">
        <v>1</v>
      </c>
      <c r="L789" s="44">
        <v>0</v>
      </c>
      <c r="M789" s="43">
        <v>0.61458333333333337</v>
      </c>
      <c r="N789" s="43">
        <v>0.65</v>
      </c>
      <c r="O789" s="43">
        <v>1.0055555555555555</v>
      </c>
      <c r="P789" s="68">
        <v>3.6111111111111115E-2</v>
      </c>
      <c r="Q789" s="39">
        <v>7.2222222222222229E-2</v>
      </c>
      <c r="R789" s="42" t="s">
        <v>135</v>
      </c>
      <c r="S789" s="29">
        <f>MIP[[#This Row],[PT-1]]+MIP[[#This Row],[PT-2]]*2+MIP[[#This Row],[PT-3]]*3+MIP[[#This Row],[PT &gt; 3 Pontos]]</f>
        <v>11</v>
      </c>
      <c r="T78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0.13819444444444456</v>
      </c>
      <c r="U789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6.5972222222222321E-2</v>
      </c>
      <c r="V789" s="41">
        <f>MIP[[#This Row],[Eficiência]]</f>
        <v>1.0374315446443445</v>
      </c>
      <c r="W789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89" s="39">
        <f>IF(MIP[[#This Row],[P.S]]-MIP[[#This Row],[P.E]]&lt;0,1+MIP[[#This Row],[P.S]]-MIP[[#This Row],[P.E]]-1/24,MIP[[#This Row],[P.S]]-MIP[[#This Row],[P.E]]-1/24)</f>
        <v>0.37986111111111115</v>
      </c>
      <c r="Y789" s="39">
        <f>MIP[[#This Row],[PT-1]]*$S$3+MIP[[#This Row],[PT-2]]*$T$3+MIP[[#This Row],[PT-3]]*$U$3+MIP[[#This Row],[PT &gt; 3 Pontos]]*$V$3</f>
        <v>0.25071262328904986</v>
      </c>
      <c r="Z789" s="39">
        <f>MIP[[#This Row],[HH disponível]]-MIP[[#This Row],[HH AC TOT]]</f>
        <v>0.24166666666666659</v>
      </c>
      <c r="AA789" s="38">
        <f>MIP[[#This Row],[HH Produtivo
Total]]/MIP[[#This Row],[HH Trabalhado]]</f>
        <v>1.0374315446443445</v>
      </c>
      <c r="AB789" s="38">
        <f>MIP[[#This Row],[HH Produtivo
Total]]/MIP[[#This Row],[HH disponível]]</f>
        <v>0.66001129348488441</v>
      </c>
      <c r="AC789" s="38">
        <f>MIP[[#This Row],[HH Trabalhado]]/MIP[[#This Row],[HH disponível]]</f>
        <v>0.63619744058500882</v>
      </c>
      <c r="AD789" s="37" t="str">
        <f>LEFT(MIP[[#This Row],[Equipe]], SEARCH("/",MIP[[#This Row],[Equipe]],1)-1)</f>
        <v xml:space="preserve">GECIVALDO </v>
      </c>
      <c r="AE789" s="37" t="str">
        <f>RIGHT(MIP[[#This Row],[Equipe]], LEN(MIP[[#This Row],[Equipe]])-SEARCH("/",MIP[[#This Row],[Equipe]],1))</f>
        <v xml:space="preserve"> RONALDO</v>
      </c>
      <c r="AF789" s="29">
        <f>COUNTIFS('[1]Tempo parado'!H:H,"&gt;="&amp;MIP[[#This Row],[S.B Sitrack]],'[1]Tempo parado'!I:I,"&lt;="&amp;MIP[[#This Row],[C.B Sitrack]],'[1]Tempo parado'!B:B,MIP[[#This Row],[Placa]])</f>
        <v>14</v>
      </c>
      <c r="AG789" s="36"/>
      <c r="AH789" s="35"/>
      <c r="AI789" s="34">
        <v>43054.650543981479</v>
      </c>
      <c r="AJ789" s="34">
        <v>43055.011736111112</v>
      </c>
      <c r="AK789" s="32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5.5555555555555757E-3</v>
      </c>
      <c r="AL78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48.8</v>
      </c>
      <c r="AM789" s="32">
        <f>SUMIFS('[1]Tempo parado'!J:J,'[1]Tempo parado'!H:H,"&gt;="&amp;MIP[[#This Row],[S.B Sitrack]],'[1]Tempo parado'!I:I,"&lt;="&amp;MIP[[#This Row],[C.B Sitrack]],'[1]Tempo parado'!B:B,MIP[[#This Row],[Placa]])</f>
        <v>0.24039351851851853</v>
      </c>
      <c r="AN789" s="31">
        <f>IFERROR(MIP[[#This Row],[Tempo parado]]/(MIP[[#This Row],[C.B Sitrack]]-MIP[[#This Row],[S.B Sitrack]]),"")</f>
        <v>0.66555580478228282</v>
      </c>
      <c r="AO789" s="30" t="s">
        <v>134</v>
      </c>
      <c r="AP789" s="44">
        <f>IF(AND(MIP[Exc]=0,MIP[Previsto / Realizado]="Realizado"),MIP[Sem],0)</f>
        <v>46</v>
      </c>
      <c r="AQ789" s="29">
        <f>IF(AND(MIP[Exc]=0,MIP[Previsto / Realizado]="Realizado",ISBLANK(MIP[[#This Row],[S.B Sitrack]])=FALSE,ISBLANK(MIP[[#This Row],[C.B Sitrack]])=FALSE),MIP[Sem],0)</f>
        <v>46</v>
      </c>
    </row>
    <row r="790" spans="2:43" x14ac:dyDescent="0.25">
      <c r="B790" s="29">
        <f>WEEKNUM(MIP[[#This Row],[Data]])</f>
        <v>46</v>
      </c>
      <c r="C790" s="45">
        <v>43055</v>
      </c>
      <c r="D790" s="45"/>
      <c r="E790" s="35" t="s">
        <v>133</v>
      </c>
      <c r="F790" s="35" t="s">
        <v>5</v>
      </c>
      <c r="G790" s="35"/>
      <c r="H790" s="44">
        <v>2</v>
      </c>
      <c r="I790" s="44">
        <v>5</v>
      </c>
      <c r="J790" s="44">
        <v>3</v>
      </c>
      <c r="K790" s="44">
        <v>0</v>
      </c>
      <c r="L790" s="44">
        <v>4</v>
      </c>
      <c r="M790" s="43">
        <v>0.625</v>
      </c>
      <c r="N790" s="43">
        <v>0.64583333333333337</v>
      </c>
      <c r="O790" s="43">
        <v>1.0125</v>
      </c>
      <c r="P790" s="43">
        <v>1.0333333333333334</v>
      </c>
      <c r="Q790" s="39"/>
      <c r="R790" s="60" t="s">
        <v>4</v>
      </c>
      <c r="S790" s="29">
        <f>MIP[[#This Row],[PT-1]]+MIP[[#This Row],[PT-2]]*2+MIP[[#This Row],[PT-3]]*3+MIP[[#This Row],[PT &gt; 3 Pontos]]</f>
        <v>15</v>
      </c>
      <c r="T79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790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790" s="41">
        <f>MIP[[#This Row],[Eficiência]]</f>
        <v>1.0395310973134044</v>
      </c>
      <c r="W790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90" s="39">
        <f>IF(MIP[[#This Row],[P.S]]-MIP[[#This Row],[P.E]]&lt;0,1+MIP[[#This Row],[P.S]]-MIP[[#This Row],[P.E]]-1/24,MIP[[#This Row],[P.S]]-MIP[[#This Row],[P.E]]-1/24)</f>
        <v>0.36666666666666675</v>
      </c>
      <c r="Y790" s="39">
        <f>MIP[[#This Row],[PT-1]]*$S$3+MIP[[#This Row],[PT-2]]*$T$3+MIP[[#This Row],[PT-3]]*$U$3+MIP[[#This Row],[PT &gt; 3 Pontos]]*$V$3</f>
        <v>0.33784760662685631</v>
      </c>
      <c r="Z790" s="39">
        <f>MIP[[#This Row],[HH disponível]]-MIP[[#This Row],[HH AC TOT]]</f>
        <v>0.3249999999999999</v>
      </c>
      <c r="AA790" s="38">
        <f>MIP[[#This Row],[HH Produtivo
Total]]/MIP[[#This Row],[HH Trabalhado]]</f>
        <v>1.0395310973134044</v>
      </c>
      <c r="AB790" s="38">
        <f>MIP[[#This Row],[HH Produtivo
Total]]/MIP[[#This Row],[HH disponível]]</f>
        <v>0.92140256352778971</v>
      </c>
      <c r="AC790" s="38">
        <f>MIP[[#This Row],[HH Trabalhado]]/MIP[[#This Row],[HH disponível]]</f>
        <v>0.88636363636363591</v>
      </c>
      <c r="AD790" s="37" t="str">
        <f>LEFT(MIP[[#This Row],[Equipe]], SEARCH("/",MIP[[#This Row],[Equipe]],1)-1)</f>
        <v xml:space="preserve">ANDERSON </v>
      </c>
      <c r="AE790" s="37" t="str">
        <f>RIGHT(MIP[[#This Row],[Equipe]], LEN(MIP[[#This Row],[Equipe]])-SEARCH("/",MIP[[#This Row],[Equipe]],1))</f>
        <v xml:space="preserve"> MARCO / RONALDO</v>
      </c>
      <c r="AF790" s="29">
        <f>COUNTIFS('[1]Tempo parado'!H:H,"&gt;="&amp;MIP[[#This Row],[S.B Sitrack]],'[1]Tempo parado'!I:I,"&lt;="&amp;MIP[[#This Row],[C.B Sitrack]],'[1]Tempo parado'!B:B,MIP[[#This Row],[Placa]])</f>
        <v>0</v>
      </c>
      <c r="AG790" s="36"/>
      <c r="AH790" s="35"/>
      <c r="AI790" s="34"/>
      <c r="AJ790" s="34"/>
      <c r="AK79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9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90" s="32">
        <f>SUMIFS('[1]Tempo parado'!J:J,'[1]Tempo parado'!H:H,"&gt;="&amp;MIP[[#This Row],[S.B Sitrack]],'[1]Tempo parado'!I:I,"&lt;="&amp;MIP[[#This Row],[C.B Sitrack]],'[1]Tempo parado'!B:B,MIP[[#This Row],[Placa]])</f>
        <v>0</v>
      </c>
      <c r="AN790" s="31" t="str">
        <f>IFERROR(MIP[[#This Row],[Tempo parado]]/(MIP[[#This Row],[C.B Sitrack]]-MIP[[#This Row],[S.B Sitrack]]),"")</f>
        <v/>
      </c>
      <c r="AO790" s="30"/>
      <c r="AP790" s="44">
        <f>IF(AND(MIP[Exc]=0,MIP[Previsto / Realizado]="Realizado"),MIP[Sem],0)</f>
        <v>0</v>
      </c>
      <c r="AQ790" s="29">
        <f>IF(AND(MIP[Exc]=0,MIP[Previsto / Realizado]="Realizado",ISBLANK(MIP[[#This Row],[S.B Sitrack]])=FALSE,ISBLANK(MIP[[#This Row],[C.B Sitrack]])=FALSE),MIP[Sem],0)</f>
        <v>0</v>
      </c>
    </row>
    <row r="791" spans="2:43" x14ac:dyDescent="0.25">
      <c r="B791" s="29">
        <f>WEEKNUM(MIP[[#This Row],[Data]])</f>
        <v>46</v>
      </c>
      <c r="C791" s="45">
        <v>43055</v>
      </c>
      <c r="D791" s="45"/>
      <c r="E791" s="46" t="s">
        <v>133</v>
      </c>
      <c r="F791" s="35" t="s">
        <v>2</v>
      </c>
      <c r="G791" s="35" t="s">
        <v>39</v>
      </c>
      <c r="H791" s="44">
        <v>2</v>
      </c>
      <c r="I791" s="44">
        <v>1</v>
      </c>
      <c r="J791" s="44">
        <v>2</v>
      </c>
      <c r="K791" s="44">
        <v>0</v>
      </c>
      <c r="L791" s="44">
        <v>0</v>
      </c>
      <c r="M791" s="43">
        <v>0.62847222222222221</v>
      </c>
      <c r="N791" s="43">
        <v>0.67013888888888884</v>
      </c>
      <c r="O791" s="43">
        <v>1.0104166666666667</v>
      </c>
      <c r="P791" s="43">
        <v>3.3333333333333333E-2</v>
      </c>
      <c r="Q791" s="39">
        <v>0.10694444444444444</v>
      </c>
      <c r="R791" s="25" t="s">
        <v>132</v>
      </c>
      <c r="S791" s="29">
        <f>MIP[[#This Row],[PT-1]]+MIP[[#This Row],[PT-2]]*2+MIP[[#This Row],[PT-3]]*3+MIP[[#This Row],[PT &gt; 3 Pontos]]</f>
        <v>5</v>
      </c>
      <c r="T79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0.17152777777777778</v>
      </c>
      <c r="U791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6.4583333333333326E-2</v>
      </c>
      <c r="V791" s="41">
        <f>MIP[[#This Row],[Eficiência]]</f>
        <v>0.58874809651333715</v>
      </c>
      <c r="W791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91" s="39">
        <f>IF(MIP[[#This Row],[P.S]]-MIP[[#This Row],[P.E]]&lt;0,1+MIP[[#This Row],[P.S]]-MIP[[#This Row],[P.E]]-1/24,MIP[[#This Row],[P.S]]-MIP[[#This Row],[P.E]]-1/24)</f>
        <v>0.36319444444444454</v>
      </c>
      <c r="Y791" s="39">
        <f>MIP[[#This Row],[PT-1]]*$S$3+MIP[[#This Row],[PT-2]]*$T$3+MIP[[#This Row],[PT-3]]*$U$3+MIP[[#This Row],[PT &gt; 3 Pontos]]*$V$3</f>
        <v>0.11284338516505635</v>
      </c>
      <c r="Z791" s="39">
        <f>MIP[[#This Row],[HH disponível]]-MIP[[#This Row],[HH AC TOT]]</f>
        <v>0.19166666666666676</v>
      </c>
      <c r="AA791" s="38">
        <f>MIP[[#This Row],[HH Produtivo
Total]]/MIP[[#This Row],[HH Trabalhado]]</f>
        <v>0.58874809651333715</v>
      </c>
      <c r="AB791" s="38">
        <f>MIP[[#This Row],[HH Produtivo
Total]]/MIP[[#This Row],[HH disponível]]</f>
        <v>0.31069689223265984</v>
      </c>
      <c r="AC791" s="38">
        <f>MIP[[#This Row],[HH Trabalhado]]/MIP[[#This Row],[HH disponível]]</f>
        <v>0.52772466539196949</v>
      </c>
      <c r="AD791" s="37" t="str">
        <f>LEFT(MIP[[#This Row],[Equipe]], SEARCH("/",MIP[[#This Row],[Equipe]],1)-1)</f>
        <v xml:space="preserve">ANDERSON </v>
      </c>
      <c r="AE791" s="37" t="str">
        <f>RIGHT(MIP[[#This Row],[Equipe]], LEN(MIP[[#This Row],[Equipe]])-SEARCH("/",MIP[[#This Row],[Equipe]],1))</f>
        <v xml:space="preserve"> MARCO / RONALDO</v>
      </c>
      <c r="AF791" s="29">
        <f>COUNTIFS('[1]Tempo parado'!H:H,"&gt;="&amp;MIP[[#This Row],[S.B Sitrack]],'[1]Tempo parado'!I:I,"&lt;="&amp;MIP[[#This Row],[C.B Sitrack]],'[1]Tempo parado'!B:B,MIP[[#This Row],[Placa]])</f>
        <v>10</v>
      </c>
      <c r="AG791" s="36"/>
      <c r="AH791" s="35"/>
      <c r="AI791" s="34">
        <v>43055.669687499998</v>
      </c>
      <c r="AJ791" s="34">
        <v>43056.015659722223</v>
      </c>
      <c r="AK791" s="32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5.5555555555554786E-3</v>
      </c>
      <c r="AL79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64.100000000000009</v>
      </c>
      <c r="AM791" s="32">
        <f>SUMIFS('[1]Tempo parado'!J:J,'[1]Tempo parado'!H:H,"&gt;="&amp;MIP[[#This Row],[S.B Sitrack]],'[1]Tempo parado'!I:I,"&lt;="&amp;MIP[[#This Row],[C.B Sitrack]],'[1]Tempo parado'!B:B,MIP[[#This Row],[Placa]])</f>
        <v>0.22616898148148151</v>
      </c>
      <c r="AN791" s="31">
        <f>IFERROR(MIP[[#This Row],[Tempo parado]]/(MIP[[#This Row],[C.B Sitrack]]-MIP[[#This Row],[S.B Sitrack]]),"")</f>
        <v>0.65372005887319173</v>
      </c>
      <c r="AO791" s="30" t="s">
        <v>131</v>
      </c>
      <c r="AP791" s="44">
        <f>IF(AND(MIP[Exc]=0,MIP[Previsto / Realizado]="Realizado"),MIP[Sem],0)</f>
        <v>46</v>
      </c>
      <c r="AQ791" s="29">
        <f>IF(AND(MIP[Exc]=0,MIP[Previsto / Realizado]="Realizado",ISBLANK(MIP[[#This Row],[S.B Sitrack]])=FALSE,ISBLANK(MIP[[#This Row],[C.B Sitrack]])=FALSE),MIP[Sem],0)</f>
        <v>46</v>
      </c>
    </row>
    <row r="792" spans="2:43" x14ac:dyDescent="0.25">
      <c r="B792" s="29">
        <f>WEEKNUM(MIP[[#This Row],[Data]])</f>
        <v>46</v>
      </c>
      <c r="C792" s="45">
        <v>43056</v>
      </c>
      <c r="D792" s="45"/>
      <c r="E792" s="35" t="s">
        <v>10</v>
      </c>
      <c r="F792" s="35" t="s">
        <v>5</v>
      </c>
      <c r="G792" s="35"/>
      <c r="H792" s="44">
        <v>2</v>
      </c>
      <c r="I792" s="44">
        <v>7</v>
      </c>
      <c r="J792" s="44">
        <v>1</v>
      </c>
      <c r="K792" s="44">
        <v>0</v>
      </c>
      <c r="L792" s="44">
        <v>4</v>
      </c>
      <c r="M792" s="43">
        <v>0.25</v>
      </c>
      <c r="N792" s="43">
        <v>0.27083333333333331</v>
      </c>
      <c r="O792" s="43">
        <v>0.63750000000000007</v>
      </c>
      <c r="P792" s="43">
        <v>0.65833333333333333</v>
      </c>
      <c r="Q792" s="39"/>
      <c r="R792" s="67"/>
      <c r="S792" s="29">
        <f>MIP[[#This Row],[PT-1]]+MIP[[#This Row],[PT-2]]*2+MIP[[#This Row],[PT-3]]*3+MIP[[#This Row],[PT &gt; 3 Pontos]]</f>
        <v>13</v>
      </c>
      <c r="T79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792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792" s="41">
        <f>MIP[[#This Row],[Eficiência]]</f>
        <v>0.92332855488803522</v>
      </c>
      <c r="W792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92" s="39">
        <f>IF(MIP[[#This Row],[P.S]]-MIP[[#This Row],[P.E]]&lt;0,1+MIP[[#This Row],[P.S]]-MIP[[#This Row],[P.E]]-1/24,MIP[[#This Row],[P.S]]-MIP[[#This Row],[P.E]]-1/24)</f>
        <v>0.36666666666666664</v>
      </c>
      <c r="Y792" s="39">
        <f>MIP[[#This Row],[PT-1]]*$S$3+MIP[[#This Row],[PT-2]]*$T$3+MIP[[#This Row],[PT-3]]*$U$3+MIP[[#This Row],[PT &gt; 3 Pontos]]*$V$3</f>
        <v>0.30008178033861149</v>
      </c>
      <c r="Z792" s="39">
        <f>MIP[[#This Row],[HH disponível]]-MIP[[#This Row],[HH AC TOT]]</f>
        <v>0.32500000000000007</v>
      </c>
      <c r="AA792" s="38">
        <f>MIP[[#This Row],[HH Produtivo
Total]]/MIP[[#This Row],[HH Trabalhado]]</f>
        <v>0.92332855488803522</v>
      </c>
      <c r="AB792" s="38">
        <f>MIP[[#This Row],[HH Produtivo
Total]]/MIP[[#This Row],[HH disponível]]</f>
        <v>0.81840485546894048</v>
      </c>
      <c r="AC792" s="38">
        <f>MIP[[#This Row],[HH Trabalhado]]/MIP[[#This Row],[HH disponível]]</f>
        <v>0.88636363636363658</v>
      </c>
      <c r="AD792" s="37" t="str">
        <f>LEFT(MIP[[#This Row],[Equipe]], SEARCH("/",MIP[[#This Row],[Equipe]],1)-1)</f>
        <v xml:space="preserve">JOILSON </v>
      </c>
      <c r="AE792" s="37" t="str">
        <f>RIGHT(MIP[[#This Row],[Equipe]], LEN(MIP[[#This Row],[Equipe]])-SEARCH("/",MIP[[#This Row],[Equipe]],1))</f>
        <v xml:space="preserve"> VALDEI</v>
      </c>
      <c r="AF792" s="29">
        <f>COUNTIFS('[1]Tempo parado'!H:H,"&gt;="&amp;MIP[[#This Row],[S.B Sitrack]],'[1]Tempo parado'!I:I,"&lt;="&amp;MIP[[#This Row],[C.B Sitrack]],'[1]Tempo parado'!B:B,MIP[[#This Row],[Placa]])</f>
        <v>0</v>
      </c>
      <c r="AG792" s="36"/>
      <c r="AH792" s="35"/>
      <c r="AI792" s="34"/>
      <c r="AJ792" s="34"/>
      <c r="AK79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9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92" s="32">
        <f>SUMIFS('[1]Tempo parado'!J:J,'[1]Tempo parado'!H:H,"&gt;="&amp;MIP[[#This Row],[S.B Sitrack]],'[1]Tempo parado'!I:I,"&lt;="&amp;MIP[[#This Row],[C.B Sitrack]],'[1]Tempo parado'!B:B,MIP[[#This Row],[Placa]])</f>
        <v>0</v>
      </c>
      <c r="AN792" s="31" t="str">
        <f>IFERROR(MIP[[#This Row],[Tempo parado]]/(MIP[[#This Row],[C.B Sitrack]]-MIP[[#This Row],[S.B Sitrack]]),"")</f>
        <v/>
      </c>
      <c r="AO792" s="30"/>
      <c r="AP792" s="44">
        <f>IF(AND(MIP[Exc]=0,MIP[Previsto / Realizado]="Realizado"),MIP[Sem],0)</f>
        <v>0</v>
      </c>
      <c r="AQ792" s="29">
        <f>IF(AND(MIP[Exc]=0,MIP[Previsto / Realizado]="Realizado",ISBLANK(MIP[[#This Row],[S.B Sitrack]])=FALSE,ISBLANK(MIP[[#This Row],[C.B Sitrack]])=FALSE),MIP[Sem],0)</f>
        <v>0</v>
      </c>
    </row>
    <row r="793" spans="2:43" x14ac:dyDescent="0.25">
      <c r="B793" s="29">
        <f>WEEKNUM(MIP[[#This Row],[Data]])</f>
        <v>46</v>
      </c>
      <c r="C793" s="45">
        <v>43056</v>
      </c>
      <c r="D793" s="45"/>
      <c r="E793" s="46" t="s">
        <v>10</v>
      </c>
      <c r="F793" s="35" t="s">
        <v>2</v>
      </c>
      <c r="G793" s="35" t="s">
        <v>39</v>
      </c>
      <c r="H793" s="44">
        <v>2</v>
      </c>
      <c r="I793" s="44">
        <v>6</v>
      </c>
      <c r="J793" s="44">
        <v>1</v>
      </c>
      <c r="K793" s="44">
        <v>0</v>
      </c>
      <c r="L793" s="44">
        <v>4</v>
      </c>
      <c r="M793" s="43">
        <v>0.25</v>
      </c>
      <c r="N793" s="43">
        <v>0.27430555555555552</v>
      </c>
      <c r="O793" s="43">
        <v>0.59097222222222223</v>
      </c>
      <c r="P793" s="43">
        <v>0.67083333333333339</v>
      </c>
      <c r="Q793" s="39"/>
      <c r="R793" s="25"/>
      <c r="S793" s="29">
        <f>MIP[[#This Row],[PT-1]]+MIP[[#This Row],[PT-2]]*2+MIP[[#This Row],[PT-3]]*3+MIP[[#This Row],[PT &gt; 3 Pontos]]</f>
        <v>12</v>
      </c>
      <c r="T79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0.10416666666666669</v>
      </c>
      <c r="U793" s="39">
        <f>IF(MIP[[#This Row],[P.S]]-MIP[[#This Row],[U.P]]&gt;=0,MIP[[#This Row],[P.S]]-MIP[[#This Row],[U.P]]+MIP[[#This Row],[S.B]]-MIP[[#This Row],[P.E]],1+MIP[[#This Row],[P.S]]-MIP[[#This Row],[U.P]]+MIP[[#This Row],[S.B]]-MIP[[#This Row],[P.E]])</f>
        <v>0.10416666666666669</v>
      </c>
      <c r="V793" s="41">
        <f>MIP[[#This Row],[Eficiência]]</f>
        <v>1.0002033722897248</v>
      </c>
      <c r="W793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93" s="39">
        <f>IF(MIP[[#This Row],[P.S]]-MIP[[#This Row],[P.E]]&lt;0,1+MIP[[#This Row],[P.S]]-MIP[[#This Row],[P.E]]-1/24,MIP[[#This Row],[P.S]]-MIP[[#This Row],[P.E]]-1/24)</f>
        <v>0.37916666666666671</v>
      </c>
      <c r="Y793" s="39">
        <f>MIP[[#This Row],[PT-1]]*$S$3+MIP[[#This Row],[PT-2]]*$T$3+MIP[[#This Row],[PT-3]]*$U$3+MIP[[#This Row],[PT &gt; 3 Pontos]]*$V$3</f>
        <v>0.27505592737967433</v>
      </c>
      <c r="Z793" s="39">
        <f>MIP[[#This Row],[HH disponível]]-MIP[[#This Row],[HH AC TOT]]</f>
        <v>0.27500000000000002</v>
      </c>
      <c r="AA793" s="38">
        <f>MIP[[#This Row],[HH Produtivo
Total]]/MIP[[#This Row],[HH Trabalhado]]</f>
        <v>1.0002033722897248</v>
      </c>
      <c r="AB793" s="38">
        <f>MIP[[#This Row],[HH Produtivo
Total]]/MIP[[#This Row],[HH disponível]]</f>
        <v>0.72542222605628381</v>
      </c>
      <c r="AC793" s="38">
        <f>MIP[[#This Row],[HH Trabalhado]]/MIP[[#This Row],[HH disponível]]</f>
        <v>0.72527472527472525</v>
      </c>
      <c r="AD793" s="37" t="str">
        <f>LEFT(MIP[[#This Row],[Equipe]], SEARCH("/",MIP[[#This Row],[Equipe]],1)-1)</f>
        <v xml:space="preserve">JOILSON </v>
      </c>
      <c r="AE793" s="37" t="str">
        <f>RIGHT(MIP[[#This Row],[Equipe]], LEN(MIP[[#This Row],[Equipe]])-SEARCH("/",MIP[[#This Row],[Equipe]],1))</f>
        <v xml:space="preserve"> VALDEI</v>
      </c>
      <c r="AF793" s="29">
        <f>COUNTIFS('[1]Tempo parado'!H:H,"&gt;="&amp;MIP[[#This Row],[S.B Sitrack]],'[1]Tempo parado'!I:I,"&lt;="&amp;MIP[[#This Row],[C.B Sitrack]],'[1]Tempo parado'!B:B,MIP[[#This Row],[Placa]])</f>
        <v>15</v>
      </c>
      <c r="AG793" s="36"/>
      <c r="AH793" s="35"/>
      <c r="AI793" s="34">
        <v>43056.273240740738</v>
      </c>
      <c r="AJ793" s="34">
        <v>43056.629756944443</v>
      </c>
      <c r="AK793" s="32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3.9583333333333304E-2</v>
      </c>
      <c r="AL79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42.699999999999996</v>
      </c>
      <c r="AM793" s="32">
        <f>SUMIFS('[1]Tempo parado'!J:J,'[1]Tempo parado'!H:H,"&gt;="&amp;MIP[[#This Row],[S.B Sitrack]],'[1]Tempo parado'!I:I,"&lt;="&amp;MIP[[#This Row],[C.B Sitrack]],'[1]Tempo parado'!B:B,MIP[[#This Row],[Placa]])</f>
        <v>0.24322916666666661</v>
      </c>
      <c r="AN793" s="31">
        <f>IFERROR(MIP[[#This Row],[Tempo parado]]/(MIP[[#This Row],[C.B Sitrack]]-MIP[[#This Row],[S.B Sitrack]]),"")</f>
        <v>0.68223874297745513</v>
      </c>
      <c r="AO793" s="30" t="s">
        <v>130</v>
      </c>
      <c r="AP793" s="44">
        <f>IF(AND(MIP[Exc]=0,MIP[Previsto / Realizado]="Realizado"),MIP[Sem],0)</f>
        <v>46</v>
      </c>
      <c r="AQ793" s="29">
        <f>IF(AND(MIP[Exc]=0,MIP[Previsto / Realizado]="Realizado",ISBLANK(MIP[[#This Row],[S.B Sitrack]])=FALSE,ISBLANK(MIP[[#This Row],[C.B Sitrack]])=FALSE),MIP[Sem],0)</f>
        <v>46</v>
      </c>
    </row>
    <row r="794" spans="2:43" x14ac:dyDescent="0.25">
      <c r="B794" s="29">
        <f>WEEKNUM(MIP[[#This Row],[Data]])</f>
        <v>46</v>
      </c>
      <c r="C794" s="45">
        <v>43056</v>
      </c>
      <c r="D794" s="45"/>
      <c r="E794" s="35" t="s">
        <v>7</v>
      </c>
      <c r="F794" s="35" t="s">
        <v>5</v>
      </c>
      <c r="G794" s="35"/>
      <c r="H794" s="44">
        <v>2</v>
      </c>
      <c r="I794" s="44">
        <v>6</v>
      </c>
      <c r="J794" s="44">
        <v>3</v>
      </c>
      <c r="K794" s="44">
        <v>0</v>
      </c>
      <c r="L794" s="44">
        <v>0</v>
      </c>
      <c r="M794" s="43">
        <v>0.625</v>
      </c>
      <c r="N794" s="43">
        <v>0.64583333333333337</v>
      </c>
      <c r="O794" s="43">
        <v>1.0125</v>
      </c>
      <c r="P794" s="43">
        <v>1.0333333333333334</v>
      </c>
      <c r="Q794" s="39"/>
      <c r="R794" s="67"/>
      <c r="S794" s="29">
        <f>MIP[[#This Row],[PT-1]]+MIP[[#This Row],[PT-2]]*2+MIP[[#This Row],[PT-3]]*3+MIP[[#This Row],[PT &gt; 3 Pontos]]</f>
        <v>12</v>
      </c>
      <c r="T79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794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794" s="41">
        <f>MIP[[#This Row],[Eficiência]]</f>
        <v>0.8673274340393905</v>
      </c>
      <c r="W794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94" s="39">
        <f>IF(MIP[[#This Row],[P.S]]-MIP[[#This Row],[P.E]]&lt;0,1+MIP[[#This Row],[P.S]]-MIP[[#This Row],[P.E]]-1/24,MIP[[#This Row],[P.S]]-MIP[[#This Row],[P.E]]-1/24)</f>
        <v>0.36666666666666675</v>
      </c>
      <c r="Y794" s="39">
        <f>MIP[[#This Row],[PT-1]]*$S$3+MIP[[#This Row],[PT-2]]*$T$3+MIP[[#This Row],[PT-3]]*$U$3+MIP[[#This Row],[PT &gt; 3 Pontos]]*$V$3</f>
        <v>0.28188141606280182</v>
      </c>
      <c r="Z794" s="39">
        <f>MIP[[#This Row],[HH disponível]]-MIP[[#This Row],[HH AC TOT]]</f>
        <v>0.3249999999999999</v>
      </c>
      <c r="AA794" s="38">
        <f>MIP[[#This Row],[HH Produtivo
Total]]/MIP[[#This Row],[HH Trabalhado]]</f>
        <v>0.8673274340393905</v>
      </c>
      <c r="AB794" s="38">
        <f>MIP[[#This Row],[HH Produtivo
Total]]/MIP[[#This Row],[HH disponível]]</f>
        <v>0.76876749835309566</v>
      </c>
      <c r="AC794" s="38">
        <f>MIP[[#This Row],[HH Trabalhado]]/MIP[[#This Row],[HH disponível]]</f>
        <v>0.88636363636363591</v>
      </c>
      <c r="AD794" s="37" t="str">
        <f>LEFT(MIP[[#This Row],[Equipe]], SEARCH("/",MIP[[#This Row],[Equipe]],1)-1)</f>
        <v xml:space="preserve">ANDERSON </v>
      </c>
      <c r="AE794" s="37" t="str">
        <f>RIGHT(MIP[[#This Row],[Equipe]], LEN(MIP[[#This Row],[Equipe]])-SEARCH("/",MIP[[#This Row],[Equipe]],1))</f>
        <v xml:space="preserve"> MARCO</v>
      </c>
      <c r="AF794" s="29">
        <f>COUNTIFS('[1]Tempo parado'!H:H,"&gt;="&amp;MIP[[#This Row],[S.B Sitrack]],'[1]Tempo parado'!I:I,"&lt;="&amp;MIP[[#This Row],[C.B Sitrack]],'[1]Tempo parado'!B:B,MIP[[#This Row],[Placa]])</f>
        <v>0</v>
      </c>
      <c r="AG794" s="36"/>
      <c r="AH794" s="35"/>
      <c r="AI794" s="34"/>
      <c r="AJ794" s="34"/>
      <c r="AK79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9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94" s="32">
        <f>SUMIFS('[1]Tempo parado'!J:J,'[1]Tempo parado'!H:H,"&gt;="&amp;MIP[[#This Row],[S.B Sitrack]],'[1]Tempo parado'!I:I,"&lt;="&amp;MIP[[#This Row],[C.B Sitrack]],'[1]Tempo parado'!B:B,MIP[[#This Row],[Placa]])</f>
        <v>0</v>
      </c>
      <c r="AN794" s="31" t="str">
        <f>IFERROR(MIP[[#This Row],[Tempo parado]]/(MIP[[#This Row],[C.B Sitrack]]-MIP[[#This Row],[S.B Sitrack]]),"")</f>
        <v/>
      </c>
      <c r="AO794" s="30"/>
      <c r="AP794" s="44">
        <f>IF(AND(MIP[Exc]=0,MIP[Previsto / Realizado]="Realizado"),MIP[Sem],0)</f>
        <v>0</v>
      </c>
      <c r="AQ794" s="29">
        <f>IF(AND(MIP[Exc]=0,MIP[Previsto / Realizado]="Realizado",ISBLANK(MIP[[#This Row],[S.B Sitrack]])=FALSE,ISBLANK(MIP[[#This Row],[C.B Sitrack]])=FALSE),MIP[Sem],0)</f>
        <v>0</v>
      </c>
    </row>
    <row r="795" spans="2:43" x14ac:dyDescent="0.25">
      <c r="B795" s="29">
        <f>WEEKNUM(MIP[[#This Row],[Data]])</f>
        <v>46</v>
      </c>
      <c r="C795" s="45">
        <v>43056</v>
      </c>
      <c r="D795" s="45"/>
      <c r="E795" s="46" t="s">
        <v>7</v>
      </c>
      <c r="F795" s="35" t="s">
        <v>2</v>
      </c>
      <c r="G795" s="35" t="s">
        <v>6</v>
      </c>
      <c r="H795" s="44">
        <v>2</v>
      </c>
      <c r="I795" s="44">
        <v>6</v>
      </c>
      <c r="J795" s="44">
        <v>3</v>
      </c>
      <c r="K795" s="44">
        <v>0</v>
      </c>
      <c r="L795" s="44">
        <v>0</v>
      </c>
      <c r="M795" s="43">
        <v>0.625</v>
      </c>
      <c r="N795" s="43">
        <v>0.67361111111111116</v>
      </c>
      <c r="O795" s="43">
        <v>1.0104166666666667</v>
      </c>
      <c r="P795" s="43">
        <v>3.4722222222222224E-2</v>
      </c>
      <c r="Q795" s="39"/>
      <c r="R795" s="42"/>
      <c r="S795" s="29">
        <f>MIP[[#This Row],[PT-1]]+MIP[[#This Row],[PT-2]]*2+MIP[[#This Row],[PT-3]]*3+MIP[[#This Row],[PT &gt; 3 Pontos]]</f>
        <v>12</v>
      </c>
      <c r="T79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7.2916666666666741E-2</v>
      </c>
      <c r="U795" s="39">
        <f>IF(MIP[[#This Row],[P.S]]-MIP[[#This Row],[U.P]]&gt;=0,MIP[[#This Row],[P.S]]-MIP[[#This Row],[U.P]]+MIP[[#This Row],[S.B]]-MIP[[#This Row],[P.E]],1+MIP[[#This Row],[P.S]]-MIP[[#This Row],[U.P]]+MIP[[#This Row],[S.B]]-MIP[[#This Row],[P.E]])</f>
        <v>7.2916666666666741E-2</v>
      </c>
      <c r="V795" s="41">
        <f>MIP[[#This Row],[Eficiência]]</f>
        <v>0.95508056265984609</v>
      </c>
      <c r="W795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95" s="39">
        <f>IF(MIP[[#This Row],[P.S]]-MIP[[#This Row],[P.E]]&lt;0,1+MIP[[#This Row],[P.S]]-MIP[[#This Row],[P.E]]-1/24,MIP[[#This Row],[P.S]]-MIP[[#This Row],[P.E]]-1/24)</f>
        <v>0.36805555555555564</v>
      </c>
      <c r="Y795" s="39">
        <f>MIP[[#This Row],[PT-1]]*$S$3+MIP[[#This Row],[PT-2]]*$T$3+MIP[[#This Row],[PT-3]]*$U$3+MIP[[#This Row],[PT &gt; 3 Pontos]]*$V$3</f>
        <v>0.28188141606280182</v>
      </c>
      <c r="Z795" s="39">
        <f>MIP[[#This Row],[HH disponível]]-MIP[[#This Row],[HH AC TOT]]</f>
        <v>0.2951388888888889</v>
      </c>
      <c r="AA795" s="38">
        <f>MIP[[#This Row],[HH Produtivo
Total]]/MIP[[#This Row],[HH Trabalhado]]</f>
        <v>0.95508056265984609</v>
      </c>
      <c r="AB795" s="38">
        <f>MIP[[#This Row],[HH Produtivo
Total]]/MIP[[#This Row],[HH disponível]]</f>
        <v>0.76586648892534814</v>
      </c>
      <c r="AC795" s="38">
        <f>MIP[[#This Row],[HH Trabalhado]]/MIP[[#This Row],[HH disponível]]</f>
        <v>0.80188679245283001</v>
      </c>
      <c r="AD795" s="37" t="str">
        <f>LEFT(MIP[[#This Row],[Equipe]], SEARCH("/",MIP[[#This Row],[Equipe]],1)-1)</f>
        <v xml:space="preserve">ANDERSON </v>
      </c>
      <c r="AE795" s="37" t="str">
        <f>RIGHT(MIP[[#This Row],[Equipe]], LEN(MIP[[#This Row],[Equipe]])-SEARCH("/",MIP[[#This Row],[Equipe]],1))</f>
        <v xml:space="preserve"> MARCO</v>
      </c>
      <c r="AF795" s="29">
        <f>COUNTIFS('[1]Tempo parado'!H:H,"&gt;="&amp;MIP[[#This Row],[S.B Sitrack]],'[1]Tempo parado'!I:I,"&lt;="&amp;MIP[[#This Row],[C.B Sitrack]],'[1]Tempo parado'!B:B,MIP[[#This Row],[Placa]])</f>
        <v>14</v>
      </c>
      <c r="AG795" s="36"/>
      <c r="AH795" s="35"/>
      <c r="AI795" s="34">
        <v>43056.682291666664</v>
      </c>
      <c r="AJ795" s="34">
        <v>43057.021701388891</v>
      </c>
      <c r="AK795" s="32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1.9444444444444344E-2</v>
      </c>
      <c r="AL79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73.000000000000014</v>
      </c>
      <c r="AM795" s="32">
        <f>SUMIFS('[1]Tempo parado'!J:J,'[1]Tempo parado'!H:H,"&gt;="&amp;MIP[[#This Row],[S.B Sitrack]],'[1]Tempo parado'!I:I,"&lt;="&amp;MIP[[#This Row],[C.B Sitrack]],'[1]Tempo parado'!B:B,MIP[[#This Row],[Placa]])</f>
        <v>0.1850347222222222</v>
      </c>
      <c r="AN795" s="31">
        <f>IFERROR(MIP[[#This Row],[Tempo parado]]/(MIP[[#This Row],[C.B Sitrack]]-MIP[[#This Row],[S.B Sitrack]]),"")</f>
        <v>0.54516624040271444</v>
      </c>
      <c r="AO795" s="30" t="s">
        <v>129</v>
      </c>
      <c r="AP795" s="44">
        <f>IF(AND(MIP[Exc]=0,MIP[Previsto / Realizado]="Realizado"),MIP[Sem],0)</f>
        <v>46</v>
      </c>
      <c r="AQ795" s="29">
        <f>IF(AND(MIP[Exc]=0,MIP[Previsto / Realizado]="Realizado",ISBLANK(MIP[[#This Row],[S.B Sitrack]])=FALSE,ISBLANK(MIP[[#This Row],[C.B Sitrack]])=FALSE),MIP[Sem],0)</f>
        <v>46</v>
      </c>
    </row>
    <row r="796" spans="2:43" x14ac:dyDescent="0.25">
      <c r="B796" s="29">
        <f>WEEKNUM(MIP[[#This Row],[Data]])</f>
        <v>46</v>
      </c>
      <c r="C796" s="45">
        <v>43057</v>
      </c>
      <c r="D796" s="45"/>
      <c r="E796" s="35" t="s">
        <v>72</v>
      </c>
      <c r="F796" s="35" t="s">
        <v>5</v>
      </c>
      <c r="G796" s="35"/>
      <c r="H796" s="44">
        <v>3</v>
      </c>
      <c r="I796" s="44">
        <v>3</v>
      </c>
      <c r="J796" s="44">
        <v>1</v>
      </c>
      <c r="K796" s="44">
        <v>0</v>
      </c>
      <c r="L796" s="44">
        <v>0</v>
      </c>
      <c r="M796" s="43">
        <v>0.625</v>
      </c>
      <c r="N796" s="43">
        <v>0.64583333333333337</v>
      </c>
      <c r="O796" s="43">
        <v>1.0125</v>
      </c>
      <c r="P796" s="43">
        <v>1.0333333333333334</v>
      </c>
      <c r="Q796" s="39"/>
      <c r="R796" s="67" t="s">
        <v>128</v>
      </c>
      <c r="S796" s="29">
        <f>MIP[[#This Row],[PT-1]]+MIP[[#This Row],[PT-2]]*2+MIP[[#This Row],[PT-3]]*3+MIP[[#This Row],[PT &gt; 3 Pontos]]</f>
        <v>5</v>
      </c>
      <c r="T79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796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796" s="41">
        <f>MIP[[#This Row],[Eficiência]]</f>
        <v>0.36611176916883437</v>
      </c>
      <c r="W796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96" s="39">
        <f>IF(MIP[[#This Row],[P.S]]-MIP[[#This Row],[P.E]]&lt;0,1+MIP[[#This Row],[P.S]]-MIP[[#This Row],[P.E]]-1/24,MIP[[#This Row],[P.S]]-MIP[[#This Row],[P.E]]-1/24)</f>
        <v>0.36666666666666675</v>
      </c>
      <c r="Y796" s="39">
        <f>MIP[[#This Row],[PT-1]]*$S$3+MIP[[#This Row],[PT-2]]*$T$3+MIP[[#This Row],[PT-3]]*$U$3+MIP[[#This Row],[PT &gt; 3 Pontos]]*$V$3</f>
        <v>0.11898632497987113</v>
      </c>
      <c r="Z796" s="39">
        <f>MIP[[#This Row],[HH disponível]]-MIP[[#This Row],[HH AC TOT]]</f>
        <v>0.3249999999999999</v>
      </c>
      <c r="AA796" s="38">
        <f>MIP[[#This Row],[HH Produtivo
Total]]/MIP[[#This Row],[HH Trabalhado]]</f>
        <v>0.36611176916883437</v>
      </c>
      <c r="AB796" s="38">
        <f>MIP[[#This Row],[HH Produtivo
Total]]/MIP[[#This Row],[HH disponível]]</f>
        <v>0.3245081590360121</v>
      </c>
      <c r="AC796" s="38">
        <f>MIP[[#This Row],[HH Trabalhado]]/MIP[[#This Row],[HH disponível]]</f>
        <v>0.88636363636363591</v>
      </c>
      <c r="AD796" s="37" t="str">
        <f>LEFT(MIP[[#This Row],[Equipe]], SEARCH("/",MIP[[#This Row],[Equipe]],1)-1)</f>
        <v xml:space="preserve">ANDERSON </v>
      </c>
      <c r="AE796" s="37" t="str">
        <f>RIGHT(MIP[[#This Row],[Equipe]], LEN(MIP[[#This Row],[Equipe]])-SEARCH("/",MIP[[#This Row],[Equipe]],1))</f>
        <v xml:space="preserve"> GECIVALDO / MARCO</v>
      </c>
      <c r="AF796" s="29">
        <f>COUNTIFS('[1]Tempo parado'!H:H,"&gt;="&amp;MIP[[#This Row],[S.B Sitrack]],'[1]Tempo parado'!I:I,"&lt;="&amp;MIP[[#This Row],[C.B Sitrack]],'[1]Tempo parado'!B:B,MIP[[#This Row],[Placa]])</f>
        <v>0</v>
      </c>
      <c r="AG796" s="36"/>
      <c r="AH796" s="35"/>
      <c r="AI796" s="34"/>
      <c r="AJ796" s="34"/>
      <c r="AK79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9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96" s="32">
        <f>SUMIFS('[1]Tempo parado'!J:J,'[1]Tempo parado'!H:H,"&gt;="&amp;MIP[[#This Row],[S.B Sitrack]],'[1]Tempo parado'!I:I,"&lt;="&amp;MIP[[#This Row],[C.B Sitrack]],'[1]Tempo parado'!B:B,MIP[[#This Row],[Placa]])</f>
        <v>0</v>
      </c>
      <c r="AN796" s="31" t="str">
        <f>IFERROR(MIP[[#This Row],[Tempo parado]]/(MIP[[#This Row],[C.B Sitrack]]-MIP[[#This Row],[S.B Sitrack]]),"")</f>
        <v/>
      </c>
      <c r="AO796" s="30"/>
      <c r="AP796" s="44">
        <f>IF(AND(MIP[Exc]=0,MIP[Previsto / Realizado]="Realizado"),MIP[Sem],0)</f>
        <v>0</v>
      </c>
      <c r="AQ796" s="29">
        <f>IF(AND(MIP[Exc]=0,MIP[Previsto / Realizado]="Realizado",ISBLANK(MIP[[#This Row],[S.B Sitrack]])=FALSE,ISBLANK(MIP[[#This Row],[C.B Sitrack]])=FALSE),MIP[Sem],0)</f>
        <v>0</v>
      </c>
    </row>
    <row r="797" spans="2:43" x14ac:dyDescent="0.25">
      <c r="B797" s="29">
        <f>WEEKNUM(MIP[[#This Row],[Data]])</f>
        <v>46</v>
      </c>
      <c r="C797" s="45">
        <v>43057</v>
      </c>
      <c r="D797" s="45"/>
      <c r="E797" s="46" t="s">
        <v>72</v>
      </c>
      <c r="F797" s="35" t="s">
        <v>2</v>
      </c>
      <c r="G797" s="35" t="s">
        <v>6</v>
      </c>
      <c r="H797" s="44">
        <v>3</v>
      </c>
      <c r="I797" s="44">
        <v>4</v>
      </c>
      <c r="J797" s="44">
        <v>1</v>
      </c>
      <c r="K797" s="44">
        <v>0</v>
      </c>
      <c r="L797" s="44">
        <v>0</v>
      </c>
      <c r="M797" s="43">
        <v>0.62569444444444444</v>
      </c>
      <c r="N797" s="43">
        <v>0.65972222222222221</v>
      </c>
      <c r="O797" s="43">
        <v>1.0194444444444444</v>
      </c>
      <c r="P797" s="68">
        <v>3.3333333333333333E-2</v>
      </c>
      <c r="Q797" s="39">
        <v>0.125</v>
      </c>
      <c r="R797" s="42" t="s">
        <v>127</v>
      </c>
      <c r="S797" s="29">
        <f>MIP[[#This Row],[PT-1]]+MIP[[#This Row],[PT-2]]*2+MIP[[#This Row],[PT-3]]*3+MIP[[#This Row],[PT &gt; 3 Pontos]]</f>
        <v>6</v>
      </c>
      <c r="T79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0.17291666666666683</v>
      </c>
      <c r="U797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4.7916666666666829E-2</v>
      </c>
      <c r="V797" s="41">
        <f>MIP[[#This Row],[Eficiência]]</f>
        <v>0.74596236054634546</v>
      </c>
      <c r="W797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97" s="39">
        <f>IF(MIP[[#This Row],[P.S]]-MIP[[#This Row],[P.E]]&lt;0,1+MIP[[#This Row],[P.S]]-MIP[[#This Row],[P.E]]-1/24,MIP[[#This Row],[P.S]]-MIP[[#This Row],[P.E]]-1/24)</f>
        <v>0.36597222222222231</v>
      </c>
      <c r="Y797" s="39">
        <f>MIP[[#This Row],[PT-1]]*$S$3+MIP[[#This Row],[PT-2]]*$T$3+MIP[[#This Row],[PT-3]]*$U$3+MIP[[#This Row],[PT &gt; 3 Pontos]]*$V$3</f>
        <v>0.1440121779388083</v>
      </c>
      <c r="Z797" s="39">
        <f>MIP[[#This Row],[HH disponível]]-MIP[[#This Row],[HH AC TOT]]</f>
        <v>0.19305555555555548</v>
      </c>
      <c r="AA797" s="38">
        <f>MIP[[#This Row],[HH Produtivo
Total]]/MIP[[#This Row],[HH Trabalhado]]</f>
        <v>0.74596236054634546</v>
      </c>
      <c r="AB797" s="38">
        <f>MIP[[#This Row],[HH Produtivo
Total]]/MIP[[#This Row],[HH disponível]]</f>
        <v>0.39350576135082332</v>
      </c>
      <c r="AC797" s="38">
        <f>MIP[[#This Row],[HH Trabalhado]]/MIP[[#This Row],[HH disponível]]</f>
        <v>0.52751423149905086</v>
      </c>
      <c r="AD797" s="37" t="str">
        <f>LEFT(MIP[[#This Row],[Equipe]], SEARCH("/",MIP[[#This Row],[Equipe]],1)-1)</f>
        <v xml:space="preserve">ANDERSON </v>
      </c>
      <c r="AE797" s="37" t="str">
        <f>RIGHT(MIP[[#This Row],[Equipe]], LEN(MIP[[#This Row],[Equipe]])-SEARCH("/",MIP[[#This Row],[Equipe]],1))</f>
        <v xml:space="preserve"> GECIVALDO / MARCO</v>
      </c>
      <c r="AF797" s="29">
        <f>COUNTIFS('[1]Tempo parado'!H:H,"&gt;="&amp;MIP[[#This Row],[S.B Sitrack]],'[1]Tempo parado'!I:I,"&lt;="&amp;MIP[[#This Row],[C.B Sitrack]],'[1]Tempo parado'!B:B,MIP[[#This Row],[Placa]])</f>
        <v>8</v>
      </c>
      <c r="AG797" s="36"/>
      <c r="AH797" s="35"/>
      <c r="AI797" s="34">
        <v>43057.665208333332</v>
      </c>
      <c r="AJ797" s="34">
        <v>43058.021273148152</v>
      </c>
      <c r="AK797" s="32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6.2500000000000507E-3</v>
      </c>
      <c r="AL79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58.3</v>
      </c>
      <c r="AM797" s="32">
        <f>SUMIFS('[1]Tempo parado'!J:J,'[1]Tempo parado'!H:H,"&gt;="&amp;MIP[[#This Row],[S.B Sitrack]],'[1]Tempo parado'!I:I,"&lt;="&amp;MIP[[#This Row],[C.B Sitrack]],'[1]Tempo parado'!B:B,MIP[[#This Row],[Placa]])</f>
        <v>0.23626157407407405</v>
      </c>
      <c r="AN797" s="31">
        <f>IFERROR(MIP[[#This Row],[Tempo parado]]/(MIP[[#This Row],[C.B Sitrack]]-MIP[[#This Row],[S.B Sitrack]]),"")</f>
        <v>0.66353530099235181</v>
      </c>
      <c r="AO797" s="30" t="s">
        <v>126</v>
      </c>
      <c r="AP797" s="44">
        <f>IF(AND(MIP[Exc]=0,MIP[Previsto / Realizado]="Realizado"),MIP[Sem],0)</f>
        <v>46</v>
      </c>
      <c r="AQ797" s="29">
        <f>IF(AND(MIP[Exc]=0,MIP[Previsto / Realizado]="Realizado",ISBLANK(MIP[[#This Row],[S.B Sitrack]])=FALSE,ISBLANK(MIP[[#This Row],[C.B Sitrack]])=FALSE),MIP[Sem],0)</f>
        <v>46</v>
      </c>
    </row>
    <row r="798" spans="2:43" x14ac:dyDescent="0.25">
      <c r="B798" s="29">
        <f>WEEKNUM(MIP[[#This Row],[Data]])</f>
        <v>47</v>
      </c>
      <c r="C798" s="45">
        <v>43058</v>
      </c>
      <c r="D798" s="45"/>
      <c r="E798" s="35" t="s">
        <v>72</v>
      </c>
      <c r="F798" s="35" t="s">
        <v>5</v>
      </c>
      <c r="G798" s="35"/>
      <c r="H798" s="44">
        <v>3</v>
      </c>
      <c r="I798" s="44">
        <v>5</v>
      </c>
      <c r="J798" s="44">
        <v>0</v>
      </c>
      <c r="K798" s="44">
        <v>0</v>
      </c>
      <c r="L798" s="44">
        <v>0</v>
      </c>
      <c r="M798" s="43">
        <v>0.625</v>
      </c>
      <c r="N798" s="43">
        <v>0.64583333333333337</v>
      </c>
      <c r="O798" s="43">
        <v>1.0125</v>
      </c>
      <c r="P798" s="43">
        <v>1.0333333333333334</v>
      </c>
      <c r="Q798" s="39"/>
      <c r="R798" s="67"/>
      <c r="S798" s="29">
        <f>MIP[[#This Row],[PT-1]]+MIP[[#This Row],[PT-2]]*2+MIP[[#This Row],[PT-3]]*3+MIP[[#This Row],[PT &gt; 3 Pontos]]</f>
        <v>5</v>
      </c>
      <c r="T79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798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798" s="41">
        <f>MIP[[#This Row],[Eficiência]]</f>
        <v>0.38501312244518748</v>
      </c>
      <c r="W798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98" s="39">
        <f>IF(MIP[[#This Row],[P.S]]-MIP[[#This Row],[P.E]]&lt;0,1+MIP[[#This Row],[P.S]]-MIP[[#This Row],[P.E]]-1/24,MIP[[#This Row],[P.S]]-MIP[[#This Row],[P.E]]-1/24)</f>
        <v>0.36666666666666675</v>
      </c>
      <c r="Y798" s="39">
        <f>MIP[[#This Row],[PT-1]]*$S$3+MIP[[#This Row],[PT-2]]*$T$3+MIP[[#This Row],[PT-3]]*$U$3+MIP[[#This Row],[PT &gt; 3 Pontos]]*$V$3</f>
        <v>0.12512926479468589</v>
      </c>
      <c r="Z798" s="39">
        <f>MIP[[#This Row],[HH disponível]]-MIP[[#This Row],[HH AC TOT]]</f>
        <v>0.3249999999999999</v>
      </c>
      <c r="AA798" s="38">
        <f>MIP[[#This Row],[HH Produtivo
Total]]/MIP[[#This Row],[HH Trabalhado]]</f>
        <v>0.38501312244518748</v>
      </c>
      <c r="AB798" s="38">
        <f>MIP[[#This Row],[HH Produtivo
Total]]/MIP[[#This Row],[HH disponível]]</f>
        <v>0.34126163125823417</v>
      </c>
      <c r="AC798" s="38">
        <f>MIP[[#This Row],[HH Trabalhado]]/MIP[[#This Row],[HH disponível]]</f>
        <v>0.88636363636363591</v>
      </c>
      <c r="AD798" s="37" t="str">
        <f>LEFT(MIP[[#This Row],[Equipe]], SEARCH("/",MIP[[#This Row],[Equipe]],1)-1)</f>
        <v xml:space="preserve">ANDERSON </v>
      </c>
      <c r="AE798" s="37" t="str">
        <f>RIGHT(MIP[[#This Row],[Equipe]], LEN(MIP[[#This Row],[Equipe]])-SEARCH("/",MIP[[#This Row],[Equipe]],1))</f>
        <v xml:space="preserve"> GECIVALDO / MARCO</v>
      </c>
      <c r="AF798" s="29">
        <f>COUNTIFS('[1]Tempo parado'!H:H,"&gt;="&amp;MIP[[#This Row],[S.B Sitrack]],'[1]Tempo parado'!I:I,"&lt;="&amp;MIP[[#This Row],[C.B Sitrack]],'[1]Tempo parado'!B:B,MIP[[#This Row],[Placa]])</f>
        <v>0</v>
      </c>
      <c r="AG798" s="36"/>
      <c r="AH798" s="35"/>
      <c r="AI798" s="34"/>
      <c r="AJ798" s="34"/>
      <c r="AK79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79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798" s="32">
        <f>SUMIFS('[1]Tempo parado'!J:J,'[1]Tempo parado'!H:H,"&gt;="&amp;MIP[[#This Row],[S.B Sitrack]],'[1]Tempo parado'!I:I,"&lt;="&amp;MIP[[#This Row],[C.B Sitrack]],'[1]Tempo parado'!B:B,MIP[[#This Row],[Placa]])</f>
        <v>0</v>
      </c>
      <c r="AN798" s="31" t="str">
        <f>IFERROR(MIP[[#This Row],[Tempo parado]]/(MIP[[#This Row],[C.B Sitrack]]-MIP[[#This Row],[S.B Sitrack]]),"")</f>
        <v/>
      </c>
      <c r="AO798" s="30"/>
      <c r="AP798" s="44">
        <f>IF(AND(MIP[Exc]=0,MIP[Previsto / Realizado]="Realizado"),MIP[Sem],0)</f>
        <v>0</v>
      </c>
      <c r="AQ798" s="29">
        <f>IF(AND(MIP[Exc]=0,MIP[Previsto / Realizado]="Realizado",ISBLANK(MIP[[#This Row],[S.B Sitrack]])=FALSE,ISBLANK(MIP[[#This Row],[C.B Sitrack]])=FALSE),MIP[Sem],0)</f>
        <v>0</v>
      </c>
    </row>
    <row r="799" spans="2:43" x14ac:dyDescent="0.25">
      <c r="B799" s="29">
        <f>WEEKNUM(MIP[[#This Row],[Data]])</f>
        <v>47</v>
      </c>
      <c r="C799" s="45">
        <v>43058</v>
      </c>
      <c r="D799" s="45"/>
      <c r="E799" s="46" t="s">
        <v>72</v>
      </c>
      <c r="F799" s="35" t="s">
        <v>2</v>
      </c>
      <c r="G799" s="35" t="s">
        <v>6</v>
      </c>
      <c r="H799" s="44">
        <v>3</v>
      </c>
      <c r="I799" s="44">
        <v>10</v>
      </c>
      <c r="J799" s="44">
        <v>1</v>
      </c>
      <c r="K799" s="44">
        <v>0</v>
      </c>
      <c r="L799" s="44">
        <v>0</v>
      </c>
      <c r="M799" s="43">
        <v>0.64027777777777783</v>
      </c>
      <c r="N799" s="43">
        <v>0.65694444444444444</v>
      </c>
      <c r="O799" s="43">
        <v>1.0201388888888889</v>
      </c>
      <c r="P799" s="43">
        <v>4.2361111111111106E-2</v>
      </c>
      <c r="Q799" s="39">
        <v>2.6388888888888889E-2</v>
      </c>
      <c r="R799" s="42" t="s">
        <v>125</v>
      </c>
      <c r="S799" s="29">
        <f>MIP[[#This Row],[PT-1]]+MIP[[#This Row],[PT-2]]*2+MIP[[#This Row],[PT-3]]*3+MIP[[#This Row],[PT &gt; 3 Pontos]]</f>
        <v>12</v>
      </c>
      <c r="T79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6.5277777777777643E-2</v>
      </c>
      <c r="U799" s="39">
        <f>IF(MIP[[#This Row],[P.S]]-MIP[[#This Row],[U.P]]&gt;=0,MIP[[#This Row],[P.S]]-MIP[[#This Row],[U.P]]+MIP[[#This Row],[S.B]]-MIP[[#This Row],[P.E]],1+MIP[[#This Row],[P.S]]-MIP[[#This Row],[U.P]]+MIP[[#This Row],[S.B]]-MIP[[#This Row],[P.E]])</f>
        <v>3.8888888888888751E-2</v>
      </c>
      <c r="V799" s="41">
        <f>MIP[[#This Row],[Eficiência]]</f>
        <v>0.99670801364023809</v>
      </c>
      <c r="W799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799" s="39">
        <f>IF(MIP[[#This Row],[P.S]]-MIP[[#This Row],[P.E]]&lt;0,1+MIP[[#This Row],[P.S]]-MIP[[#This Row],[P.E]]-1/24,MIP[[#This Row],[P.S]]-MIP[[#This Row],[P.E]]-1/24)</f>
        <v>0.36041666666666655</v>
      </c>
      <c r="Y799" s="39">
        <f>MIP[[#This Row],[PT-1]]*$S$3+MIP[[#This Row],[PT-2]]*$T$3+MIP[[#This Row],[PT-3]]*$U$3+MIP[[#This Row],[PT &gt; 3 Pontos]]*$V$3</f>
        <v>0.29416729569243139</v>
      </c>
      <c r="Z799" s="39">
        <f>MIP[[#This Row],[HH disponível]]-MIP[[#This Row],[HH AC TOT]]</f>
        <v>0.2951388888888889</v>
      </c>
      <c r="AA799" s="38">
        <f>MIP[[#This Row],[HH Produtivo
Total]]/MIP[[#This Row],[HH Trabalhado]]</f>
        <v>0.99670801364023809</v>
      </c>
      <c r="AB799" s="38">
        <f>MIP[[#This Row],[HH Produtivo
Total]]/MIP[[#This Row],[HH disponível]]</f>
        <v>0.81618671637206419</v>
      </c>
      <c r="AC799" s="38">
        <f>MIP[[#This Row],[HH Trabalhado]]/MIP[[#This Row],[HH disponível]]</f>
        <v>0.81888246628131045</v>
      </c>
      <c r="AD799" s="37" t="str">
        <f>LEFT(MIP[[#This Row],[Equipe]], SEARCH("/",MIP[[#This Row],[Equipe]],1)-1)</f>
        <v xml:space="preserve">ANDERSON </v>
      </c>
      <c r="AE799" s="37" t="str">
        <f>RIGHT(MIP[[#This Row],[Equipe]], LEN(MIP[[#This Row],[Equipe]])-SEARCH("/",MIP[[#This Row],[Equipe]],1))</f>
        <v xml:space="preserve"> GECIVALDO / MARCO</v>
      </c>
      <c r="AF799" s="29">
        <f>COUNTIFS('[1]Tempo parado'!H:H,"&gt;="&amp;MIP[[#This Row],[S.B Sitrack]],'[1]Tempo parado'!I:I,"&lt;="&amp;MIP[[#This Row],[C.B Sitrack]],'[1]Tempo parado'!B:B,MIP[[#This Row],[Placa]])</f>
        <v>10</v>
      </c>
      <c r="AG799" s="36"/>
      <c r="AH799" s="35"/>
      <c r="AI799" s="34">
        <v>43058.663206018522</v>
      </c>
      <c r="AJ799" s="34">
        <v>43059.025555555556</v>
      </c>
      <c r="AK799" s="32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1.1111111111111047E-2</v>
      </c>
      <c r="AL79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53.499999999999993</v>
      </c>
      <c r="AM799" s="32">
        <f>SUMIFS('[1]Tempo parado'!J:J,'[1]Tempo parado'!H:H,"&gt;="&amp;MIP[[#This Row],[S.B Sitrack]],'[1]Tempo parado'!I:I,"&lt;="&amp;MIP[[#This Row],[C.B Sitrack]],'[1]Tempo parado'!B:B,MIP[[#This Row],[Placa]])</f>
        <v>0.24319444444444444</v>
      </c>
      <c r="AN799" s="31">
        <f>IFERROR(MIP[[#This Row],[Tempo parado]]/(MIP[[#This Row],[C.B Sitrack]]-MIP[[#This Row],[S.B Sitrack]]),"")</f>
        <v>0.67115980452241175</v>
      </c>
      <c r="AO799" s="70" t="s">
        <v>124</v>
      </c>
      <c r="AP799" s="44">
        <f>IF(AND(MIP[Exc]=0,MIP[Previsto / Realizado]="Realizado"),MIP[Sem],0)</f>
        <v>47</v>
      </c>
      <c r="AQ799" s="29">
        <f>IF(AND(MIP[Exc]=0,MIP[Previsto / Realizado]="Realizado",ISBLANK(MIP[[#This Row],[S.B Sitrack]])=FALSE,ISBLANK(MIP[[#This Row],[C.B Sitrack]])=FALSE),MIP[Sem],0)</f>
        <v>47</v>
      </c>
    </row>
    <row r="800" spans="2:43" x14ac:dyDescent="0.25">
      <c r="B800" s="29">
        <f>WEEKNUM(MIP[[#This Row],[Data]])</f>
        <v>47</v>
      </c>
      <c r="C800" s="45">
        <v>43059</v>
      </c>
      <c r="D800" s="45"/>
      <c r="E800" s="35" t="s">
        <v>7</v>
      </c>
      <c r="F800" s="35" t="s">
        <v>5</v>
      </c>
      <c r="G800" s="35"/>
      <c r="H800" s="44">
        <v>2</v>
      </c>
      <c r="I800" s="44">
        <v>1</v>
      </c>
      <c r="J800" s="44">
        <v>0</v>
      </c>
      <c r="K800" s="44">
        <v>0</v>
      </c>
      <c r="L800" s="44">
        <v>10</v>
      </c>
      <c r="M800" s="43">
        <v>0.625</v>
      </c>
      <c r="N800" s="43">
        <v>0.64583333333333337</v>
      </c>
      <c r="O800" s="43">
        <v>1.0125</v>
      </c>
      <c r="P800" s="43">
        <v>1.0333333333333334</v>
      </c>
      <c r="Q800" s="39"/>
      <c r="R800" s="67"/>
      <c r="S800" s="29">
        <f>MIP[[#This Row],[PT-1]]+MIP[[#This Row],[PT-2]]*2+MIP[[#This Row],[PT-3]]*3+MIP[[#This Row],[PT &gt; 3 Pontos]]</f>
        <v>11</v>
      </c>
      <c r="T80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800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800" s="41">
        <f>MIP[[#This Row],[Eficiência]]</f>
        <v>0.70001834389666562</v>
      </c>
      <c r="W800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00" s="39">
        <f>IF(MIP[[#This Row],[P.S]]-MIP[[#This Row],[P.E]]&lt;0,1+MIP[[#This Row],[P.S]]-MIP[[#This Row],[P.E]]-1/24,MIP[[#This Row],[P.S]]-MIP[[#This Row],[P.E]]-1/24)</f>
        <v>0.36666666666666675</v>
      </c>
      <c r="Y800" s="39">
        <f>MIP[[#This Row],[PT-1]]*$S$3+MIP[[#This Row],[PT-2]]*$T$3+MIP[[#This Row],[PT-3]]*$U$3+MIP[[#This Row],[PT &gt; 3 Pontos]]*$V$3</f>
        <v>0.22750596176641624</v>
      </c>
      <c r="Z800" s="39">
        <f>MIP[[#This Row],[HH disponível]]-MIP[[#This Row],[HH AC TOT]]</f>
        <v>0.3249999999999999</v>
      </c>
      <c r="AA800" s="38">
        <f>MIP[[#This Row],[HH Produtivo
Total]]/MIP[[#This Row],[HH Trabalhado]]</f>
        <v>0.70001834389666562</v>
      </c>
      <c r="AB800" s="38">
        <f>MIP[[#This Row],[HH Produtivo
Total]]/MIP[[#This Row],[HH disponível]]</f>
        <v>0.62047080481749872</v>
      </c>
      <c r="AC800" s="38">
        <f>MIP[[#This Row],[HH Trabalhado]]/MIP[[#This Row],[HH disponível]]</f>
        <v>0.88636363636363591</v>
      </c>
      <c r="AD800" s="37" t="str">
        <f>LEFT(MIP[[#This Row],[Equipe]], SEARCH("/",MIP[[#This Row],[Equipe]],1)-1)</f>
        <v xml:space="preserve">ANDERSON </v>
      </c>
      <c r="AE800" s="37" t="str">
        <f>RIGHT(MIP[[#This Row],[Equipe]], LEN(MIP[[#This Row],[Equipe]])-SEARCH("/",MIP[[#This Row],[Equipe]],1))</f>
        <v xml:space="preserve"> MARCO</v>
      </c>
      <c r="AF800" s="29">
        <f>COUNTIFS('[1]Tempo parado'!H:H,"&gt;="&amp;MIP[[#This Row],[S.B Sitrack]],'[1]Tempo parado'!I:I,"&lt;="&amp;MIP[[#This Row],[C.B Sitrack]],'[1]Tempo parado'!B:B,MIP[[#This Row],[Placa]])</f>
        <v>0</v>
      </c>
      <c r="AG800" s="36"/>
      <c r="AH800" s="35"/>
      <c r="AI800" s="34"/>
      <c r="AJ800" s="34"/>
      <c r="AK80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0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00" s="32">
        <f>SUMIFS('[1]Tempo parado'!J:J,'[1]Tempo parado'!H:H,"&gt;="&amp;MIP[[#This Row],[S.B Sitrack]],'[1]Tempo parado'!I:I,"&lt;="&amp;MIP[[#This Row],[C.B Sitrack]],'[1]Tempo parado'!B:B,MIP[[#This Row],[Placa]])</f>
        <v>0</v>
      </c>
      <c r="AN800" s="31" t="str">
        <f>IFERROR(MIP[[#This Row],[Tempo parado]]/(MIP[[#This Row],[C.B Sitrack]]-MIP[[#This Row],[S.B Sitrack]]),"")</f>
        <v/>
      </c>
      <c r="AO800" s="30"/>
      <c r="AP800" s="44">
        <f>IF(AND(MIP[Exc]=0,MIP[Previsto / Realizado]="Realizado"),MIP[Sem],0)</f>
        <v>0</v>
      </c>
      <c r="AQ800" s="29">
        <f>IF(AND(MIP[Exc]=0,MIP[Previsto / Realizado]="Realizado",ISBLANK(MIP[[#This Row],[S.B Sitrack]])=FALSE,ISBLANK(MIP[[#This Row],[C.B Sitrack]])=FALSE),MIP[Sem],0)</f>
        <v>0</v>
      </c>
    </row>
    <row r="801" spans="1:43" x14ac:dyDescent="0.25">
      <c r="B801" s="29">
        <f>WEEKNUM(MIP[[#This Row],[Data]])</f>
        <v>47</v>
      </c>
      <c r="C801" s="45">
        <v>43059</v>
      </c>
      <c r="D801" s="45"/>
      <c r="E801" s="69" t="s">
        <v>7</v>
      </c>
      <c r="F801" s="35" t="s">
        <v>2</v>
      </c>
      <c r="G801" s="35" t="s">
        <v>6</v>
      </c>
      <c r="H801" s="44">
        <v>2</v>
      </c>
      <c r="I801" s="44">
        <v>2</v>
      </c>
      <c r="J801" s="44">
        <v>0</v>
      </c>
      <c r="K801" s="44">
        <v>0</v>
      </c>
      <c r="L801" s="44">
        <v>10</v>
      </c>
      <c r="M801" s="43">
        <v>0.62361111111111112</v>
      </c>
      <c r="N801" s="43">
        <v>0.65972222222222221</v>
      </c>
      <c r="O801" s="43">
        <v>1.0291666666666666</v>
      </c>
      <c r="P801" s="68">
        <v>3.4027777777777775E-2</v>
      </c>
      <c r="Q801" s="39">
        <v>7.4999999999999997E-2</v>
      </c>
      <c r="R801" s="25" t="s">
        <v>123</v>
      </c>
      <c r="S801" s="29">
        <f>MIP[[#This Row],[PT-1]]+MIP[[#This Row],[PT-2]]*2+MIP[[#This Row],[PT-3]]*3+MIP[[#This Row],[PT &gt; 3 Pontos]]</f>
        <v>12</v>
      </c>
      <c r="T80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0.1159722222222223</v>
      </c>
      <c r="U801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4.0972222222222299E-2</v>
      </c>
      <c r="V801" s="41">
        <f>MIP[[#This Row],[Eficiência]]</f>
        <v>0.99902695935304719</v>
      </c>
      <c r="W801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01" s="39">
        <f>IF(MIP[[#This Row],[P.S]]-MIP[[#This Row],[P.E]]&lt;0,1+MIP[[#This Row],[P.S]]-MIP[[#This Row],[P.E]]-1/24,MIP[[#This Row],[P.S]]-MIP[[#This Row],[P.E]]-1/24)</f>
        <v>0.36874999999999997</v>
      </c>
      <c r="Y801" s="39">
        <f>MIP[[#This Row],[PT-1]]*$S$3+MIP[[#This Row],[PT-2]]*$T$3+MIP[[#This Row],[PT-3]]*$U$3+MIP[[#This Row],[PT &gt; 3 Pontos]]*$V$3</f>
        <v>0.25253181472535347</v>
      </c>
      <c r="Z801" s="39">
        <f>MIP[[#This Row],[HH disponível]]-MIP[[#This Row],[HH AC TOT]]</f>
        <v>0.25277777777777766</v>
      </c>
      <c r="AA801" s="38">
        <f>MIP[[#This Row],[HH Produtivo
Total]]/MIP[[#This Row],[HH Trabalhado]]</f>
        <v>0.99902695935304719</v>
      </c>
      <c r="AB801" s="38">
        <f>MIP[[#This Row],[HH Produtivo
Total]]/MIP[[#This Row],[HH disponível]]</f>
        <v>0.684832039933162</v>
      </c>
      <c r="AC801" s="38">
        <f>MIP[[#This Row],[HH Trabalhado]]/MIP[[#This Row],[HH disponível]]</f>
        <v>0.68549905838041403</v>
      </c>
      <c r="AD801" s="37" t="str">
        <f>LEFT(MIP[[#This Row],[Equipe]], SEARCH("/",MIP[[#This Row],[Equipe]],1)-1)</f>
        <v xml:space="preserve">ANDERSON </v>
      </c>
      <c r="AE801" s="37" t="str">
        <f>RIGHT(MIP[[#This Row],[Equipe]], LEN(MIP[[#This Row],[Equipe]])-SEARCH("/",MIP[[#This Row],[Equipe]],1))</f>
        <v xml:space="preserve"> MARCO</v>
      </c>
      <c r="AF801" s="29">
        <f>COUNTIFS('[1]Tempo parado'!H:H,"&gt;="&amp;MIP[[#This Row],[S.B Sitrack]],'[1]Tempo parado'!I:I,"&lt;="&amp;MIP[[#This Row],[C.B Sitrack]],'[1]Tempo parado'!B:B,MIP[[#This Row],[Placa]])</f>
        <v>11</v>
      </c>
      <c r="AG801" s="36"/>
      <c r="AH801" s="35"/>
      <c r="AI801" s="34">
        <v>43059.660833333335</v>
      </c>
      <c r="AJ801" s="34">
        <v>43060.018113425926</v>
      </c>
      <c r="AK801" s="32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1.1805555555555448E-2</v>
      </c>
      <c r="AL80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39.900000000000006</v>
      </c>
      <c r="AM801" s="32">
        <f>SUMIFS('[1]Tempo parado'!J:J,'[1]Tempo parado'!H:H,"&gt;="&amp;MIP[[#This Row],[S.B Sitrack]],'[1]Tempo parado'!I:I,"&lt;="&amp;MIP[[#This Row],[C.B Sitrack]],'[1]Tempo parado'!B:B,MIP[[#This Row],[Placa]])</f>
        <v>0.26228009259259261</v>
      </c>
      <c r="AN801" s="31">
        <f>IFERROR(MIP[[#This Row],[Tempo parado]]/(MIP[[#This Row],[C.B Sitrack]]-MIP[[#This Row],[S.B Sitrack]]),"")</f>
        <v>0.73410217370633457</v>
      </c>
      <c r="AO801" s="30" t="s">
        <v>122</v>
      </c>
      <c r="AP801" s="44">
        <f>IF(AND(MIP[Exc]=0,MIP[Previsto / Realizado]="Realizado"),MIP[Sem],0)</f>
        <v>47</v>
      </c>
      <c r="AQ801" s="29">
        <f>IF(AND(MIP[Exc]=0,MIP[Previsto / Realizado]="Realizado",ISBLANK(MIP[[#This Row],[S.B Sitrack]])=FALSE,ISBLANK(MIP[[#This Row],[C.B Sitrack]])=FALSE),MIP[Sem],0)</f>
        <v>47</v>
      </c>
    </row>
    <row r="802" spans="1:43" x14ac:dyDescent="0.25">
      <c r="B802" s="29">
        <f>WEEKNUM(MIP[[#This Row],[Data]])</f>
        <v>47</v>
      </c>
      <c r="C802" s="45">
        <v>43060</v>
      </c>
      <c r="D802" s="45"/>
      <c r="E802" s="35" t="s">
        <v>10</v>
      </c>
      <c r="F802" s="35" t="s">
        <v>5</v>
      </c>
      <c r="G802" s="35"/>
      <c r="H802" s="44">
        <v>2</v>
      </c>
      <c r="I802" s="44">
        <v>2</v>
      </c>
      <c r="J802" s="44">
        <v>2</v>
      </c>
      <c r="K802" s="44">
        <v>0</v>
      </c>
      <c r="L802" s="44">
        <v>0</v>
      </c>
      <c r="M802" s="43">
        <v>0.25</v>
      </c>
      <c r="N802" s="43">
        <v>0.27083333333333331</v>
      </c>
      <c r="O802" s="43">
        <v>0.63750000000000007</v>
      </c>
      <c r="P802" s="43">
        <v>0.65833333333333333</v>
      </c>
      <c r="Q802" s="39"/>
      <c r="R802" s="67" t="s">
        <v>4</v>
      </c>
      <c r="S802" s="29">
        <f>MIP[[#This Row],[PT-1]]+MIP[[#This Row],[PT-2]]*2+MIP[[#This Row],[PT-3]]*3+MIP[[#This Row],[PT &gt; 3 Pontos]]</f>
        <v>6</v>
      </c>
      <c r="T80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4.1666666666666574E-2</v>
      </c>
      <c r="U802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4.1666666666666574E-2</v>
      </c>
      <c r="V802" s="41">
        <f>MIP[[#This Row],[Eficiência]]</f>
        <v>0.42421304038151852</v>
      </c>
      <c r="W802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02" s="39">
        <f>IF(MIP[[#This Row],[P.S]]-MIP[[#This Row],[P.E]]&lt;0,1+MIP[[#This Row],[P.S]]-MIP[[#This Row],[P.E]]-1/24,MIP[[#This Row],[P.S]]-MIP[[#This Row],[P.E]]-1/24)</f>
        <v>0.36666666666666664</v>
      </c>
      <c r="Y802" s="39">
        <f>MIP[[#This Row],[PT-1]]*$S$3+MIP[[#This Row],[PT-2]]*$T$3+MIP[[#This Row],[PT-3]]*$U$3+MIP[[#This Row],[PT &gt; 3 Pontos]]*$V$3</f>
        <v>0.13786923812399354</v>
      </c>
      <c r="Z802" s="39">
        <f>MIP[[#This Row],[HH disponível]]-MIP[[#This Row],[HH AC TOT]]</f>
        <v>0.32500000000000007</v>
      </c>
      <c r="AA802" s="38">
        <f>MIP[[#This Row],[HH Produtivo
Total]]/MIP[[#This Row],[HH Trabalhado]]</f>
        <v>0.42421304038151852</v>
      </c>
      <c r="AB802" s="38">
        <f>MIP[[#This Row],[HH Produtivo
Total]]/MIP[[#This Row],[HH disponível]]</f>
        <v>0.37600701306543693</v>
      </c>
      <c r="AC802" s="38">
        <f>MIP[[#This Row],[HH Trabalhado]]/MIP[[#This Row],[HH disponível]]</f>
        <v>0.88636363636363658</v>
      </c>
      <c r="AD802" s="37" t="str">
        <f>LEFT(MIP[[#This Row],[Equipe]], SEARCH("/",MIP[[#This Row],[Equipe]],1)-1)</f>
        <v xml:space="preserve">JOILSON </v>
      </c>
      <c r="AE802" s="37" t="str">
        <f>RIGHT(MIP[[#This Row],[Equipe]], LEN(MIP[[#This Row],[Equipe]])-SEARCH("/",MIP[[#This Row],[Equipe]],1))</f>
        <v xml:space="preserve"> VALDEI</v>
      </c>
      <c r="AF802" s="29">
        <f>COUNTIFS('[1]Tempo parado'!H:H,"&gt;="&amp;MIP[[#This Row],[S.B Sitrack]],'[1]Tempo parado'!I:I,"&lt;="&amp;MIP[[#This Row],[C.B Sitrack]],'[1]Tempo parado'!B:B,MIP[[#This Row],[Placa]])</f>
        <v>0</v>
      </c>
      <c r="AG802" s="36"/>
      <c r="AH802" s="35"/>
      <c r="AI802" s="34"/>
      <c r="AJ802" s="34"/>
      <c r="AK80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0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02" s="32">
        <f>SUMIFS('[1]Tempo parado'!J:J,'[1]Tempo parado'!H:H,"&gt;="&amp;MIP[[#This Row],[S.B Sitrack]],'[1]Tempo parado'!I:I,"&lt;="&amp;MIP[[#This Row],[C.B Sitrack]],'[1]Tempo parado'!B:B,MIP[[#This Row],[Placa]])</f>
        <v>0</v>
      </c>
      <c r="AN802" s="31" t="str">
        <f>IFERROR(MIP[[#This Row],[Tempo parado]]/(MIP[[#This Row],[C.B Sitrack]]-MIP[[#This Row],[S.B Sitrack]]),"")</f>
        <v/>
      </c>
      <c r="AO802" s="30"/>
      <c r="AP802" s="44">
        <f>IF(AND(MIP[Exc]=0,MIP[Previsto / Realizado]="Realizado"),MIP[Sem],0)</f>
        <v>0</v>
      </c>
      <c r="AQ802" s="29">
        <f>IF(AND(MIP[Exc]=0,MIP[Previsto / Realizado]="Realizado",ISBLANK(MIP[[#This Row],[S.B Sitrack]])=FALSE,ISBLANK(MIP[[#This Row],[C.B Sitrack]])=FALSE),MIP[Sem],0)</f>
        <v>0</v>
      </c>
    </row>
    <row r="803" spans="1:43" x14ac:dyDescent="0.25">
      <c r="B803" s="29">
        <f>WEEKNUM(MIP[[#This Row],[Data]])</f>
        <v>47</v>
      </c>
      <c r="C803" s="45">
        <v>43060</v>
      </c>
      <c r="D803" s="45"/>
      <c r="E803" s="46" t="s">
        <v>10</v>
      </c>
      <c r="F803" s="35" t="s">
        <v>2</v>
      </c>
      <c r="G803" s="35" t="s">
        <v>1</v>
      </c>
      <c r="H803" s="44">
        <v>2</v>
      </c>
      <c r="I803" s="44">
        <v>7</v>
      </c>
      <c r="J803" s="44">
        <v>2</v>
      </c>
      <c r="K803" s="44">
        <v>0</v>
      </c>
      <c r="L803" s="44">
        <v>0</v>
      </c>
      <c r="M803" s="43">
        <v>0.24583333333333335</v>
      </c>
      <c r="N803" s="43">
        <v>0.26805555555555555</v>
      </c>
      <c r="O803" s="43">
        <v>0.60416666666666663</v>
      </c>
      <c r="P803" s="43">
        <v>0.65833333333333333</v>
      </c>
      <c r="Q803" s="39"/>
      <c r="R803" s="25" t="s">
        <v>9</v>
      </c>
      <c r="S803" s="29">
        <f>MIP[[#This Row],[PT-1]]+MIP[[#This Row],[PT-2]]*2+MIP[[#This Row],[PT-3]]*3+MIP[[#This Row],[PT &gt; 3 Pontos]]</f>
        <v>11</v>
      </c>
      <c r="T80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7.6388888888888895E-2</v>
      </c>
      <c r="U803" s="39">
        <f>IF(MIP[[#This Row],[P.S]]-MIP[[#This Row],[U.P]]&gt;=0,MIP[[#This Row],[P.S]]-MIP[[#This Row],[U.P]]+MIP[[#This Row],[S.B]]-MIP[[#This Row],[P.E]],1+MIP[[#This Row],[P.S]]-MIP[[#This Row],[U.P]]+MIP[[#This Row],[S.B]]-MIP[[#This Row],[P.E]])</f>
        <v>7.6388888888888895E-2</v>
      </c>
      <c r="V803" s="41">
        <f>MIP[[#This Row],[Eficiência]]</f>
        <v>0.893202462742685</v>
      </c>
      <c r="W803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03" s="39">
        <f>IF(MIP[[#This Row],[P.S]]-MIP[[#This Row],[P.E]]&lt;0,1+MIP[[#This Row],[P.S]]-MIP[[#This Row],[P.E]]-1/24,MIP[[#This Row],[P.S]]-MIP[[#This Row],[P.E]]-1/24)</f>
        <v>0.37083333333333329</v>
      </c>
      <c r="Y803" s="39">
        <f>MIP[[#This Row],[PT-1]]*$S$3+MIP[[#This Row],[PT-2]]*$T$3+MIP[[#This Row],[PT-3]]*$U$3+MIP[[#This Row],[PT &gt; 3 Pontos]]*$V$3</f>
        <v>0.26299850291867943</v>
      </c>
      <c r="Z803" s="39">
        <f>MIP[[#This Row],[HH disponível]]-MIP[[#This Row],[HH AC TOT]]</f>
        <v>0.2944444444444444</v>
      </c>
      <c r="AA803" s="38">
        <f>MIP[[#This Row],[HH Produtivo
Total]]/MIP[[#This Row],[HH Trabalhado]]</f>
        <v>0.893202462742685</v>
      </c>
      <c r="AB803" s="38">
        <f>MIP[[#This Row],[HH Produtivo
Total]]/MIP[[#This Row],[HH disponível]]</f>
        <v>0.70920944607284353</v>
      </c>
      <c r="AC803" s="38">
        <f>MIP[[#This Row],[HH Trabalhado]]/MIP[[#This Row],[HH disponível]]</f>
        <v>0.79400749063670406</v>
      </c>
      <c r="AD803" s="37" t="str">
        <f>LEFT(MIP[[#This Row],[Equipe]], SEARCH("/",MIP[[#This Row],[Equipe]],1)-1)</f>
        <v xml:space="preserve">JOILSON </v>
      </c>
      <c r="AE803" s="37" t="str">
        <f>RIGHT(MIP[[#This Row],[Equipe]], LEN(MIP[[#This Row],[Equipe]])-SEARCH("/",MIP[[#This Row],[Equipe]],1))</f>
        <v xml:space="preserve"> VALDEI</v>
      </c>
      <c r="AF803" s="29">
        <f>COUNTIFS('[1]Tempo parado'!H:H,"&gt;="&amp;MIP[[#This Row],[S.B Sitrack]],'[1]Tempo parado'!I:I,"&lt;="&amp;MIP[[#This Row],[C.B Sitrack]],'[1]Tempo parado'!B:B,MIP[[#This Row],[Placa]])</f>
        <v>18</v>
      </c>
      <c r="AG803" s="36"/>
      <c r="AH803" s="35" t="s">
        <v>121</v>
      </c>
      <c r="AI803" s="34">
        <v>43060.269456018519</v>
      </c>
      <c r="AJ803" s="34">
        <v>43060.626932870371</v>
      </c>
      <c r="AK803" s="32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2.3611111111111138E-2</v>
      </c>
      <c r="AL80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41.1</v>
      </c>
      <c r="AM803" s="32">
        <f>SUMIFS('[1]Tempo parado'!J:J,'[1]Tempo parado'!H:H,"&gt;="&amp;MIP[[#This Row],[S.B Sitrack]],'[1]Tempo parado'!I:I,"&lt;="&amp;MIP[[#This Row],[C.B Sitrack]],'[1]Tempo parado'!B:B,MIP[[#This Row],[Placa]])</f>
        <v>0.23899305555555553</v>
      </c>
      <c r="AN803" s="31">
        <f>IFERROR(MIP[[#This Row],[Tempo parado]]/(MIP[[#This Row],[C.B Sitrack]]-MIP[[#This Row],[S.B Sitrack]]),"")</f>
        <v>0.6685553325128909</v>
      </c>
      <c r="AO803" s="30" t="s">
        <v>120</v>
      </c>
      <c r="AP803" s="44">
        <f>IF(AND(MIP[Exc]=0,MIP[Previsto / Realizado]="Realizado"),MIP[Sem],0)</f>
        <v>47</v>
      </c>
      <c r="AQ803" s="29">
        <f>IF(AND(MIP[Exc]=0,MIP[Previsto / Realizado]="Realizado",ISBLANK(MIP[[#This Row],[S.B Sitrack]])=FALSE,ISBLANK(MIP[[#This Row],[C.B Sitrack]])=FALSE),MIP[Sem],0)</f>
        <v>47</v>
      </c>
    </row>
    <row r="804" spans="1:43" x14ac:dyDescent="0.25">
      <c r="B804" s="29">
        <f>WEEKNUM(MIP[[#This Row],[Data]])</f>
        <v>47</v>
      </c>
      <c r="C804" s="45">
        <v>43060</v>
      </c>
      <c r="D804" s="45"/>
      <c r="E804" s="35" t="s">
        <v>83</v>
      </c>
      <c r="F804" s="35" t="s">
        <v>5</v>
      </c>
      <c r="G804" s="35"/>
      <c r="H804" s="44">
        <v>3</v>
      </c>
      <c r="I804" s="44">
        <v>9</v>
      </c>
      <c r="J804" s="44">
        <v>0</v>
      </c>
      <c r="K804" s="44">
        <v>0</v>
      </c>
      <c r="L804" s="44">
        <v>0</v>
      </c>
      <c r="M804" s="43">
        <v>0.625</v>
      </c>
      <c r="N804" s="43">
        <v>0.64583333333333337</v>
      </c>
      <c r="O804" s="43">
        <v>1.0125</v>
      </c>
      <c r="P804" s="43">
        <v>1.0333333333333334</v>
      </c>
      <c r="Q804" s="39"/>
      <c r="R804" s="67" t="s">
        <v>4</v>
      </c>
      <c r="S804" s="29">
        <f>MIP[[#This Row],[PT-1]]+MIP[[#This Row],[PT-2]]*2+MIP[[#This Row],[PT-3]]*3+MIP[[#This Row],[PT &gt; 3 Pontos]]</f>
        <v>9</v>
      </c>
      <c r="T80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4.1666666666666852E-2</v>
      </c>
      <c r="U804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4.1666666666666852E-2</v>
      </c>
      <c r="V804" s="41">
        <f>MIP[[#This Row],[Eficiência]]</f>
        <v>0.69302362040133747</v>
      </c>
      <c r="W804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04" s="39">
        <f>IF(MIP[[#This Row],[P.S]]-MIP[[#This Row],[P.E]]&lt;0,1+MIP[[#This Row],[P.S]]-MIP[[#This Row],[P.E]]-1/24,MIP[[#This Row],[P.S]]-MIP[[#This Row],[P.E]]-1/24)</f>
        <v>0.36666666666666675</v>
      </c>
      <c r="Y804" s="39">
        <f>MIP[[#This Row],[PT-1]]*$S$3+MIP[[#This Row],[PT-2]]*$T$3+MIP[[#This Row],[PT-3]]*$U$3+MIP[[#This Row],[PT &gt; 3 Pontos]]*$V$3</f>
        <v>0.22523267663043461</v>
      </c>
      <c r="Z804" s="39">
        <f>MIP[[#This Row],[HH disponível]]-MIP[[#This Row],[HH AC TOT]]</f>
        <v>0.3249999999999999</v>
      </c>
      <c r="AA804" s="38">
        <f>MIP[[#This Row],[HH Produtivo
Total]]/MIP[[#This Row],[HH Trabalhado]]</f>
        <v>0.69302362040133747</v>
      </c>
      <c r="AB804" s="38">
        <f>MIP[[#This Row],[HH Produtivo
Total]]/MIP[[#This Row],[HH disponível]]</f>
        <v>0.61427093626482154</v>
      </c>
      <c r="AC804" s="38">
        <f>MIP[[#This Row],[HH Trabalhado]]/MIP[[#This Row],[HH disponível]]</f>
        <v>0.88636363636363591</v>
      </c>
      <c r="AD804" s="37" t="str">
        <f>LEFT(MIP[[#This Row],[Equipe]], SEARCH("/",MIP[[#This Row],[Equipe]],1)-1)</f>
        <v xml:space="preserve">ADEMÁRIO </v>
      </c>
      <c r="AE804" s="37" t="str">
        <f>RIGHT(MIP[[#This Row],[Equipe]], LEN(MIP[[#This Row],[Equipe]])-SEARCH("/",MIP[[#This Row],[Equipe]],1))</f>
        <v xml:space="preserve"> GECIVALDO / RONALDO</v>
      </c>
      <c r="AF804" s="29">
        <f>COUNTIFS('[1]Tempo parado'!H:H,"&gt;="&amp;MIP[[#This Row],[S.B Sitrack]],'[1]Tempo parado'!I:I,"&lt;="&amp;MIP[[#This Row],[C.B Sitrack]],'[1]Tempo parado'!B:B,MIP[[#This Row],[Placa]])</f>
        <v>0</v>
      </c>
      <c r="AG804" s="36"/>
      <c r="AH804" s="35"/>
      <c r="AI804" s="34"/>
      <c r="AJ804" s="34"/>
      <c r="AK80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0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04" s="32">
        <f>SUMIFS('[1]Tempo parado'!J:J,'[1]Tempo parado'!H:H,"&gt;="&amp;MIP[[#This Row],[S.B Sitrack]],'[1]Tempo parado'!I:I,"&lt;="&amp;MIP[[#This Row],[C.B Sitrack]],'[1]Tempo parado'!B:B,MIP[[#This Row],[Placa]])</f>
        <v>0</v>
      </c>
      <c r="AN804" s="31" t="str">
        <f>IFERROR(MIP[[#This Row],[Tempo parado]]/(MIP[[#This Row],[C.B Sitrack]]-MIP[[#This Row],[S.B Sitrack]]),"")</f>
        <v/>
      </c>
      <c r="AO804" s="30"/>
      <c r="AP804" s="44">
        <f>IF(AND(MIP[Exc]=0,MIP[Previsto / Realizado]="Realizado"),MIP[Sem],0)</f>
        <v>0</v>
      </c>
      <c r="AQ804" s="29">
        <f>IF(AND(MIP[Exc]=0,MIP[Previsto / Realizado]="Realizado",ISBLANK(MIP[[#This Row],[S.B Sitrack]])=FALSE,ISBLANK(MIP[[#This Row],[C.B Sitrack]])=FALSE),MIP[Sem],0)</f>
        <v>0</v>
      </c>
    </row>
    <row r="805" spans="1:43" x14ac:dyDescent="0.25">
      <c r="B805" s="12">
        <f>WEEKNUM(MIP[[#This Row],[Data]])</f>
        <v>47</v>
      </c>
      <c r="C805" s="28">
        <v>43060</v>
      </c>
      <c r="D805" s="28"/>
      <c r="E805" s="66" t="s">
        <v>83</v>
      </c>
      <c r="F805" s="18" t="s">
        <v>2</v>
      </c>
      <c r="G805" s="18" t="s">
        <v>39</v>
      </c>
      <c r="H805" s="27">
        <v>3</v>
      </c>
      <c r="I805" s="27">
        <v>12</v>
      </c>
      <c r="J805" s="27">
        <v>0</v>
      </c>
      <c r="K805" s="27">
        <v>0</v>
      </c>
      <c r="L805" s="27">
        <v>0</v>
      </c>
      <c r="M805" s="26">
        <v>0.625</v>
      </c>
      <c r="N805" s="26">
        <v>0.66249999999999998</v>
      </c>
      <c r="O805" s="26">
        <v>1.0055555555555555</v>
      </c>
      <c r="P805" s="26">
        <v>3.3333333333333333E-2</v>
      </c>
      <c r="Q805" s="22"/>
      <c r="R805" s="25" t="s">
        <v>34</v>
      </c>
      <c r="S805" s="12">
        <f>MIP[[#This Row],[PT-1]]+MIP[[#This Row],[PT-2]]*2+MIP[[#This Row],[PT-3]]*3+MIP[[#This Row],[PT &gt; 3 Pontos]]</f>
        <v>12</v>
      </c>
      <c r="T805" s="22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6.5277777777777879E-2</v>
      </c>
      <c r="U805" s="22">
        <f>IF(MIP[[#This Row],[P.S]]-MIP[[#This Row],[U.P]]&gt;=0,MIP[[#This Row],[P.S]]-MIP[[#This Row],[U.P]]+MIP[[#This Row],[S.B]]-MIP[[#This Row],[P.E]],1+MIP[[#This Row],[P.S]]-MIP[[#This Row],[U.P]]+MIP[[#This Row],[S.B]]-MIP[[#This Row],[P.E]])</f>
        <v>6.5277777777777879E-2</v>
      </c>
      <c r="V805" s="24">
        <f>MIP[[#This Row],[Eficiência]]</f>
        <v>0.99642105790422697</v>
      </c>
      <c r="W805" s="23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05" s="22">
        <f>IF(MIP[[#This Row],[P.S]]-MIP[[#This Row],[P.E]]&lt;0,1+MIP[[#This Row],[P.S]]-MIP[[#This Row],[P.E]]-1/24,MIP[[#This Row],[P.S]]-MIP[[#This Row],[P.E]]-1/24)</f>
        <v>0.36666666666666675</v>
      </c>
      <c r="Y805" s="22">
        <f>MIP[[#This Row],[PT-1]]*$S$3+MIP[[#This Row],[PT-2]]*$T$3+MIP[[#This Row],[PT-3]]*$U$3+MIP[[#This Row],[PT &gt; 3 Pontos]]*$V$3</f>
        <v>0.30031023550724617</v>
      </c>
      <c r="Z805" s="22">
        <f>MIP[[#This Row],[HH disponível]]-MIP[[#This Row],[HH AC TOT]]</f>
        <v>0.30138888888888887</v>
      </c>
      <c r="AA805" s="21">
        <f>MIP[[#This Row],[HH Produtivo
Total]]/MIP[[#This Row],[HH Trabalhado]]</f>
        <v>0.99642105790422697</v>
      </c>
      <c r="AB805" s="21">
        <f>MIP[[#This Row],[HH Produtivo
Total]]/MIP[[#This Row],[HH disponível]]</f>
        <v>0.81902791501976213</v>
      </c>
      <c r="AC805" s="21">
        <f>MIP[[#This Row],[HH Trabalhado]]/MIP[[#This Row],[HH disponível]]</f>
        <v>0.82196969696969668</v>
      </c>
      <c r="AD805" s="20" t="str">
        <f>LEFT(MIP[[#This Row],[Equipe]], SEARCH("/",MIP[[#This Row],[Equipe]],1)-1)</f>
        <v xml:space="preserve">ADEMÁRIO </v>
      </c>
      <c r="AE805" s="20" t="str">
        <f>RIGHT(MIP[[#This Row],[Equipe]], LEN(MIP[[#This Row],[Equipe]])-SEARCH("/",MIP[[#This Row],[Equipe]],1))</f>
        <v xml:space="preserve"> GECIVALDO / RONALDO</v>
      </c>
      <c r="AF805" s="12">
        <f>COUNTIFS('[1]Tempo parado'!H:H,"&gt;="&amp;MIP[[#This Row],[S.B Sitrack]],'[1]Tempo parado'!I:I,"&lt;="&amp;MIP[[#This Row],[C.B Sitrack]],'[1]Tempo parado'!B:B,MIP[[#This Row],[Placa]])</f>
        <v>18</v>
      </c>
      <c r="AG805" s="19"/>
      <c r="AH805" s="18"/>
      <c r="AI805" s="17">
        <v>43060.666759259257</v>
      </c>
      <c r="AJ805" s="17">
        <v>43061.020231481481</v>
      </c>
      <c r="AK805" s="32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1.8750000000000006E-2</v>
      </c>
      <c r="AL805" s="16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48.5</v>
      </c>
      <c r="AM805" s="15">
        <f>SUMIFS('[1]Tempo parado'!J:J,'[1]Tempo parado'!H:H,"&gt;="&amp;MIP[[#This Row],[S.B Sitrack]],'[1]Tempo parado'!I:I,"&lt;="&amp;MIP[[#This Row],[C.B Sitrack]],'[1]Tempo parado'!B:B,MIP[[#This Row],[Placa]])</f>
        <v>0.2240277777777778</v>
      </c>
      <c r="AN805" s="14">
        <f>IFERROR(MIP[[#This Row],[Tempo parado]]/(MIP[[#This Row],[C.B Sitrack]]-MIP[[#This Row],[S.B Sitrack]]),"")</f>
        <v>0.63379174852188402</v>
      </c>
      <c r="AO805" s="30" t="s">
        <v>119</v>
      </c>
      <c r="AP805" s="44">
        <f>IF(AND(MIP[Exc]=0,MIP[Previsto / Realizado]="Realizado"),MIP[Sem],0)</f>
        <v>47</v>
      </c>
      <c r="AQ805" s="29">
        <f>IF(AND(MIP[Exc]=0,MIP[Previsto / Realizado]="Realizado",ISBLANK(MIP[[#This Row],[S.B Sitrack]])=FALSE,ISBLANK(MIP[[#This Row],[C.B Sitrack]])=FALSE),MIP[Sem],0)</f>
        <v>47</v>
      </c>
    </row>
    <row r="806" spans="1:43" s="47" customFormat="1" x14ac:dyDescent="0.25">
      <c r="A806" s="64"/>
      <c r="B806" s="54">
        <f>WEEKNUM(MIP[[#This Row],[Data]])</f>
        <v>47</v>
      </c>
      <c r="C806" s="63" t="s">
        <v>114</v>
      </c>
      <c r="D806" s="63"/>
      <c r="E806" s="52" t="s">
        <v>19</v>
      </c>
      <c r="F806" s="52" t="s">
        <v>5</v>
      </c>
      <c r="G806" s="52"/>
      <c r="H806" s="62">
        <v>2</v>
      </c>
      <c r="I806" s="62">
        <v>2</v>
      </c>
      <c r="J806" s="62">
        <v>1</v>
      </c>
      <c r="K806" s="62">
        <v>2</v>
      </c>
      <c r="L806" s="62">
        <v>4</v>
      </c>
      <c r="M806" s="61">
        <v>0.625</v>
      </c>
      <c r="N806" s="61">
        <v>0.63750000000000007</v>
      </c>
      <c r="O806" s="61">
        <v>4.8611111111111112E-3</v>
      </c>
      <c r="P806" s="61">
        <v>3.3333333333333333E-2</v>
      </c>
      <c r="Q806" s="57"/>
      <c r="R806" s="60"/>
      <c r="S806" s="54">
        <f>MIP[[#This Row],[PT-1]]+MIP[[#This Row],[PT-2]]*2+MIP[[#This Row],[PT-3]]*3+MIP[[#This Row],[PT &gt; 3 Pontos]]</f>
        <v>14</v>
      </c>
      <c r="T806" s="57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4.0972222222222299E-2</v>
      </c>
      <c r="U806" s="57">
        <f>IF(MIP[[#This Row],[P.S]]-MIP[[#This Row],[U.P]]&gt;=0,MIP[[#This Row],[P.S]]-MIP[[#This Row],[U.P]]+MIP[[#This Row],[S.B]]-MIP[[#This Row],[P.E]],1+MIP[[#This Row],[P.S]]-MIP[[#This Row],[U.P]]+MIP[[#This Row],[S.B]]-MIP[[#This Row],[P.E]])</f>
        <v>4.0972222222222299E-2</v>
      </c>
      <c r="V806" s="59">
        <f>MIP[[#This Row],[Eficiência]]</f>
        <v>0.92275406954186967</v>
      </c>
      <c r="W806" s="58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06" s="57">
        <f>IF(MIP[[#This Row],[P.S]]-MIP[[#This Row],[P.E]]&lt;0,1+MIP[[#This Row],[P.S]]-MIP[[#This Row],[P.E]]-1/24,MIP[[#This Row],[P.S]]-MIP[[#This Row],[P.E]]-1/24)</f>
        <v>0.36666666666666675</v>
      </c>
      <c r="Y806" s="57">
        <f>MIP[[#This Row],[PT-1]]*$S$3+MIP[[#This Row],[PT-2]]*$T$3+MIP[[#This Row],[PT-3]]*$U$3+MIP[[#This Row],[PT &gt; 3 Pontos]]*$V$3</f>
        <v>0.30053587403828952</v>
      </c>
      <c r="Z806" s="57">
        <f>MIP[[#This Row],[HH disponível]]-MIP[[#This Row],[HH AC TOT]]</f>
        <v>0.32569444444444445</v>
      </c>
      <c r="AA806" s="56">
        <f>MIP[[#This Row],[HH Produtivo
Total]]/MIP[[#This Row],[HH Trabalhado]]</f>
        <v>0.92275406954186967</v>
      </c>
      <c r="AB806" s="56">
        <f>MIP[[#This Row],[HH Produtivo
Total]]/MIP[[#This Row],[HH disponível]]</f>
        <v>0.81964329283169846</v>
      </c>
      <c r="AC806" s="56">
        <f>MIP[[#This Row],[HH Trabalhado]]/MIP[[#This Row],[HH disponível]]</f>
        <v>0.88825757575757558</v>
      </c>
      <c r="AD806" s="55" t="str">
        <f>LEFT(MIP[[#This Row],[Equipe]], SEARCH("/",MIP[[#This Row],[Equipe]],1)-1)</f>
        <v xml:space="preserve">ADEMÁRIO </v>
      </c>
      <c r="AE806" s="55" t="str">
        <f>RIGHT(MIP[[#This Row],[Equipe]], LEN(MIP[[#This Row],[Equipe]])-SEARCH("/",MIP[[#This Row],[Equipe]],1))</f>
        <v xml:space="preserve"> RONALDO</v>
      </c>
      <c r="AF806" s="54">
        <f>COUNTIFS('[1]Tempo parado'!H:H,"&gt;="&amp;MIP[[#This Row],[S.B Sitrack]],'[1]Tempo parado'!I:I,"&lt;="&amp;MIP[[#This Row],[C.B Sitrack]],'[1]Tempo parado'!B:B,MIP[[#This Row],[Placa]])</f>
        <v>0</v>
      </c>
      <c r="AG806" s="53">
        <v>43062.358877314815</v>
      </c>
      <c r="AH806" s="52" t="s">
        <v>118</v>
      </c>
      <c r="AI806" s="51"/>
      <c r="AJ806" s="51"/>
      <c r="AK806" s="49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06" s="50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06" s="49">
        <f>SUMIFS('[1]Tempo parado'!J:J,'[1]Tempo parado'!H:H,"&gt;="&amp;MIP[[#This Row],[S.B Sitrack]],'[1]Tempo parado'!I:I,"&lt;="&amp;MIP[[#This Row],[C.B Sitrack]],'[1]Tempo parado'!B:B,MIP[[#This Row],[Placa]])</f>
        <v>0</v>
      </c>
      <c r="AN806" s="48" t="str">
        <f>IFERROR(MIP[[#This Row],[Tempo parado]]/(MIP[[#This Row],[C.B Sitrack]]-MIP[[#This Row],[S.B Sitrack]]),"")</f>
        <v/>
      </c>
      <c r="AO806" s="30"/>
      <c r="AP806" s="44">
        <f>IF(AND(MIP[Exc]=0,MIP[Previsto / Realizado]="Realizado"),MIP[Sem],0)</f>
        <v>0</v>
      </c>
      <c r="AQ806" s="29">
        <f>IF(AND(MIP[Exc]=0,MIP[Previsto / Realizado]="Realizado",ISBLANK(MIP[[#This Row],[S.B Sitrack]])=FALSE,ISBLANK(MIP[[#This Row],[C.B Sitrack]])=FALSE),MIP[Sem],0)</f>
        <v>0</v>
      </c>
    </row>
    <row r="807" spans="1:43" s="47" customFormat="1" x14ac:dyDescent="0.25">
      <c r="A807" s="64"/>
      <c r="B807" s="29">
        <f>WEEKNUM(MIP[[#This Row],[Data]])</f>
        <v>47</v>
      </c>
      <c r="C807" s="45">
        <v>43061</v>
      </c>
      <c r="D807" s="45"/>
      <c r="E807" s="46" t="s">
        <v>19</v>
      </c>
      <c r="F807" s="35" t="s">
        <v>2</v>
      </c>
      <c r="G807" s="35" t="s">
        <v>39</v>
      </c>
      <c r="H807" s="44">
        <v>2</v>
      </c>
      <c r="I807" s="44">
        <v>3</v>
      </c>
      <c r="J807" s="44">
        <v>1</v>
      </c>
      <c r="K807" s="44">
        <v>2</v>
      </c>
      <c r="L807" s="44">
        <v>4</v>
      </c>
      <c r="M807" s="43">
        <v>0.63611111111111118</v>
      </c>
      <c r="N807" s="43">
        <v>0.65277777777777779</v>
      </c>
      <c r="O807" s="43">
        <v>6.9444444444444441E-3</v>
      </c>
      <c r="P807" s="43">
        <v>4.1666666666666664E-2</v>
      </c>
      <c r="Q807" s="39"/>
      <c r="R807" s="42" t="s">
        <v>117</v>
      </c>
      <c r="S807" s="29">
        <f>MIP[[#This Row],[PT-1]]+MIP[[#This Row],[PT-2]]*2+MIP[[#This Row],[PT-3]]*3+MIP[[#This Row],[PT &gt; 3 Pontos]]</f>
        <v>15</v>
      </c>
      <c r="T80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5.1388888888888817E-2</v>
      </c>
      <c r="U807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5.1388888888888817E-2</v>
      </c>
      <c r="V807" s="41">
        <f>MIP[[#This Row],[Eficiência]]</f>
        <v>1.0417975263911254</v>
      </c>
      <c r="W807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07" s="39">
        <f>IF(MIP[[#This Row],[P.S]]-MIP[[#This Row],[P.E]]&lt;0,1+MIP[[#This Row],[P.S]]-MIP[[#This Row],[P.E]]-1/24,MIP[[#This Row],[P.S]]-MIP[[#This Row],[P.E]]-1/24)</f>
        <v>0.36388888888888887</v>
      </c>
      <c r="Y807" s="39">
        <f>MIP[[#This Row],[PT-1]]*$S$3+MIP[[#This Row],[PT-2]]*$T$3+MIP[[#This Row],[PT-3]]*$U$3+MIP[[#This Row],[PT &gt; 3 Pontos]]*$V$3</f>
        <v>0.32556172699722674</v>
      </c>
      <c r="Z807" s="39">
        <f>MIP[[#This Row],[HH disponível]]-MIP[[#This Row],[HH AC TOT]]</f>
        <v>0.31250000000000006</v>
      </c>
      <c r="AA807" s="38">
        <f>MIP[[#This Row],[HH Produtivo
Total]]/MIP[[#This Row],[HH Trabalhado]]</f>
        <v>1.0417975263911254</v>
      </c>
      <c r="AB807" s="38">
        <f>MIP[[#This Row],[HH Produtivo
Total]]/MIP[[#This Row],[HH disponível]]</f>
        <v>0.89467344823665373</v>
      </c>
      <c r="AC807" s="38">
        <f>MIP[[#This Row],[HH Trabalhado]]/MIP[[#This Row],[HH disponível]]</f>
        <v>0.85877862595419863</v>
      </c>
      <c r="AD807" s="37" t="str">
        <f>LEFT(MIP[[#This Row],[Equipe]], SEARCH("/",MIP[[#This Row],[Equipe]],1)-1)</f>
        <v xml:space="preserve">ADEMÁRIO </v>
      </c>
      <c r="AE807" s="37" t="str">
        <f>RIGHT(MIP[[#This Row],[Equipe]], LEN(MIP[[#This Row],[Equipe]])-SEARCH("/",MIP[[#This Row],[Equipe]],1))</f>
        <v xml:space="preserve"> RONALDO</v>
      </c>
      <c r="AF807" s="29">
        <f>COUNTIFS('[1]Tempo parado'!H:H,"&gt;="&amp;MIP[[#This Row],[S.B Sitrack]],'[1]Tempo parado'!I:I,"&lt;="&amp;MIP[[#This Row],[C.B Sitrack]],'[1]Tempo parado'!B:B,MIP[[#This Row],[Placa]])</f>
        <v>15</v>
      </c>
      <c r="AG807" s="36"/>
      <c r="AH807" s="35" t="s">
        <v>116</v>
      </c>
      <c r="AI807" s="34">
        <v>43061.656354166669</v>
      </c>
      <c r="AJ807" s="34">
        <v>43062.015127314815</v>
      </c>
      <c r="AK807" s="32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1.1111111111111098E-2</v>
      </c>
      <c r="AL80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55.8</v>
      </c>
      <c r="AM807" s="32">
        <f>SUMIFS('[1]Tempo parado'!J:J,'[1]Tempo parado'!H:H,"&gt;="&amp;MIP[[#This Row],[S.B Sitrack]],'[1]Tempo parado'!I:I,"&lt;="&amp;MIP[[#This Row],[C.B Sitrack]],'[1]Tempo parado'!B:B,MIP[[#This Row],[Placa]])</f>
        <v>0.24364583333333337</v>
      </c>
      <c r="AN807" s="31">
        <f>IFERROR(MIP[[#This Row],[Tempo parado]]/(MIP[[#This Row],[C.B Sitrack]]-MIP[[#This Row],[S.B Sitrack]]),"")</f>
        <v>0.67910832957428136</v>
      </c>
      <c r="AO807" s="30" t="s">
        <v>115</v>
      </c>
      <c r="AP807" s="44">
        <f>IF(AND(MIP[Exc]=0,MIP[Previsto / Realizado]="Realizado"),MIP[Sem],0)</f>
        <v>47</v>
      </c>
      <c r="AQ807" s="29">
        <f>IF(AND(MIP[Exc]=0,MIP[Previsto / Realizado]="Realizado",ISBLANK(MIP[[#This Row],[S.B Sitrack]])=FALSE,ISBLANK(MIP[[#This Row],[C.B Sitrack]])=FALSE),MIP[Sem],0)</f>
        <v>47</v>
      </c>
    </row>
    <row r="808" spans="1:43" s="47" customFormat="1" x14ac:dyDescent="0.25">
      <c r="A808" s="64"/>
      <c r="B808" s="54">
        <f>WEEKNUM(MIP[[#This Row],[Data]])</f>
        <v>47</v>
      </c>
      <c r="C808" s="63" t="s">
        <v>114</v>
      </c>
      <c r="D808" s="63"/>
      <c r="E808" s="52" t="s">
        <v>7</v>
      </c>
      <c r="F808" s="52" t="s">
        <v>5</v>
      </c>
      <c r="G808" s="52"/>
      <c r="H808" s="62">
        <v>2</v>
      </c>
      <c r="I808" s="62">
        <v>2</v>
      </c>
      <c r="J808" s="62">
        <v>2</v>
      </c>
      <c r="K808" s="62">
        <v>0</v>
      </c>
      <c r="L808" s="62">
        <v>0</v>
      </c>
      <c r="M808" s="61">
        <v>0.625</v>
      </c>
      <c r="N808" s="61">
        <v>0.6381944444444444</v>
      </c>
      <c r="O808" s="61">
        <v>5.5555555555555558E-3</v>
      </c>
      <c r="P808" s="61">
        <v>3.3333333333333333E-2</v>
      </c>
      <c r="Q808" s="57"/>
      <c r="R808" s="60" t="s">
        <v>36</v>
      </c>
      <c r="S808" s="54">
        <f>MIP[[#This Row],[PT-1]]+MIP[[#This Row],[PT-2]]*2+MIP[[#This Row],[PT-3]]*3+MIP[[#This Row],[PT &gt; 3 Pontos]]</f>
        <v>6</v>
      </c>
      <c r="T808" s="57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4.0972222222222188E-2</v>
      </c>
      <c r="U808" s="57">
        <f>IF(MIP[[#This Row],[P.S]]-MIP[[#This Row],[U.P]]&gt;=0,MIP[[#This Row],[P.S]]-MIP[[#This Row],[U.P]]+MIP[[#This Row],[S.B]]-MIP[[#This Row],[P.E]],1+MIP[[#This Row],[P.S]]-MIP[[#This Row],[U.P]]+MIP[[#This Row],[S.B]]-MIP[[#This Row],[P.E]])</f>
        <v>4.0972222222222188E-2</v>
      </c>
      <c r="V808" s="59">
        <f>MIP[[#This Row],[Eficiência]]</f>
        <v>0.42330853496492671</v>
      </c>
      <c r="W808" s="58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08" s="57">
        <f>IF(MIP[[#This Row],[P.S]]-MIP[[#This Row],[P.E]]&lt;0,1+MIP[[#This Row],[P.S]]-MIP[[#This Row],[P.E]]-1/24,MIP[[#This Row],[P.S]]-MIP[[#This Row],[P.E]]-1/24)</f>
        <v>0.36666666666666675</v>
      </c>
      <c r="Y808" s="57">
        <f>MIP[[#This Row],[PT-1]]*$S$3+MIP[[#This Row],[PT-2]]*$T$3+MIP[[#This Row],[PT-3]]*$U$3+MIP[[#This Row],[PT &gt; 3 Pontos]]*$V$3</f>
        <v>0.13786923812399354</v>
      </c>
      <c r="Z808" s="57">
        <f>MIP[[#This Row],[HH disponível]]-MIP[[#This Row],[HH AC TOT]]</f>
        <v>0.32569444444444456</v>
      </c>
      <c r="AA808" s="56">
        <f>MIP[[#This Row],[HH Produtivo
Total]]/MIP[[#This Row],[HH Trabalhado]]</f>
        <v>0.42330853496492671</v>
      </c>
      <c r="AB808" s="56">
        <f>MIP[[#This Row],[HH Produtivo
Total]]/MIP[[#This Row],[HH disponível]]</f>
        <v>0.37600701306543682</v>
      </c>
      <c r="AC808" s="56">
        <f>MIP[[#This Row],[HH Trabalhado]]/MIP[[#This Row],[HH disponível]]</f>
        <v>0.88825757575757591</v>
      </c>
      <c r="AD808" s="55" t="str">
        <f>LEFT(MIP[[#This Row],[Equipe]], SEARCH("/",MIP[[#This Row],[Equipe]],1)-1)</f>
        <v xml:space="preserve">ANDERSON </v>
      </c>
      <c r="AE808" s="55" t="str">
        <f>RIGHT(MIP[[#This Row],[Equipe]], LEN(MIP[[#This Row],[Equipe]])-SEARCH("/",MIP[[#This Row],[Equipe]],1))</f>
        <v xml:space="preserve"> MARCO</v>
      </c>
      <c r="AF808" s="54">
        <f>COUNTIFS('[1]Tempo parado'!H:H,"&gt;="&amp;MIP[[#This Row],[S.B Sitrack]],'[1]Tempo parado'!I:I,"&lt;="&amp;MIP[[#This Row],[C.B Sitrack]],'[1]Tempo parado'!B:B,MIP[[#This Row],[Placa]])</f>
        <v>0</v>
      </c>
      <c r="AG808" s="53">
        <v>43062.367152777777</v>
      </c>
      <c r="AH808" s="52"/>
      <c r="AI808" s="51"/>
      <c r="AJ808" s="51"/>
      <c r="AK808" s="49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08" s="50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08" s="49">
        <f>SUMIFS('[1]Tempo parado'!J:J,'[1]Tempo parado'!H:H,"&gt;="&amp;MIP[[#This Row],[S.B Sitrack]],'[1]Tempo parado'!I:I,"&lt;="&amp;MIP[[#This Row],[C.B Sitrack]],'[1]Tempo parado'!B:B,MIP[[#This Row],[Placa]])</f>
        <v>0</v>
      </c>
      <c r="AN808" s="48" t="str">
        <f>IFERROR(MIP[[#This Row],[Tempo parado]]/(MIP[[#This Row],[C.B Sitrack]]-MIP[[#This Row],[S.B Sitrack]]),"")</f>
        <v/>
      </c>
      <c r="AO808" s="30"/>
      <c r="AP808" s="44">
        <f>IF(AND(MIP[Exc]=0,MIP[Previsto / Realizado]="Realizado"),MIP[Sem],0)</f>
        <v>0</v>
      </c>
      <c r="AQ808" s="29">
        <f>IF(AND(MIP[Exc]=0,MIP[Previsto / Realizado]="Realizado",ISBLANK(MIP[[#This Row],[S.B Sitrack]])=FALSE,ISBLANK(MIP[[#This Row],[C.B Sitrack]])=FALSE),MIP[Sem],0)</f>
        <v>0</v>
      </c>
    </row>
    <row r="809" spans="1:43" x14ac:dyDescent="0.25">
      <c r="B809" s="12">
        <f>WEEKNUM(MIP[[#This Row],[Data]])</f>
        <v>47</v>
      </c>
      <c r="C809" s="28">
        <v>43061</v>
      </c>
      <c r="D809" s="28"/>
      <c r="E809" s="66" t="s">
        <v>7</v>
      </c>
      <c r="F809" s="18" t="s">
        <v>2</v>
      </c>
      <c r="G809" s="18" t="s">
        <v>6</v>
      </c>
      <c r="H809" s="27">
        <v>2</v>
      </c>
      <c r="I809" s="27">
        <v>6</v>
      </c>
      <c r="J809" s="27">
        <v>3</v>
      </c>
      <c r="K809" s="27">
        <v>0</v>
      </c>
      <c r="L809" s="27">
        <v>0</v>
      </c>
      <c r="M809" s="26">
        <v>0.64166666666666672</v>
      </c>
      <c r="N809" s="26">
        <v>0.65277777777777779</v>
      </c>
      <c r="O809" s="26">
        <v>2.7083333333333334E-2</v>
      </c>
      <c r="P809" s="26">
        <v>3.3333333333333333E-2</v>
      </c>
      <c r="Q809" s="22"/>
      <c r="R809" s="25" t="s">
        <v>113</v>
      </c>
      <c r="S809" s="12">
        <f>MIP[[#This Row],[PT-1]]+MIP[[#This Row],[PT-2]]*2+MIP[[#This Row],[PT-3]]*3+MIP[[#This Row],[PT &gt; 3 Pontos]]</f>
        <v>12</v>
      </c>
      <c r="T809" s="22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1.7361111111111049E-2</v>
      </c>
      <c r="U809" s="22">
        <f>IF(MIP[[#This Row],[P.S]]-MIP[[#This Row],[U.P]]&gt;=0,MIP[[#This Row],[P.S]]-MIP[[#This Row],[U.P]]+MIP[[#This Row],[S.B]]-MIP[[#This Row],[P.E]],1+MIP[[#This Row],[P.S]]-MIP[[#This Row],[U.P]]+MIP[[#This Row],[S.B]]-MIP[[#This Row],[P.E]])</f>
        <v>1.7361111111111049E-2</v>
      </c>
      <c r="V809" s="24">
        <f>MIP[[#This Row],[Eficiência]]</f>
        <v>0.84740968503222236</v>
      </c>
      <c r="W809" s="23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09" s="22">
        <f>IF(MIP[[#This Row],[P.S]]-MIP[[#This Row],[P.E]]&lt;0,1+MIP[[#This Row],[P.S]]-MIP[[#This Row],[P.E]]-1/24,MIP[[#This Row],[P.S]]-MIP[[#This Row],[P.E]]-1/24)</f>
        <v>0.35000000000000003</v>
      </c>
      <c r="Y809" s="22">
        <f>MIP[[#This Row],[PT-1]]*$S$3+MIP[[#This Row],[PT-2]]*$T$3+MIP[[#This Row],[PT-3]]*$U$3+MIP[[#This Row],[PT &gt; 3 Pontos]]*$V$3</f>
        <v>0.28188141606280182</v>
      </c>
      <c r="Z809" s="22">
        <f>MIP[[#This Row],[HH disponível]]-MIP[[#This Row],[HH AC TOT]]</f>
        <v>0.33263888888888898</v>
      </c>
      <c r="AA809" s="21">
        <f>MIP[[#This Row],[HH Produtivo
Total]]/MIP[[#This Row],[HH Trabalhado]]</f>
        <v>0.84740968503222236</v>
      </c>
      <c r="AB809" s="21">
        <f>MIP[[#This Row],[HH Produtivo
Total]]/MIP[[#This Row],[HH disponível]]</f>
        <v>0.80537547446514801</v>
      </c>
      <c r="AC809" s="21">
        <f>MIP[[#This Row],[HH Trabalhado]]/MIP[[#This Row],[HH disponível]]</f>
        <v>0.95039682539682557</v>
      </c>
      <c r="AD809" s="20" t="str">
        <f>LEFT(MIP[[#This Row],[Equipe]], SEARCH("/",MIP[[#This Row],[Equipe]],1)-1)</f>
        <v xml:space="preserve">ANDERSON </v>
      </c>
      <c r="AE809" s="20" t="str">
        <f>RIGHT(MIP[[#This Row],[Equipe]], LEN(MIP[[#This Row],[Equipe]])-SEARCH("/",MIP[[#This Row],[Equipe]],1))</f>
        <v xml:space="preserve"> MARCO</v>
      </c>
      <c r="AF809" s="12">
        <f>COUNTIFS('[1]Tempo parado'!H:H,"&gt;="&amp;MIP[[#This Row],[S.B Sitrack]],'[1]Tempo parado'!I:I,"&lt;="&amp;MIP[[#This Row],[C.B Sitrack]],'[1]Tempo parado'!B:B,MIP[[#This Row],[Placa]])</f>
        <v>12</v>
      </c>
      <c r="AG809" s="19">
        <v>43062.385694444441</v>
      </c>
      <c r="AH809" s="18" t="s">
        <v>112</v>
      </c>
      <c r="AI809" s="17">
        <v>43061.655787037038</v>
      </c>
      <c r="AJ809" s="17">
        <v>43062.025879629633</v>
      </c>
      <c r="AK809" s="32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4.1666666666666553E-3</v>
      </c>
      <c r="AL809" s="16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62.9</v>
      </c>
      <c r="AM809" s="15">
        <f>SUMIFS('[1]Tempo parado'!J:J,'[1]Tempo parado'!H:H,"&gt;="&amp;MIP[[#This Row],[S.B Sitrack]],'[1]Tempo parado'!I:I,"&lt;="&amp;MIP[[#This Row],[C.B Sitrack]],'[1]Tempo parado'!B:B,MIP[[#This Row],[Placa]])</f>
        <v>0.22068287037037038</v>
      </c>
      <c r="AN809" s="14">
        <f>IFERROR(MIP[[#This Row],[Tempo parado]]/(MIP[[#This Row],[C.B Sitrack]]-MIP[[#This Row],[S.B Sitrack]]),"")</f>
        <v>0.59629096822224459</v>
      </c>
      <c r="AO809" s="30" t="s">
        <v>111</v>
      </c>
      <c r="AP809" s="44">
        <f>IF(AND(MIP[Exc]=0,MIP[Previsto / Realizado]="Realizado"),MIP[Sem],0)</f>
        <v>47</v>
      </c>
      <c r="AQ809" s="29">
        <f>IF(AND(MIP[Exc]=0,MIP[Previsto / Realizado]="Realizado",ISBLANK(MIP[[#This Row],[S.B Sitrack]])=FALSE,ISBLANK(MIP[[#This Row],[C.B Sitrack]])=FALSE),MIP[Sem],0)</f>
        <v>47</v>
      </c>
    </row>
    <row r="810" spans="1:43" s="47" customFormat="1" x14ac:dyDescent="0.25">
      <c r="A810" s="64"/>
      <c r="B810" s="54">
        <f>WEEKNUM(MIP[[#This Row],[Data]])</f>
        <v>47</v>
      </c>
      <c r="C810" s="63" t="s">
        <v>108</v>
      </c>
      <c r="D810" s="63"/>
      <c r="E810" s="52" t="s">
        <v>10</v>
      </c>
      <c r="F810" s="52" t="s">
        <v>5</v>
      </c>
      <c r="G810" s="52"/>
      <c r="H810" s="62"/>
      <c r="I810" s="62">
        <v>4</v>
      </c>
      <c r="J810" s="62">
        <v>1</v>
      </c>
      <c r="K810" s="62">
        <v>0</v>
      </c>
      <c r="L810" s="62">
        <v>0</v>
      </c>
      <c r="M810" s="61">
        <v>0.25</v>
      </c>
      <c r="N810" s="61">
        <v>0.2638888888888889</v>
      </c>
      <c r="O810" s="61">
        <v>0.62986111111111109</v>
      </c>
      <c r="P810" s="61">
        <v>0.65833333333333333</v>
      </c>
      <c r="Q810" s="57"/>
      <c r="R810" s="60"/>
      <c r="S810" s="54">
        <f>MIP[[#This Row],[PT-1]]+MIP[[#This Row],[PT-2]]*2+MIP[[#This Row],[PT-3]]*3+MIP[[#This Row],[PT &gt; 3 Pontos]]</f>
        <v>6</v>
      </c>
      <c r="T810" s="57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4.2361111111111127E-2</v>
      </c>
      <c r="U810" s="57">
        <f>IF(MIP[[#This Row],[P.S]]-MIP[[#This Row],[U.P]]&gt;=0,MIP[[#This Row],[P.S]]-MIP[[#This Row],[U.P]]+MIP[[#This Row],[S.B]]-MIP[[#This Row],[P.E]],1+MIP[[#This Row],[P.S]]-MIP[[#This Row],[U.P]]+MIP[[#This Row],[S.B]]-MIP[[#This Row],[P.E]])</f>
        <v>4.2361111111111127E-2</v>
      </c>
      <c r="V810" s="59">
        <f>MIP[[#This Row],[Eficiência]]</f>
        <v>0.44406324674921621</v>
      </c>
      <c r="W810" s="58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10" s="57">
        <f>IF(MIP[[#This Row],[P.S]]-MIP[[#This Row],[P.E]]&lt;0,1+MIP[[#This Row],[P.S]]-MIP[[#This Row],[P.E]]-1/24,MIP[[#This Row],[P.S]]-MIP[[#This Row],[P.E]]-1/24)</f>
        <v>0.36666666666666664</v>
      </c>
      <c r="Y810" s="57">
        <f>MIP[[#This Row],[PT-1]]*$S$3+MIP[[#This Row],[PT-2]]*$T$3+MIP[[#This Row],[PT-3]]*$U$3+MIP[[#This Row],[PT &gt; 3 Pontos]]*$V$3</f>
        <v>0.1440121779388083</v>
      </c>
      <c r="Z810" s="57">
        <f>MIP[[#This Row],[HH disponível]]-MIP[[#This Row],[HH AC TOT]]</f>
        <v>0.32430555555555551</v>
      </c>
      <c r="AA810" s="56">
        <f>MIP[[#This Row],[HH Produtivo
Total]]/MIP[[#This Row],[HH Trabalhado]]</f>
        <v>0.44406324674921621</v>
      </c>
      <c r="AB810" s="56">
        <f>MIP[[#This Row],[HH Produtivo
Total]]/MIP[[#This Row],[HH disponível]]</f>
        <v>0.392760485287659</v>
      </c>
      <c r="AC810" s="56">
        <f>MIP[[#This Row],[HH Trabalhado]]/MIP[[#This Row],[HH disponível]]</f>
        <v>0.88446969696969691</v>
      </c>
      <c r="AD810" s="55" t="str">
        <f>LEFT(MIP[[#This Row],[Equipe]], SEARCH("/",MIP[[#This Row],[Equipe]],1)-1)</f>
        <v xml:space="preserve">JOILSON </v>
      </c>
      <c r="AE810" s="55" t="str">
        <f>RIGHT(MIP[[#This Row],[Equipe]], LEN(MIP[[#This Row],[Equipe]])-SEARCH("/",MIP[[#This Row],[Equipe]],1))</f>
        <v xml:space="preserve"> VALDEI</v>
      </c>
      <c r="AF810" s="54">
        <f>COUNTIFS('[1]Tempo parado'!H:H,"&gt;="&amp;MIP[[#This Row],[S.B Sitrack]],'[1]Tempo parado'!I:I,"&lt;="&amp;MIP[[#This Row],[C.B Sitrack]],'[1]Tempo parado'!B:B,MIP[[#This Row],[Placa]])</f>
        <v>0</v>
      </c>
      <c r="AG810" s="53">
        <v>43066.350046296298</v>
      </c>
      <c r="AH810" s="52" t="s">
        <v>110</v>
      </c>
      <c r="AI810" s="51"/>
      <c r="AJ810" s="51"/>
      <c r="AK810" s="49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10" s="50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10" s="49">
        <f>SUMIFS('[1]Tempo parado'!J:J,'[1]Tempo parado'!H:H,"&gt;="&amp;MIP[[#This Row],[S.B Sitrack]],'[1]Tempo parado'!I:I,"&lt;="&amp;MIP[[#This Row],[C.B Sitrack]],'[1]Tempo parado'!B:B,MIP[[#This Row],[Placa]])</f>
        <v>0</v>
      </c>
      <c r="AN810" s="48" t="str">
        <f>IFERROR(MIP[[#This Row],[Tempo parado]]/(MIP[[#This Row],[C.B Sitrack]]-MIP[[#This Row],[S.B Sitrack]]),"")</f>
        <v/>
      </c>
      <c r="AO810" s="30"/>
      <c r="AP810" s="44">
        <f>IF(AND(MIP[Exc]=0,MIP[Previsto / Realizado]="Realizado"),MIP[Sem],0)</f>
        <v>0</v>
      </c>
      <c r="AQ810" s="29">
        <f>IF(AND(MIP[Exc]=0,MIP[Previsto / Realizado]="Realizado",ISBLANK(MIP[[#This Row],[S.B Sitrack]])=FALSE,ISBLANK(MIP[[#This Row],[C.B Sitrack]])=FALSE),MIP[Sem],0)</f>
        <v>0</v>
      </c>
    </row>
    <row r="811" spans="1:43" s="47" customFormat="1" x14ac:dyDescent="0.25">
      <c r="A811" s="64"/>
      <c r="B811" s="29">
        <f>WEEKNUM(MIP[[#This Row],[Data]])</f>
        <v>47</v>
      </c>
      <c r="C811" s="45">
        <v>43062</v>
      </c>
      <c r="D811" s="45"/>
      <c r="E811" s="35" t="s">
        <v>10</v>
      </c>
      <c r="F811" s="35" t="s">
        <v>2</v>
      </c>
      <c r="G811" s="35" t="s">
        <v>1</v>
      </c>
      <c r="H811" s="44"/>
      <c r="I811" s="44">
        <v>4</v>
      </c>
      <c r="J811" s="44">
        <v>1</v>
      </c>
      <c r="K811" s="44">
        <v>1</v>
      </c>
      <c r="L811" s="44">
        <v>0</v>
      </c>
      <c r="M811" s="43">
        <v>0.25</v>
      </c>
      <c r="N811" s="43">
        <v>0.26666666666666666</v>
      </c>
      <c r="O811" s="43">
        <v>0.62708333333333333</v>
      </c>
      <c r="P811" s="43">
        <v>0.65833333333333333</v>
      </c>
      <c r="Q811" s="39"/>
      <c r="R811" s="42" t="s">
        <v>32</v>
      </c>
      <c r="S811" s="29">
        <f>MIP[[#This Row],[PT-1]]+MIP[[#This Row],[PT-2]]*2+MIP[[#This Row],[PT-3]]*3+MIP[[#This Row],[PT &gt; 3 Pontos]]</f>
        <v>9</v>
      </c>
      <c r="T81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4.7916666666666663E-2</v>
      </c>
      <c r="U811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4.7916666666666663E-2</v>
      </c>
      <c r="V811" s="41">
        <f>MIP[[#This Row],[Eficiência]]</f>
        <v>0.64879641470114602</v>
      </c>
      <c r="W811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11" s="39">
        <f>IF(MIP[[#This Row],[P.S]]-MIP[[#This Row],[P.E]]&lt;0,1+MIP[[#This Row],[P.S]]-MIP[[#This Row],[P.E]]-1/24,MIP[[#This Row],[P.S]]-MIP[[#This Row],[P.E]]-1/24)</f>
        <v>0.36666666666666664</v>
      </c>
      <c r="Y811" s="39">
        <f>MIP[[#This Row],[PT-1]]*$S$3+MIP[[#This Row],[PT-2]]*$T$3+MIP[[#This Row],[PT-3]]*$U$3+MIP[[#This Row],[PT &gt; 3 Pontos]]*$V$3</f>
        <v>0.20680385718599029</v>
      </c>
      <c r="Z811" s="39">
        <f>MIP[[#This Row],[HH disponível]]-MIP[[#This Row],[HH AC TOT]]</f>
        <v>0.31874999999999998</v>
      </c>
      <c r="AA811" s="38">
        <f>MIP[[#This Row],[HH Produtivo
Total]]/MIP[[#This Row],[HH Trabalhado]]</f>
        <v>0.64879641470114602</v>
      </c>
      <c r="AB811" s="38">
        <f>MIP[[#This Row],[HH Produtivo
Total]]/MIP[[#This Row],[HH disponível]]</f>
        <v>0.5640105195981554</v>
      </c>
      <c r="AC811" s="38">
        <f>MIP[[#This Row],[HH Trabalhado]]/MIP[[#This Row],[HH disponível]]</f>
        <v>0.86931818181818177</v>
      </c>
      <c r="AD811" s="37" t="str">
        <f>LEFT(MIP[[#This Row],[Equipe]], SEARCH("/",MIP[[#This Row],[Equipe]],1)-1)</f>
        <v xml:space="preserve">JOILSON </v>
      </c>
      <c r="AE811" s="37" t="str">
        <f>RIGHT(MIP[[#This Row],[Equipe]], LEN(MIP[[#This Row],[Equipe]])-SEARCH("/",MIP[[#This Row],[Equipe]],1))</f>
        <v xml:space="preserve"> VALDEI</v>
      </c>
      <c r="AF811" s="29">
        <f>COUNTIFS('[1]Tempo parado'!H:H,"&gt;="&amp;MIP[[#This Row],[S.B Sitrack]],'[1]Tempo parado'!I:I,"&lt;="&amp;MIP[[#This Row],[C.B Sitrack]],'[1]Tempo parado'!B:B,MIP[[#This Row],[Placa]])</f>
        <v>0</v>
      </c>
      <c r="AG811" s="36"/>
      <c r="AH811" s="35" t="s">
        <v>109</v>
      </c>
      <c r="AI811" s="34"/>
      <c r="AJ811" s="34"/>
      <c r="AK81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1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11" s="32">
        <f>SUMIFS('[1]Tempo parado'!J:J,'[1]Tempo parado'!H:H,"&gt;="&amp;MIP[[#This Row],[S.B Sitrack]],'[1]Tempo parado'!I:I,"&lt;="&amp;MIP[[#This Row],[C.B Sitrack]],'[1]Tempo parado'!B:B,MIP[[#This Row],[Placa]])</f>
        <v>0</v>
      </c>
      <c r="AN811" s="31" t="str">
        <f>IFERROR(MIP[[#This Row],[Tempo parado]]/(MIP[[#This Row],[C.B Sitrack]]-MIP[[#This Row],[S.B Sitrack]]),"")</f>
        <v/>
      </c>
      <c r="AO811" s="30"/>
      <c r="AP811" s="44">
        <f>IF(AND(MIP[Exc]=0,MIP[Previsto / Realizado]="Realizado"),MIP[Sem],0)</f>
        <v>47</v>
      </c>
      <c r="AQ811" s="29">
        <f>IF(AND(MIP[Exc]=0,MIP[Previsto / Realizado]="Realizado",ISBLANK(MIP[[#This Row],[S.B Sitrack]])=FALSE,ISBLANK(MIP[[#This Row],[C.B Sitrack]])=FALSE),MIP[Sem],0)</f>
        <v>0</v>
      </c>
    </row>
    <row r="812" spans="1:43" s="47" customFormat="1" x14ac:dyDescent="0.25">
      <c r="A812" s="64"/>
      <c r="B812" s="54">
        <f>WEEKNUM(MIP[[#This Row],[Data]])</f>
        <v>47</v>
      </c>
      <c r="C812" s="63" t="s">
        <v>108</v>
      </c>
      <c r="D812" s="63"/>
      <c r="E812" s="52" t="s">
        <v>7</v>
      </c>
      <c r="F812" s="52" t="s">
        <v>5</v>
      </c>
      <c r="G812" s="52"/>
      <c r="H812" s="62"/>
      <c r="I812" s="62">
        <v>1</v>
      </c>
      <c r="J812" s="62">
        <v>3</v>
      </c>
      <c r="K812" s="62">
        <v>2</v>
      </c>
      <c r="L812" s="62">
        <v>0</v>
      </c>
      <c r="M812" s="61">
        <v>0.625</v>
      </c>
      <c r="N812" s="61">
        <v>0.6381944444444444</v>
      </c>
      <c r="O812" s="61">
        <v>5.5555555555555558E-3</v>
      </c>
      <c r="P812" s="61">
        <v>3.3333333333333333E-2</v>
      </c>
      <c r="Q812" s="57"/>
      <c r="R812" s="60"/>
      <c r="S812" s="54">
        <f>MIP[[#This Row],[PT-1]]+MIP[[#This Row],[PT-2]]*2+MIP[[#This Row],[PT-3]]*3+MIP[[#This Row],[PT &gt; 3 Pontos]]</f>
        <v>13</v>
      </c>
      <c r="T812" s="57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4.0972222222222188E-2</v>
      </c>
      <c r="U812" s="57">
        <f>IF(MIP[[#This Row],[P.S]]-MIP[[#This Row],[U.P]]&gt;=0,MIP[[#This Row],[P.S]]-MIP[[#This Row],[U.P]]+MIP[[#This Row],[S.B]]-MIP[[#This Row],[P.E]],1+MIP[[#This Row],[P.S]]-MIP[[#This Row],[U.P]]+MIP[[#This Row],[S.B]]-MIP[[#This Row],[P.E]])</f>
        <v>4.0972222222222188E-2</v>
      </c>
      <c r="V812" s="59">
        <f>MIP[[#This Row],[Eficiência]]</f>
        <v>0.8668723540681682</v>
      </c>
      <c r="W812" s="58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12" s="57">
        <f>IF(MIP[[#This Row],[P.S]]-MIP[[#This Row],[P.E]]&lt;0,1+MIP[[#This Row],[P.S]]-MIP[[#This Row],[P.E]]-1/24,MIP[[#This Row],[P.S]]-MIP[[#This Row],[P.E]]-1/24)</f>
        <v>0.36666666666666675</v>
      </c>
      <c r="Y812" s="57">
        <f>MIP[[#This Row],[PT-1]]*$S$3+MIP[[#This Row],[PT-2]]*$T$3+MIP[[#This Row],[PT-3]]*$U$3+MIP[[#This Row],[PT &gt; 3 Pontos]]*$V$3</f>
        <v>0.2823355097624799</v>
      </c>
      <c r="Z812" s="57">
        <f>MIP[[#This Row],[HH disponível]]-MIP[[#This Row],[HH AC TOT]]</f>
        <v>0.32569444444444456</v>
      </c>
      <c r="AA812" s="56">
        <f>MIP[[#This Row],[HH Produtivo
Total]]/MIP[[#This Row],[HH Trabalhado]]</f>
        <v>0.8668723540681682</v>
      </c>
      <c r="AB812" s="56">
        <f>MIP[[#This Row],[HH Produtivo
Total]]/MIP[[#This Row],[HH disponível]]</f>
        <v>0.77000593571585407</v>
      </c>
      <c r="AC812" s="56">
        <f>MIP[[#This Row],[HH Trabalhado]]/MIP[[#This Row],[HH disponível]]</f>
        <v>0.88825757575757591</v>
      </c>
      <c r="AD812" s="55" t="str">
        <f>LEFT(MIP[[#This Row],[Equipe]], SEARCH("/",MIP[[#This Row],[Equipe]],1)-1)</f>
        <v xml:space="preserve">ANDERSON </v>
      </c>
      <c r="AE812" s="55" t="str">
        <f>RIGHT(MIP[[#This Row],[Equipe]], LEN(MIP[[#This Row],[Equipe]])-SEARCH("/",MIP[[#This Row],[Equipe]],1))</f>
        <v xml:space="preserve"> MARCO</v>
      </c>
      <c r="AF812" s="54">
        <f>COUNTIFS('[1]Tempo parado'!H:H,"&gt;="&amp;MIP[[#This Row],[S.B Sitrack]],'[1]Tempo parado'!I:I,"&lt;="&amp;MIP[[#This Row],[C.B Sitrack]],'[1]Tempo parado'!B:B,MIP[[#This Row],[Placa]])</f>
        <v>0</v>
      </c>
      <c r="AG812" s="53">
        <v>43066.350497685184</v>
      </c>
      <c r="AH812" s="52"/>
      <c r="AI812" s="51"/>
      <c r="AJ812" s="51"/>
      <c r="AK812" s="49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12" s="50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12" s="49">
        <f>SUMIFS('[1]Tempo parado'!J:J,'[1]Tempo parado'!H:H,"&gt;="&amp;MIP[[#This Row],[S.B Sitrack]],'[1]Tempo parado'!I:I,"&lt;="&amp;MIP[[#This Row],[C.B Sitrack]],'[1]Tempo parado'!B:B,MIP[[#This Row],[Placa]])</f>
        <v>0</v>
      </c>
      <c r="AN812" s="48" t="str">
        <f>IFERROR(MIP[[#This Row],[Tempo parado]]/(MIP[[#This Row],[C.B Sitrack]]-MIP[[#This Row],[S.B Sitrack]]),"")</f>
        <v/>
      </c>
      <c r="AO812" s="30"/>
      <c r="AP812" s="44">
        <f>IF(AND(MIP[Exc]=0,MIP[Previsto / Realizado]="Realizado"),MIP[Sem],0)</f>
        <v>0</v>
      </c>
      <c r="AQ812" s="29">
        <f>IF(AND(MIP[Exc]=0,MIP[Previsto / Realizado]="Realizado",ISBLANK(MIP[[#This Row],[S.B Sitrack]])=FALSE,ISBLANK(MIP[[#This Row],[C.B Sitrack]])=FALSE),MIP[Sem],0)</f>
        <v>0</v>
      </c>
    </row>
    <row r="813" spans="1:43" s="47" customFormat="1" x14ac:dyDescent="0.25">
      <c r="A813" s="64"/>
      <c r="B813" s="29">
        <f>WEEKNUM(MIP[[#This Row],[Data]])</f>
        <v>47</v>
      </c>
      <c r="C813" s="45">
        <v>43062</v>
      </c>
      <c r="D813" s="45"/>
      <c r="E813" s="46" t="s">
        <v>7</v>
      </c>
      <c r="F813" s="35" t="s">
        <v>2</v>
      </c>
      <c r="G813" s="35" t="s">
        <v>6</v>
      </c>
      <c r="H813" s="44"/>
      <c r="I813" s="44">
        <v>1</v>
      </c>
      <c r="J813" s="44">
        <v>3</v>
      </c>
      <c r="K813" s="44">
        <v>2</v>
      </c>
      <c r="L813" s="44">
        <v>0</v>
      </c>
      <c r="M813" s="43">
        <v>0.6333333333333333</v>
      </c>
      <c r="N813" s="43">
        <v>0.66388888888888886</v>
      </c>
      <c r="O813" s="43">
        <v>2.7083333333333334E-2</v>
      </c>
      <c r="P813" s="43">
        <v>3.3333333333333333E-2</v>
      </c>
      <c r="Q813" s="39"/>
      <c r="R813" s="42"/>
      <c r="S813" s="29">
        <f>MIP[[#This Row],[PT-1]]+MIP[[#This Row],[PT-2]]*2+MIP[[#This Row],[PT-3]]*3+MIP[[#This Row],[PT &gt; 3 Pontos]]</f>
        <v>13</v>
      </c>
      <c r="T81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3.6805555555555536E-2</v>
      </c>
      <c r="U813" s="39">
        <f>IF(MIP[[#This Row],[P.S]]-MIP[[#This Row],[U.P]]&gt;=0,MIP[[#This Row],[P.S]]-MIP[[#This Row],[U.P]]+MIP[[#This Row],[S.B]]-MIP[[#This Row],[P.E]],1+MIP[[#This Row],[P.S]]-MIP[[#This Row],[U.P]]+MIP[[#This Row],[S.B]]-MIP[[#This Row],[P.E]])</f>
        <v>3.6805555555555536E-2</v>
      </c>
      <c r="V813" s="41">
        <f>MIP[[#This Row],[Eficiência]]</f>
        <v>0.8781061210755311</v>
      </c>
      <c r="W813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13" s="39">
        <f>IF(MIP[[#This Row],[P.S]]-MIP[[#This Row],[P.E]]&lt;0,1+MIP[[#This Row],[P.S]]-MIP[[#This Row],[P.E]]-1/24,MIP[[#This Row],[P.S]]-MIP[[#This Row],[P.E]]-1/24)</f>
        <v>0.35833333333333345</v>
      </c>
      <c r="Y813" s="39">
        <f>MIP[[#This Row],[PT-1]]*$S$3+MIP[[#This Row],[PT-2]]*$T$3+MIP[[#This Row],[PT-3]]*$U$3+MIP[[#This Row],[PT &gt; 3 Pontos]]*$V$3</f>
        <v>0.2823355097624799</v>
      </c>
      <c r="Z813" s="39">
        <f>MIP[[#This Row],[HH disponível]]-MIP[[#This Row],[HH AC TOT]]</f>
        <v>0.32152777777777791</v>
      </c>
      <c r="AA813" s="38">
        <f>MIP[[#This Row],[HH Produtivo
Total]]/MIP[[#This Row],[HH Trabalhado]]</f>
        <v>0.8781061210755311</v>
      </c>
      <c r="AB813" s="38">
        <f>MIP[[#This Row],[HH Produtivo
Total]]/MIP[[#This Row],[HH disponível]]</f>
        <v>0.78791305049994365</v>
      </c>
      <c r="AC813" s="38">
        <f>MIP[[#This Row],[HH Trabalhado]]/MIP[[#This Row],[HH disponível]]</f>
        <v>0.8972868217054264</v>
      </c>
      <c r="AD813" s="37" t="str">
        <f>LEFT(MIP[[#This Row],[Equipe]], SEARCH("/",MIP[[#This Row],[Equipe]],1)-1)</f>
        <v xml:space="preserve">ANDERSON </v>
      </c>
      <c r="AE813" s="37" t="str">
        <f>RIGHT(MIP[[#This Row],[Equipe]], LEN(MIP[[#This Row],[Equipe]])-SEARCH("/",MIP[[#This Row],[Equipe]],1))</f>
        <v xml:space="preserve"> MARCO</v>
      </c>
      <c r="AF813" s="29">
        <f>COUNTIFS('[1]Tempo parado'!H:H,"&gt;="&amp;MIP[[#This Row],[S.B Sitrack]],'[1]Tempo parado'!I:I,"&lt;="&amp;MIP[[#This Row],[C.B Sitrack]],'[1]Tempo parado'!B:B,MIP[[#This Row],[Placa]])</f>
        <v>11</v>
      </c>
      <c r="AG813" s="36"/>
      <c r="AH813" s="35" t="s">
        <v>107</v>
      </c>
      <c r="AI813" s="34">
        <v>43062.664282407408</v>
      </c>
      <c r="AJ813" s="34">
        <v>43063.015949074077</v>
      </c>
      <c r="AK813" s="32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1.1805555555555557E-2</v>
      </c>
      <c r="AL81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39.6</v>
      </c>
      <c r="AM813" s="32">
        <f>SUMIFS('[1]Tempo parado'!J:J,'[1]Tempo parado'!H:H,"&gt;="&amp;MIP[[#This Row],[S.B Sitrack]],'[1]Tempo parado'!I:I,"&lt;="&amp;MIP[[#This Row],[C.B Sitrack]],'[1]Tempo parado'!B:B,MIP[[#This Row],[Placa]])</f>
        <v>0.26003472222222224</v>
      </c>
      <c r="AN813" s="31">
        <f>IFERROR(MIP[[#This Row],[Tempo parado]]/(MIP[[#This Row],[C.B Sitrack]]-MIP[[#This Row],[S.B Sitrack]]),"")</f>
        <v>0.73943522906262693</v>
      </c>
      <c r="AO813" s="30" t="s">
        <v>106</v>
      </c>
      <c r="AP813" s="44">
        <f>IF(AND(MIP[Exc]=0,MIP[Previsto / Realizado]="Realizado"),MIP[Sem],0)</f>
        <v>47</v>
      </c>
      <c r="AQ813" s="29">
        <f>IF(AND(MIP[Exc]=0,MIP[Previsto / Realizado]="Realizado",ISBLANK(MIP[[#This Row],[S.B Sitrack]])=FALSE,ISBLANK(MIP[[#This Row],[C.B Sitrack]])=FALSE),MIP[Sem],0)</f>
        <v>47</v>
      </c>
    </row>
    <row r="814" spans="1:43" s="47" customFormat="1" x14ac:dyDescent="0.25">
      <c r="A814" s="64"/>
      <c r="B814" s="54">
        <f>WEEKNUM(MIP[[#This Row],[Data]])</f>
        <v>47</v>
      </c>
      <c r="C814" s="63" t="s">
        <v>101</v>
      </c>
      <c r="D814" s="63"/>
      <c r="E814" s="52" t="s">
        <v>10</v>
      </c>
      <c r="F814" s="52" t="s">
        <v>5</v>
      </c>
      <c r="G814" s="52"/>
      <c r="H814" s="62"/>
      <c r="I814" s="62">
        <v>5</v>
      </c>
      <c r="J814" s="62">
        <v>2</v>
      </c>
      <c r="K814" s="62">
        <v>0</v>
      </c>
      <c r="L814" s="62">
        <v>0</v>
      </c>
      <c r="M814" s="61">
        <v>0.25</v>
      </c>
      <c r="N814" s="61">
        <v>0.2638888888888889</v>
      </c>
      <c r="O814" s="61">
        <v>0.62986111111111109</v>
      </c>
      <c r="P814" s="61">
        <v>0.65833333333333333</v>
      </c>
      <c r="Q814" s="57"/>
      <c r="R814" s="60" t="s">
        <v>105</v>
      </c>
      <c r="S814" s="54">
        <f>MIP[[#This Row],[PT-1]]+MIP[[#This Row],[PT-2]]*2+MIP[[#This Row],[PT-3]]*3+MIP[[#This Row],[PT &gt; 3 Pontos]]</f>
        <v>9</v>
      </c>
      <c r="T814" s="57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4.2361111111111127E-2</v>
      </c>
      <c r="U814" s="57">
        <f>IF(MIP[[#This Row],[P.S]]-MIP[[#This Row],[U.P]]&gt;=0,MIP[[#This Row],[P.S]]-MIP[[#This Row],[U.P]]+MIP[[#This Row],[S.B]]-MIP[[#This Row],[P.E]],1+MIP[[#This Row],[P.S]]-MIP[[#This Row],[U.P]]+MIP[[#This Row],[S.B]]-MIP[[#This Row],[P.E]])</f>
        <v>4.2361111111111127E-2</v>
      </c>
      <c r="V814" s="59">
        <f>MIP[[#This Row],[Eficiência]]</f>
        <v>0.65662395649070515</v>
      </c>
      <c r="W814" s="58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14" s="57">
        <f>IF(MIP[[#This Row],[P.S]]-MIP[[#This Row],[P.E]]&lt;0,1+MIP[[#This Row],[P.S]]-MIP[[#This Row],[P.E]]-1/24,MIP[[#This Row],[P.S]]-MIP[[#This Row],[P.E]]-1/24)</f>
        <v>0.36666666666666664</v>
      </c>
      <c r="Y814" s="57">
        <f>MIP[[#This Row],[PT-1]]*$S$3+MIP[[#This Row],[PT-2]]*$T$3+MIP[[#This Row],[PT-3]]*$U$3+MIP[[#This Row],[PT &gt; 3 Pontos]]*$V$3</f>
        <v>0.21294679700080504</v>
      </c>
      <c r="Z814" s="57">
        <f>MIP[[#This Row],[HH disponível]]-MIP[[#This Row],[HH AC TOT]]</f>
        <v>0.32430555555555551</v>
      </c>
      <c r="AA814" s="56">
        <f>MIP[[#This Row],[HH Produtivo
Total]]/MIP[[#This Row],[HH Trabalhado]]</f>
        <v>0.65662395649070515</v>
      </c>
      <c r="AB814" s="56">
        <f>MIP[[#This Row],[HH Produtivo
Total]]/MIP[[#This Row],[HH disponível]]</f>
        <v>0.58076399182037741</v>
      </c>
      <c r="AC814" s="56">
        <f>MIP[[#This Row],[HH Trabalhado]]/MIP[[#This Row],[HH disponível]]</f>
        <v>0.88446969696969691</v>
      </c>
      <c r="AD814" s="55" t="str">
        <f>LEFT(MIP[[#This Row],[Equipe]], SEARCH("/",MIP[[#This Row],[Equipe]],1)-1)</f>
        <v xml:space="preserve">JOILSON </v>
      </c>
      <c r="AE814" s="55" t="str">
        <f>RIGHT(MIP[[#This Row],[Equipe]], LEN(MIP[[#This Row],[Equipe]])-SEARCH("/",MIP[[#This Row],[Equipe]],1))</f>
        <v xml:space="preserve"> VALDEI</v>
      </c>
      <c r="AF814" s="54">
        <f>COUNTIFS('[1]Tempo parado'!H:H,"&gt;="&amp;MIP[[#This Row],[S.B Sitrack]],'[1]Tempo parado'!I:I,"&lt;="&amp;MIP[[#This Row],[C.B Sitrack]],'[1]Tempo parado'!B:B,MIP[[#This Row],[Placa]])</f>
        <v>0</v>
      </c>
      <c r="AG814" s="53">
        <v>43066.352164351854</v>
      </c>
      <c r="AH814" s="52" t="s">
        <v>104</v>
      </c>
      <c r="AI814" s="51"/>
      <c r="AJ814" s="51"/>
      <c r="AK814" s="49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14" s="50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14" s="49">
        <f>SUMIFS('[1]Tempo parado'!J:J,'[1]Tempo parado'!H:H,"&gt;="&amp;MIP[[#This Row],[S.B Sitrack]],'[1]Tempo parado'!I:I,"&lt;="&amp;MIP[[#This Row],[C.B Sitrack]],'[1]Tempo parado'!B:B,MIP[[#This Row],[Placa]])</f>
        <v>0</v>
      </c>
      <c r="AN814" s="48" t="str">
        <f>IFERROR(MIP[[#This Row],[Tempo parado]]/(MIP[[#This Row],[C.B Sitrack]]-MIP[[#This Row],[S.B Sitrack]]),"")</f>
        <v/>
      </c>
      <c r="AO814" s="30"/>
      <c r="AP814" s="44">
        <f>IF(AND(MIP[Exc]=0,MIP[Previsto / Realizado]="Realizado"),MIP[Sem],0)</f>
        <v>0</v>
      </c>
      <c r="AQ814" s="29">
        <f>IF(AND(MIP[Exc]=0,MIP[Previsto / Realizado]="Realizado",ISBLANK(MIP[[#This Row],[S.B Sitrack]])=FALSE,ISBLANK(MIP[[#This Row],[C.B Sitrack]])=FALSE),MIP[Sem],0)</f>
        <v>0</v>
      </c>
    </row>
    <row r="815" spans="1:43" s="47" customFormat="1" x14ac:dyDescent="0.25">
      <c r="A815" s="64"/>
      <c r="B815" s="29">
        <f>WEEKNUM(MIP[[#This Row],[Data]])</f>
        <v>47</v>
      </c>
      <c r="C815" s="45">
        <v>43063</v>
      </c>
      <c r="D815" s="45"/>
      <c r="E815" s="35" t="s">
        <v>10</v>
      </c>
      <c r="F815" s="35" t="s">
        <v>2</v>
      </c>
      <c r="G815" s="35" t="s">
        <v>1</v>
      </c>
      <c r="H815" s="44"/>
      <c r="I815" s="44">
        <v>4</v>
      </c>
      <c r="J815" s="44">
        <v>1</v>
      </c>
      <c r="K815" s="44">
        <v>0</v>
      </c>
      <c r="L815" s="44">
        <v>0</v>
      </c>
      <c r="M815" s="43">
        <v>0.25277777777777777</v>
      </c>
      <c r="N815" s="43">
        <v>0.27777777777777779</v>
      </c>
      <c r="O815" s="43">
        <v>0.55347222222222225</v>
      </c>
      <c r="P815" s="43">
        <v>0.55763888888888891</v>
      </c>
      <c r="Q815" s="39"/>
      <c r="R815" s="42" t="s">
        <v>103</v>
      </c>
      <c r="S815" s="29">
        <f>MIP[[#This Row],[PT-1]]+MIP[[#This Row],[PT-2]]*2+MIP[[#This Row],[PT-3]]*3+MIP[[#This Row],[PT &gt; 3 Pontos]]</f>
        <v>6</v>
      </c>
      <c r="T81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2.9166666666666674E-2</v>
      </c>
      <c r="U815" s="39">
        <f>IF(MIP[[#This Row],[P.S]]-MIP[[#This Row],[U.P]]&gt;=0,MIP[[#This Row],[P.S]]-MIP[[#This Row],[U.P]]+MIP[[#This Row],[S.B]]-MIP[[#This Row],[P.E]],1+MIP[[#This Row],[P.S]]-MIP[[#This Row],[U.P]]+MIP[[#This Row],[S.B]]-MIP[[#This Row],[P.E]])</f>
        <v>2.9166666666666674E-2</v>
      </c>
      <c r="V815" s="41">
        <f>MIP[[#This Row],[Eficiência]]</f>
        <v>0.61536360899668829</v>
      </c>
      <c r="W815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15" s="39">
        <f>IF(MIP[[#This Row],[P.S]]-MIP[[#This Row],[P.E]]&lt;0,1+MIP[[#This Row],[P.S]]-MIP[[#This Row],[P.E]]-1/24,MIP[[#This Row],[P.S]]-MIP[[#This Row],[P.E]]-1/24)</f>
        <v>0.26319444444444445</v>
      </c>
      <c r="Y815" s="39">
        <f>MIP[[#This Row],[PT-1]]*$S$3+MIP[[#This Row],[PT-2]]*$T$3+MIP[[#This Row],[PT-3]]*$U$3+MIP[[#This Row],[PT &gt; 3 Pontos]]*$V$3</f>
        <v>0.1440121779388083</v>
      </c>
      <c r="Z815" s="39">
        <f>MIP[[#This Row],[HH disponível]]-MIP[[#This Row],[HH AC TOT]]</f>
        <v>0.23402777777777778</v>
      </c>
      <c r="AA815" s="38">
        <f>MIP[[#This Row],[HH Produtivo
Total]]/MIP[[#This Row],[HH Trabalhado]]</f>
        <v>0.61536360899668829</v>
      </c>
      <c r="AB815" s="38">
        <f>MIP[[#This Row],[HH Produtivo
Total]]/MIP[[#This Row],[HH disponível]]</f>
        <v>0.54717028029520831</v>
      </c>
      <c r="AC815" s="38">
        <f>MIP[[#This Row],[HH Trabalhado]]/MIP[[#This Row],[HH disponível]]</f>
        <v>0.8891820580474934</v>
      </c>
      <c r="AD815" s="37" t="str">
        <f>LEFT(MIP[[#This Row],[Equipe]], SEARCH("/",MIP[[#This Row],[Equipe]],1)-1)</f>
        <v xml:space="preserve">JOILSON </v>
      </c>
      <c r="AE815" s="37" t="str">
        <f>RIGHT(MIP[[#This Row],[Equipe]], LEN(MIP[[#This Row],[Equipe]])-SEARCH("/",MIP[[#This Row],[Equipe]],1))</f>
        <v xml:space="preserve"> VALDEI</v>
      </c>
      <c r="AF815" s="29">
        <f>COUNTIFS('[1]Tempo parado'!H:H,"&gt;="&amp;MIP[[#This Row],[S.B Sitrack]],'[1]Tempo parado'!I:I,"&lt;="&amp;MIP[[#This Row],[C.B Sitrack]],'[1]Tempo parado'!B:B,MIP[[#This Row],[Placa]])</f>
        <v>0</v>
      </c>
      <c r="AG815" s="36"/>
      <c r="AH815" s="35" t="s">
        <v>102</v>
      </c>
      <c r="AI815" s="34"/>
      <c r="AJ815" s="34"/>
      <c r="AK81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1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15" s="32">
        <f>SUMIFS('[1]Tempo parado'!J:J,'[1]Tempo parado'!H:H,"&gt;="&amp;MIP[[#This Row],[S.B Sitrack]],'[1]Tempo parado'!I:I,"&lt;="&amp;MIP[[#This Row],[C.B Sitrack]],'[1]Tempo parado'!B:B,MIP[[#This Row],[Placa]])</f>
        <v>0</v>
      </c>
      <c r="AN815" s="31" t="str">
        <f>IFERROR(MIP[[#This Row],[Tempo parado]]/(MIP[[#This Row],[C.B Sitrack]]-MIP[[#This Row],[S.B Sitrack]]),"")</f>
        <v/>
      </c>
      <c r="AO815" s="30"/>
      <c r="AP815" s="44">
        <f>IF(AND(MIP[Exc]=0,MIP[Previsto / Realizado]="Realizado"),MIP[Sem],0)</f>
        <v>47</v>
      </c>
      <c r="AQ815" s="29">
        <f>IF(AND(MIP[Exc]=0,MIP[Previsto / Realizado]="Realizado",ISBLANK(MIP[[#This Row],[S.B Sitrack]])=FALSE,ISBLANK(MIP[[#This Row],[C.B Sitrack]])=FALSE),MIP[Sem],0)</f>
        <v>0</v>
      </c>
    </row>
    <row r="816" spans="1:43" s="47" customFormat="1" x14ac:dyDescent="0.25">
      <c r="A816" s="64"/>
      <c r="B816" s="54">
        <f>WEEKNUM(MIP[[#This Row],[Data]])</f>
        <v>47</v>
      </c>
      <c r="C816" s="63" t="s">
        <v>101</v>
      </c>
      <c r="D816" s="63"/>
      <c r="E816" s="52" t="s">
        <v>7</v>
      </c>
      <c r="F816" s="52" t="s">
        <v>5</v>
      </c>
      <c r="G816" s="52"/>
      <c r="H816" s="62"/>
      <c r="I816" s="62">
        <v>8</v>
      </c>
      <c r="J816" s="62">
        <v>0</v>
      </c>
      <c r="K816" s="62">
        <v>0</v>
      </c>
      <c r="L816" s="62">
        <v>4</v>
      </c>
      <c r="M816" s="61">
        <v>0.625</v>
      </c>
      <c r="N816" s="61">
        <v>0.6381944444444444</v>
      </c>
      <c r="O816" s="61">
        <v>5.5555555555555558E-3</v>
      </c>
      <c r="P816" s="61">
        <v>3.3333333333333333E-2</v>
      </c>
      <c r="Q816" s="57"/>
      <c r="R816" s="60"/>
      <c r="S816" s="54">
        <f>MIP[[#This Row],[PT-1]]+MIP[[#This Row],[PT-2]]*2+MIP[[#This Row],[PT-3]]*3+MIP[[#This Row],[PT &gt; 3 Pontos]]</f>
        <v>12</v>
      </c>
      <c r="T816" s="57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4.0972222222222188E-2</v>
      </c>
      <c r="U816" s="57">
        <f>IF(MIP[[#This Row],[P.S]]-MIP[[#This Row],[U.P]]&gt;=0,MIP[[#This Row],[P.S]]-MIP[[#This Row],[U.P]]+MIP[[#This Row],[S.B]]-MIP[[#This Row],[P.E]],1+MIP[[#This Row],[P.S]]-MIP[[#This Row],[U.P]]+MIP[[#This Row],[S.B]]-MIP[[#This Row],[P.E]])</f>
        <v>4.0972222222222188E-2</v>
      </c>
      <c r="V816" s="59">
        <f>MIP[[#This Row],[Eficiência]]</f>
        <v>0.86338244938179975</v>
      </c>
      <c r="W816" s="58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16" s="57">
        <f>IF(MIP[[#This Row],[P.S]]-MIP[[#This Row],[P.E]]&lt;0,1+MIP[[#This Row],[P.S]]-MIP[[#This Row],[P.E]]-1/24,MIP[[#This Row],[P.S]]-MIP[[#This Row],[P.E]]-1/24)</f>
        <v>0.36666666666666675</v>
      </c>
      <c r="Y816" s="57">
        <f>MIP[[#This Row],[PT-1]]*$S$3+MIP[[#This Row],[PT-2]]*$T$3+MIP[[#This Row],[PT-3]]*$U$3+MIP[[#This Row],[PT &gt; 3 Pontos]]*$V$3</f>
        <v>0.28119886719448905</v>
      </c>
      <c r="Z816" s="57">
        <f>MIP[[#This Row],[HH disponível]]-MIP[[#This Row],[HH AC TOT]]</f>
        <v>0.32569444444444456</v>
      </c>
      <c r="AA816" s="56">
        <f>MIP[[#This Row],[HH Produtivo
Total]]/MIP[[#This Row],[HH Trabalhado]]</f>
        <v>0.86338244938179975</v>
      </c>
      <c r="AB816" s="56">
        <f>MIP[[#This Row],[HH Produtivo
Total]]/MIP[[#This Row],[HH disponível]]</f>
        <v>0.76690600143951537</v>
      </c>
      <c r="AC816" s="56">
        <f>MIP[[#This Row],[HH Trabalhado]]/MIP[[#This Row],[HH disponível]]</f>
        <v>0.88825757575757591</v>
      </c>
      <c r="AD816" s="55" t="str">
        <f>LEFT(MIP[[#This Row],[Equipe]], SEARCH("/",MIP[[#This Row],[Equipe]],1)-1)</f>
        <v xml:space="preserve">ANDERSON </v>
      </c>
      <c r="AE816" s="55" t="str">
        <f>RIGHT(MIP[[#This Row],[Equipe]], LEN(MIP[[#This Row],[Equipe]])-SEARCH("/",MIP[[#This Row],[Equipe]],1))</f>
        <v xml:space="preserve"> MARCO</v>
      </c>
      <c r="AF816" s="54">
        <f>COUNTIFS('[1]Tempo parado'!H:H,"&gt;="&amp;MIP[[#This Row],[S.B Sitrack]],'[1]Tempo parado'!I:I,"&lt;="&amp;MIP[[#This Row],[C.B Sitrack]],'[1]Tempo parado'!B:B,MIP[[#This Row],[Placa]])</f>
        <v>0</v>
      </c>
      <c r="AG816" s="53">
        <v>43066.352581018517</v>
      </c>
      <c r="AH816" s="52"/>
      <c r="AI816" s="51"/>
      <c r="AJ816" s="51"/>
      <c r="AK816" s="49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16" s="50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16" s="49">
        <f>SUMIFS('[1]Tempo parado'!J:J,'[1]Tempo parado'!H:H,"&gt;="&amp;MIP[[#This Row],[S.B Sitrack]],'[1]Tempo parado'!I:I,"&lt;="&amp;MIP[[#This Row],[C.B Sitrack]],'[1]Tempo parado'!B:B,MIP[[#This Row],[Placa]])</f>
        <v>0</v>
      </c>
      <c r="AN816" s="48" t="str">
        <f>IFERROR(MIP[[#This Row],[Tempo parado]]/(MIP[[#This Row],[C.B Sitrack]]-MIP[[#This Row],[S.B Sitrack]]),"")</f>
        <v/>
      </c>
      <c r="AO816" s="30"/>
      <c r="AP816" s="44">
        <f>IF(AND(MIP[Exc]=0,MIP[Previsto / Realizado]="Realizado"),MIP[Sem],0)</f>
        <v>0</v>
      </c>
      <c r="AQ816" s="29">
        <f>IF(AND(MIP[Exc]=0,MIP[Previsto / Realizado]="Realizado",ISBLANK(MIP[[#This Row],[S.B Sitrack]])=FALSE,ISBLANK(MIP[[#This Row],[C.B Sitrack]])=FALSE),MIP[Sem],0)</f>
        <v>0</v>
      </c>
    </row>
    <row r="817" spans="1:43" s="47" customFormat="1" x14ac:dyDescent="0.25">
      <c r="A817" s="64"/>
      <c r="B817" s="29">
        <f>WEEKNUM(MIP[[#This Row],[Data]])</f>
        <v>47</v>
      </c>
      <c r="C817" s="45">
        <v>43063</v>
      </c>
      <c r="D817" s="45"/>
      <c r="E817" s="65" t="s">
        <v>7</v>
      </c>
      <c r="F817" s="35" t="s">
        <v>2</v>
      </c>
      <c r="G817" s="35" t="s">
        <v>6</v>
      </c>
      <c r="H817" s="44"/>
      <c r="I817" s="44">
        <v>7</v>
      </c>
      <c r="J817" s="44">
        <v>2</v>
      </c>
      <c r="K817" s="44">
        <v>1</v>
      </c>
      <c r="L817" s="44">
        <v>0</v>
      </c>
      <c r="M817" s="43">
        <v>0.65069444444444446</v>
      </c>
      <c r="N817" s="43">
        <v>0.66111111111111109</v>
      </c>
      <c r="O817" s="43">
        <v>2.7777777777777776E-2</v>
      </c>
      <c r="P817" s="43">
        <v>3.8194444444444441E-2</v>
      </c>
      <c r="Q817" s="39"/>
      <c r="R817" s="42" t="s">
        <v>100</v>
      </c>
      <c r="S817" s="29">
        <f>MIP[[#This Row],[PT-1]]+MIP[[#This Row],[PT-2]]*2+MIP[[#This Row],[PT-3]]*3+MIP[[#This Row],[PT &gt; 3 Pontos]]</f>
        <v>14</v>
      </c>
      <c r="T81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2.0833333333333259E-2</v>
      </c>
      <c r="U817" s="39">
        <f>IF(MIP[[#This Row],[P.S]]-MIP[[#This Row],[U.P]]&gt;=0,MIP[[#This Row],[P.S]]-MIP[[#This Row],[U.P]]+MIP[[#This Row],[S.B]]-MIP[[#This Row],[P.E]],1+MIP[[#This Row],[P.S]]-MIP[[#This Row],[U.P]]+MIP[[#This Row],[S.B]]-MIP[[#This Row],[P.E]])</f>
        <v>2.0833333333333259E-2</v>
      </c>
      <c r="V817" s="41">
        <f>MIP[[#This Row],[Eficiência]]</f>
        <v>1.002431329741112</v>
      </c>
      <c r="W817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17" s="39">
        <f>IF(MIP[[#This Row],[P.S]]-MIP[[#This Row],[P.E]]&lt;0,1+MIP[[#This Row],[P.S]]-MIP[[#This Row],[P.E]]-1/24,MIP[[#This Row],[P.S]]-MIP[[#This Row],[P.E]]-1/24)</f>
        <v>0.34583333333333327</v>
      </c>
      <c r="Y817" s="39">
        <f>MIP[[#This Row],[PT-1]]*$S$3+MIP[[#This Row],[PT-2]]*$T$3+MIP[[#This Row],[PT-3]]*$U$3+MIP[[#This Row],[PT &gt; 3 Pontos]]*$V$3</f>
        <v>0.32579018216586142</v>
      </c>
      <c r="Z817" s="39">
        <f>MIP[[#This Row],[HH disponível]]-MIP[[#This Row],[HH AC TOT]]</f>
        <v>0.32500000000000001</v>
      </c>
      <c r="AA817" s="38">
        <f>MIP[[#This Row],[HH Produtivo
Total]]/MIP[[#This Row],[HH Trabalhado]]</f>
        <v>1.002431329741112</v>
      </c>
      <c r="AB817" s="38">
        <f>MIP[[#This Row],[HH Produtivo
Total]]/MIP[[#This Row],[HH disponível]]</f>
        <v>0.9420439002386356</v>
      </c>
      <c r="AC817" s="38">
        <f>MIP[[#This Row],[HH Trabalhado]]/MIP[[#This Row],[HH disponível]]</f>
        <v>0.93975903614457856</v>
      </c>
      <c r="AD817" s="37" t="str">
        <f>LEFT(MIP[[#This Row],[Equipe]], SEARCH("/",MIP[[#This Row],[Equipe]],1)-1)</f>
        <v xml:space="preserve">ANDERSON </v>
      </c>
      <c r="AE817" s="37" t="str">
        <f>RIGHT(MIP[[#This Row],[Equipe]], LEN(MIP[[#This Row],[Equipe]])-SEARCH("/",MIP[[#This Row],[Equipe]],1))</f>
        <v xml:space="preserve"> MARCO</v>
      </c>
      <c r="AF817" s="29">
        <f>COUNTIFS('[1]Tempo parado'!H:H,"&gt;="&amp;MIP[[#This Row],[S.B Sitrack]],'[1]Tempo parado'!I:I,"&lt;="&amp;MIP[[#This Row],[C.B Sitrack]],'[1]Tempo parado'!B:B,MIP[[#This Row],[Placa]])</f>
        <v>15</v>
      </c>
      <c r="AG817" s="36"/>
      <c r="AH817" s="35" t="s">
        <v>99</v>
      </c>
      <c r="AI817" s="34">
        <v>43063.662430555552</v>
      </c>
      <c r="AJ817" s="34">
        <v>43064.029861111114</v>
      </c>
      <c r="AK817" s="32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2.7777777777777783E-3</v>
      </c>
      <c r="AL81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68.40000000000002</v>
      </c>
      <c r="AM817" s="32">
        <f>SUMIFS('[1]Tempo parado'!J:J,'[1]Tempo parado'!H:H,"&gt;="&amp;MIP[[#This Row],[S.B Sitrack]],'[1]Tempo parado'!I:I,"&lt;="&amp;MIP[[#This Row],[C.B Sitrack]],'[1]Tempo parado'!B:B,MIP[[#This Row],[Placa]])</f>
        <v>0.19677083333333334</v>
      </c>
      <c r="AN817" s="31">
        <f>IFERROR(MIP[[#This Row],[Tempo parado]]/(MIP[[#This Row],[C.B Sitrack]]-MIP[[#This Row],[S.B Sitrack]]),"")</f>
        <v>0.53553203552345752</v>
      </c>
      <c r="AO817" s="30" t="s">
        <v>98</v>
      </c>
      <c r="AP817" s="44">
        <f>IF(AND(MIP[Exc]=0,MIP[Previsto / Realizado]="Realizado"),MIP[Sem],0)</f>
        <v>47</v>
      </c>
      <c r="AQ817" s="29">
        <f>IF(AND(MIP[Exc]=0,MIP[Previsto / Realizado]="Realizado",ISBLANK(MIP[[#This Row],[S.B Sitrack]])=FALSE,ISBLANK(MIP[[#This Row],[C.B Sitrack]])=FALSE),MIP[Sem],0)</f>
        <v>47</v>
      </c>
    </row>
    <row r="818" spans="1:43" s="47" customFormat="1" x14ac:dyDescent="0.25">
      <c r="A818" s="64"/>
      <c r="B818" s="54">
        <f>WEEKNUM(MIP[[#This Row],[Data]])</f>
        <v>47</v>
      </c>
      <c r="C818" s="63" t="s">
        <v>97</v>
      </c>
      <c r="D818" s="63"/>
      <c r="E818" s="52" t="s">
        <v>10</v>
      </c>
      <c r="F818" s="52" t="s">
        <v>5</v>
      </c>
      <c r="G818" s="52"/>
      <c r="H818" s="62"/>
      <c r="I818" s="62">
        <v>5</v>
      </c>
      <c r="J818" s="62">
        <v>2</v>
      </c>
      <c r="K818" s="62">
        <v>0</v>
      </c>
      <c r="L818" s="62">
        <v>0</v>
      </c>
      <c r="M818" s="61">
        <v>0.25</v>
      </c>
      <c r="N818" s="61">
        <v>0.2638888888888889</v>
      </c>
      <c r="O818" s="61">
        <v>0.62986111111111109</v>
      </c>
      <c r="P818" s="61">
        <v>0.65833333333333333</v>
      </c>
      <c r="Q818" s="57"/>
      <c r="R818" s="60"/>
      <c r="S818" s="54">
        <f>MIP[[#This Row],[PT-1]]+MIP[[#This Row],[PT-2]]*2+MIP[[#This Row],[PT-3]]*3+MIP[[#This Row],[PT &gt; 3 Pontos]]</f>
        <v>9</v>
      </c>
      <c r="T818" s="57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4.2361111111111127E-2</v>
      </c>
      <c r="U818" s="57">
        <f>IF(MIP[[#This Row],[P.S]]-MIP[[#This Row],[U.P]]&gt;=0,MIP[[#This Row],[P.S]]-MIP[[#This Row],[U.P]]+MIP[[#This Row],[S.B]]-MIP[[#This Row],[P.E]],1+MIP[[#This Row],[P.S]]-MIP[[#This Row],[U.P]]+MIP[[#This Row],[S.B]]-MIP[[#This Row],[P.E]])</f>
        <v>4.2361111111111127E-2</v>
      </c>
      <c r="V818" s="59">
        <f>MIP[[#This Row],[Eficiência]]</f>
        <v>0.65662395649070515</v>
      </c>
      <c r="W818" s="58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18" s="57">
        <f>IF(MIP[[#This Row],[P.S]]-MIP[[#This Row],[P.E]]&lt;0,1+MIP[[#This Row],[P.S]]-MIP[[#This Row],[P.E]]-1/24,MIP[[#This Row],[P.S]]-MIP[[#This Row],[P.E]]-1/24)</f>
        <v>0.36666666666666664</v>
      </c>
      <c r="Y818" s="57">
        <f>MIP[[#This Row],[PT-1]]*$S$3+MIP[[#This Row],[PT-2]]*$T$3+MIP[[#This Row],[PT-3]]*$U$3+MIP[[#This Row],[PT &gt; 3 Pontos]]*$V$3</f>
        <v>0.21294679700080504</v>
      </c>
      <c r="Z818" s="57">
        <f>MIP[[#This Row],[HH disponível]]-MIP[[#This Row],[HH AC TOT]]</f>
        <v>0.32430555555555551</v>
      </c>
      <c r="AA818" s="56">
        <f>MIP[[#This Row],[HH Produtivo
Total]]/MIP[[#This Row],[HH Trabalhado]]</f>
        <v>0.65662395649070515</v>
      </c>
      <c r="AB818" s="56">
        <f>MIP[[#This Row],[HH Produtivo
Total]]/MIP[[#This Row],[HH disponível]]</f>
        <v>0.58076399182037741</v>
      </c>
      <c r="AC818" s="56">
        <f>MIP[[#This Row],[HH Trabalhado]]/MIP[[#This Row],[HH disponível]]</f>
        <v>0.88446969696969691</v>
      </c>
      <c r="AD818" s="55" t="str">
        <f>LEFT(MIP[[#This Row],[Equipe]], SEARCH("/",MIP[[#This Row],[Equipe]],1)-1)</f>
        <v xml:space="preserve">JOILSON </v>
      </c>
      <c r="AE818" s="55" t="str">
        <f>RIGHT(MIP[[#This Row],[Equipe]], LEN(MIP[[#This Row],[Equipe]])-SEARCH("/",MIP[[#This Row],[Equipe]],1))</f>
        <v xml:space="preserve"> VALDEI</v>
      </c>
      <c r="AF818" s="54">
        <f>COUNTIFS('[1]Tempo parado'!H:H,"&gt;="&amp;MIP[[#This Row],[S.B Sitrack]],'[1]Tempo parado'!I:I,"&lt;="&amp;MIP[[#This Row],[C.B Sitrack]],'[1]Tempo parado'!B:B,MIP[[#This Row],[Placa]])</f>
        <v>0</v>
      </c>
      <c r="AG818" s="53">
        <v>43066.359895833331</v>
      </c>
      <c r="AH818" s="52" t="s">
        <v>96</v>
      </c>
      <c r="AI818" s="51"/>
      <c r="AJ818" s="51"/>
      <c r="AK818" s="49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18" s="50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18" s="49">
        <f>SUMIFS('[1]Tempo parado'!J:J,'[1]Tempo parado'!H:H,"&gt;="&amp;MIP[[#This Row],[S.B Sitrack]],'[1]Tempo parado'!I:I,"&lt;="&amp;MIP[[#This Row],[C.B Sitrack]],'[1]Tempo parado'!B:B,MIP[[#This Row],[Placa]])</f>
        <v>0</v>
      </c>
      <c r="AN818" s="48" t="str">
        <f>IFERROR(MIP[[#This Row],[Tempo parado]]/(MIP[[#This Row],[C.B Sitrack]]-MIP[[#This Row],[S.B Sitrack]]),"")</f>
        <v/>
      </c>
      <c r="AO818" s="30"/>
      <c r="AP818" s="44">
        <f>IF(AND(MIP[Exc]=0,MIP[Previsto / Realizado]="Realizado"),MIP[Sem],0)</f>
        <v>0</v>
      </c>
      <c r="AQ818" s="29">
        <f>IF(AND(MIP[Exc]=0,MIP[Previsto / Realizado]="Realizado",ISBLANK(MIP[[#This Row],[S.B Sitrack]])=FALSE,ISBLANK(MIP[[#This Row],[C.B Sitrack]])=FALSE),MIP[Sem],0)</f>
        <v>0</v>
      </c>
    </row>
    <row r="819" spans="1:43" s="47" customFormat="1" x14ac:dyDescent="0.25">
      <c r="A819" s="64"/>
      <c r="B819" s="29">
        <f>WEEKNUM(MIP[[#This Row],[Data]])</f>
        <v>47</v>
      </c>
      <c r="C819" s="45">
        <v>43064</v>
      </c>
      <c r="D819" s="45"/>
      <c r="E819" s="35" t="s">
        <v>10</v>
      </c>
      <c r="F819" s="35" t="s">
        <v>2</v>
      </c>
      <c r="G819" s="35" t="s">
        <v>1</v>
      </c>
      <c r="H819" s="44"/>
      <c r="I819" s="44">
        <v>8</v>
      </c>
      <c r="J819" s="44">
        <v>2</v>
      </c>
      <c r="K819" s="44">
        <v>0</v>
      </c>
      <c r="L819" s="44">
        <v>0</v>
      </c>
      <c r="M819" s="43">
        <v>0.25069444444444444</v>
      </c>
      <c r="N819" s="43">
        <v>0.2673611111111111</v>
      </c>
      <c r="O819" s="43">
        <v>0.61597222222222225</v>
      </c>
      <c r="P819" s="43">
        <v>0.65972222222222221</v>
      </c>
      <c r="Q819" s="39"/>
      <c r="R819" s="42" t="s">
        <v>34</v>
      </c>
      <c r="S819" s="29">
        <f>MIP[[#This Row],[PT-1]]+MIP[[#This Row],[PT-2]]*2+MIP[[#This Row],[PT-3]]*3+MIP[[#This Row],[PT &gt; 3 Pontos]]</f>
        <v>12</v>
      </c>
      <c r="T81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6.0416666666666619E-2</v>
      </c>
      <c r="U819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6.0416666666666619E-2</v>
      </c>
      <c r="V819" s="41">
        <f>MIP[[#This Row],[Eficiência]]</f>
        <v>0.9383598924519635</v>
      </c>
      <c r="W819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19" s="39">
        <f>IF(MIP[[#This Row],[P.S]]-MIP[[#This Row],[P.E]]&lt;0,1+MIP[[#This Row],[P.S]]-MIP[[#This Row],[P.E]]-1/24,MIP[[#This Row],[P.S]]-MIP[[#This Row],[P.E]]-1/24)</f>
        <v>0.36736111111111108</v>
      </c>
      <c r="Y819" s="39">
        <f>MIP[[#This Row],[PT-1]]*$S$3+MIP[[#This Row],[PT-2]]*$T$3+MIP[[#This Row],[PT-3]]*$U$3+MIP[[#This Row],[PT &gt; 3 Pontos]]*$V$3</f>
        <v>0.2880243558776166</v>
      </c>
      <c r="Z819" s="39">
        <f>MIP[[#This Row],[HH disponível]]-MIP[[#This Row],[HH AC TOT]]</f>
        <v>0.30694444444444446</v>
      </c>
      <c r="AA819" s="38">
        <f>MIP[[#This Row],[HH Produtivo
Total]]/MIP[[#This Row],[HH Trabalhado]]</f>
        <v>0.9383598924519635</v>
      </c>
      <c r="AB819" s="38">
        <f>MIP[[#This Row],[HH Produtivo
Total]]/MIP[[#This Row],[HH disponível]]</f>
        <v>0.78403605380674468</v>
      </c>
      <c r="AC819" s="38">
        <f>MIP[[#This Row],[HH Trabalhado]]/MIP[[#This Row],[HH disponível]]</f>
        <v>0.83553875236294906</v>
      </c>
      <c r="AD819" s="37" t="str">
        <f>LEFT(MIP[[#This Row],[Equipe]], SEARCH("/",MIP[[#This Row],[Equipe]],1)-1)</f>
        <v xml:space="preserve">JOILSON </v>
      </c>
      <c r="AE819" s="37" t="str">
        <f>RIGHT(MIP[[#This Row],[Equipe]], LEN(MIP[[#This Row],[Equipe]])-SEARCH("/",MIP[[#This Row],[Equipe]],1))</f>
        <v xml:space="preserve"> VALDEI</v>
      </c>
      <c r="AF819" s="29">
        <f>COUNTIFS('[1]Tempo parado'!H:H,"&gt;="&amp;MIP[[#This Row],[S.B Sitrack]],'[1]Tempo parado'!I:I,"&lt;="&amp;MIP[[#This Row],[C.B Sitrack]],'[1]Tempo parado'!B:B,MIP[[#This Row],[Placa]])</f>
        <v>0</v>
      </c>
      <c r="AG819" s="36"/>
      <c r="AH819" s="35" t="s">
        <v>95</v>
      </c>
      <c r="AI819" s="34"/>
      <c r="AJ819" s="34"/>
      <c r="AK81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1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19" s="32">
        <f>SUMIFS('[1]Tempo parado'!J:J,'[1]Tempo parado'!H:H,"&gt;="&amp;MIP[[#This Row],[S.B Sitrack]],'[1]Tempo parado'!I:I,"&lt;="&amp;MIP[[#This Row],[C.B Sitrack]],'[1]Tempo parado'!B:B,MIP[[#This Row],[Placa]])</f>
        <v>0</v>
      </c>
      <c r="AN819" s="31" t="str">
        <f>IFERROR(MIP[[#This Row],[Tempo parado]]/(MIP[[#This Row],[C.B Sitrack]]-MIP[[#This Row],[S.B Sitrack]]),"")</f>
        <v/>
      </c>
      <c r="AO819" s="30"/>
      <c r="AP819" s="44">
        <f>IF(AND(MIP[Exc]=0,MIP[Previsto / Realizado]="Realizado"),MIP[Sem],0)</f>
        <v>47</v>
      </c>
      <c r="AQ819" s="29">
        <f>IF(AND(MIP[Exc]=0,MIP[Previsto / Realizado]="Realizado",ISBLANK(MIP[[#This Row],[S.B Sitrack]])=FALSE,ISBLANK(MIP[[#This Row],[C.B Sitrack]])=FALSE),MIP[Sem],0)</f>
        <v>0</v>
      </c>
    </row>
    <row r="820" spans="1:43" s="47" customFormat="1" x14ac:dyDescent="0.25">
      <c r="A820" s="64"/>
      <c r="B820" s="54">
        <f>WEEKNUM(MIP[[#This Row],[Data]])</f>
        <v>48</v>
      </c>
      <c r="C820" s="63" t="s">
        <v>94</v>
      </c>
      <c r="D820" s="63"/>
      <c r="E820" s="52" t="s">
        <v>33</v>
      </c>
      <c r="F820" s="52" t="s">
        <v>5</v>
      </c>
      <c r="G820" s="52"/>
      <c r="H820" s="62"/>
      <c r="I820" s="62">
        <v>0</v>
      </c>
      <c r="J820" s="62">
        <v>0</v>
      </c>
      <c r="K820" s="62">
        <v>0</v>
      </c>
      <c r="L820" s="62">
        <v>0</v>
      </c>
      <c r="M820" s="61">
        <v>0.25</v>
      </c>
      <c r="N820" s="61">
        <v>0.2638888888888889</v>
      </c>
      <c r="O820" s="61">
        <v>0.62986111111111109</v>
      </c>
      <c r="P820" s="61">
        <v>0.65833333333333333</v>
      </c>
      <c r="Q820" s="57"/>
      <c r="R820" s="60" t="s">
        <v>93</v>
      </c>
      <c r="S820" s="54">
        <f>MIP[[#This Row],[PT-1]]+MIP[[#This Row],[PT-2]]*2+MIP[[#This Row],[PT-3]]*3+MIP[[#This Row],[PT &gt; 3 Pontos]]</f>
        <v>0</v>
      </c>
      <c r="T820" s="57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4.2361111111111127E-2</v>
      </c>
      <c r="U820" s="57">
        <f>IF(MIP[[#This Row],[P.S]]-MIP[[#This Row],[U.P]]&gt;=0,MIP[[#This Row],[P.S]]-MIP[[#This Row],[U.P]]+MIP[[#This Row],[S.B]]-MIP[[#This Row],[P.E]],1+MIP[[#This Row],[P.S]]-MIP[[#This Row],[U.P]]+MIP[[#This Row],[S.B]]-MIP[[#This Row],[P.E]])</f>
        <v>4.2361111111111127E-2</v>
      </c>
      <c r="V820" s="59">
        <f>MIP[[#This Row],[Eficiência]]</f>
        <v>0</v>
      </c>
      <c r="W820" s="58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20" s="57">
        <f>IF(MIP[[#This Row],[P.S]]-MIP[[#This Row],[P.E]]&lt;0,1+MIP[[#This Row],[P.S]]-MIP[[#This Row],[P.E]]-1/24,MIP[[#This Row],[P.S]]-MIP[[#This Row],[P.E]]-1/24)</f>
        <v>0.36666666666666664</v>
      </c>
      <c r="Y820" s="57">
        <f>MIP[[#This Row],[PT-1]]*$S$3+MIP[[#This Row],[PT-2]]*$T$3+MIP[[#This Row],[PT-3]]*$U$3+MIP[[#This Row],[PT &gt; 3 Pontos]]*$V$3</f>
        <v>0</v>
      </c>
      <c r="Z820" s="57">
        <f>MIP[[#This Row],[HH disponível]]-MIP[[#This Row],[HH AC TOT]]</f>
        <v>0.32430555555555551</v>
      </c>
      <c r="AA820" s="56">
        <f>MIP[[#This Row],[HH Produtivo
Total]]/MIP[[#This Row],[HH Trabalhado]]</f>
        <v>0</v>
      </c>
      <c r="AB820" s="56">
        <f>MIP[[#This Row],[HH Produtivo
Total]]/MIP[[#This Row],[HH disponível]]</f>
        <v>0</v>
      </c>
      <c r="AC820" s="56">
        <f>MIP[[#This Row],[HH Trabalhado]]/MIP[[#This Row],[HH disponível]]</f>
        <v>0.88446969696969691</v>
      </c>
      <c r="AD820" s="55" t="str">
        <f>LEFT(MIP[[#This Row],[Equipe]], SEARCH("/",MIP[[#This Row],[Equipe]],1)-1)</f>
        <v xml:space="preserve">JOILSON </v>
      </c>
      <c r="AE820" s="55" t="str">
        <f>RIGHT(MIP[[#This Row],[Equipe]], LEN(MIP[[#This Row],[Equipe]])-SEARCH("/",MIP[[#This Row],[Equipe]],1))</f>
        <v xml:space="preserve"> HERVAL</v>
      </c>
      <c r="AF820" s="54">
        <f>COUNTIFS('[1]Tempo parado'!H:H,"&gt;="&amp;MIP[[#This Row],[S.B Sitrack]],'[1]Tempo parado'!I:I,"&lt;="&amp;MIP[[#This Row],[C.B Sitrack]],'[1]Tempo parado'!B:B,MIP[[#This Row],[Placa]])</f>
        <v>0</v>
      </c>
      <c r="AG820" s="53">
        <v>43066.371608796297</v>
      </c>
      <c r="AH820" s="52"/>
      <c r="AI820" s="51"/>
      <c r="AJ820" s="51"/>
      <c r="AK820" s="49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20" s="50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20" s="49">
        <f>SUMIFS('[1]Tempo parado'!J:J,'[1]Tempo parado'!H:H,"&gt;="&amp;MIP[[#This Row],[S.B Sitrack]],'[1]Tempo parado'!I:I,"&lt;="&amp;MIP[[#This Row],[C.B Sitrack]],'[1]Tempo parado'!B:B,MIP[[#This Row],[Placa]])</f>
        <v>0</v>
      </c>
      <c r="AN820" s="48" t="str">
        <f>IFERROR(MIP[[#This Row],[Tempo parado]]/(MIP[[#This Row],[C.B Sitrack]]-MIP[[#This Row],[S.B Sitrack]]),"")</f>
        <v/>
      </c>
      <c r="AO820" s="30"/>
      <c r="AP820" s="44">
        <f>IF(AND(MIP[Exc]=0,MIP[Previsto / Realizado]="Realizado"),MIP[Sem],0)</f>
        <v>0</v>
      </c>
      <c r="AQ820" s="29">
        <f>IF(AND(MIP[Exc]=0,MIP[Previsto / Realizado]="Realizado",ISBLANK(MIP[[#This Row],[S.B Sitrack]])=FALSE,ISBLANK(MIP[[#This Row],[C.B Sitrack]])=FALSE),MIP[Sem],0)</f>
        <v>0</v>
      </c>
    </row>
    <row r="821" spans="1:43" x14ac:dyDescent="0.25">
      <c r="B821" s="12">
        <f>WEEKNUM(MIP[[#This Row],[Data]])</f>
        <v>48</v>
      </c>
      <c r="C821" s="28">
        <v>43065</v>
      </c>
      <c r="D821" s="28"/>
      <c r="E821" s="18" t="s">
        <v>10</v>
      </c>
      <c r="F821" s="18" t="s">
        <v>2</v>
      </c>
      <c r="G821" s="18" t="s">
        <v>1</v>
      </c>
      <c r="H821" s="27"/>
      <c r="I821" s="27">
        <v>4</v>
      </c>
      <c r="J821" s="27">
        <v>2</v>
      </c>
      <c r="K821" s="27">
        <v>2</v>
      </c>
      <c r="L821" s="27">
        <v>0</v>
      </c>
      <c r="M821" s="26">
        <v>0.24652777777777779</v>
      </c>
      <c r="N821" s="26">
        <v>0.27777777777777779</v>
      </c>
      <c r="O821" s="26">
        <v>0.61458333333333337</v>
      </c>
      <c r="P821" s="26">
        <v>0.62569444444444444</v>
      </c>
      <c r="Q821" s="22"/>
      <c r="R821" s="25" t="s">
        <v>92</v>
      </c>
      <c r="S821" s="12">
        <f>MIP[[#This Row],[PT-1]]+MIP[[#This Row],[PT-2]]*2+MIP[[#This Row],[PT-3]]*3+MIP[[#This Row],[PT &gt; 3 Pontos]]</f>
        <v>14</v>
      </c>
      <c r="T821" s="22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4.2361111111111072E-2</v>
      </c>
      <c r="U821" s="22">
        <f>IF(MIP[[#This Row],[P.S]]-MIP[[#This Row],[U.P]]&gt;=0,MIP[[#This Row],[P.S]]-MIP[[#This Row],[U.P]]+MIP[[#This Row],[S.B]]-MIP[[#This Row],[P.E]],1+MIP[[#This Row],[P.S]]-MIP[[#This Row],[U.P]]+MIP[[#This Row],[S.B]]-MIP[[#This Row],[P.E]])</f>
        <v>4.2361111111111072E-2</v>
      </c>
      <c r="V821" s="24">
        <f>MIP[[#This Row],[Eficiência]]</f>
        <v>1.0622263427109973</v>
      </c>
      <c r="W821" s="23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21" s="22">
        <f>IF(MIP[[#This Row],[P.S]]-MIP[[#This Row],[P.E]]&lt;0,1+MIP[[#This Row],[P.S]]-MIP[[#This Row],[P.E]]-1/24,MIP[[#This Row],[P.S]]-MIP[[#This Row],[P.E]]-1/24)</f>
        <v>0.33749999999999997</v>
      </c>
      <c r="Y821" s="22">
        <f>MIP[[#This Row],[PT-1]]*$S$3+MIP[[#This Row],[PT-2]]*$T$3+MIP[[#This Row],[PT-3]]*$U$3+MIP[[#This Row],[PT &gt; 3 Pontos]]*$V$3</f>
        <v>0.31350430253623185</v>
      </c>
      <c r="Z821" s="22">
        <f>MIP[[#This Row],[HH disponível]]-MIP[[#This Row],[HH AC TOT]]</f>
        <v>0.2951388888888889</v>
      </c>
      <c r="AA821" s="21">
        <f>MIP[[#This Row],[HH Produtivo
Total]]/MIP[[#This Row],[HH Trabalhado]]</f>
        <v>1.0622263427109973</v>
      </c>
      <c r="AB821" s="21">
        <f>MIP[[#This Row],[HH Produtivo
Total]]/MIP[[#This Row],[HH disponível]]</f>
        <v>0.92890163714439078</v>
      </c>
      <c r="AC821" s="21">
        <f>MIP[[#This Row],[HH Trabalhado]]/MIP[[#This Row],[HH disponível]]</f>
        <v>0.874485596707819</v>
      </c>
      <c r="AD821" s="20" t="str">
        <f>LEFT(MIP[[#This Row],[Equipe]], SEARCH("/",MIP[[#This Row],[Equipe]],1)-1)</f>
        <v xml:space="preserve">JOILSON </v>
      </c>
      <c r="AE821" s="20" t="str">
        <f>RIGHT(MIP[[#This Row],[Equipe]], LEN(MIP[[#This Row],[Equipe]])-SEARCH("/",MIP[[#This Row],[Equipe]],1))</f>
        <v xml:space="preserve"> VALDEI</v>
      </c>
      <c r="AF821" s="12">
        <f>COUNTIFS('[1]Tempo parado'!H:H,"&gt;="&amp;MIP[[#This Row],[S.B Sitrack]],'[1]Tempo parado'!I:I,"&lt;="&amp;MIP[[#This Row],[C.B Sitrack]],'[1]Tempo parado'!B:B,MIP[[#This Row],[Placa]])</f>
        <v>0</v>
      </c>
      <c r="AG821" s="19"/>
      <c r="AH821" s="18" t="s">
        <v>91</v>
      </c>
      <c r="AI821" s="17"/>
      <c r="AJ821" s="17"/>
      <c r="AK82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21" s="16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21" s="15">
        <f>SUMIFS('[1]Tempo parado'!J:J,'[1]Tempo parado'!H:H,"&gt;="&amp;MIP[[#This Row],[S.B Sitrack]],'[1]Tempo parado'!I:I,"&lt;="&amp;MIP[[#This Row],[C.B Sitrack]],'[1]Tempo parado'!B:B,MIP[[#This Row],[Placa]])</f>
        <v>0</v>
      </c>
      <c r="AN821" s="14" t="str">
        <f>IFERROR(MIP[[#This Row],[Tempo parado]]/(MIP[[#This Row],[C.B Sitrack]]-MIP[[#This Row],[S.B Sitrack]]),"")</f>
        <v/>
      </c>
      <c r="AO821" s="13"/>
      <c r="AP821" s="44">
        <f>IF(AND(MIP[Exc]=0,MIP[Previsto / Realizado]="Realizado"),MIP[Sem],0)</f>
        <v>48</v>
      </c>
      <c r="AQ821" s="12">
        <f>IF(AND(MIP[Exc]=0,MIP[Previsto / Realizado]="Realizado",ISBLANK(MIP[[#This Row],[S.B Sitrack]])=FALSE,ISBLANK(MIP[[#This Row],[C.B Sitrack]])=FALSE),MIP[Sem],0)</f>
        <v>0</v>
      </c>
    </row>
    <row r="822" spans="1:43" x14ac:dyDescent="0.25">
      <c r="B822" s="29">
        <f>WEEKNUM(MIP[[#This Row],[Data]])</f>
        <v>48</v>
      </c>
      <c r="C822" s="45" t="s">
        <v>90</v>
      </c>
      <c r="D822" s="45"/>
      <c r="E822" s="35" t="s">
        <v>7</v>
      </c>
      <c r="F822" s="35" t="s">
        <v>5</v>
      </c>
      <c r="G822" s="35"/>
      <c r="H822" s="44">
        <v>2</v>
      </c>
      <c r="I822" s="44">
        <v>6</v>
      </c>
      <c r="J822" s="44">
        <v>2</v>
      </c>
      <c r="K822" s="44">
        <v>2</v>
      </c>
      <c r="L822" s="44">
        <v>4</v>
      </c>
      <c r="M822" s="43">
        <v>0.625</v>
      </c>
      <c r="N822" s="43">
        <v>0.6381944444444444</v>
      </c>
      <c r="O822" s="43">
        <v>5.5555555555555558E-3</v>
      </c>
      <c r="P822" s="43">
        <v>3.3333333333333333E-2</v>
      </c>
      <c r="Q822" s="39"/>
      <c r="R822" s="42"/>
      <c r="S822" s="29">
        <f>MIP[[#This Row],[PT-1]]+MIP[[#This Row],[PT-2]]*2+MIP[[#This Row],[PT-3]]*3+MIP[[#This Row],[PT &gt; 3 Pontos]]</f>
        <v>20</v>
      </c>
      <c r="T82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4.0972222222222188E-2</v>
      </c>
      <c r="U822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4.0972222222222188E-2</v>
      </c>
      <c r="V822" s="41">
        <f>MIP[[#This Row],[Eficiência]]</f>
        <v>1.3649236563902361</v>
      </c>
      <c r="W822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22" s="39">
        <f>IF(MIP[[#This Row],[P.S]]-MIP[[#This Row],[P.E]]&lt;0,1+MIP[[#This Row],[P.S]]-MIP[[#This Row],[P.E]]-1/24,MIP[[#This Row],[P.S]]-MIP[[#This Row],[P.E]]-1/24)</f>
        <v>0.36666666666666675</v>
      </c>
      <c r="Y822" s="39">
        <f>MIP[[#This Row],[PT-1]]*$S$3+MIP[[#This Row],[PT-2]]*$T$3+MIP[[#This Row],[PT-3]]*$U$3+MIP[[#This Row],[PT &gt; 3 Pontos]]*$V$3</f>
        <v>0.4445480519770979</v>
      </c>
      <c r="Z822" s="39">
        <f>MIP[[#This Row],[HH disponível]]-MIP[[#This Row],[HH AC TOT]]</f>
        <v>0.32569444444444456</v>
      </c>
      <c r="AA822" s="38">
        <f>MIP[[#This Row],[HH Produtivo
Total]]/MIP[[#This Row],[HH Trabalhado]]</f>
        <v>1.3649236563902361</v>
      </c>
      <c r="AB822" s="38">
        <f>MIP[[#This Row],[HH Produtivo
Total]]/MIP[[#This Row],[HH disponível]]</f>
        <v>1.2124037781193577</v>
      </c>
      <c r="AC822" s="38">
        <f>MIP[[#This Row],[HH Trabalhado]]/MIP[[#This Row],[HH disponível]]</f>
        <v>0.88825757575757591</v>
      </c>
      <c r="AD822" s="37" t="str">
        <f>LEFT(MIP[[#This Row],[Equipe]], SEARCH("/",MIP[[#This Row],[Equipe]],1)-1)</f>
        <v xml:space="preserve">ANDERSON </v>
      </c>
      <c r="AE822" s="37" t="str">
        <f>RIGHT(MIP[[#This Row],[Equipe]], LEN(MIP[[#This Row],[Equipe]])-SEARCH("/",MIP[[#This Row],[Equipe]],1))</f>
        <v xml:space="preserve"> MARCO</v>
      </c>
      <c r="AF822" s="29">
        <f>COUNTIFS('[1]Tempo parado'!H:H,"&gt;="&amp;MIP[[#This Row],[S.B Sitrack]],'[1]Tempo parado'!I:I,"&lt;="&amp;MIP[[#This Row],[C.B Sitrack]],'[1]Tempo parado'!B:B,MIP[[#This Row],[Placa]])</f>
        <v>0</v>
      </c>
      <c r="AG822" s="36"/>
      <c r="AH822" s="35"/>
      <c r="AI822" s="34"/>
      <c r="AJ822" s="34"/>
      <c r="AK82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2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22" s="32">
        <f>SUMIFS('[1]Tempo parado'!J:J,'[1]Tempo parado'!H:H,"&gt;="&amp;MIP[[#This Row],[S.B Sitrack]],'[1]Tempo parado'!I:I,"&lt;="&amp;MIP[[#This Row],[C.B Sitrack]],'[1]Tempo parado'!B:B,MIP[[#This Row],[Placa]])</f>
        <v>0</v>
      </c>
      <c r="AN822" s="31" t="str">
        <f>IFERROR(MIP[[#This Row],[Tempo parado]]/(MIP[[#This Row],[C.B Sitrack]]-MIP[[#This Row],[S.B Sitrack]]),"")</f>
        <v/>
      </c>
      <c r="AO822" s="30"/>
      <c r="AP822" s="29">
        <f>IF(AND(MIP[Exc]=0,MIP[Previsto / Realizado]="Realizado"),MIP[Sem],0)</f>
        <v>0</v>
      </c>
      <c r="AQ822" s="29">
        <f>IF(AND(MIP[Exc]=0,MIP[Previsto / Realizado]="Realizado",ISBLANK(MIP[[#This Row],[S.B Sitrack]])=FALSE,ISBLANK(MIP[[#This Row],[C.B Sitrack]])=FALSE),MIP[Sem],0)</f>
        <v>0</v>
      </c>
    </row>
    <row r="823" spans="1:43" x14ac:dyDescent="0.25">
      <c r="B823" s="29">
        <f>WEEKNUM(MIP[[#This Row],[Data]])</f>
        <v>48</v>
      </c>
      <c r="C823" s="45" t="s">
        <v>90</v>
      </c>
      <c r="D823" s="45"/>
      <c r="E823" s="35" t="s">
        <v>7</v>
      </c>
      <c r="F823" s="35" t="s">
        <v>2</v>
      </c>
      <c r="G823" s="35" t="s">
        <v>1</v>
      </c>
      <c r="H823" s="44">
        <v>2</v>
      </c>
      <c r="I823" s="44">
        <v>6</v>
      </c>
      <c r="J823" s="44">
        <v>1</v>
      </c>
      <c r="K823" s="44">
        <v>1</v>
      </c>
      <c r="L823" s="44">
        <v>4</v>
      </c>
      <c r="M823" s="43">
        <v>0.62986111111111109</v>
      </c>
      <c r="N823" s="43">
        <v>0.65277777777777779</v>
      </c>
      <c r="O823" s="43">
        <v>2.2222222222222223E-2</v>
      </c>
      <c r="P823" s="43">
        <v>3.4027777777777775E-2</v>
      </c>
      <c r="Q823" s="39"/>
      <c r="R823" s="42"/>
      <c r="S823" s="29">
        <f>MIP[[#This Row],[PT-1]]+MIP[[#This Row],[PT-2]]*2+MIP[[#This Row],[PT-3]]*3+MIP[[#This Row],[PT &gt; 3 Pontos]]</f>
        <v>15</v>
      </c>
      <c r="T82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3.472222222222221E-2</v>
      </c>
      <c r="U823" s="39">
        <f>IF(MIP[[#This Row],[P.S]]-MIP[[#This Row],[U.P]]&gt;=0,MIP[[#This Row],[P.S]]-MIP[[#This Row],[U.P]]+MIP[[#This Row],[S.B]]-MIP[[#This Row],[P.E]],1+MIP[[#This Row],[P.S]]-MIP[[#This Row],[U.P]]+MIP[[#This Row],[S.B]]-MIP[[#This Row],[P.E]])</f>
        <v>3.472222222222221E-2</v>
      </c>
      <c r="V823" s="41">
        <f>MIP[[#This Row],[Eficiência]]</f>
        <v>1.0307215117429513</v>
      </c>
      <c r="W823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23" s="39">
        <f>IF(MIP[[#This Row],[P.S]]-MIP[[#This Row],[P.E]]&lt;0,1+MIP[[#This Row],[P.S]]-MIP[[#This Row],[P.E]]-1/24,MIP[[#This Row],[P.S]]-MIP[[#This Row],[P.E]]-1/24)</f>
        <v>0.36249999999999999</v>
      </c>
      <c r="Y823" s="39">
        <f>MIP[[#This Row],[PT-1]]*$S$3+MIP[[#This Row],[PT-2]]*$T$3+MIP[[#This Row],[PT-3]]*$U$3+MIP[[#This Row],[PT &gt; 3 Pontos]]*$V$3</f>
        <v>0.33784760662685631</v>
      </c>
      <c r="Z823" s="39">
        <f>MIP[[#This Row],[HH disponível]]-MIP[[#This Row],[HH AC TOT]]</f>
        <v>0.32777777777777778</v>
      </c>
      <c r="AA823" s="38">
        <f>MIP[[#This Row],[HH Produtivo
Total]]/MIP[[#This Row],[HH Trabalhado]]</f>
        <v>1.0307215117429513</v>
      </c>
      <c r="AB823" s="38">
        <f>MIP[[#This Row],[HH Produtivo
Total]]/MIP[[#This Row],[HH disponível]]</f>
        <v>0.93199339759132782</v>
      </c>
      <c r="AC823" s="38">
        <f>MIP[[#This Row],[HH Trabalhado]]/MIP[[#This Row],[HH disponível]]</f>
        <v>0.90421455938697326</v>
      </c>
      <c r="AD823" s="37" t="str">
        <f>LEFT(MIP[[#This Row],[Equipe]], SEARCH("/",MIP[[#This Row],[Equipe]],1)-1)</f>
        <v xml:space="preserve">ANDERSON </v>
      </c>
      <c r="AE823" s="37" t="str">
        <f>RIGHT(MIP[[#This Row],[Equipe]], LEN(MIP[[#This Row],[Equipe]])-SEARCH("/",MIP[[#This Row],[Equipe]],1))</f>
        <v xml:space="preserve"> MARCO</v>
      </c>
      <c r="AF823" s="29">
        <f>COUNTIFS('[1]Tempo parado'!H:H,"&gt;="&amp;MIP[[#This Row],[S.B Sitrack]],'[1]Tempo parado'!I:I,"&lt;="&amp;MIP[[#This Row],[C.B Sitrack]],'[1]Tempo parado'!B:B,MIP[[#This Row],[Placa]])</f>
        <v>0</v>
      </c>
      <c r="AG823" s="36"/>
      <c r="AH823" s="35"/>
      <c r="AI823" s="34"/>
      <c r="AJ823" s="34"/>
      <c r="AK82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2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23" s="32">
        <f>SUMIFS('[1]Tempo parado'!J:J,'[1]Tempo parado'!H:H,"&gt;="&amp;MIP[[#This Row],[S.B Sitrack]],'[1]Tempo parado'!I:I,"&lt;="&amp;MIP[[#This Row],[C.B Sitrack]],'[1]Tempo parado'!B:B,MIP[[#This Row],[Placa]])</f>
        <v>0</v>
      </c>
      <c r="AN823" s="31" t="str">
        <f>IFERROR(MIP[[#This Row],[Tempo parado]]/(MIP[[#This Row],[C.B Sitrack]]-MIP[[#This Row],[S.B Sitrack]]),"")</f>
        <v/>
      </c>
      <c r="AO823" s="30"/>
      <c r="AP823" s="29">
        <f>IF(AND(MIP[Exc]=0,MIP[Previsto / Realizado]="Realizado"),MIP[Sem],0)</f>
        <v>48</v>
      </c>
      <c r="AQ823" s="29">
        <f>IF(AND(MIP[Exc]=0,MIP[Previsto / Realizado]="Realizado",ISBLANK(MIP[[#This Row],[S.B Sitrack]])=FALSE,ISBLANK(MIP[[#This Row],[C.B Sitrack]])=FALSE),MIP[Sem],0)</f>
        <v>0</v>
      </c>
    </row>
    <row r="824" spans="1:43" x14ac:dyDescent="0.25">
      <c r="B824" s="29">
        <f>WEEKNUM(MIP[[#This Row],[Data]])</f>
        <v>48</v>
      </c>
      <c r="C824" s="45" t="s">
        <v>89</v>
      </c>
      <c r="D824" s="45"/>
      <c r="E824" s="35" t="s">
        <v>10</v>
      </c>
      <c r="F824" s="35" t="s">
        <v>5</v>
      </c>
      <c r="G824" s="35"/>
      <c r="H824" s="44">
        <v>2</v>
      </c>
      <c r="I824" s="44">
        <v>3</v>
      </c>
      <c r="J824" s="44">
        <v>1</v>
      </c>
      <c r="K824" s="44">
        <v>1</v>
      </c>
      <c r="L824" s="44"/>
      <c r="M824" s="43">
        <v>0.25</v>
      </c>
      <c r="N824" s="43">
        <v>0.2638888888888889</v>
      </c>
      <c r="O824" s="43">
        <v>0.62986111111111109</v>
      </c>
      <c r="P824" s="43">
        <v>0.65833333333333333</v>
      </c>
      <c r="Q824" s="39"/>
      <c r="R824" s="42" t="s">
        <v>4</v>
      </c>
      <c r="S824" s="29">
        <f>MIP[[#This Row],[PT-1]]+MIP[[#This Row],[PT-2]]*2+MIP[[#This Row],[PT-3]]*3+MIP[[#This Row],[PT &gt; 3 Pontos]]</f>
        <v>8</v>
      </c>
      <c r="T82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4.2361111111111127E-2</v>
      </c>
      <c r="U824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4.2361111111111127E-2</v>
      </c>
      <c r="V824" s="41">
        <f>MIP[[#This Row],[Eficiência]]</f>
        <v>0.56051461688855786</v>
      </c>
      <c r="W824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24" s="39">
        <f>IF(MIP[[#This Row],[P.S]]-MIP[[#This Row],[P.E]]&lt;0,1+MIP[[#This Row],[P.S]]-MIP[[#This Row],[P.E]]-1/24,MIP[[#This Row],[P.S]]-MIP[[#This Row],[P.E]]-1/24)</f>
        <v>0.36666666666666664</v>
      </c>
      <c r="Y824" s="39">
        <f>MIP[[#This Row],[PT-1]]*$S$3+MIP[[#This Row],[PT-2]]*$T$3+MIP[[#This Row],[PT-3]]*$U$3+MIP[[#This Row],[PT &gt; 3 Pontos]]*$V$3</f>
        <v>0.18177800422705312</v>
      </c>
      <c r="Z824" s="39">
        <f>MIP[[#This Row],[HH disponível]]-MIP[[#This Row],[HH AC TOT]]</f>
        <v>0.32430555555555551</v>
      </c>
      <c r="AA824" s="38">
        <f>MIP[[#This Row],[HH Produtivo
Total]]/MIP[[#This Row],[HH Trabalhado]]</f>
        <v>0.56051461688855786</v>
      </c>
      <c r="AB824" s="38">
        <f>MIP[[#This Row],[HH Produtivo
Total]]/MIP[[#This Row],[HH disponível]]</f>
        <v>0.49575819334650856</v>
      </c>
      <c r="AC824" s="38">
        <f>MIP[[#This Row],[HH Trabalhado]]/MIP[[#This Row],[HH disponível]]</f>
        <v>0.88446969696969691</v>
      </c>
      <c r="AD824" s="37" t="str">
        <f>LEFT(MIP[[#This Row],[Equipe]], SEARCH("/",MIP[[#This Row],[Equipe]],1)-1)</f>
        <v xml:space="preserve">JOILSON </v>
      </c>
      <c r="AE824" s="37" t="str">
        <f>RIGHT(MIP[[#This Row],[Equipe]], LEN(MIP[[#This Row],[Equipe]])-SEARCH("/",MIP[[#This Row],[Equipe]],1))</f>
        <v xml:space="preserve"> VALDEI</v>
      </c>
      <c r="AF824" s="29">
        <f>COUNTIFS('[1]Tempo parado'!H:H,"&gt;="&amp;MIP[[#This Row],[S.B Sitrack]],'[1]Tempo parado'!I:I,"&lt;="&amp;MIP[[#This Row],[C.B Sitrack]],'[1]Tempo parado'!B:B,MIP[[#This Row],[Placa]])</f>
        <v>0</v>
      </c>
      <c r="AG824" s="36"/>
      <c r="AH824" s="35"/>
      <c r="AI824" s="34"/>
      <c r="AJ824" s="34"/>
      <c r="AK82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2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24" s="32">
        <f>SUMIFS('[1]Tempo parado'!J:J,'[1]Tempo parado'!H:H,"&gt;="&amp;MIP[[#This Row],[S.B Sitrack]],'[1]Tempo parado'!I:I,"&lt;="&amp;MIP[[#This Row],[C.B Sitrack]],'[1]Tempo parado'!B:B,MIP[[#This Row],[Placa]])</f>
        <v>0</v>
      </c>
      <c r="AN824" s="31" t="str">
        <f>IFERROR(MIP[[#This Row],[Tempo parado]]/(MIP[[#This Row],[C.B Sitrack]]-MIP[[#This Row],[S.B Sitrack]]),"")</f>
        <v/>
      </c>
      <c r="AO824" s="30"/>
      <c r="AP824" s="29">
        <f>IF(AND(MIP[Exc]=0,MIP[Previsto / Realizado]="Realizado"),MIP[Sem],0)</f>
        <v>0</v>
      </c>
      <c r="AQ824" s="29">
        <f>IF(AND(MIP[Exc]=0,MIP[Previsto / Realizado]="Realizado",ISBLANK(MIP[[#This Row],[S.B Sitrack]])=FALSE,ISBLANK(MIP[[#This Row],[C.B Sitrack]])=FALSE),MIP[Sem],0)</f>
        <v>0</v>
      </c>
    </row>
    <row r="825" spans="1:43" x14ac:dyDescent="0.25">
      <c r="B825" s="29">
        <f>WEEKNUM(MIP[[#This Row],[Data]])</f>
        <v>48</v>
      </c>
      <c r="C825" s="45" t="s">
        <v>89</v>
      </c>
      <c r="D825" s="45"/>
      <c r="E825" s="35" t="s">
        <v>10</v>
      </c>
      <c r="F825" s="35" t="s">
        <v>2</v>
      </c>
      <c r="G825" s="35" t="s">
        <v>1</v>
      </c>
      <c r="H825" s="44">
        <v>2</v>
      </c>
      <c r="I825" s="44">
        <v>6</v>
      </c>
      <c r="J825" s="44">
        <v>1</v>
      </c>
      <c r="K825" s="44">
        <v>1</v>
      </c>
      <c r="L825" s="44">
        <v>0</v>
      </c>
      <c r="M825" s="43">
        <v>0.24930555555555556</v>
      </c>
      <c r="N825" s="43">
        <v>0.27083333333333331</v>
      </c>
      <c r="O825" s="43">
        <v>0.6166666666666667</v>
      </c>
      <c r="P825" s="43">
        <v>0.66805555555555562</v>
      </c>
      <c r="Q825" s="39"/>
      <c r="R825" s="42" t="s">
        <v>34</v>
      </c>
      <c r="S825" s="29">
        <f>MIP[[#This Row],[PT-1]]+MIP[[#This Row],[PT-2]]*2+MIP[[#This Row],[PT-3]]*3+MIP[[#This Row],[PT &gt; 3 Pontos]]</f>
        <v>11</v>
      </c>
      <c r="T82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7.2916666666666685E-2</v>
      </c>
      <c r="U825" s="39">
        <f>IF(MIP[[#This Row],[P.S]]-MIP[[#This Row],[U.P]]&gt;=0,MIP[[#This Row],[P.S]]-MIP[[#This Row],[U.P]]+MIP[[#This Row],[S.B]]-MIP[[#This Row],[P.E]],1+MIP[[#This Row],[P.S]]-MIP[[#This Row],[U.P]]+MIP[[#This Row],[S.B]]-MIP[[#This Row],[P.E]])</f>
        <v>7.2916666666666685E-2</v>
      </c>
      <c r="V825" s="41">
        <f>MIP[[#This Row],[Eficiência]]</f>
        <v>0.84445664582092483</v>
      </c>
      <c r="W825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25" s="39">
        <f>IF(MIP[[#This Row],[P.S]]-MIP[[#This Row],[P.E]]&lt;0,1+MIP[[#This Row],[P.S]]-MIP[[#This Row],[P.E]]-1/24,MIP[[#This Row],[P.S]]-MIP[[#This Row],[P.E]]-1/24)</f>
        <v>0.37708333333333338</v>
      </c>
      <c r="Y825" s="39">
        <f>MIP[[#This Row],[PT-1]]*$S$3+MIP[[#This Row],[PT-2]]*$T$3+MIP[[#This Row],[PT-3]]*$U$3+MIP[[#This Row],[PT &gt; 3 Pontos]]*$V$3</f>
        <v>0.25685556310386465</v>
      </c>
      <c r="Z825" s="39">
        <f>MIP[[#This Row],[HH disponível]]-MIP[[#This Row],[HH AC TOT]]</f>
        <v>0.3041666666666667</v>
      </c>
      <c r="AA825" s="38">
        <f>MIP[[#This Row],[HH Produtivo
Total]]/MIP[[#This Row],[HH Trabalhado]]</f>
        <v>0.84445664582092483</v>
      </c>
      <c r="AB825" s="38">
        <f>MIP[[#This Row],[HH Produtivo
Total]]/MIP[[#This Row],[HH disponível]]</f>
        <v>0.6811639242533426</v>
      </c>
      <c r="AC825" s="38">
        <f>MIP[[#This Row],[HH Trabalhado]]/MIP[[#This Row],[HH disponível]]</f>
        <v>0.80662983425414359</v>
      </c>
      <c r="AD825" s="37" t="str">
        <f>LEFT(MIP[[#This Row],[Equipe]], SEARCH("/",MIP[[#This Row],[Equipe]],1)-1)</f>
        <v xml:space="preserve">JOILSON </v>
      </c>
      <c r="AE825" s="37" t="str">
        <f>RIGHT(MIP[[#This Row],[Equipe]], LEN(MIP[[#This Row],[Equipe]])-SEARCH("/",MIP[[#This Row],[Equipe]],1))</f>
        <v xml:space="preserve"> VALDEI</v>
      </c>
      <c r="AF825" s="29">
        <f>COUNTIFS('[1]Tempo parado'!H:H,"&gt;="&amp;MIP[[#This Row],[S.B Sitrack]],'[1]Tempo parado'!I:I,"&lt;="&amp;MIP[[#This Row],[C.B Sitrack]],'[1]Tempo parado'!B:B,MIP[[#This Row],[Placa]])</f>
        <v>0</v>
      </c>
      <c r="AG825" s="36"/>
      <c r="AH825" s="35"/>
      <c r="AI825" s="34"/>
      <c r="AJ825" s="34"/>
      <c r="AK82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2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25" s="32">
        <f>SUMIFS('[1]Tempo parado'!J:J,'[1]Tempo parado'!H:H,"&gt;="&amp;MIP[[#This Row],[S.B Sitrack]],'[1]Tempo parado'!I:I,"&lt;="&amp;MIP[[#This Row],[C.B Sitrack]],'[1]Tempo parado'!B:B,MIP[[#This Row],[Placa]])</f>
        <v>0</v>
      </c>
      <c r="AN825" s="31" t="str">
        <f>IFERROR(MIP[[#This Row],[Tempo parado]]/(MIP[[#This Row],[C.B Sitrack]]-MIP[[#This Row],[S.B Sitrack]]),"")</f>
        <v/>
      </c>
      <c r="AO825" s="30"/>
      <c r="AP825" s="29">
        <f>IF(AND(MIP[Exc]=0,MIP[Previsto / Realizado]="Realizado"),MIP[Sem],0)</f>
        <v>48</v>
      </c>
      <c r="AQ825" s="29">
        <f>IF(AND(MIP[Exc]=0,MIP[Previsto / Realizado]="Realizado",ISBLANK(MIP[[#This Row],[S.B Sitrack]])=FALSE,ISBLANK(MIP[[#This Row],[C.B Sitrack]])=FALSE),MIP[Sem],0)</f>
        <v>0</v>
      </c>
    </row>
    <row r="826" spans="1:43" x14ac:dyDescent="0.25">
      <c r="B826" s="29">
        <f>WEEKNUM(MIP[[#This Row],[Data]])</f>
        <v>48</v>
      </c>
      <c r="C826" s="45" t="s">
        <v>89</v>
      </c>
      <c r="D826" s="45"/>
      <c r="E826" s="35" t="s">
        <v>72</v>
      </c>
      <c r="F826" s="35" t="s">
        <v>5</v>
      </c>
      <c r="G826" s="35"/>
      <c r="H826" s="44">
        <v>3</v>
      </c>
      <c r="I826" s="44">
        <v>0</v>
      </c>
      <c r="J826" s="44">
        <v>0</v>
      </c>
      <c r="K826" s="44">
        <v>0</v>
      </c>
      <c r="L826" s="44">
        <v>4</v>
      </c>
      <c r="M826" s="43">
        <v>0.625</v>
      </c>
      <c r="N826" s="43">
        <v>0.6381944444444444</v>
      </c>
      <c r="O826" s="43">
        <v>5.5555555555555558E-3</v>
      </c>
      <c r="P826" s="43">
        <v>3.3333333333333333E-2</v>
      </c>
      <c r="Q826" s="39"/>
      <c r="R826" s="42" t="s">
        <v>4</v>
      </c>
      <c r="S826" s="29">
        <f>MIP[[#This Row],[PT-1]]+MIP[[#This Row],[PT-2]]*2+MIP[[#This Row],[PT-3]]*3+MIP[[#This Row],[PT &gt; 3 Pontos]]</f>
        <v>4</v>
      </c>
      <c r="T82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4.0972222222222188E-2</v>
      </c>
      <c r="U826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4.0972222222222188E-2</v>
      </c>
      <c r="V826" s="41">
        <f>MIP[[#This Row],[Eficiência]]</f>
        <v>0.24867493107272476</v>
      </c>
      <c r="W826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26" s="39">
        <f>IF(MIP[[#This Row],[P.S]]-MIP[[#This Row],[P.E]]&lt;0,1+MIP[[#This Row],[P.S]]-MIP[[#This Row],[P.E]]-1/24,MIP[[#This Row],[P.S]]-MIP[[#This Row],[P.E]]-1/24)</f>
        <v>0.36666666666666675</v>
      </c>
      <c r="Y826" s="39">
        <f>MIP[[#This Row],[PT-1]]*$S$3+MIP[[#This Row],[PT-2]]*$T$3+MIP[[#This Row],[PT-3]]*$U$3+MIP[[#This Row],[PT &gt; 3 Pontos]]*$V$3</f>
        <v>8.0992043522991636E-2</v>
      </c>
      <c r="Z826" s="39">
        <f>MIP[[#This Row],[HH disponível]]-MIP[[#This Row],[HH AC TOT]]</f>
        <v>0.32569444444444456</v>
      </c>
      <c r="AA826" s="38">
        <f>MIP[[#This Row],[HH Produtivo
Total]]/MIP[[#This Row],[HH Trabalhado]]</f>
        <v>0.24867493107272476</v>
      </c>
      <c r="AB826" s="38">
        <f>MIP[[#This Row],[HH Produtivo
Total]]/MIP[[#This Row],[HH disponível]]</f>
        <v>0.22088739142634078</v>
      </c>
      <c r="AC826" s="38">
        <f>MIP[[#This Row],[HH Trabalhado]]/MIP[[#This Row],[HH disponível]]</f>
        <v>0.88825757575757591</v>
      </c>
      <c r="AD826" s="37" t="str">
        <f>LEFT(MIP[[#This Row],[Equipe]], SEARCH("/",MIP[[#This Row],[Equipe]],1)-1)</f>
        <v xml:space="preserve">ANDERSON </v>
      </c>
      <c r="AE826" s="37" t="str">
        <f>RIGHT(MIP[[#This Row],[Equipe]], LEN(MIP[[#This Row],[Equipe]])-SEARCH("/",MIP[[#This Row],[Equipe]],1))</f>
        <v xml:space="preserve"> GECIVALDO / MARCO</v>
      </c>
      <c r="AF826" s="29">
        <f>COUNTIFS('[1]Tempo parado'!H:H,"&gt;="&amp;MIP[[#This Row],[S.B Sitrack]],'[1]Tempo parado'!I:I,"&lt;="&amp;MIP[[#This Row],[C.B Sitrack]],'[1]Tempo parado'!B:B,MIP[[#This Row],[Placa]])</f>
        <v>0</v>
      </c>
      <c r="AG826" s="36"/>
      <c r="AH826" s="35"/>
      <c r="AI826" s="34"/>
      <c r="AJ826" s="34"/>
      <c r="AK82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2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26" s="32">
        <f>SUMIFS('[1]Tempo parado'!J:J,'[1]Tempo parado'!H:H,"&gt;="&amp;MIP[[#This Row],[S.B Sitrack]],'[1]Tempo parado'!I:I,"&lt;="&amp;MIP[[#This Row],[C.B Sitrack]],'[1]Tempo parado'!B:B,MIP[[#This Row],[Placa]])</f>
        <v>0</v>
      </c>
      <c r="AN826" s="31" t="str">
        <f>IFERROR(MIP[[#This Row],[Tempo parado]]/(MIP[[#This Row],[C.B Sitrack]]-MIP[[#This Row],[S.B Sitrack]]),"")</f>
        <v/>
      </c>
      <c r="AO826" s="30"/>
      <c r="AP826" s="29">
        <f>IF(AND(MIP[Exc]=0,MIP[Previsto / Realizado]="Realizado"),MIP[Sem],0)</f>
        <v>0</v>
      </c>
      <c r="AQ826" s="29">
        <f>IF(AND(MIP[Exc]=0,MIP[Previsto / Realizado]="Realizado",ISBLANK(MIP[[#This Row],[S.B Sitrack]])=FALSE,ISBLANK(MIP[[#This Row],[C.B Sitrack]])=FALSE),MIP[Sem],0)</f>
        <v>0</v>
      </c>
    </row>
    <row r="827" spans="1:43" x14ac:dyDescent="0.25">
      <c r="B827" s="29">
        <f>WEEKNUM(MIP[[#This Row],[Data]])</f>
        <v>48</v>
      </c>
      <c r="C827" s="45" t="s">
        <v>89</v>
      </c>
      <c r="D827" s="45"/>
      <c r="E827" s="46" t="s">
        <v>72</v>
      </c>
      <c r="F827" s="35" t="s">
        <v>2</v>
      </c>
      <c r="G827" s="35" t="s">
        <v>39</v>
      </c>
      <c r="H827" s="44">
        <v>3</v>
      </c>
      <c r="I827" s="44">
        <v>3</v>
      </c>
      <c r="J827" s="44">
        <v>1</v>
      </c>
      <c r="K827" s="44">
        <v>0</v>
      </c>
      <c r="L827" s="44">
        <v>8</v>
      </c>
      <c r="M827" s="43">
        <v>0.63055555555555554</v>
      </c>
      <c r="N827" s="43">
        <v>0.65277777777777779</v>
      </c>
      <c r="O827" s="43">
        <v>2.4305555555555556E-2</v>
      </c>
      <c r="P827" s="43">
        <v>3.3333333333333333E-2</v>
      </c>
      <c r="Q827" s="39"/>
      <c r="R827" s="42" t="s">
        <v>88</v>
      </c>
      <c r="S827" s="29">
        <f>MIP[[#This Row],[PT-1]]+MIP[[#This Row],[PT-2]]*2+MIP[[#This Row],[PT-3]]*3+MIP[[#This Row],[PT &gt; 3 Pontos]]</f>
        <v>13</v>
      </c>
      <c r="T82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3.125E-2</v>
      </c>
      <c r="U827" s="39">
        <f>IF(MIP[[#This Row],[P.S]]-MIP[[#This Row],[U.P]]&gt;=0,MIP[[#This Row],[P.S]]-MIP[[#This Row],[U.P]]+MIP[[#This Row],[S.B]]-MIP[[#This Row],[P.E]],1+MIP[[#This Row],[P.S]]-MIP[[#This Row],[U.P]]+MIP[[#This Row],[S.B]]-MIP[[#This Row],[P.E]])</f>
        <v>3.125E-2</v>
      </c>
      <c r="V827" s="41">
        <f>MIP[[#This Row],[Eficiência]]</f>
        <v>0.8517839859310109</v>
      </c>
      <c r="W827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27" s="39">
        <f>IF(MIP[[#This Row],[P.S]]-MIP[[#This Row],[P.E]]&lt;0,1+MIP[[#This Row],[P.S]]-MIP[[#This Row],[P.E]]-1/24,MIP[[#This Row],[P.S]]-MIP[[#This Row],[P.E]]-1/24)</f>
        <v>0.36111111111111122</v>
      </c>
      <c r="Y827" s="39">
        <f>MIP[[#This Row],[PT-1]]*$S$3+MIP[[#This Row],[PT-2]]*$T$3+MIP[[#This Row],[PT-3]]*$U$3+MIP[[#This Row],[PT &gt; 3 Pontos]]*$V$3</f>
        <v>0.28097041202585438</v>
      </c>
      <c r="Z827" s="39">
        <f>MIP[[#This Row],[HH disponível]]-MIP[[#This Row],[HH AC TOT]]</f>
        <v>0.32986111111111122</v>
      </c>
      <c r="AA827" s="38">
        <f>MIP[[#This Row],[HH Produtivo
Total]]/MIP[[#This Row],[HH Trabalhado]]</f>
        <v>0.8517839859310109</v>
      </c>
      <c r="AB827" s="38">
        <f>MIP[[#This Row],[HH Produtivo
Total]]/MIP[[#This Row],[HH disponível]]</f>
        <v>0.77807191022544264</v>
      </c>
      <c r="AC827" s="38">
        <f>MIP[[#This Row],[HH Trabalhado]]/MIP[[#This Row],[HH disponível]]</f>
        <v>0.91346153846153844</v>
      </c>
      <c r="AD827" s="37" t="str">
        <f>LEFT(MIP[[#This Row],[Equipe]], SEARCH("/",MIP[[#This Row],[Equipe]],1)-1)</f>
        <v xml:space="preserve">ANDERSON </v>
      </c>
      <c r="AE827" s="37" t="str">
        <f>RIGHT(MIP[[#This Row],[Equipe]], LEN(MIP[[#This Row],[Equipe]])-SEARCH("/",MIP[[#This Row],[Equipe]],1))</f>
        <v xml:space="preserve"> GECIVALDO / MARCO</v>
      </c>
      <c r="AF827" s="29">
        <f>COUNTIFS('[1]Tempo parado'!H:H,"&gt;="&amp;MIP[[#This Row],[S.B Sitrack]],'[1]Tempo parado'!I:I,"&lt;="&amp;MIP[[#This Row],[C.B Sitrack]],'[1]Tempo parado'!B:B,MIP[[#This Row],[Placa]])</f>
        <v>10</v>
      </c>
      <c r="AG827" s="36"/>
      <c r="AH827" s="35"/>
      <c r="AI827" s="34">
        <v>43067.6562037037</v>
      </c>
      <c r="AJ827" s="34">
        <v>43068.029328703706</v>
      </c>
      <c r="AK827" s="32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7.6388888888888756E-3</v>
      </c>
      <c r="AL82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3.6</v>
      </c>
      <c r="AM827" s="32">
        <f>SUMIFS('[1]Tempo parado'!J:J,'[1]Tempo parado'!H:H,"&gt;="&amp;MIP[[#This Row],[S.B Sitrack]],'[1]Tempo parado'!I:I,"&lt;="&amp;MIP[[#This Row],[C.B Sitrack]],'[1]Tempo parado'!B:B,MIP[[#This Row],[Placa]])</f>
        <v>0.27068287037037037</v>
      </c>
      <c r="AN827" s="31">
        <f>IFERROR(MIP[[#This Row],[Tempo parado]]/(MIP[[#This Row],[C.B Sitrack]]-MIP[[#This Row],[S.B Sitrack]]),"")</f>
        <v>0.72544822878756132</v>
      </c>
      <c r="AO827" s="30" t="s">
        <v>87</v>
      </c>
      <c r="AP827" s="29">
        <f>IF(AND(MIP[Exc]=0,MIP[Previsto / Realizado]="Realizado"),MIP[Sem],0)</f>
        <v>48</v>
      </c>
      <c r="AQ827" s="29">
        <f>IF(AND(MIP[Exc]=0,MIP[Previsto / Realizado]="Realizado",ISBLANK(MIP[[#This Row],[S.B Sitrack]])=FALSE,ISBLANK(MIP[[#This Row],[C.B Sitrack]])=FALSE),MIP[Sem],0)</f>
        <v>48</v>
      </c>
    </row>
    <row r="828" spans="1:43" x14ac:dyDescent="0.25">
      <c r="B828" s="29">
        <f>WEEKNUM(MIP[[#This Row],[Data]])</f>
        <v>48</v>
      </c>
      <c r="C828" s="45" t="s">
        <v>84</v>
      </c>
      <c r="D828" s="45"/>
      <c r="E828" s="35" t="s">
        <v>10</v>
      </c>
      <c r="F828" s="35" t="s">
        <v>5</v>
      </c>
      <c r="G828" s="35"/>
      <c r="H828" s="44">
        <v>2</v>
      </c>
      <c r="I828" s="44">
        <v>6</v>
      </c>
      <c r="J828" s="44">
        <v>2</v>
      </c>
      <c r="K828" s="44">
        <v>0</v>
      </c>
      <c r="L828" s="44">
        <v>0</v>
      </c>
      <c r="M828" s="43">
        <v>0.25</v>
      </c>
      <c r="N828" s="43">
        <v>0.2638888888888889</v>
      </c>
      <c r="O828" s="43">
        <v>0.62986111111111109</v>
      </c>
      <c r="P828" s="43">
        <v>0.65833333333333333</v>
      </c>
      <c r="Q828" s="39"/>
      <c r="R828" s="42"/>
      <c r="S828" s="29">
        <f>MIP[[#This Row],[PT-1]]+MIP[[#This Row],[PT-2]]*2+MIP[[#This Row],[PT-3]]*3+MIP[[#This Row],[PT &gt; 3 Pontos]]</f>
        <v>10</v>
      </c>
      <c r="T82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4.2361111111111127E-2</v>
      </c>
      <c r="U828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4.2361111111111127E-2</v>
      </c>
      <c r="V828" s="41">
        <f>MIP[[#This Row],[Eficiência]]</f>
        <v>0.73379146882661439</v>
      </c>
      <c r="W828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28" s="39">
        <f>IF(MIP[[#This Row],[P.S]]-MIP[[#This Row],[P.E]]&lt;0,1+MIP[[#This Row],[P.S]]-MIP[[#This Row],[P.E]]-1/24,MIP[[#This Row],[P.S]]-MIP[[#This Row],[P.E]]-1/24)</f>
        <v>0.36666666666666664</v>
      </c>
      <c r="Y828" s="39">
        <f>MIP[[#This Row],[PT-1]]*$S$3+MIP[[#This Row],[PT-2]]*$T$3+MIP[[#This Row],[PT-3]]*$U$3+MIP[[#This Row],[PT &gt; 3 Pontos]]*$V$3</f>
        <v>0.23797264995974227</v>
      </c>
      <c r="Z828" s="39">
        <f>MIP[[#This Row],[HH disponível]]-MIP[[#This Row],[HH AC TOT]]</f>
        <v>0.32430555555555551</v>
      </c>
      <c r="AA828" s="38">
        <f>MIP[[#This Row],[HH Produtivo
Total]]/MIP[[#This Row],[HH Trabalhado]]</f>
        <v>0.73379146882661439</v>
      </c>
      <c r="AB828" s="38">
        <f>MIP[[#This Row],[HH Produtivo
Total]]/MIP[[#This Row],[HH disponível]]</f>
        <v>0.64901631807202442</v>
      </c>
      <c r="AC828" s="38">
        <f>MIP[[#This Row],[HH Trabalhado]]/MIP[[#This Row],[HH disponível]]</f>
        <v>0.88446969696969691</v>
      </c>
      <c r="AD828" s="37" t="str">
        <f>LEFT(MIP[[#This Row],[Equipe]], SEARCH("/",MIP[[#This Row],[Equipe]],1)-1)</f>
        <v xml:space="preserve">JOILSON </v>
      </c>
      <c r="AE828" s="37" t="str">
        <f>RIGHT(MIP[[#This Row],[Equipe]], LEN(MIP[[#This Row],[Equipe]])-SEARCH("/",MIP[[#This Row],[Equipe]],1))</f>
        <v xml:space="preserve"> VALDEI</v>
      </c>
      <c r="AF828" s="29">
        <f>COUNTIFS('[1]Tempo parado'!H:H,"&gt;="&amp;MIP[[#This Row],[S.B Sitrack]],'[1]Tempo parado'!I:I,"&lt;="&amp;MIP[[#This Row],[C.B Sitrack]],'[1]Tempo parado'!B:B,MIP[[#This Row],[Placa]])</f>
        <v>0</v>
      </c>
      <c r="AG828" s="36"/>
      <c r="AH828" s="35"/>
      <c r="AI828" s="34"/>
      <c r="AJ828" s="34"/>
      <c r="AK82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2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28" s="32">
        <f>SUMIFS('[1]Tempo parado'!J:J,'[1]Tempo parado'!H:H,"&gt;="&amp;MIP[[#This Row],[S.B Sitrack]],'[1]Tempo parado'!I:I,"&lt;="&amp;MIP[[#This Row],[C.B Sitrack]],'[1]Tempo parado'!B:B,MIP[[#This Row],[Placa]])</f>
        <v>0</v>
      </c>
      <c r="AN828" s="31" t="str">
        <f>IFERROR(MIP[[#This Row],[Tempo parado]]/(MIP[[#This Row],[C.B Sitrack]]-MIP[[#This Row],[S.B Sitrack]]),"")</f>
        <v/>
      </c>
      <c r="AO828" s="30"/>
      <c r="AP828" s="29">
        <f>IF(AND(MIP[Exc]=0,MIP[Previsto / Realizado]="Realizado"),MIP[Sem],0)</f>
        <v>0</v>
      </c>
      <c r="AQ828" s="29">
        <f>IF(AND(MIP[Exc]=0,MIP[Previsto / Realizado]="Realizado",ISBLANK(MIP[[#This Row],[S.B Sitrack]])=FALSE,ISBLANK(MIP[[#This Row],[C.B Sitrack]])=FALSE),MIP[Sem],0)</f>
        <v>0</v>
      </c>
    </row>
    <row r="829" spans="1:43" x14ac:dyDescent="0.25">
      <c r="B829" s="29">
        <f>WEEKNUM(MIP[[#This Row],[Data]])</f>
        <v>48</v>
      </c>
      <c r="C829" s="45" t="s">
        <v>84</v>
      </c>
      <c r="D829" s="45"/>
      <c r="E829" s="46" t="s">
        <v>10</v>
      </c>
      <c r="F829" s="35" t="s">
        <v>2</v>
      </c>
      <c r="G829" s="35" t="s">
        <v>39</v>
      </c>
      <c r="H829" s="44">
        <v>2</v>
      </c>
      <c r="I829" s="44">
        <v>6</v>
      </c>
      <c r="J829" s="44">
        <v>2</v>
      </c>
      <c r="K829" s="44">
        <v>0</v>
      </c>
      <c r="L829" s="44">
        <v>0</v>
      </c>
      <c r="M829" s="43">
        <v>0.24861111111111112</v>
      </c>
      <c r="N829" s="43">
        <v>0.27083333333333331</v>
      </c>
      <c r="O829" s="43">
        <v>0.63124999999999998</v>
      </c>
      <c r="P829" s="43">
        <v>0.66111111111111109</v>
      </c>
      <c r="Q829" s="39"/>
      <c r="R829" s="42"/>
      <c r="S829" s="29">
        <f>MIP[[#This Row],[PT-1]]+MIP[[#This Row],[PT-2]]*2+MIP[[#This Row],[PT-3]]*3+MIP[[#This Row],[PT &gt; 3 Pontos]]</f>
        <v>10</v>
      </c>
      <c r="T82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5.2083333333333315E-2</v>
      </c>
      <c r="U829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5.2083333333333315E-2</v>
      </c>
      <c r="V829" s="41">
        <f>MIP[[#This Row],[Eficiência]]</f>
        <v>0.7465808626187993</v>
      </c>
      <c r="W829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29" s="39">
        <f>IF(MIP[[#This Row],[P.S]]-MIP[[#This Row],[P.E]]&lt;0,1+MIP[[#This Row],[P.S]]-MIP[[#This Row],[P.E]]-1/24,MIP[[#This Row],[P.S]]-MIP[[#This Row],[P.E]]-1/24)</f>
        <v>0.37083333333333329</v>
      </c>
      <c r="Y829" s="39">
        <f>MIP[[#This Row],[PT-1]]*$S$3+MIP[[#This Row],[PT-2]]*$T$3+MIP[[#This Row],[PT-3]]*$U$3+MIP[[#This Row],[PT &gt; 3 Pontos]]*$V$3</f>
        <v>0.23797264995974227</v>
      </c>
      <c r="Z829" s="39">
        <f>MIP[[#This Row],[HH disponível]]-MIP[[#This Row],[HH AC TOT]]</f>
        <v>0.31874999999999998</v>
      </c>
      <c r="AA829" s="38">
        <f>MIP[[#This Row],[HH Produtivo
Total]]/MIP[[#This Row],[HH Trabalhado]]</f>
        <v>0.7465808626187993</v>
      </c>
      <c r="AB829" s="38">
        <f>MIP[[#This Row],[HH Produtivo
Total]]/MIP[[#This Row],[HH disponível]]</f>
        <v>0.64172399989143991</v>
      </c>
      <c r="AC829" s="38">
        <f>MIP[[#This Row],[HH Trabalhado]]/MIP[[#This Row],[HH disponível]]</f>
        <v>0.8595505617977528</v>
      </c>
      <c r="AD829" s="37" t="str">
        <f>LEFT(MIP[[#This Row],[Equipe]], SEARCH("/",MIP[[#This Row],[Equipe]],1)-1)</f>
        <v xml:space="preserve">JOILSON </v>
      </c>
      <c r="AE829" s="37" t="str">
        <f>RIGHT(MIP[[#This Row],[Equipe]], LEN(MIP[[#This Row],[Equipe]])-SEARCH("/",MIP[[#This Row],[Equipe]],1))</f>
        <v xml:space="preserve"> VALDEI</v>
      </c>
      <c r="AF829" s="29">
        <f>COUNTIFS('[1]Tempo parado'!H:H,"&gt;="&amp;MIP[[#This Row],[S.B Sitrack]],'[1]Tempo parado'!I:I,"&lt;="&amp;MIP[[#This Row],[C.B Sitrack]],'[1]Tempo parado'!B:B,MIP[[#This Row],[Placa]])</f>
        <v>6</v>
      </c>
      <c r="AG829" s="36"/>
      <c r="AH829" s="35"/>
      <c r="AI829" s="34">
        <v>43068.286759259259</v>
      </c>
      <c r="AJ829" s="34">
        <v>43068.625578703701</v>
      </c>
      <c r="AK829" s="32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2.1527777777777812E-2</v>
      </c>
      <c r="AL82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3.8</v>
      </c>
      <c r="AM829" s="32">
        <f>SUMIFS('[1]Tempo parado'!J:J,'[1]Tempo parado'!H:H,"&gt;="&amp;MIP[[#This Row],[S.B Sitrack]],'[1]Tempo parado'!I:I,"&lt;="&amp;MIP[[#This Row],[C.B Sitrack]],'[1]Tempo parado'!B:B,MIP[[#This Row],[Placa]])</f>
        <v>0.27452546296296299</v>
      </c>
      <c r="AN829" s="31">
        <f>IFERROR(MIP[[#This Row],[Tempo parado]]/(MIP[[#This Row],[C.B Sitrack]]-MIP[[#This Row],[S.B Sitrack]]),"")</f>
        <v>0.8102411696457017</v>
      </c>
      <c r="AO829" s="30" t="s">
        <v>86</v>
      </c>
      <c r="AP829" s="29">
        <f>IF(AND(MIP[Exc]=0,MIP[Previsto / Realizado]="Realizado"),MIP[Sem],0)</f>
        <v>48</v>
      </c>
      <c r="AQ829" s="29">
        <f>IF(AND(MIP[Exc]=0,MIP[Previsto / Realizado]="Realizado",ISBLANK(MIP[[#This Row],[S.B Sitrack]])=FALSE,ISBLANK(MIP[[#This Row],[C.B Sitrack]])=FALSE),MIP[Sem],0)</f>
        <v>48</v>
      </c>
    </row>
    <row r="830" spans="1:43" x14ac:dyDescent="0.25">
      <c r="B830" s="29">
        <f>WEEKNUM(MIP[[#This Row],[Data]])</f>
        <v>48</v>
      </c>
      <c r="C830" s="45" t="s">
        <v>84</v>
      </c>
      <c r="D830" s="45"/>
      <c r="E830" s="35" t="s">
        <v>83</v>
      </c>
      <c r="F830" s="35" t="s">
        <v>5</v>
      </c>
      <c r="G830" s="35"/>
      <c r="H830" s="44">
        <v>3</v>
      </c>
      <c r="I830" s="44">
        <v>4</v>
      </c>
      <c r="J830" s="44">
        <v>0</v>
      </c>
      <c r="K830" s="44">
        <v>0</v>
      </c>
      <c r="L830" s="44">
        <v>0</v>
      </c>
      <c r="M830" s="43">
        <v>0.625</v>
      </c>
      <c r="N830" s="43">
        <v>0.6381944444444444</v>
      </c>
      <c r="O830" s="43">
        <v>5.5555555555555558E-3</v>
      </c>
      <c r="P830" s="43">
        <v>3.3333333333333333E-2</v>
      </c>
      <c r="Q830" s="39"/>
      <c r="R830" s="42" t="s">
        <v>85</v>
      </c>
      <c r="S830" s="29">
        <f>MIP[[#This Row],[PT-1]]+MIP[[#This Row],[PT-2]]*2+MIP[[#This Row],[PT-3]]*3+MIP[[#This Row],[PT &gt; 3 Pontos]]</f>
        <v>4</v>
      </c>
      <c r="T83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4.0972222222222188E-2</v>
      </c>
      <c r="U830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4.0972222222222188E-2</v>
      </c>
      <c r="V830" s="41">
        <f>MIP[[#This Row],[Eficiência]]</f>
        <v>0.30735375915453755</v>
      </c>
      <c r="W830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30" s="39">
        <f>IF(MIP[[#This Row],[P.S]]-MIP[[#This Row],[P.E]]&lt;0,1+MIP[[#This Row],[P.S]]-MIP[[#This Row],[P.E]]-1/24,MIP[[#This Row],[P.S]]-MIP[[#This Row],[P.E]]-1/24)</f>
        <v>0.36666666666666675</v>
      </c>
      <c r="Y830" s="39">
        <f>MIP[[#This Row],[PT-1]]*$S$3+MIP[[#This Row],[PT-2]]*$T$3+MIP[[#This Row],[PT-3]]*$U$3+MIP[[#This Row],[PT &gt; 3 Pontos]]*$V$3</f>
        <v>0.10010341183574872</v>
      </c>
      <c r="Z830" s="39">
        <f>MIP[[#This Row],[HH disponível]]-MIP[[#This Row],[HH AC TOT]]</f>
        <v>0.32569444444444456</v>
      </c>
      <c r="AA830" s="38">
        <f>MIP[[#This Row],[HH Produtivo
Total]]/MIP[[#This Row],[HH Trabalhado]]</f>
        <v>0.30735375915453755</v>
      </c>
      <c r="AB830" s="38">
        <f>MIP[[#This Row],[HH Produtivo
Total]]/MIP[[#This Row],[HH disponível]]</f>
        <v>0.27300930500658738</v>
      </c>
      <c r="AC830" s="38">
        <f>MIP[[#This Row],[HH Trabalhado]]/MIP[[#This Row],[HH disponível]]</f>
        <v>0.88825757575757591</v>
      </c>
      <c r="AD830" s="37" t="str">
        <f>LEFT(MIP[[#This Row],[Equipe]], SEARCH("/",MIP[[#This Row],[Equipe]],1)-1)</f>
        <v xml:space="preserve">ADEMÁRIO </v>
      </c>
      <c r="AE830" s="37" t="str">
        <f>RIGHT(MIP[[#This Row],[Equipe]], LEN(MIP[[#This Row],[Equipe]])-SEARCH("/",MIP[[#This Row],[Equipe]],1))</f>
        <v xml:space="preserve"> GECIVALDO / RONALDO</v>
      </c>
      <c r="AF830" s="29">
        <f>COUNTIFS('[1]Tempo parado'!H:H,"&gt;="&amp;MIP[[#This Row],[S.B Sitrack]],'[1]Tempo parado'!I:I,"&lt;="&amp;MIP[[#This Row],[C.B Sitrack]],'[1]Tempo parado'!B:B,MIP[[#This Row],[Placa]])</f>
        <v>0</v>
      </c>
      <c r="AG830" s="36"/>
      <c r="AH830" s="35"/>
      <c r="AI830" s="34"/>
      <c r="AJ830" s="34"/>
      <c r="AK83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3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30" s="32">
        <f>SUMIFS('[1]Tempo parado'!J:J,'[1]Tempo parado'!H:H,"&gt;="&amp;MIP[[#This Row],[S.B Sitrack]],'[1]Tempo parado'!I:I,"&lt;="&amp;MIP[[#This Row],[C.B Sitrack]],'[1]Tempo parado'!B:B,MIP[[#This Row],[Placa]])</f>
        <v>0</v>
      </c>
      <c r="AN830" s="31" t="str">
        <f>IFERROR(MIP[[#This Row],[Tempo parado]]/(MIP[[#This Row],[C.B Sitrack]]-MIP[[#This Row],[S.B Sitrack]]),"")</f>
        <v/>
      </c>
      <c r="AO830" s="30"/>
      <c r="AP830" s="29">
        <f>IF(AND(MIP[Exc]=0,MIP[Previsto / Realizado]="Realizado"),MIP[Sem],0)</f>
        <v>0</v>
      </c>
      <c r="AQ830" s="29">
        <f>IF(AND(MIP[Exc]=0,MIP[Previsto / Realizado]="Realizado",ISBLANK(MIP[[#This Row],[S.B Sitrack]])=FALSE,ISBLANK(MIP[[#This Row],[C.B Sitrack]])=FALSE),MIP[Sem],0)</f>
        <v>0</v>
      </c>
    </row>
    <row r="831" spans="1:43" x14ac:dyDescent="0.25">
      <c r="B831" s="29">
        <f>WEEKNUM(MIP[[#This Row],[Data]])</f>
        <v>48</v>
      </c>
      <c r="C831" s="45" t="s">
        <v>84</v>
      </c>
      <c r="D831" s="45"/>
      <c r="E831" s="35" t="s">
        <v>83</v>
      </c>
      <c r="F831" s="35" t="s">
        <v>2</v>
      </c>
      <c r="G831" s="35" t="s">
        <v>39</v>
      </c>
      <c r="H831" s="44">
        <v>3</v>
      </c>
      <c r="I831" s="44">
        <v>5</v>
      </c>
      <c r="J831" s="44">
        <v>1</v>
      </c>
      <c r="K831" s="44">
        <v>0</v>
      </c>
      <c r="L831" s="44">
        <v>0</v>
      </c>
      <c r="M831" s="43">
        <v>0.64652777777777781</v>
      </c>
      <c r="N831" s="43">
        <v>0.71527777777777779</v>
      </c>
      <c r="O831" s="43">
        <v>6.2499999999999995E-3</v>
      </c>
      <c r="P831" s="43">
        <v>2.8472222222222222E-2</v>
      </c>
      <c r="Q831" s="39">
        <v>3.7499999999999999E-2</v>
      </c>
      <c r="R831" s="42" t="s">
        <v>82</v>
      </c>
      <c r="S831" s="29">
        <f>MIP[[#This Row],[PT-1]]+MIP[[#This Row],[PT-2]]*2+MIP[[#This Row],[PT-3]]*3+MIP[[#This Row],[PT &gt; 3 Pontos]]</f>
        <v>7</v>
      </c>
      <c r="T83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0.12847222222222224</v>
      </c>
      <c r="U831" s="39">
        <f>IF(MIP[[#This Row],[P.S]]-MIP[[#This Row],[U.P]]&gt;=0,MIP[[#This Row],[P.S]]-MIP[[#This Row],[U.P]]+MIP[[#This Row],[S.B]]-MIP[[#This Row],[P.E]],1+MIP[[#This Row],[P.S]]-MIP[[#This Row],[U.P]]+MIP[[#This Row],[S.B]]-MIP[[#This Row],[P.E]])</f>
        <v>9.0972222222222232E-2</v>
      </c>
      <c r="V831" s="41">
        <f>MIP[[#This Row],[Eficiência]]</f>
        <v>0.79808119505820829</v>
      </c>
      <c r="W831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31" s="39">
        <f>IF(MIP[[#This Row],[P.S]]-MIP[[#This Row],[P.E]]&lt;0,1+MIP[[#This Row],[P.S]]-MIP[[#This Row],[P.E]]-1/24,MIP[[#This Row],[P.S]]-MIP[[#This Row],[P.E]]-1/24)</f>
        <v>0.34027777777777773</v>
      </c>
      <c r="Y831" s="39">
        <f>MIP[[#This Row],[PT-1]]*$S$3+MIP[[#This Row],[PT-2]]*$T$3+MIP[[#This Row],[PT-3]]*$U$3+MIP[[#This Row],[PT &gt; 3 Pontos]]*$V$3</f>
        <v>0.16903803089774547</v>
      </c>
      <c r="Z831" s="39">
        <f>MIP[[#This Row],[HH disponível]]-MIP[[#This Row],[HH AC TOT]]</f>
        <v>0.2118055555555555</v>
      </c>
      <c r="AA831" s="38">
        <f>MIP[[#This Row],[HH Produtivo
Total]]/MIP[[#This Row],[HH Trabalhado]]</f>
        <v>0.79808119505820829</v>
      </c>
      <c r="AB831" s="38">
        <f>MIP[[#This Row],[HH Produtivo
Total]]/MIP[[#This Row],[HH disponível]]</f>
        <v>0.49676482549541534</v>
      </c>
      <c r="AC831" s="38">
        <f>MIP[[#This Row],[HH Trabalhado]]/MIP[[#This Row],[HH disponível]]</f>
        <v>0.62244897959183665</v>
      </c>
      <c r="AD831" s="37" t="str">
        <f>LEFT(MIP[[#This Row],[Equipe]], SEARCH("/",MIP[[#This Row],[Equipe]],1)-1)</f>
        <v xml:space="preserve">ADEMÁRIO </v>
      </c>
      <c r="AE831" s="37" t="str">
        <f>RIGHT(MIP[[#This Row],[Equipe]], LEN(MIP[[#This Row],[Equipe]])-SEARCH("/",MIP[[#This Row],[Equipe]],1))</f>
        <v xml:space="preserve"> GECIVALDO / RONALDO</v>
      </c>
      <c r="AF831" s="29">
        <f>COUNTIFS('[1]Tempo parado'!H:H,"&gt;="&amp;MIP[[#This Row],[S.B Sitrack]],'[1]Tempo parado'!I:I,"&lt;="&amp;MIP[[#This Row],[C.B Sitrack]],'[1]Tempo parado'!B:B,MIP[[#This Row],[Placa]])</f>
        <v>7</v>
      </c>
      <c r="AG831" s="36"/>
      <c r="AH831" s="35"/>
      <c r="AI831" s="34">
        <v>43068.716134259259</v>
      </c>
      <c r="AJ831" s="34">
        <v>43068.919409722221</v>
      </c>
      <c r="AK831" s="32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0.91319444444444453</v>
      </c>
      <c r="AL83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17.8</v>
      </c>
      <c r="AM831" s="32">
        <f>SUMIFS('[1]Tempo parado'!J:J,'[1]Tempo parado'!H:H,"&gt;="&amp;MIP[[#This Row],[S.B Sitrack]],'[1]Tempo parado'!I:I,"&lt;="&amp;MIP[[#This Row],[C.B Sitrack]],'[1]Tempo parado'!B:B,MIP[[#This Row],[Placa]])</f>
        <v>0.14560185185185187</v>
      </c>
      <c r="AN831" s="31">
        <f>IFERROR(MIP[[#This Row],[Tempo parado]]/(MIP[[#This Row],[C.B Sitrack]]-MIP[[#This Row],[S.B Sitrack]]),"")</f>
        <v>0.7162785401169911</v>
      </c>
      <c r="AO831" s="30"/>
      <c r="AP831" s="29">
        <f>IF(AND(MIP[Exc]=0,MIP[Previsto / Realizado]="Realizado"),MIP[Sem],0)</f>
        <v>48</v>
      </c>
      <c r="AQ831" s="29">
        <f>IF(AND(MIP[Exc]=0,MIP[Previsto / Realizado]="Realizado",ISBLANK(MIP[[#This Row],[S.B Sitrack]])=FALSE,ISBLANK(MIP[[#This Row],[C.B Sitrack]])=FALSE),MIP[Sem],0)</f>
        <v>48</v>
      </c>
    </row>
    <row r="832" spans="1:43" x14ac:dyDescent="0.25">
      <c r="B832" s="29">
        <f>WEEKNUM(MIP[[#This Row],[Data]])</f>
        <v>48</v>
      </c>
      <c r="C832" s="45" t="s">
        <v>80</v>
      </c>
      <c r="D832" s="45"/>
      <c r="E832" s="35" t="s">
        <v>7</v>
      </c>
      <c r="F832" s="35" t="s">
        <v>5</v>
      </c>
      <c r="G832" s="35"/>
      <c r="H832" s="44">
        <v>2</v>
      </c>
      <c r="I832" s="44">
        <v>2</v>
      </c>
      <c r="J832" s="44">
        <v>4</v>
      </c>
      <c r="K832" s="44">
        <v>0</v>
      </c>
      <c r="L832" s="44">
        <v>0</v>
      </c>
      <c r="M832" s="43">
        <v>0.625</v>
      </c>
      <c r="N832" s="43">
        <v>0.6381944444444444</v>
      </c>
      <c r="O832" s="43">
        <v>5.5555555555555558E-3</v>
      </c>
      <c r="P832" s="43">
        <v>3.3333333333333333E-2</v>
      </c>
      <c r="Q832" s="39"/>
      <c r="R832" s="42" t="s">
        <v>81</v>
      </c>
      <c r="S832" s="29">
        <f>MIP[[#This Row],[PT-1]]+MIP[[#This Row],[PT-2]]*2+MIP[[#This Row],[PT-3]]*3+MIP[[#This Row],[PT &gt; 3 Pontos]]</f>
        <v>10</v>
      </c>
      <c r="T83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4.0972222222222188E-2</v>
      </c>
      <c r="U832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4.0972222222222188E-2</v>
      </c>
      <c r="V832" s="41">
        <f>MIP[[#This Row],[Eficiência]]</f>
        <v>0.69294019035258458</v>
      </c>
      <c r="W832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32" s="39">
        <f>IF(MIP[[#This Row],[P.S]]-MIP[[#This Row],[P.E]]&lt;0,1+MIP[[#This Row],[P.S]]-MIP[[#This Row],[P.E]]-1/24,MIP[[#This Row],[P.S]]-MIP[[#This Row],[P.E]]-1/24)</f>
        <v>0.36666666666666675</v>
      </c>
      <c r="Y832" s="39">
        <f>MIP[[#This Row],[PT-1]]*$S$3+MIP[[#This Row],[PT-2]]*$T$3+MIP[[#This Row],[PT-3]]*$U$3+MIP[[#This Row],[PT &gt; 3 Pontos]]*$V$3</f>
        <v>0.2256867703301127</v>
      </c>
      <c r="Z832" s="39">
        <f>MIP[[#This Row],[HH disponível]]-MIP[[#This Row],[HH AC TOT]]</f>
        <v>0.32569444444444456</v>
      </c>
      <c r="AA832" s="38">
        <f>MIP[[#This Row],[HH Produtivo
Total]]/MIP[[#This Row],[HH Trabalhado]]</f>
        <v>0.69294019035258458</v>
      </c>
      <c r="AB832" s="38">
        <f>MIP[[#This Row],[HH Produtivo
Total]]/MIP[[#This Row],[HH disponível]]</f>
        <v>0.61550937362757996</v>
      </c>
      <c r="AC832" s="38">
        <f>MIP[[#This Row],[HH Trabalhado]]/MIP[[#This Row],[HH disponível]]</f>
        <v>0.88825757575757591</v>
      </c>
      <c r="AD832" s="37" t="str">
        <f>LEFT(MIP[[#This Row],[Equipe]], SEARCH("/",MIP[[#This Row],[Equipe]],1)-1)</f>
        <v xml:space="preserve">ANDERSON </v>
      </c>
      <c r="AE832" s="37" t="str">
        <f>RIGHT(MIP[[#This Row],[Equipe]], LEN(MIP[[#This Row],[Equipe]])-SEARCH("/",MIP[[#This Row],[Equipe]],1))</f>
        <v xml:space="preserve"> MARCO</v>
      </c>
      <c r="AF832" s="29">
        <f>COUNTIFS('[1]Tempo parado'!H:H,"&gt;="&amp;MIP[[#This Row],[S.B Sitrack]],'[1]Tempo parado'!I:I,"&lt;="&amp;MIP[[#This Row],[C.B Sitrack]],'[1]Tempo parado'!B:B,MIP[[#This Row],[Placa]])</f>
        <v>0</v>
      </c>
      <c r="AG832" s="36"/>
      <c r="AH832" s="35"/>
      <c r="AI832" s="34"/>
      <c r="AJ832" s="34"/>
      <c r="AK83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3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32" s="32">
        <f>SUMIFS('[1]Tempo parado'!J:J,'[1]Tempo parado'!H:H,"&gt;="&amp;MIP[[#This Row],[S.B Sitrack]],'[1]Tempo parado'!I:I,"&lt;="&amp;MIP[[#This Row],[C.B Sitrack]],'[1]Tempo parado'!B:B,MIP[[#This Row],[Placa]])</f>
        <v>0</v>
      </c>
      <c r="AN832" s="31" t="str">
        <f>IFERROR(MIP[[#This Row],[Tempo parado]]/(MIP[[#This Row],[C.B Sitrack]]-MIP[[#This Row],[S.B Sitrack]]),"")</f>
        <v/>
      </c>
      <c r="AO832" s="30"/>
      <c r="AP832" s="29">
        <f>IF(AND(MIP[Exc]=0,MIP[Previsto / Realizado]="Realizado"),MIP[Sem],0)</f>
        <v>0</v>
      </c>
      <c r="AQ832" s="29">
        <f>IF(AND(MIP[Exc]=0,MIP[Previsto / Realizado]="Realizado",ISBLANK(MIP[[#This Row],[S.B Sitrack]])=FALSE,ISBLANK(MIP[[#This Row],[C.B Sitrack]])=FALSE),MIP[Sem],0)</f>
        <v>0</v>
      </c>
    </row>
    <row r="833" spans="2:43" x14ac:dyDescent="0.25">
      <c r="B833" s="29">
        <f>WEEKNUM(MIP[[#This Row],[Data]])</f>
        <v>48</v>
      </c>
      <c r="C833" s="45" t="s">
        <v>80</v>
      </c>
      <c r="D833" s="45"/>
      <c r="E833" s="35" t="s">
        <v>7</v>
      </c>
      <c r="F833" s="35" t="s">
        <v>2</v>
      </c>
      <c r="G833" s="35" t="s">
        <v>39</v>
      </c>
      <c r="H833" s="44">
        <v>2</v>
      </c>
      <c r="I833" s="44">
        <v>3</v>
      </c>
      <c r="J833" s="44">
        <v>4</v>
      </c>
      <c r="K833" s="44">
        <v>0</v>
      </c>
      <c r="L833" s="44">
        <v>0</v>
      </c>
      <c r="M833" s="43">
        <v>0.62986111111111109</v>
      </c>
      <c r="N833" s="43">
        <v>0.68402777777777779</v>
      </c>
      <c r="O833" s="43">
        <v>2.9861111111111113E-2</v>
      </c>
      <c r="P833" s="43">
        <v>3.3333333333333333E-2</v>
      </c>
      <c r="Q833" s="39">
        <v>4.7916666666666663E-2</v>
      </c>
      <c r="R833" s="42" t="s">
        <v>79</v>
      </c>
      <c r="S833" s="29">
        <f>MIP[[#This Row],[PT-1]]+MIP[[#This Row],[PT-2]]*2+MIP[[#This Row],[PT-3]]*3+MIP[[#This Row],[PT &gt; 3 Pontos]]</f>
        <v>11</v>
      </c>
      <c r="T83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0.10555555555555557</v>
      </c>
      <c r="U833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5.7638888888888906E-2</v>
      </c>
      <c r="V833" s="41">
        <f>MIP[[#This Row],[Eficiência]]</f>
        <v>0.97839072503043811</v>
      </c>
      <c r="W833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33" s="39">
        <f>IF(MIP[[#This Row],[P.S]]-MIP[[#This Row],[P.E]]&lt;0,1+MIP[[#This Row],[P.S]]-MIP[[#This Row],[P.E]]-1/24,MIP[[#This Row],[P.S]]-MIP[[#This Row],[P.E]]-1/24)</f>
        <v>0.36180555555555566</v>
      </c>
      <c r="Y833" s="39">
        <f>MIP[[#This Row],[PT-1]]*$S$3+MIP[[#This Row],[PT-2]]*$T$3+MIP[[#This Row],[PT-3]]*$U$3+MIP[[#This Row],[PT &gt; 3 Pontos]]*$V$3</f>
        <v>0.25071262328904986</v>
      </c>
      <c r="Z833" s="39">
        <f>MIP[[#This Row],[HH disponível]]-MIP[[#This Row],[HH AC TOT]]</f>
        <v>0.25625000000000009</v>
      </c>
      <c r="AA833" s="38">
        <f>MIP[[#This Row],[HH Produtivo
Total]]/MIP[[#This Row],[HH Trabalhado]]</f>
        <v>0.97839072503043811</v>
      </c>
      <c r="AB833" s="38">
        <f>MIP[[#This Row],[HH Produtivo
Total]]/MIP[[#This Row],[HH disponível]]</f>
        <v>0.69294851734401475</v>
      </c>
      <c r="AC833" s="38">
        <f>MIP[[#This Row],[HH Trabalhado]]/MIP[[#This Row],[HH disponível]]</f>
        <v>0.70825335892514396</v>
      </c>
      <c r="AD833" s="37" t="str">
        <f>LEFT(MIP[[#This Row],[Equipe]], SEARCH("/",MIP[[#This Row],[Equipe]],1)-1)</f>
        <v xml:space="preserve">ANDERSON </v>
      </c>
      <c r="AE833" s="37" t="str">
        <f>RIGHT(MIP[[#This Row],[Equipe]], LEN(MIP[[#This Row],[Equipe]])-SEARCH("/",MIP[[#This Row],[Equipe]],1))</f>
        <v xml:space="preserve"> MARCO</v>
      </c>
      <c r="AF833" s="29">
        <f>COUNTIFS('[1]Tempo parado'!H:H,"&gt;="&amp;MIP[[#This Row],[S.B Sitrack]],'[1]Tempo parado'!I:I,"&lt;="&amp;MIP[[#This Row],[C.B Sitrack]],'[1]Tempo parado'!B:B,MIP[[#This Row],[Placa]])</f>
        <v>10</v>
      </c>
      <c r="AG833" s="36"/>
      <c r="AH833" s="35"/>
      <c r="AI833" s="34">
        <v>43069.726041666669</v>
      </c>
      <c r="AJ833" s="34">
        <v>43070.017824074072</v>
      </c>
      <c r="AK833" s="32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5.4166666666666738E-2</v>
      </c>
      <c r="AL83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29.500000000000004</v>
      </c>
      <c r="AM833" s="32">
        <f>SUMIFS('[1]Tempo parado'!J:J,'[1]Tempo parado'!H:H,"&gt;="&amp;MIP[[#This Row],[S.B Sitrack]],'[1]Tempo parado'!I:I,"&lt;="&amp;MIP[[#This Row],[C.B Sitrack]],'[1]Tempo parado'!B:B,MIP[[#This Row],[Placa]])</f>
        <v>0.16343750000000001</v>
      </c>
      <c r="AN833" s="31">
        <f>IFERROR(MIP[[#This Row],[Tempo parado]]/(MIP[[#This Row],[C.B Sitrack]]-MIP[[#This Row],[S.B Sitrack]]),"")</f>
        <v>0.56013486712481131</v>
      </c>
      <c r="AO833" s="30"/>
      <c r="AP833" s="29">
        <f>IF(AND(MIP[Exc]=0,MIP[Previsto / Realizado]="Realizado"),MIP[Sem],0)</f>
        <v>48</v>
      </c>
      <c r="AQ833" s="29">
        <f>IF(AND(MIP[Exc]=0,MIP[Previsto / Realizado]="Realizado",ISBLANK(MIP[[#This Row],[S.B Sitrack]])=FALSE,ISBLANK(MIP[[#This Row],[C.B Sitrack]])=FALSE),MIP[Sem],0)</f>
        <v>48</v>
      </c>
    </row>
    <row r="834" spans="2:43" x14ac:dyDescent="0.25">
      <c r="B834" s="29">
        <f>WEEKNUM(MIP[[#This Row],[Data]])</f>
        <v>48</v>
      </c>
      <c r="C834" s="45">
        <v>43070</v>
      </c>
      <c r="D834" s="45"/>
      <c r="E834" s="35" t="s">
        <v>10</v>
      </c>
      <c r="F834" s="35" t="s">
        <v>5</v>
      </c>
      <c r="G834" s="35"/>
      <c r="H834" s="44"/>
      <c r="I834" s="44">
        <v>5</v>
      </c>
      <c r="J834" s="44">
        <v>0</v>
      </c>
      <c r="K834" s="44">
        <v>0</v>
      </c>
      <c r="L834" s="44">
        <v>0</v>
      </c>
      <c r="M834" s="43">
        <v>0.25</v>
      </c>
      <c r="N834" s="43">
        <v>0.2638888888888889</v>
      </c>
      <c r="O834" s="43">
        <v>0.62986111111111109</v>
      </c>
      <c r="P834" s="43">
        <v>0.65833333333333333</v>
      </c>
      <c r="Q834" s="39"/>
      <c r="R834" s="42" t="s">
        <v>78</v>
      </c>
      <c r="S834" s="29">
        <f>MIP[[#This Row],[PT-1]]+MIP[[#This Row],[PT-2]]*2+MIP[[#This Row],[PT-3]]*3+MIP[[#This Row],[PT &gt; 3 Pontos]]</f>
        <v>5</v>
      </c>
      <c r="T83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4.2361111111111127E-2</v>
      </c>
      <c r="U834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4.2361111111111127E-2</v>
      </c>
      <c r="V834" s="41">
        <f>MIP[[#This Row],[Eficiência]]</f>
        <v>0.38583756167954542</v>
      </c>
      <c r="W834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34" s="39">
        <f>IF(MIP[[#This Row],[P.S]]-MIP[[#This Row],[P.E]]&lt;0,1+MIP[[#This Row],[P.S]]-MIP[[#This Row],[P.E]]-1/24,MIP[[#This Row],[P.S]]-MIP[[#This Row],[P.E]]-1/24)</f>
        <v>0.36666666666666664</v>
      </c>
      <c r="Y834" s="39">
        <f>MIP[[#This Row],[PT-1]]*$S$3+MIP[[#This Row],[PT-2]]*$T$3+MIP[[#This Row],[PT-3]]*$U$3+MIP[[#This Row],[PT &gt; 3 Pontos]]*$V$3</f>
        <v>0.12512926479468589</v>
      </c>
      <c r="Z834" s="39">
        <f>MIP[[#This Row],[HH disponível]]-MIP[[#This Row],[HH AC TOT]]</f>
        <v>0.32430555555555551</v>
      </c>
      <c r="AA834" s="38">
        <f>MIP[[#This Row],[HH Produtivo
Total]]/MIP[[#This Row],[HH Trabalhado]]</f>
        <v>0.38583756167954542</v>
      </c>
      <c r="AB834" s="38">
        <f>MIP[[#This Row],[HH Produtivo
Total]]/MIP[[#This Row],[HH disponível]]</f>
        <v>0.34126163125823428</v>
      </c>
      <c r="AC834" s="38">
        <f>MIP[[#This Row],[HH Trabalhado]]/MIP[[#This Row],[HH disponível]]</f>
        <v>0.88446969696969691</v>
      </c>
      <c r="AD834" s="37" t="str">
        <f>LEFT(MIP[[#This Row],[Equipe]], SEARCH("/",MIP[[#This Row],[Equipe]],1)-1)</f>
        <v xml:space="preserve">JOILSON </v>
      </c>
      <c r="AE834" s="37" t="str">
        <f>RIGHT(MIP[[#This Row],[Equipe]], LEN(MIP[[#This Row],[Equipe]])-SEARCH("/",MIP[[#This Row],[Equipe]],1))</f>
        <v xml:space="preserve"> VALDEI</v>
      </c>
      <c r="AF834" s="29">
        <f>COUNTIFS('[1]Tempo parado'!H:H,"&gt;="&amp;MIP[[#This Row],[S.B Sitrack]],'[1]Tempo parado'!I:I,"&lt;="&amp;MIP[[#This Row],[C.B Sitrack]],'[1]Tempo parado'!B:B,MIP[[#This Row],[Placa]])</f>
        <v>0</v>
      </c>
      <c r="AG834" s="36"/>
      <c r="AH834" s="35"/>
      <c r="AI834" s="34"/>
      <c r="AJ834" s="34"/>
      <c r="AK83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3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34" s="32">
        <f>SUMIFS('[1]Tempo parado'!J:J,'[1]Tempo parado'!H:H,"&gt;="&amp;MIP[[#This Row],[S.B Sitrack]],'[1]Tempo parado'!I:I,"&lt;="&amp;MIP[[#This Row],[C.B Sitrack]],'[1]Tempo parado'!B:B,MIP[[#This Row],[Placa]])</f>
        <v>0</v>
      </c>
      <c r="AN834" s="31" t="str">
        <f>IFERROR(MIP[[#This Row],[Tempo parado]]/(MIP[[#This Row],[C.B Sitrack]]-MIP[[#This Row],[S.B Sitrack]]),"")</f>
        <v/>
      </c>
      <c r="AO834" s="30"/>
      <c r="AP834" s="29">
        <f>IF(AND(MIP[Exc]=0,MIP[Previsto / Realizado]="Realizado"),MIP[Sem],0)</f>
        <v>0</v>
      </c>
      <c r="AQ834" s="29">
        <f>IF(AND(MIP[Exc]=0,MIP[Previsto / Realizado]="Realizado",ISBLANK(MIP[[#This Row],[S.B Sitrack]])=FALSE,ISBLANK(MIP[[#This Row],[C.B Sitrack]])=FALSE),MIP[Sem],0)</f>
        <v>0</v>
      </c>
    </row>
    <row r="835" spans="2:43" x14ac:dyDescent="0.25">
      <c r="B835" s="29">
        <f>WEEKNUM(MIP[[#This Row],[Data]])</f>
        <v>48</v>
      </c>
      <c r="C835" s="45">
        <v>43070</v>
      </c>
      <c r="D835" s="45"/>
      <c r="E835" s="35" t="s">
        <v>10</v>
      </c>
      <c r="F835" s="35" t="s">
        <v>2</v>
      </c>
      <c r="G835" s="35"/>
      <c r="H835" s="44"/>
      <c r="I835" s="44">
        <v>5</v>
      </c>
      <c r="J835" s="44">
        <v>0</v>
      </c>
      <c r="K835" s="44">
        <v>0</v>
      </c>
      <c r="L835" s="44">
        <v>0</v>
      </c>
      <c r="M835" s="43">
        <v>0.24722222222222223</v>
      </c>
      <c r="N835" s="43">
        <v>0.27986111111111112</v>
      </c>
      <c r="O835" s="43">
        <v>0.62222222222222223</v>
      </c>
      <c r="P835" s="43">
        <v>0.6791666666666667</v>
      </c>
      <c r="Q835" s="39"/>
      <c r="R835" s="42" t="s">
        <v>77</v>
      </c>
      <c r="S835" s="29">
        <f>MIP[[#This Row],[PT-1]]+MIP[[#This Row],[PT-2]]*2+MIP[[#This Row],[PT-3]]*3+MIP[[#This Row],[PT &gt; 3 Pontos]]</f>
        <v>5</v>
      </c>
      <c r="T83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8.9583333333333348E-2</v>
      </c>
      <c r="U835" s="39">
        <f>IF(MIP[[#This Row],[P.S]]-MIP[[#This Row],[U.P]]&gt;=0,MIP[[#This Row],[P.S]]-MIP[[#This Row],[U.P]]+MIP[[#This Row],[S.B]]-MIP[[#This Row],[P.E]],1+MIP[[#This Row],[P.S]]-MIP[[#This Row],[U.P]]+MIP[[#This Row],[S.B]]-MIP[[#This Row],[P.E]])</f>
        <v>8.9583333333333348E-2</v>
      </c>
      <c r="V835" s="41">
        <f>MIP[[#This Row],[Eficiência]]</f>
        <v>0.41613427552967136</v>
      </c>
      <c r="W835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35" s="39">
        <f>IF(MIP[[#This Row],[P.S]]-MIP[[#This Row],[P.E]]&lt;0,1+MIP[[#This Row],[P.S]]-MIP[[#This Row],[P.E]]-1/24,MIP[[#This Row],[P.S]]-MIP[[#This Row],[P.E]]-1/24)</f>
        <v>0.39027777777777778</v>
      </c>
      <c r="Y835" s="39">
        <f>MIP[[#This Row],[PT-1]]*$S$3+MIP[[#This Row],[PT-2]]*$T$3+MIP[[#This Row],[PT-3]]*$U$3+MIP[[#This Row],[PT &gt; 3 Pontos]]*$V$3</f>
        <v>0.12512926479468589</v>
      </c>
      <c r="Z835" s="39">
        <f>MIP[[#This Row],[HH disponível]]-MIP[[#This Row],[HH AC TOT]]</f>
        <v>0.30069444444444443</v>
      </c>
      <c r="AA835" s="38">
        <f>MIP[[#This Row],[HH Produtivo
Total]]/MIP[[#This Row],[HH Trabalhado]]</f>
        <v>0.41613427552967136</v>
      </c>
      <c r="AB835" s="38">
        <f>MIP[[#This Row],[HH Produtivo
Total]]/MIP[[#This Row],[HH disponível]]</f>
        <v>0.32061590979421295</v>
      </c>
      <c r="AC835" s="38">
        <f>MIP[[#This Row],[HH Trabalhado]]/MIP[[#This Row],[HH disponível]]</f>
        <v>0.77046263345195731</v>
      </c>
      <c r="AD835" s="37" t="str">
        <f>LEFT(MIP[[#This Row],[Equipe]], SEARCH("/",MIP[[#This Row],[Equipe]],1)-1)</f>
        <v xml:space="preserve">JOILSON </v>
      </c>
      <c r="AE835" s="37" t="str">
        <f>RIGHT(MIP[[#This Row],[Equipe]], LEN(MIP[[#This Row],[Equipe]])-SEARCH("/",MIP[[#This Row],[Equipe]],1))</f>
        <v xml:space="preserve"> VALDEI</v>
      </c>
      <c r="AF835" s="29">
        <f>COUNTIFS('[1]Tempo parado'!H:H,"&gt;="&amp;MIP[[#This Row],[S.B Sitrack]],'[1]Tempo parado'!I:I,"&lt;="&amp;MIP[[#This Row],[C.B Sitrack]],'[1]Tempo parado'!B:B,MIP[[#This Row],[Placa]])</f>
        <v>0</v>
      </c>
      <c r="AG835" s="36"/>
      <c r="AH835" s="35"/>
      <c r="AI835" s="34"/>
      <c r="AJ835" s="34"/>
      <c r="AK83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3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35" s="32">
        <f>SUMIFS('[1]Tempo parado'!J:J,'[1]Tempo parado'!H:H,"&gt;="&amp;MIP[[#This Row],[S.B Sitrack]],'[1]Tempo parado'!I:I,"&lt;="&amp;MIP[[#This Row],[C.B Sitrack]],'[1]Tempo parado'!B:B,MIP[[#This Row],[Placa]])</f>
        <v>0</v>
      </c>
      <c r="AN835" s="31" t="str">
        <f>IFERROR(MIP[[#This Row],[Tempo parado]]/(MIP[[#This Row],[C.B Sitrack]]-MIP[[#This Row],[S.B Sitrack]]),"")</f>
        <v/>
      </c>
      <c r="AO835" s="30"/>
      <c r="AP835" s="29">
        <f>IF(AND(MIP[Exc]=0,MIP[Previsto / Realizado]="Realizado"),MIP[Sem],0)</f>
        <v>48</v>
      </c>
      <c r="AQ835" s="29">
        <f>IF(AND(MIP[Exc]=0,MIP[Previsto / Realizado]="Realizado",ISBLANK(MIP[[#This Row],[S.B Sitrack]])=FALSE,ISBLANK(MIP[[#This Row],[C.B Sitrack]])=FALSE),MIP[Sem],0)</f>
        <v>0</v>
      </c>
    </row>
    <row r="836" spans="2:43" x14ac:dyDescent="0.25">
      <c r="B836" s="29">
        <f>WEEKNUM(MIP[[#This Row],[Data]])</f>
        <v>48</v>
      </c>
      <c r="C836" s="45">
        <v>43070</v>
      </c>
      <c r="D836" s="45"/>
      <c r="E836" s="35" t="s">
        <v>72</v>
      </c>
      <c r="F836" s="35" t="s">
        <v>5</v>
      </c>
      <c r="G836" s="35"/>
      <c r="H836" s="44"/>
      <c r="I836" s="44">
        <v>2</v>
      </c>
      <c r="J836" s="44">
        <v>1</v>
      </c>
      <c r="K836" s="44">
        <v>0</v>
      </c>
      <c r="L836" s="44">
        <v>0</v>
      </c>
      <c r="M836" s="43">
        <v>0.625</v>
      </c>
      <c r="N836" s="43">
        <v>0.63750000000000007</v>
      </c>
      <c r="O836" s="43">
        <v>4.8611111111111112E-3</v>
      </c>
      <c r="P836" s="43">
        <v>3.3333333333333333E-2</v>
      </c>
      <c r="Q836" s="39"/>
      <c r="R836" s="42" t="s">
        <v>70</v>
      </c>
      <c r="S836" s="29">
        <f>MIP[[#This Row],[PT-1]]+MIP[[#This Row],[PT-2]]*2+MIP[[#This Row],[PT-3]]*3+MIP[[#This Row],[PT &gt; 3 Pontos]]</f>
        <v>4</v>
      </c>
      <c r="T83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4.0972222222222299E-2</v>
      </c>
      <c r="U836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4.0972222222222299E-2</v>
      </c>
      <c r="V836" s="41">
        <f>MIP[[#This Row],[Eficiência]]</f>
        <v>0.28849270727109783</v>
      </c>
      <c r="W836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36" s="39">
        <f>IF(MIP[[#This Row],[P.S]]-MIP[[#This Row],[P.E]]&lt;0,1+MIP[[#This Row],[P.S]]-MIP[[#This Row],[P.E]]-1/24,MIP[[#This Row],[P.S]]-MIP[[#This Row],[P.E]]-1/24)</f>
        <v>0.36666666666666675</v>
      </c>
      <c r="Y836" s="39">
        <f>MIP[[#This Row],[PT-1]]*$S$3+MIP[[#This Row],[PT-2]]*$T$3+MIP[[#This Row],[PT-3]]*$U$3+MIP[[#This Row],[PT &gt; 3 Pontos]]*$V$3</f>
        <v>9.3960472020933938E-2</v>
      </c>
      <c r="Z836" s="39">
        <f>MIP[[#This Row],[HH disponível]]-MIP[[#This Row],[HH AC TOT]]</f>
        <v>0.32569444444444445</v>
      </c>
      <c r="AA836" s="38">
        <f>MIP[[#This Row],[HH Produtivo
Total]]/MIP[[#This Row],[HH Trabalhado]]</f>
        <v>0.28849270727109783</v>
      </c>
      <c r="AB836" s="38">
        <f>MIP[[#This Row],[HH Produtivo
Total]]/MIP[[#This Row],[HH disponível]]</f>
        <v>0.2562558327843652</v>
      </c>
      <c r="AC836" s="38">
        <f>MIP[[#This Row],[HH Trabalhado]]/MIP[[#This Row],[HH disponível]]</f>
        <v>0.88825757575757558</v>
      </c>
      <c r="AD836" s="37" t="str">
        <f>LEFT(MIP[[#This Row],[Equipe]], SEARCH("/",MIP[[#This Row],[Equipe]],1)-1)</f>
        <v xml:space="preserve">ANDERSON </v>
      </c>
      <c r="AE836" s="37" t="str">
        <f>RIGHT(MIP[[#This Row],[Equipe]], LEN(MIP[[#This Row],[Equipe]])-SEARCH("/",MIP[[#This Row],[Equipe]],1))</f>
        <v xml:space="preserve"> GECIVALDO / MARCO</v>
      </c>
      <c r="AF836" s="29">
        <f>COUNTIFS('[1]Tempo parado'!H:H,"&gt;="&amp;MIP[[#This Row],[S.B Sitrack]],'[1]Tempo parado'!I:I,"&lt;="&amp;MIP[[#This Row],[C.B Sitrack]],'[1]Tempo parado'!B:B,MIP[[#This Row],[Placa]])</f>
        <v>0</v>
      </c>
      <c r="AG836" s="36"/>
      <c r="AH836" s="35"/>
      <c r="AI836" s="34"/>
      <c r="AJ836" s="34"/>
      <c r="AK83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3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36" s="32">
        <f>SUMIFS('[1]Tempo parado'!J:J,'[1]Tempo parado'!H:H,"&gt;="&amp;MIP[[#This Row],[S.B Sitrack]],'[1]Tempo parado'!I:I,"&lt;="&amp;MIP[[#This Row],[C.B Sitrack]],'[1]Tempo parado'!B:B,MIP[[#This Row],[Placa]])</f>
        <v>0</v>
      </c>
      <c r="AN836" s="31" t="str">
        <f>IFERROR(MIP[[#This Row],[Tempo parado]]/(MIP[[#This Row],[C.B Sitrack]]-MIP[[#This Row],[S.B Sitrack]]),"")</f>
        <v/>
      </c>
      <c r="AO836" s="30"/>
      <c r="AP836" s="29">
        <f>IF(AND(MIP[Exc]=0,MIP[Previsto / Realizado]="Realizado"),MIP[Sem],0)</f>
        <v>0</v>
      </c>
      <c r="AQ836" s="29">
        <f>IF(AND(MIP[Exc]=0,MIP[Previsto / Realizado]="Realizado",ISBLANK(MIP[[#This Row],[S.B Sitrack]])=FALSE,ISBLANK(MIP[[#This Row],[C.B Sitrack]])=FALSE),MIP[Sem],0)</f>
        <v>0</v>
      </c>
    </row>
    <row r="837" spans="2:43" x14ac:dyDescent="0.25">
      <c r="B837" s="29">
        <f>WEEKNUM(MIP[[#This Row],[Data]])</f>
        <v>48</v>
      </c>
      <c r="C837" s="45">
        <v>43070</v>
      </c>
      <c r="D837" s="45"/>
      <c r="E837" s="35" t="s">
        <v>72</v>
      </c>
      <c r="F837" s="35" t="s">
        <v>2</v>
      </c>
      <c r="G837" s="35"/>
      <c r="H837" s="44"/>
      <c r="I837" s="44">
        <v>7</v>
      </c>
      <c r="J837" s="44">
        <v>1</v>
      </c>
      <c r="K837" s="44">
        <v>0</v>
      </c>
      <c r="L837" s="44">
        <v>0</v>
      </c>
      <c r="M837" s="43">
        <v>0.62152777777777779</v>
      </c>
      <c r="N837" s="43">
        <v>0.66666666666666663</v>
      </c>
      <c r="O837" s="43">
        <v>2.4305555555555556E-2</v>
      </c>
      <c r="P837" s="43">
        <v>4.6527777777777779E-2</v>
      </c>
      <c r="Q837" s="39"/>
      <c r="R837" s="42" t="s">
        <v>76</v>
      </c>
      <c r="S837" s="29">
        <f>MIP[[#This Row],[PT-1]]+MIP[[#This Row],[PT-2]]*2+MIP[[#This Row],[PT-3]]*3+MIP[[#This Row],[PT &gt; 3 Pontos]]</f>
        <v>9</v>
      </c>
      <c r="T83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6.7361111111111094E-2</v>
      </c>
      <c r="U837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6.7361111111111094E-2</v>
      </c>
      <c r="V837" s="41">
        <f>MIP[[#This Row],[Eficiência]]</f>
        <v>0.69338290332855534</v>
      </c>
      <c r="W837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37" s="39">
        <f>IF(MIP[[#This Row],[P.S]]-MIP[[#This Row],[P.E]]&lt;0,1+MIP[[#This Row],[P.S]]-MIP[[#This Row],[P.E]]-1/24,MIP[[#This Row],[P.S]]-MIP[[#This Row],[P.E]]-1/24)</f>
        <v>0.38333333333333325</v>
      </c>
      <c r="Y837" s="39">
        <f>MIP[[#This Row],[PT-1]]*$S$3+MIP[[#This Row],[PT-2]]*$T$3+MIP[[#This Row],[PT-3]]*$U$3+MIP[[#This Row],[PT &gt; 3 Pontos]]*$V$3</f>
        <v>0.21908973681561986</v>
      </c>
      <c r="Z837" s="39">
        <f>MIP[[#This Row],[HH disponível]]-MIP[[#This Row],[HH AC TOT]]</f>
        <v>0.31597222222222215</v>
      </c>
      <c r="AA837" s="38">
        <f>MIP[[#This Row],[HH Produtivo
Total]]/MIP[[#This Row],[HH Trabalhado]]</f>
        <v>0.69338290332855534</v>
      </c>
      <c r="AB837" s="38">
        <f>MIP[[#This Row],[HH Produtivo
Total]]/MIP[[#This Row],[HH disponível]]</f>
        <v>0.5715384438668345</v>
      </c>
      <c r="AC837" s="38">
        <f>MIP[[#This Row],[HH Trabalhado]]/MIP[[#This Row],[HH disponível]]</f>
        <v>0.82427536231884058</v>
      </c>
      <c r="AD837" s="37" t="str">
        <f>LEFT(MIP[[#This Row],[Equipe]], SEARCH("/",MIP[[#This Row],[Equipe]],1)-1)</f>
        <v xml:space="preserve">ANDERSON </v>
      </c>
      <c r="AE837" s="37" t="str">
        <f>RIGHT(MIP[[#This Row],[Equipe]], LEN(MIP[[#This Row],[Equipe]])-SEARCH("/",MIP[[#This Row],[Equipe]],1))</f>
        <v xml:space="preserve"> GECIVALDO / MARCO</v>
      </c>
      <c r="AF837" s="29">
        <f>COUNTIFS('[1]Tempo parado'!H:H,"&gt;="&amp;MIP[[#This Row],[S.B Sitrack]],'[1]Tempo parado'!I:I,"&lt;="&amp;MIP[[#This Row],[C.B Sitrack]],'[1]Tempo parado'!B:B,MIP[[#This Row],[Placa]])</f>
        <v>0</v>
      </c>
      <c r="AG837" s="36"/>
      <c r="AH837" s="35"/>
      <c r="AI837" s="34"/>
      <c r="AJ837" s="34"/>
      <c r="AK83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3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37" s="32">
        <f>SUMIFS('[1]Tempo parado'!J:J,'[1]Tempo parado'!H:H,"&gt;="&amp;MIP[[#This Row],[S.B Sitrack]],'[1]Tempo parado'!I:I,"&lt;="&amp;MIP[[#This Row],[C.B Sitrack]],'[1]Tempo parado'!B:B,MIP[[#This Row],[Placa]])</f>
        <v>0</v>
      </c>
      <c r="AN837" s="31" t="str">
        <f>IFERROR(MIP[[#This Row],[Tempo parado]]/(MIP[[#This Row],[C.B Sitrack]]-MIP[[#This Row],[S.B Sitrack]]),"")</f>
        <v/>
      </c>
      <c r="AO837" s="30"/>
      <c r="AP837" s="29">
        <f>IF(AND(MIP[Exc]=0,MIP[Previsto / Realizado]="Realizado"),MIP[Sem],0)</f>
        <v>48</v>
      </c>
      <c r="AQ837" s="29">
        <f>IF(AND(MIP[Exc]=0,MIP[Previsto / Realizado]="Realizado",ISBLANK(MIP[[#This Row],[S.B Sitrack]])=FALSE,ISBLANK(MIP[[#This Row],[C.B Sitrack]])=FALSE),MIP[Sem],0)</f>
        <v>0</v>
      </c>
    </row>
    <row r="838" spans="2:43" x14ac:dyDescent="0.25">
      <c r="B838" s="29">
        <f>WEEKNUM(MIP[[#This Row],[Data]])</f>
        <v>48</v>
      </c>
      <c r="C838" s="45">
        <v>43070</v>
      </c>
      <c r="D838" s="45"/>
      <c r="E838" s="35" t="s">
        <v>19</v>
      </c>
      <c r="F838" s="35" t="s">
        <v>5</v>
      </c>
      <c r="G838" s="35"/>
      <c r="H838" s="44"/>
      <c r="I838" s="44">
        <v>5</v>
      </c>
      <c r="J838" s="44">
        <v>0</v>
      </c>
      <c r="K838" s="44">
        <v>0</v>
      </c>
      <c r="L838" s="44">
        <v>0</v>
      </c>
      <c r="M838" s="43">
        <v>0.625</v>
      </c>
      <c r="N838" s="43">
        <v>0.66666666666666663</v>
      </c>
      <c r="O838" s="43">
        <v>4.8611111111111112E-3</v>
      </c>
      <c r="P838" s="43">
        <v>4.3055555555555562E-2</v>
      </c>
      <c r="Q838" s="39"/>
      <c r="R838" s="42" t="s">
        <v>75</v>
      </c>
      <c r="S838" s="29">
        <f>MIP[[#This Row],[PT-1]]+MIP[[#This Row],[PT-2]]*2+MIP[[#This Row],[PT-3]]*3+MIP[[#This Row],[PT &gt; 3 Pontos]]</f>
        <v>5</v>
      </c>
      <c r="T83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7.9861111111111049E-2</v>
      </c>
      <c r="U838" s="39">
        <f>IF(MIP[[#This Row],[P.S]]-MIP[[#This Row],[U.P]]&gt;=0,MIP[[#This Row],[P.S]]-MIP[[#This Row],[U.P]]+MIP[[#This Row],[S.B]]-MIP[[#This Row],[P.E]],1+MIP[[#This Row],[P.S]]-MIP[[#This Row],[U.P]]+MIP[[#This Row],[S.B]]-MIP[[#This Row],[P.E]])</f>
        <v>7.9861111111111049E-2</v>
      </c>
      <c r="V838" s="41">
        <f>MIP[[#This Row],[Eficiência]]</f>
        <v>0.42198159556053305</v>
      </c>
      <c r="W838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38" s="39">
        <f>IF(MIP[[#This Row],[P.S]]-MIP[[#This Row],[P.E]]&lt;0,1+MIP[[#This Row],[P.S]]-MIP[[#This Row],[P.E]]-1/24,MIP[[#This Row],[P.S]]-MIP[[#This Row],[P.E]]-1/24)</f>
        <v>0.37638888888888894</v>
      </c>
      <c r="Y838" s="39">
        <f>MIP[[#This Row],[PT-1]]*$S$3+MIP[[#This Row],[PT-2]]*$T$3+MIP[[#This Row],[PT-3]]*$U$3+MIP[[#This Row],[PT &gt; 3 Pontos]]*$V$3</f>
        <v>0.12512926479468589</v>
      </c>
      <c r="Z838" s="39">
        <f>MIP[[#This Row],[HH disponível]]-MIP[[#This Row],[HH AC TOT]]</f>
        <v>0.29652777777777789</v>
      </c>
      <c r="AA838" s="38">
        <f>MIP[[#This Row],[HH Produtivo
Total]]/MIP[[#This Row],[HH Trabalhado]]</f>
        <v>0.42198159556053305</v>
      </c>
      <c r="AB838" s="38">
        <f>MIP[[#This Row],[HH Produtivo
Total]]/MIP[[#This Row],[HH disponível]]</f>
        <v>0.33244675517407318</v>
      </c>
      <c r="AC838" s="38">
        <f>MIP[[#This Row],[HH Trabalhado]]/MIP[[#This Row],[HH disponível]]</f>
        <v>0.7878228782287825</v>
      </c>
      <c r="AD838" s="37" t="str">
        <f>LEFT(MIP[[#This Row],[Equipe]], SEARCH("/",MIP[[#This Row],[Equipe]],1)-1)</f>
        <v xml:space="preserve">ADEMÁRIO </v>
      </c>
      <c r="AE838" s="37" t="str">
        <f>RIGHT(MIP[[#This Row],[Equipe]], LEN(MIP[[#This Row],[Equipe]])-SEARCH("/",MIP[[#This Row],[Equipe]],1))</f>
        <v xml:space="preserve"> RONALDO</v>
      </c>
      <c r="AF838" s="29">
        <f>COUNTIFS('[1]Tempo parado'!H:H,"&gt;="&amp;MIP[[#This Row],[S.B Sitrack]],'[1]Tempo parado'!I:I,"&lt;="&amp;MIP[[#This Row],[C.B Sitrack]],'[1]Tempo parado'!B:B,MIP[[#This Row],[Placa]])</f>
        <v>0</v>
      </c>
      <c r="AG838" s="36"/>
      <c r="AH838" s="35"/>
      <c r="AI838" s="34"/>
      <c r="AJ838" s="34"/>
      <c r="AK83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3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38" s="32">
        <f>SUMIFS('[1]Tempo parado'!J:J,'[1]Tempo parado'!H:H,"&gt;="&amp;MIP[[#This Row],[S.B Sitrack]],'[1]Tempo parado'!I:I,"&lt;="&amp;MIP[[#This Row],[C.B Sitrack]],'[1]Tempo parado'!B:B,MIP[[#This Row],[Placa]])</f>
        <v>0</v>
      </c>
      <c r="AN838" s="31" t="str">
        <f>IFERROR(MIP[[#This Row],[Tempo parado]]/(MIP[[#This Row],[C.B Sitrack]]-MIP[[#This Row],[S.B Sitrack]]),"")</f>
        <v/>
      </c>
      <c r="AO838" s="30"/>
      <c r="AP838" s="29">
        <f>IF(AND(MIP[Exc]=0,MIP[Previsto / Realizado]="Realizado"),MIP[Sem],0)</f>
        <v>0</v>
      </c>
      <c r="AQ838" s="29">
        <f>IF(AND(MIP[Exc]=0,MIP[Previsto / Realizado]="Realizado",ISBLANK(MIP[[#This Row],[S.B Sitrack]])=FALSE,ISBLANK(MIP[[#This Row],[C.B Sitrack]])=FALSE),MIP[Sem],0)</f>
        <v>0</v>
      </c>
    </row>
    <row r="839" spans="2:43" x14ac:dyDescent="0.25">
      <c r="B839" s="29">
        <f>WEEKNUM(MIP[[#This Row],[Data]])</f>
        <v>48</v>
      </c>
      <c r="C839" s="45">
        <v>43070</v>
      </c>
      <c r="D839" s="45"/>
      <c r="E839" s="35" t="s">
        <v>19</v>
      </c>
      <c r="F839" s="35" t="s">
        <v>2</v>
      </c>
      <c r="G839" s="35"/>
      <c r="H839" s="44"/>
      <c r="I839" s="44">
        <v>6</v>
      </c>
      <c r="J839" s="44">
        <v>0</v>
      </c>
      <c r="K839" s="44">
        <v>0</v>
      </c>
      <c r="L839" s="44">
        <v>0</v>
      </c>
      <c r="M839" s="43">
        <v>0.64444444444444449</v>
      </c>
      <c r="N839" s="43">
        <v>0.66666666666666663</v>
      </c>
      <c r="O839" s="43">
        <v>5.5555555555555558E-3</v>
      </c>
      <c r="P839" s="43">
        <v>4.3055555555555562E-2</v>
      </c>
      <c r="Q839" s="39"/>
      <c r="R839" s="42" t="s">
        <v>74</v>
      </c>
      <c r="S839" s="29">
        <f>MIP[[#This Row],[PT-1]]+MIP[[#This Row],[PT-2]]*2+MIP[[#This Row],[PT-3]]*3+MIP[[#This Row],[PT &gt; 3 Pontos]]</f>
        <v>6</v>
      </c>
      <c r="T83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5.9722222222222121E-2</v>
      </c>
      <c r="U839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5.9722222222222121E-2</v>
      </c>
      <c r="V839" s="41">
        <f>MIP[[#This Row],[Eficiência]]</f>
        <v>0.50519478870377843</v>
      </c>
      <c r="W839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39" s="39">
        <f>IF(MIP[[#This Row],[P.S]]-MIP[[#This Row],[P.E]]&lt;0,1+MIP[[#This Row],[P.S]]-MIP[[#This Row],[P.E]]-1/24,MIP[[#This Row],[P.S]]-MIP[[#This Row],[P.E]]-1/24)</f>
        <v>0.35694444444444445</v>
      </c>
      <c r="Y839" s="39">
        <f>MIP[[#This Row],[PT-1]]*$S$3+MIP[[#This Row],[PT-2]]*$T$3+MIP[[#This Row],[PT-3]]*$U$3+MIP[[#This Row],[PT &gt; 3 Pontos]]*$V$3</f>
        <v>0.15015511775362309</v>
      </c>
      <c r="Z839" s="39">
        <f>MIP[[#This Row],[HH disponível]]-MIP[[#This Row],[HH AC TOT]]</f>
        <v>0.29722222222222233</v>
      </c>
      <c r="AA839" s="38">
        <f>MIP[[#This Row],[HH Produtivo
Total]]/MIP[[#This Row],[HH Trabalhado]]</f>
        <v>0.50519478870377843</v>
      </c>
      <c r="AB839" s="38">
        <f>MIP[[#This Row],[HH Produtivo
Total]]/MIP[[#This Row],[HH disponível]]</f>
        <v>0.4206680341735744</v>
      </c>
      <c r="AC839" s="38">
        <f>MIP[[#This Row],[HH Trabalhado]]/MIP[[#This Row],[HH disponível]]</f>
        <v>0.832684824902724</v>
      </c>
      <c r="AD839" s="37" t="str">
        <f>LEFT(MIP[[#This Row],[Equipe]], SEARCH("/",MIP[[#This Row],[Equipe]],1)-1)</f>
        <v xml:space="preserve">ADEMÁRIO </v>
      </c>
      <c r="AE839" s="37" t="str">
        <f>RIGHT(MIP[[#This Row],[Equipe]], LEN(MIP[[#This Row],[Equipe]])-SEARCH("/",MIP[[#This Row],[Equipe]],1))</f>
        <v xml:space="preserve"> RONALDO</v>
      </c>
      <c r="AF839" s="29">
        <f>COUNTIFS('[1]Tempo parado'!H:H,"&gt;="&amp;MIP[[#This Row],[S.B Sitrack]],'[1]Tempo parado'!I:I,"&lt;="&amp;MIP[[#This Row],[C.B Sitrack]],'[1]Tempo parado'!B:B,MIP[[#This Row],[Placa]])</f>
        <v>0</v>
      </c>
      <c r="AG839" s="36"/>
      <c r="AH839" s="35"/>
      <c r="AI839" s="34"/>
      <c r="AJ839" s="34"/>
      <c r="AK83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3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39" s="32">
        <f>SUMIFS('[1]Tempo parado'!J:J,'[1]Tempo parado'!H:H,"&gt;="&amp;MIP[[#This Row],[S.B Sitrack]],'[1]Tempo parado'!I:I,"&lt;="&amp;MIP[[#This Row],[C.B Sitrack]],'[1]Tempo parado'!B:B,MIP[[#This Row],[Placa]])</f>
        <v>0</v>
      </c>
      <c r="AN839" s="31" t="str">
        <f>IFERROR(MIP[[#This Row],[Tempo parado]]/(MIP[[#This Row],[C.B Sitrack]]-MIP[[#This Row],[S.B Sitrack]]),"")</f>
        <v/>
      </c>
      <c r="AO839" s="30"/>
      <c r="AP839" s="29">
        <f>IF(AND(MIP[Exc]=0,MIP[Previsto / Realizado]="Realizado"),MIP[Sem],0)</f>
        <v>48</v>
      </c>
      <c r="AQ839" s="29">
        <f>IF(AND(MIP[Exc]=0,MIP[Previsto / Realizado]="Realizado",ISBLANK(MIP[[#This Row],[S.B Sitrack]])=FALSE,ISBLANK(MIP[[#This Row],[C.B Sitrack]])=FALSE),MIP[Sem],0)</f>
        <v>0</v>
      </c>
    </row>
    <row r="840" spans="2:43" x14ac:dyDescent="0.25">
      <c r="B840" s="29">
        <f>WEEKNUM(MIP[[#This Row],[Data]])</f>
        <v>49</v>
      </c>
      <c r="C840" s="45">
        <v>43072</v>
      </c>
      <c r="D840" s="45"/>
      <c r="E840" s="35" t="s">
        <v>72</v>
      </c>
      <c r="F840" s="35" t="s">
        <v>5</v>
      </c>
      <c r="G840" s="35"/>
      <c r="H840" s="44"/>
      <c r="I840" s="44">
        <v>3</v>
      </c>
      <c r="J840" s="44">
        <v>0</v>
      </c>
      <c r="K840" s="44">
        <v>0</v>
      </c>
      <c r="L840" s="44">
        <v>0</v>
      </c>
      <c r="M840" s="43">
        <v>0.625</v>
      </c>
      <c r="N840" s="43">
        <v>0.63750000000000007</v>
      </c>
      <c r="O840" s="43">
        <v>4.8611111111111112E-3</v>
      </c>
      <c r="P840" s="43">
        <v>3.3333333333333333E-2</v>
      </c>
      <c r="Q840" s="39"/>
      <c r="R840" s="42" t="s">
        <v>73</v>
      </c>
      <c r="S840" s="29">
        <f>MIP[[#This Row],[PT-1]]+MIP[[#This Row],[PT-2]]*2+MIP[[#This Row],[PT-3]]*3+MIP[[#This Row],[PT &gt; 3 Pontos]]</f>
        <v>3</v>
      </c>
      <c r="T84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4.0972222222222299E-2</v>
      </c>
      <c r="U840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4.0972222222222299E-2</v>
      </c>
      <c r="V840" s="41">
        <f>MIP[[#This Row],[Eficiência]]</f>
        <v>0.23051531936590325</v>
      </c>
      <c r="W840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40" s="39">
        <f>IF(MIP[[#This Row],[P.S]]-MIP[[#This Row],[P.E]]&lt;0,1+MIP[[#This Row],[P.S]]-MIP[[#This Row],[P.E]]-1/24,MIP[[#This Row],[P.S]]-MIP[[#This Row],[P.E]]-1/24)</f>
        <v>0.36666666666666675</v>
      </c>
      <c r="Y840" s="39">
        <f>MIP[[#This Row],[PT-1]]*$S$3+MIP[[#This Row],[PT-2]]*$T$3+MIP[[#This Row],[PT-3]]*$U$3+MIP[[#This Row],[PT &gt; 3 Pontos]]*$V$3</f>
        <v>7.5077558876811543E-2</v>
      </c>
      <c r="Z840" s="39">
        <f>MIP[[#This Row],[HH disponível]]-MIP[[#This Row],[HH AC TOT]]</f>
        <v>0.32569444444444445</v>
      </c>
      <c r="AA840" s="38">
        <f>MIP[[#This Row],[HH Produtivo
Total]]/MIP[[#This Row],[HH Trabalhado]]</f>
        <v>0.23051531936590325</v>
      </c>
      <c r="AB840" s="38">
        <f>MIP[[#This Row],[HH Produtivo
Total]]/MIP[[#This Row],[HH disponível]]</f>
        <v>0.20475697875494053</v>
      </c>
      <c r="AC840" s="38">
        <f>MIP[[#This Row],[HH Trabalhado]]/MIP[[#This Row],[HH disponível]]</f>
        <v>0.88825757575757558</v>
      </c>
      <c r="AD840" s="37" t="str">
        <f>LEFT(MIP[[#This Row],[Equipe]], SEARCH("/",MIP[[#This Row],[Equipe]],1)-1)</f>
        <v xml:space="preserve">ANDERSON </v>
      </c>
      <c r="AE840" s="37" t="str">
        <f>RIGHT(MIP[[#This Row],[Equipe]], LEN(MIP[[#This Row],[Equipe]])-SEARCH("/",MIP[[#This Row],[Equipe]],1))</f>
        <v xml:space="preserve"> GECIVALDO / MARCO</v>
      </c>
      <c r="AF840" s="29">
        <f>COUNTIFS('[1]Tempo parado'!H:H,"&gt;="&amp;MIP[[#This Row],[S.B Sitrack]],'[1]Tempo parado'!I:I,"&lt;="&amp;MIP[[#This Row],[C.B Sitrack]],'[1]Tempo parado'!B:B,MIP[[#This Row],[Placa]])</f>
        <v>0</v>
      </c>
      <c r="AG840" s="36"/>
      <c r="AH840" s="35"/>
      <c r="AI840" s="34"/>
      <c r="AJ840" s="34"/>
      <c r="AK84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4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40" s="32">
        <f>SUMIFS('[1]Tempo parado'!J:J,'[1]Tempo parado'!H:H,"&gt;="&amp;MIP[[#This Row],[S.B Sitrack]],'[1]Tempo parado'!I:I,"&lt;="&amp;MIP[[#This Row],[C.B Sitrack]],'[1]Tempo parado'!B:B,MIP[[#This Row],[Placa]])</f>
        <v>0</v>
      </c>
      <c r="AN840" s="31" t="str">
        <f>IFERROR(MIP[[#This Row],[Tempo parado]]/(MIP[[#This Row],[C.B Sitrack]]-MIP[[#This Row],[S.B Sitrack]]),"")</f>
        <v/>
      </c>
      <c r="AO840" s="30"/>
      <c r="AP840" s="29">
        <f>IF(AND(MIP[Exc]=0,MIP[Previsto / Realizado]="Realizado"),MIP[Sem],0)</f>
        <v>0</v>
      </c>
      <c r="AQ840" s="29">
        <f>IF(AND(MIP[Exc]=0,MIP[Previsto / Realizado]="Realizado",ISBLANK(MIP[[#This Row],[S.B Sitrack]])=FALSE,ISBLANK(MIP[[#This Row],[C.B Sitrack]])=FALSE),MIP[Sem],0)</f>
        <v>0</v>
      </c>
    </row>
    <row r="841" spans="2:43" x14ac:dyDescent="0.25">
      <c r="B841" s="29">
        <f>WEEKNUM(MIP[[#This Row],[Data]])</f>
        <v>49</v>
      </c>
      <c r="C841" s="45">
        <v>43072</v>
      </c>
      <c r="D841" s="45"/>
      <c r="E841" s="35" t="s">
        <v>72</v>
      </c>
      <c r="F841" s="35" t="s">
        <v>2</v>
      </c>
      <c r="G841" s="35"/>
      <c r="H841" s="44"/>
      <c r="I841" s="44">
        <v>10</v>
      </c>
      <c r="J841" s="44">
        <v>0</v>
      </c>
      <c r="K841" s="44">
        <v>0</v>
      </c>
      <c r="L841" s="44">
        <v>0</v>
      </c>
      <c r="M841" s="43">
        <v>0.63611111111111118</v>
      </c>
      <c r="N841" s="43">
        <v>0.66180555555555554</v>
      </c>
      <c r="O841" s="43">
        <v>1.2499999999999999E-2</v>
      </c>
      <c r="P841" s="43">
        <v>3.4722222222222224E-2</v>
      </c>
      <c r="Q841" s="39"/>
      <c r="R841" s="42" t="s">
        <v>71</v>
      </c>
      <c r="S841" s="29">
        <f>MIP[[#This Row],[PT-1]]+MIP[[#This Row],[PT-2]]*2+MIP[[#This Row],[PT-3]]*3+MIP[[#This Row],[PT &gt; 3 Pontos]]</f>
        <v>10</v>
      </c>
      <c r="T84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4.7916666666666607E-2</v>
      </c>
      <c r="U841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4.7916666666666607E-2</v>
      </c>
      <c r="V841" s="41">
        <f>MIP[[#This Row],[Eficiência]]</f>
        <v>0.80982535417684332</v>
      </c>
      <c r="W841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41" s="39">
        <f>IF(MIP[[#This Row],[P.S]]-MIP[[#This Row],[P.E]]&lt;0,1+MIP[[#This Row],[P.S]]-MIP[[#This Row],[P.E]]-1/24,MIP[[#This Row],[P.S]]-MIP[[#This Row],[P.E]]-1/24)</f>
        <v>0.35694444444444445</v>
      </c>
      <c r="Y841" s="39">
        <f>MIP[[#This Row],[PT-1]]*$S$3+MIP[[#This Row],[PT-2]]*$T$3+MIP[[#This Row],[PT-3]]*$U$3+MIP[[#This Row],[PT &gt; 3 Pontos]]*$V$3</f>
        <v>0.25025852958937178</v>
      </c>
      <c r="Z841" s="39">
        <f>MIP[[#This Row],[HH disponível]]-MIP[[#This Row],[HH AC TOT]]</f>
        <v>0.30902777777777785</v>
      </c>
      <c r="AA841" s="38">
        <f>MIP[[#This Row],[HH Produtivo
Total]]/MIP[[#This Row],[HH Trabalhado]]</f>
        <v>0.80982535417684332</v>
      </c>
      <c r="AB841" s="38">
        <f>MIP[[#This Row],[HH Produtivo
Total]]/MIP[[#This Row],[HH disponível]]</f>
        <v>0.70111339028929054</v>
      </c>
      <c r="AC841" s="38">
        <f>MIP[[#This Row],[HH Trabalhado]]/MIP[[#This Row],[HH disponível]]</f>
        <v>0.86575875486381337</v>
      </c>
      <c r="AD841" s="37" t="str">
        <f>LEFT(MIP[[#This Row],[Equipe]], SEARCH("/",MIP[[#This Row],[Equipe]],1)-1)</f>
        <v xml:space="preserve">ANDERSON </v>
      </c>
      <c r="AE841" s="37" t="str">
        <f>RIGHT(MIP[[#This Row],[Equipe]], LEN(MIP[[#This Row],[Equipe]])-SEARCH("/",MIP[[#This Row],[Equipe]],1))</f>
        <v xml:space="preserve"> GECIVALDO / MARCO</v>
      </c>
      <c r="AF841" s="29">
        <f>COUNTIFS('[1]Tempo parado'!H:H,"&gt;="&amp;MIP[[#This Row],[S.B Sitrack]],'[1]Tempo parado'!I:I,"&lt;="&amp;MIP[[#This Row],[C.B Sitrack]],'[1]Tempo parado'!B:B,MIP[[#This Row],[Placa]])</f>
        <v>0</v>
      </c>
      <c r="AG841" s="36"/>
      <c r="AH841" s="35"/>
      <c r="AI841" s="34"/>
      <c r="AJ841" s="34"/>
      <c r="AK84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4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41" s="32">
        <f>SUMIFS('[1]Tempo parado'!J:J,'[1]Tempo parado'!H:H,"&gt;="&amp;MIP[[#This Row],[S.B Sitrack]],'[1]Tempo parado'!I:I,"&lt;="&amp;MIP[[#This Row],[C.B Sitrack]],'[1]Tempo parado'!B:B,MIP[[#This Row],[Placa]])</f>
        <v>0</v>
      </c>
      <c r="AN841" s="31" t="str">
        <f>IFERROR(MIP[[#This Row],[Tempo parado]]/(MIP[[#This Row],[C.B Sitrack]]-MIP[[#This Row],[S.B Sitrack]]),"")</f>
        <v/>
      </c>
      <c r="AO841" s="30"/>
      <c r="AP841" s="29">
        <f>IF(AND(MIP[Exc]=0,MIP[Previsto / Realizado]="Realizado"),MIP[Sem],0)</f>
        <v>49</v>
      </c>
      <c r="AQ841" s="29">
        <f>IF(AND(MIP[Exc]=0,MIP[Previsto / Realizado]="Realizado",ISBLANK(MIP[[#This Row],[S.B Sitrack]])=FALSE,ISBLANK(MIP[[#This Row],[C.B Sitrack]])=FALSE),MIP[Sem],0)</f>
        <v>0</v>
      </c>
    </row>
    <row r="842" spans="2:43" x14ac:dyDescent="0.25">
      <c r="B842" s="29">
        <f>WEEKNUM(MIP[[#This Row],[Data]])</f>
        <v>49</v>
      </c>
      <c r="C842" s="45">
        <v>43073</v>
      </c>
      <c r="D842" s="45"/>
      <c r="E842" s="35" t="s">
        <v>65</v>
      </c>
      <c r="F842" s="35" t="s">
        <v>5</v>
      </c>
      <c r="G842" s="35"/>
      <c r="H842" s="44"/>
      <c r="I842" s="44">
        <v>1</v>
      </c>
      <c r="J842" s="44">
        <v>0</v>
      </c>
      <c r="K842" s="44">
        <v>0</v>
      </c>
      <c r="L842" s="44">
        <v>4</v>
      </c>
      <c r="M842" s="43">
        <v>0.25</v>
      </c>
      <c r="N842" s="43">
        <v>0.2638888888888889</v>
      </c>
      <c r="O842" s="43">
        <v>0.62986111111111109</v>
      </c>
      <c r="P842" s="43">
        <v>0.65833333333333333</v>
      </c>
      <c r="Q842" s="39"/>
      <c r="R842" s="42" t="s">
        <v>70</v>
      </c>
      <c r="S842" s="29">
        <f>MIP[[#This Row],[PT-1]]+MIP[[#This Row],[PT-2]]*2+MIP[[#This Row],[PT-3]]*3+MIP[[#This Row],[PT &gt; 3 Pontos]]</f>
        <v>5</v>
      </c>
      <c r="T84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4.2361111111111127E-2</v>
      </c>
      <c r="U842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4.2361111111111127E-2</v>
      </c>
      <c r="V842" s="41">
        <f>MIP[[#This Row],[Eficiência]]</f>
        <v>0.32690743240680409</v>
      </c>
      <c r="W842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42" s="39">
        <f>IF(MIP[[#This Row],[P.S]]-MIP[[#This Row],[P.E]]&lt;0,1+MIP[[#This Row],[P.S]]-MIP[[#This Row],[P.E]]-1/24,MIP[[#This Row],[P.S]]-MIP[[#This Row],[P.E]]-1/24)</f>
        <v>0.36666666666666664</v>
      </c>
      <c r="Y842" s="39">
        <f>MIP[[#This Row],[PT-1]]*$S$3+MIP[[#This Row],[PT-2]]*$T$3+MIP[[#This Row],[PT-3]]*$U$3+MIP[[#This Row],[PT &gt; 3 Pontos]]*$V$3</f>
        <v>0.10601789648192882</v>
      </c>
      <c r="Z842" s="39">
        <f>MIP[[#This Row],[HH disponível]]-MIP[[#This Row],[HH AC TOT]]</f>
        <v>0.32430555555555551</v>
      </c>
      <c r="AA842" s="38">
        <f>MIP[[#This Row],[HH Produtivo
Total]]/MIP[[#This Row],[HH Trabalhado]]</f>
        <v>0.32690743240680409</v>
      </c>
      <c r="AB842" s="38">
        <f>MIP[[#This Row],[HH Produtivo
Total]]/MIP[[#This Row],[HH disponível]]</f>
        <v>0.28913971767798768</v>
      </c>
      <c r="AC842" s="38">
        <f>MIP[[#This Row],[HH Trabalhado]]/MIP[[#This Row],[HH disponível]]</f>
        <v>0.88446969696969691</v>
      </c>
      <c r="AD842" s="37" t="str">
        <f>LEFT(MIP[[#This Row],[Equipe]], SEARCH("/",MIP[[#This Row],[Equipe]],1)-1)</f>
        <v xml:space="preserve">CLAUDINEY </v>
      </c>
      <c r="AE842" s="37" t="str">
        <f>RIGHT(MIP[[#This Row],[Equipe]], LEN(MIP[[#This Row],[Equipe]])-SEARCH("/",MIP[[#This Row],[Equipe]],1))</f>
        <v xml:space="preserve"> JOILSON</v>
      </c>
      <c r="AF842" s="29">
        <f>COUNTIFS('[1]Tempo parado'!H:H,"&gt;="&amp;MIP[[#This Row],[S.B Sitrack]],'[1]Tempo parado'!I:I,"&lt;="&amp;MIP[[#This Row],[C.B Sitrack]],'[1]Tempo parado'!B:B,MIP[[#This Row],[Placa]])</f>
        <v>0</v>
      </c>
      <c r="AG842" s="36"/>
      <c r="AH842" s="35"/>
      <c r="AI842" s="34"/>
      <c r="AJ842" s="34"/>
      <c r="AK84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4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42" s="32">
        <f>SUMIFS('[1]Tempo parado'!J:J,'[1]Tempo parado'!H:H,"&gt;="&amp;MIP[[#This Row],[S.B Sitrack]],'[1]Tempo parado'!I:I,"&lt;="&amp;MIP[[#This Row],[C.B Sitrack]],'[1]Tempo parado'!B:B,MIP[[#This Row],[Placa]])</f>
        <v>0</v>
      </c>
      <c r="AN842" s="31" t="str">
        <f>IFERROR(MIP[[#This Row],[Tempo parado]]/(MIP[[#This Row],[C.B Sitrack]]-MIP[[#This Row],[S.B Sitrack]]),"")</f>
        <v/>
      </c>
      <c r="AO842" s="30"/>
      <c r="AP842" s="29">
        <f>IF(AND(MIP[Exc]=0,MIP[Previsto / Realizado]="Realizado"),MIP[Sem],0)</f>
        <v>0</v>
      </c>
      <c r="AQ842" s="29">
        <f>IF(AND(MIP[Exc]=0,MIP[Previsto / Realizado]="Realizado",ISBLANK(MIP[[#This Row],[S.B Sitrack]])=FALSE,ISBLANK(MIP[[#This Row],[C.B Sitrack]])=FALSE),MIP[Sem],0)</f>
        <v>0</v>
      </c>
    </row>
    <row r="843" spans="2:43" x14ac:dyDescent="0.25">
      <c r="B843" s="29">
        <f>WEEKNUM(MIP[[#This Row],[Data]])</f>
        <v>49</v>
      </c>
      <c r="C843" s="45">
        <v>43073</v>
      </c>
      <c r="D843" s="45"/>
      <c r="E843" s="35" t="s">
        <v>65</v>
      </c>
      <c r="F843" s="35" t="s">
        <v>2</v>
      </c>
      <c r="G843" s="35"/>
      <c r="H843" s="44"/>
      <c r="I843" s="44">
        <v>2</v>
      </c>
      <c r="J843" s="44">
        <v>0</v>
      </c>
      <c r="K843" s="44">
        <v>0</v>
      </c>
      <c r="L843" s="44">
        <v>4</v>
      </c>
      <c r="M843" s="43">
        <v>0.24652777777777779</v>
      </c>
      <c r="N843" s="43">
        <v>0.27083333333333331</v>
      </c>
      <c r="O843" s="43">
        <v>0.62152777777777779</v>
      </c>
      <c r="P843" s="43">
        <v>0.63055555555555554</v>
      </c>
      <c r="Q843" s="39"/>
      <c r="R843" s="42" t="s">
        <v>69</v>
      </c>
      <c r="S843" s="29">
        <f>MIP[[#This Row],[PT-1]]+MIP[[#This Row],[PT-2]]*2+MIP[[#This Row],[PT-3]]*3+MIP[[#This Row],[PT &gt; 3 Pontos]]</f>
        <v>6</v>
      </c>
      <c r="T84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3.333333333333327E-2</v>
      </c>
      <c r="U843" s="39">
        <f>IF(MIP[[#This Row],[P.S]]-MIP[[#This Row],[U.P]]&gt;=0,MIP[[#This Row],[P.S]]-MIP[[#This Row],[U.P]]+MIP[[#This Row],[S.B]]-MIP[[#This Row],[P.E]],1+MIP[[#This Row],[P.S]]-MIP[[#This Row],[U.P]]+MIP[[#This Row],[S.B]]-MIP[[#This Row],[P.E]])</f>
        <v>3.333333333333327E-2</v>
      </c>
      <c r="V843" s="41">
        <f>MIP[[#This Row],[Eficiência]]</f>
        <v>0.42405168358392592</v>
      </c>
      <c r="W843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43" s="39">
        <f>IF(MIP[[#This Row],[P.S]]-MIP[[#This Row],[P.E]]&lt;0,1+MIP[[#This Row],[P.S]]-MIP[[#This Row],[P.E]]-1/24,MIP[[#This Row],[P.S]]-MIP[[#This Row],[P.E]]-1/24)</f>
        <v>0.34236111111111106</v>
      </c>
      <c r="Y843" s="39">
        <f>MIP[[#This Row],[PT-1]]*$S$3+MIP[[#This Row],[PT-2]]*$T$3+MIP[[#This Row],[PT-3]]*$U$3+MIP[[#This Row],[PT &gt; 3 Pontos]]*$V$3</f>
        <v>0.131043749440866</v>
      </c>
      <c r="Z843" s="39">
        <f>MIP[[#This Row],[HH disponível]]-MIP[[#This Row],[HH AC TOT]]</f>
        <v>0.30902777777777779</v>
      </c>
      <c r="AA843" s="38">
        <f>MIP[[#This Row],[HH Produtivo
Total]]/MIP[[#This Row],[HH Trabalhado]]</f>
        <v>0.42405168358392592</v>
      </c>
      <c r="AB843" s="38">
        <f>MIP[[#This Row],[HH Produtivo
Total]]/MIP[[#This Row],[HH disponível]]</f>
        <v>0.38276470424918269</v>
      </c>
      <c r="AC843" s="38">
        <f>MIP[[#This Row],[HH Trabalhado]]/MIP[[#This Row],[HH disponível]]</f>
        <v>0.90263691683570002</v>
      </c>
      <c r="AD843" s="37" t="str">
        <f>LEFT(MIP[[#This Row],[Equipe]], SEARCH("/",MIP[[#This Row],[Equipe]],1)-1)</f>
        <v xml:space="preserve">CLAUDINEY </v>
      </c>
      <c r="AE843" s="37" t="str">
        <f>RIGHT(MIP[[#This Row],[Equipe]], LEN(MIP[[#This Row],[Equipe]])-SEARCH("/",MIP[[#This Row],[Equipe]],1))</f>
        <v xml:space="preserve"> JOILSON</v>
      </c>
      <c r="AF843" s="29">
        <f>COUNTIFS('[1]Tempo parado'!H:H,"&gt;="&amp;MIP[[#This Row],[S.B Sitrack]],'[1]Tempo parado'!I:I,"&lt;="&amp;MIP[[#This Row],[C.B Sitrack]],'[1]Tempo parado'!B:B,MIP[[#This Row],[Placa]])</f>
        <v>0</v>
      </c>
      <c r="AG843" s="36"/>
      <c r="AH843" s="35"/>
      <c r="AI843" s="34"/>
      <c r="AJ843" s="34"/>
      <c r="AK84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4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43" s="32">
        <f>SUMIFS('[1]Tempo parado'!J:J,'[1]Tempo parado'!H:H,"&gt;="&amp;MIP[[#This Row],[S.B Sitrack]],'[1]Tempo parado'!I:I,"&lt;="&amp;MIP[[#This Row],[C.B Sitrack]],'[1]Tempo parado'!B:B,MIP[[#This Row],[Placa]])</f>
        <v>0</v>
      </c>
      <c r="AN843" s="31" t="str">
        <f>IFERROR(MIP[[#This Row],[Tempo parado]]/(MIP[[#This Row],[C.B Sitrack]]-MIP[[#This Row],[S.B Sitrack]]),"")</f>
        <v/>
      </c>
      <c r="AO843" s="30"/>
      <c r="AP843" s="29">
        <f>IF(AND(MIP[Exc]=0,MIP[Previsto / Realizado]="Realizado"),MIP[Sem],0)</f>
        <v>49</v>
      </c>
      <c r="AQ843" s="29">
        <f>IF(AND(MIP[Exc]=0,MIP[Previsto / Realizado]="Realizado",ISBLANK(MIP[[#This Row],[S.B Sitrack]])=FALSE,ISBLANK(MIP[[#This Row],[C.B Sitrack]])=FALSE),MIP[Sem],0)</f>
        <v>0</v>
      </c>
    </row>
    <row r="844" spans="2:43" x14ac:dyDescent="0.25">
      <c r="B844" s="29">
        <f>WEEKNUM(MIP[[#This Row],[Data]])</f>
        <v>49</v>
      </c>
      <c r="C844" s="45">
        <v>43073</v>
      </c>
      <c r="D844" s="45"/>
      <c r="E844" s="35" t="s">
        <v>19</v>
      </c>
      <c r="F844" s="35" t="s">
        <v>5</v>
      </c>
      <c r="G844" s="35"/>
      <c r="H844" s="44"/>
      <c r="I844" s="44">
        <v>5</v>
      </c>
      <c r="J844" s="44">
        <v>0</v>
      </c>
      <c r="K844" s="44">
        <v>0</v>
      </c>
      <c r="L844" s="44">
        <v>4</v>
      </c>
      <c r="M844" s="43">
        <v>0.625</v>
      </c>
      <c r="N844" s="43">
        <v>0.63750000000000007</v>
      </c>
      <c r="O844" s="43">
        <v>4.8611111111111112E-3</v>
      </c>
      <c r="P844" s="43">
        <v>3.3333333333333333E-2</v>
      </c>
      <c r="Q844" s="39"/>
      <c r="R844" s="42" t="s">
        <v>68</v>
      </c>
      <c r="S844" s="29">
        <f>MIP[[#This Row],[PT-1]]+MIP[[#This Row],[PT-2]]*2+MIP[[#This Row],[PT-3]]*3+MIP[[#This Row],[PT &gt; 3 Pontos]]</f>
        <v>9</v>
      </c>
      <c r="T84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4.0972222222222299E-2</v>
      </c>
      <c r="U844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4.0972222222222299E-2</v>
      </c>
      <c r="V844" s="41">
        <f>MIP[[#This Row],[Eficiência]]</f>
        <v>0.63286713001589689</v>
      </c>
      <c r="W844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44" s="39">
        <f>IF(MIP[[#This Row],[P.S]]-MIP[[#This Row],[P.E]]&lt;0,1+MIP[[#This Row],[P.S]]-MIP[[#This Row],[P.E]]-1/24,MIP[[#This Row],[P.S]]-MIP[[#This Row],[P.E]]-1/24)</f>
        <v>0.36666666666666675</v>
      </c>
      <c r="Y844" s="39">
        <f>MIP[[#This Row],[PT-1]]*$S$3+MIP[[#This Row],[PT-2]]*$T$3+MIP[[#This Row],[PT-3]]*$U$3+MIP[[#This Row],[PT &gt; 3 Pontos]]*$V$3</f>
        <v>0.20612130831767753</v>
      </c>
      <c r="Z844" s="39">
        <f>MIP[[#This Row],[HH disponível]]-MIP[[#This Row],[HH AC TOT]]</f>
        <v>0.32569444444444445</v>
      </c>
      <c r="AA844" s="38">
        <f>MIP[[#This Row],[HH Produtivo
Total]]/MIP[[#This Row],[HH Trabalhado]]</f>
        <v>0.63286713001589689</v>
      </c>
      <c r="AB844" s="38">
        <f>MIP[[#This Row],[HH Produtivo
Total]]/MIP[[#This Row],[HH disponível]]</f>
        <v>0.56214902268457489</v>
      </c>
      <c r="AC844" s="38">
        <f>MIP[[#This Row],[HH Trabalhado]]/MIP[[#This Row],[HH disponível]]</f>
        <v>0.88825757575757558</v>
      </c>
      <c r="AD844" s="37" t="str">
        <f>LEFT(MIP[[#This Row],[Equipe]], SEARCH("/",MIP[[#This Row],[Equipe]],1)-1)</f>
        <v xml:space="preserve">ADEMÁRIO </v>
      </c>
      <c r="AE844" s="37" t="str">
        <f>RIGHT(MIP[[#This Row],[Equipe]], LEN(MIP[[#This Row],[Equipe]])-SEARCH("/",MIP[[#This Row],[Equipe]],1))</f>
        <v xml:space="preserve"> RONALDO</v>
      </c>
      <c r="AF844" s="29">
        <f>COUNTIFS('[1]Tempo parado'!H:H,"&gt;="&amp;MIP[[#This Row],[S.B Sitrack]],'[1]Tempo parado'!I:I,"&lt;="&amp;MIP[[#This Row],[C.B Sitrack]],'[1]Tempo parado'!B:B,MIP[[#This Row],[Placa]])</f>
        <v>0</v>
      </c>
      <c r="AG844" s="36"/>
      <c r="AH844" s="35"/>
      <c r="AI844" s="34"/>
      <c r="AJ844" s="34"/>
      <c r="AK84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4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44" s="32">
        <f>SUMIFS('[1]Tempo parado'!J:J,'[1]Tempo parado'!H:H,"&gt;="&amp;MIP[[#This Row],[S.B Sitrack]],'[1]Tempo parado'!I:I,"&lt;="&amp;MIP[[#This Row],[C.B Sitrack]],'[1]Tempo parado'!B:B,MIP[[#This Row],[Placa]])</f>
        <v>0</v>
      </c>
      <c r="AN844" s="31" t="str">
        <f>IFERROR(MIP[[#This Row],[Tempo parado]]/(MIP[[#This Row],[C.B Sitrack]]-MIP[[#This Row],[S.B Sitrack]]),"")</f>
        <v/>
      </c>
      <c r="AO844" s="30"/>
      <c r="AP844" s="29">
        <f>IF(AND(MIP[Exc]=0,MIP[Previsto / Realizado]="Realizado"),MIP[Sem],0)</f>
        <v>0</v>
      </c>
      <c r="AQ844" s="29">
        <f>IF(AND(MIP[Exc]=0,MIP[Previsto / Realizado]="Realizado",ISBLANK(MIP[[#This Row],[S.B Sitrack]])=FALSE,ISBLANK(MIP[[#This Row],[C.B Sitrack]])=FALSE),MIP[Sem],0)</f>
        <v>0</v>
      </c>
    </row>
    <row r="845" spans="2:43" x14ac:dyDescent="0.25">
      <c r="B845" s="29">
        <f>WEEKNUM(MIP[[#This Row],[Data]])</f>
        <v>49</v>
      </c>
      <c r="C845" s="45">
        <v>43073</v>
      </c>
      <c r="D845" s="45"/>
      <c r="E845" s="35" t="s">
        <v>19</v>
      </c>
      <c r="F845" s="35" t="s">
        <v>2</v>
      </c>
      <c r="G845" s="35"/>
      <c r="H845" s="44"/>
      <c r="I845" s="44">
        <v>6</v>
      </c>
      <c r="J845" s="44">
        <v>0</v>
      </c>
      <c r="K845" s="44">
        <v>0</v>
      </c>
      <c r="L845" s="44">
        <v>4</v>
      </c>
      <c r="M845" s="43">
        <v>0.65</v>
      </c>
      <c r="N845" s="43">
        <v>0.68958333333333333</v>
      </c>
      <c r="O845" s="43">
        <v>5.5555555555555558E-3</v>
      </c>
      <c r="P845" s="43">
        <v>3.6805555555555557E-2</v>
      </c>
      <c r="Q845" s="39"/>
      <c r="R845" s="42" t="s">
        <v>67</v>
      </c>
      <c r="S845" s="29">
        <f>MIP[[#This Row],[PT-1]]+MIP[[#This Row],[PT-2]]*2+MIP[[#This Row],[PT-3]]*3+MIP[[#This Row],[PT &gt; 3 Pontos]]</f>
        <v>10</v>
      </c>
      <c r="T84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7.0833333333333304E-2</v>
      </c>
      <c r="U845" s="39">
        <f>IF(MIP[[#This Row],[P.S]]-MIP[[#This Row],[U.P]]&gt;=0,MIP[[#This Row],[P.S]]-MIP[[#This Row],[U.P]]+MIP[[#This Row],[S.B]]-MIP[[#This Row],[P.E]],1+MIP[[#This Row],[P.S]]-MIP[[#This Row],[U.P]]+MIP[[#This Row],[S.B]]-MIP[[#This Row],[P.E]])</f>
        <v>7.0833333333333304E-2</v>
      </c>
      <c r="V845" s="41">
        <f>MIP[[#This Row],[Eficiência]]</f>
        <v>0.84266306895778542</v>
      </c>
      <c r="W845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45" s="39">
        <f>IF(MIP[[#This Row],[P.S]]-MIP[[#This Row],[P.E]]&lt;0,1+MIP[[#This Row],[P.S]]-MIP[[#This Row],[P.E]]-1/24,MIP[[#This Row],[P.S]]-MIP[[#This Row],[P.E]]-1/24)</f>
        <v>0.34513888888888883</v>
      </c>
      <c r="Y845" s="39">
        <f>MIP[[#This Row],[PT-1]]*$S$3+MIP[[#This Row],[PT-2]]*$T$3+MIP[[#This Row],[PT-3]]*$U$3+MIP[[#This Row],[PT &gt; 3 Pontos]]*$V$3</f>
        <v>0.23114716127661472</v>
      </c>
      <c r="Z845" s="39">
        <f>MIP[[#This Row],[HH disponível]]-MIP[[#This Row],[HH AC TOT]]</f>
        <v>0.27430555555555552</v>
      </c>
      <c r="AA845" s="38">
        <f>MIP[[#This Row],[HH Produtivo
Total]]/MIP[[#This Row],[HH Trabalhado]]</f>
        <v>0.84266306895778542</v>
      </c>
      <c r="AB845" s="38">
        <f>MIP[[#This Row],[HH Produtivo
Total]]/MIP[[#This Row],[HH disponível]]</f>
        <v>0.66972215742117758</v>
      </c>
      <c r="AC845" s="38">
        <f>MIP[[#This Row],[HH Trabalhado]]/MIP[[#This Row],[HH disponível]]</f>
        <v>0.79476861167002022</v>
      </c>
      <c r="AD845" s="37" t="str">
        <f>LEFT(MIP[[#This Row],[Equipe]], SEARCH("/",MIP[[#This Row],[Equipe]],1)-1)</f>
        <v xml:space="preserve">ADEMÁRIO </v>
      </c>
      <c r="AE845" s="37" t="str">
        <f>RIGHT(MIP[[#This Row],[Equipe]], LEN(MIP[[#This Row],[Equipe]])-SEARCH("/",MIP[[#This Row],[Equipe]],1))</f>
        <v xml:space="preserve"> RONALDO</v>
      </c>
      <c r="AF845" s="29">
        <f>COUNTIFS('[1]Tempo parado'!H:H,"&gt;="&amp;MIP[[#This Row],[S.B Sitrack]],'[1]Tempo parado'!I:I,"&lt;="&amp;MIP[[#This Row],[C.B Sitrack]],'[1]Tempo parado'!B:B,MIP[[#This Row],[Placa]])</f>
        <v>0</v>
      </c>
      <c r="AG845" s="36"/>
      <c r="AH845" s="35"/>
      <c r="AI845" s="34"/>
      <c r="AJ845" s="34"/>
      <c r="AK84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4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45" s="32">
        <f>SUMIFS('[1]Tempo parado'!J:J,'[1]Tempo parado'!H:H,"&gt;="&amp;MIP[[#This Row],[S.B Sitrack]],'[1]Tempo parado'!I:I,"&lt;="&amp;MIP[[#This Row],[C.B Sitrack]],'[1]Tempo parado'!B:B,MIP[[#This Row],[Placa]])</f>
        <v>0</v>
      </c>
      <c r="AN845" s="31" t="str">
        <f>IFERROR(MIP[[#This Row],[Tempo parado]]/(MIP[[#This Row],[C.B Sitrack]]-MIP[[#This Row],[S.B Sitrack]]),"")</f>
        <v/>
      </c>
      <c r="AO845" s="30"/>
      <c r="AP845" s="29">
        <f>IF(AND(MIP[Exc]=0,MIP[Previsto / Realizado]="Realizado"),MIP[Sem],0)</f>
        <v>49</v>
      </c>
      <c r="AQ845" s="29">
        <f>IF(AND(MIP[Exc]=0,MIP[Previsto / Realizado]="Realizado",ISBLANK(MIP[[#This Row],[S.B Sitrack]])=FALSE,ISBLANK(MIP[[#This Row],[C.B Sitrack]])=FALSE),MIP[Sem],0)</f>
        <v>0</v>
      </c>
    </row>
    <row r="846" spans="2:43" x14ac:dyDescent="0.25">
      <c r="B846" s="29">
        <f>WEEKNUM(MIP[[#This Row],[Data]])</f>
        <v>49</v>
      </c>
      <c r="C846" s="45">
        <v>43074</v>
      </c>
      <c r="D846" s="45"/>
      <c r="E846" s="35" t="s">
        <v>65</v>
      </c>
      <c r="F846" s="35" t="s">
        <v>5</v>
      </c>
      <c r="G846" s="35"/>
      <c r="H846" s="44"/>
      <c r="I846" s="44">
        <v>1</v>
      </c>
      <c r="J846" s="44">
        <v>0</v>
      </c>
      <c r="K846" s="44">
        <v>0</v>
      </c>
      <c r="L846" s="44">
        <v>0</v>
      </c>
      <c r="M846" s="43">
        <v>0.25</v>
      </c>
      <c r="N846" s="43">
        <v>0.2638888888888889</v>
      </c>
      <c r="O846" s="43">
        <v>0.62986111111111109</v>
      </c>
      <c r="P846" s="43">
        <v>0.65833333333333333</v>
      </c>
      <c r="Q846" s="39"/>
      <c r="R846" s="42" t="s">
        <v>66</v>
      </c>
      <c r="S846" s="29">
        <f>MIP[[#This Row],[PT-1]]+MIP[[#This Row],[PT-2]]*2+MIP[[#This Row],[PT-3]]*3+MIP[[#This Row],[PT &gt; 3 Pontos]]</f>
        <v>1</v>
      </c>
      <c r="T84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4.2361111111111127E-2</v>
      </c>
      <c r="U846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4.2361111111111127E-2</v>
      </c>
      <c r="V846" s="41">
        <f>MIP[[#This Row],[Eficiência]]</f>
        <v>7.7167512335909086E-2</v>
      </c>
      <c r="W846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46" s="39">
        <f>IF(MIP[[#This Row],[P.S]]-MIP[[#This Row],[P.E]]&lt;0,1+MIP[[#This Row],[P.S]]-MIP[[#This Row],[P.E]]-1/24,MIP[[#This Row],[P.S]]-MIP[[#This Row],[P.E]]-1/24)</f>
        <v>0.36666666666666664</v>
      </c>
      <c r="Y846" s="39">
        <f>MIP[[#This Row],[PT-1]]*$S$3+MIP[[#This Row],[PT-2]]*$T$3+MIP[[#This Row],[PT-3]]*$U$3+MIP[[#This Row],[PT &gt; 3 Pontos]]*$V$3</f>
        <v>2.5025852958937181E-2</v>
      </c>
      <c r="Z846" s="39">
        <f>MIP[[#This Row],[HH disponível]]-MIP[[#This Row],[HH AC TOT]]</f>
        <v>0.32430555555555551</v>
      </c>
      <c r="AA846" s="38">
        <f>MIP[[#This Row],[HH Produtivo
Total]]/MIP[[#This Row],[HH Trabalhado]]</f>
        <v>7.7167512335909086E-2</v>
      </c>
      <c r="AB846" s="38">
        <f>MIP[[#This Row],[HH Produtivo
Total]]/MIP[[#This Row],[HH disponível]]</f>
        <v>6.8252326251646858E-2</v>
      </c>
      <c r="AC846" s="38">
        <f>MIP[[#This Row],[HH Trabalhado]]/MIP[[#This Row],[HH disponível]]</f>
        <v>0.88446969696969691</v>
      </c>
      <c r="AD846" s="37" t="str">
        <f>LEFT(MIP[[#This Row],[Equipe]], SEARCH("/",MIP[[#This Row],[Equipe]],1)-1)</f>
        <v xml:space="preserve">CLAUDINEY </v>
      </c>
      <c r="AE846" s="37" t="str">
        <f>RIGHT(MIP[[#This Row],[Equipe]], LEN(MIP[[#This Row],[Equipe]])-SEARCH("/",MIP[[#This Row],[Equipe]],1))</f>
        <v xml:space="preserve"> JOILSON</v>
      </c>
      <c r="AF846" s="29">
        <f>COUNTIFS('[1]Tempo parado'!H:H,"&gt;="&amp;MIP[[#This Row],[S.B Sitrack]],'[1]Tempo parado'!I:I,"&lt;="&amp;MIP[[#This Row],[C.B Sitrack]],'[1]Tempo parado'!B:B,MIP[[#This Row],[Placa]])</f>
        <v>0</v>
      </c>
      <c r="AG846" s="36"/>
      <c r="AH846" s="35"/>
      <c r="AI846" s="34"/>
      <c r="AJ846" s="34"/>
      <c r="AK84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4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46" s="32">
        <f>SUMIFS('[1]Tempo parado'!J:J,'[1]Tempo parado'!H:H,"&gt;="&amp;MIP[[#This Row],[S.B Sitrack]],'[1]Tempo parado'!I:I,"&lt;="&amp;MIP[[#This Row],[C.B Sitrack]],'[1]Tempo parado'!B:B,MIP[[#This Row],[Placa]])</f>
        <v>0</v>
      </c>
      <c r="AN846" s="31" t="str">
        <f>IFERROR(MIP[[#This Row],[Tempo parado]]/(MIP[[#This Row],[C.B Sitrack]]-MIP[[#This Row],[S.B Sitrack]]),"")</f>
        <v/>
      </c>
      <c r="AO846" s="30"/>
      <c r="AP846" s="29">
        <f>IF(AND(MIP[Exc]=0,MIP[Previsto / Realizado]="Realizado"),MIP[Sem],0)</f>
        <v>0</v>
      </c>
      <c r="AQ846" s="29">
        <f>IF(AND(MIP[Exc]=0,MIP[Previsto / Realizado]="Realizado",ISBLANK(MIP[[#This Row],[S.B Sitrack]])=FALSE,ISBLANK(MIP[[#This Row],[C.B Sitrack]])=FALSE),MIP[Sem],0)</f>
        <v>0</v>
      </c>
    </row>
    <row r="847" spans="2:43" x14ac:dyDescent="0.25">
      <c r="B847" s="29">
        <f>WEEKNUM(MIP[[#This Row],[Data]])</f>
        <v>49</v>
      </c>
      <c r="C847" s="45">
        <v>43074</v>
      </c>
      <c r="D847" s="45"/>
      <c r="E847" s="35" t="s">
        <v>65</v>
      </c>
      <c r="F847" s="35" t="s">
        <v>2</v>
      </c>
      <c r="G847" s="35"/>
      <c r="H847" s="44"/>
      <c r="I847" s="44">
        <v>1</v>
      </c>
      <c r="J847" s="44">
        <v>0</v>
      </c>
      <c r="K847" s="44">
        <v>0</v>
      </c>
      <c r="L847" s="44">
        <v>0</v>
      </c>
      <c r="M847" s="43">
        <v>0.24583333333333335</v>
      </c>
      <c r="N847" s="43">
        <v>0.27083333333333331</v>
      </c>
      <c r="O847" s="43">
        <v>0.625</v>
      </c>
      <c r="P847" s="43">
        <v>0.66111111111111109</v>
      </c>
      <c r="Q847" s="39"/>
      <c r="R847" s="42" t="s">
        <v>64</v>
      </c>
      <c r="S847" s="29">
        <f>MIP[[#This Row],[PT-1]]+MIP[[#This Row],[PT-2]]*2+MIP[[#This Row],[PT-3]]*3+MIP[[#This Row],[PT &gt; 3 Pontos]]</f>
        <v>1</v>
      </c>
      <c r="T84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6.1111111111111061E-2</v>
      </c>
      <c r="U847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6.1111111111111061E-2</v>
      </c>
      <c r="V847" s="41">
        <f>MIP[[#This Row],[Eficiência]]</f>
        <v>8.0082729468598984E-2</v>
      </c>
      <c r="W847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47" s="39">
        <f>IF(MIP[[#This Row],[P.S]]-MIP[[#This Row],[P.E]]&lt;0,1+MIP[[#This Row],[P.S]]-MIP[[#This Row],[P.E]]-1/24,MIP[[#This Row],[P.S]]-MIP[[#This Row],[P.E]]-1/24)</f>
        <v>0.37361111111111106</v>
      </c>
      <c r="Y847" s="39">
        <f>MIP[[#This Row],[PT-1]]*$S$3+MIP[[#This Row],[PT-2]]*$T$3+MIP[[#This Row],[PT-3]]*$U$3+MIP[[#This Row],[PT &gt; 3 Pontos]]*$V$3</f>
        <v>2.5025852958937181E-2</v>
      </c>
      <c r="Z847" s="39">
        <f>MIP[[#This Row],[HH disponível]]-MIP[[#This Row],[HH AC TOT]]</f>
        <v>0.3125</v>
      </c>
      <c r="AA847" s="38">
        <f>MIP[[#This Row],[HH Produtivo
Total]]/MIP[[#This Row],[HH Trabalhado]]</f>
        <v>8.0082729468598984E-2</v>
      </c>
      <c r="AB847" s="38">
        <f>MIP[[#This Row],[HH Produtivo
Total]]/MIP[[#This Row],[HH disponível]]</f>
        <v>6.698369565217388E-2</v>
      </c>
      <c r="AC847" s="38">
        <f>MIP[[#This Row],[HH Trabalhado]]/MIP[[#This Row],[HH disponível]]</f>
        <v>0.8364312267657994</v>
      </c>
      <c r="AD847" s="37" t="str">
        <f>LEFT(MIP[[#This Row],[Equipe]], SEARCH("/",MIP[[#This Row],[Equipe]],1)-1)</f>
        <v xml:space="preserve">CLAUDINEY </v>
      </c>
      <c r="AE847" s="37" t="str">
        <f>RIGHT(MIP[[#This Row],[Equipe]], LEN(MIP[[#This Row],[Equipe]])-SEARCH("/",MIP[[#This Row],[Equipe]],1))</f>
        <v xml:space="preserve"> JOILSON</v>
      </c>
      <c r="AF847" s="29">
        <f>COUNTIFS('[1]Tempo parado'!H:H,"&gt;="&amp;MIP[[#This Row],[S.B Sitrack]],'[1]Tempo parado'!I:I,"&lt;="&amp;MIP[[#This Row],[C.B Sitrack]],'[1]Tempo parado'!B:B,MIP[[#This Row],[Placa]])</f>
        <v>0</v>
      </c>
      <c r="AG847" s="36"/>
      <c r="AH847" s="35"/>
      <c r="AI847" s="34"/>
      <c r="AJ847" s="34"/>
      <c r="AK84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4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47" s="32">
        <f>SUMIFS('[1]Tempo parado'!J:J,'[1]Tempo parado'!H:H,"&gt;="&amp;MIP[[#This Row],[S.B Sitrack]],'[1]Tempo parado'!I:I,"&lt;="&amp;MIP[[#This Row],[C.B Sitrack]],'[1]Tempo parado'!B:B,MIP[[#This Row],[Placa]])</f>
        <v>0</v>
      </c>
      <c r="AN847" s="31" t="str">
        <f>IFERROR(MIP[[#This Row],[Tempo parado]]/(MIP[[#This Row],[C.B Sitrack]]-MIP[[#This Row],[S.B Sitrack]]),"")</f>
        <v/>
      </c>
      <c r="AO847" s="30"/>
      <c r="AP847" s="29">
        <f>IF(AND(MIP[Exc]=0,MIP[Previsto / Realizado]="Realizado"),MIP[Sem],0)</f>
        <v>49</v>
      </c>
      <c r="AQ847" s="29">
        <f>IF(AND(MIP[Exc]=0,MIP[Previsto / Realizado]="Realizado",ISBLANK(MIP[[#This Row],[S.B Sitrack]])=FALSE,ISBLANK(MIP[[#This Row],[C.B Sitrack]])=FALSE),MIP[Sem],0)</f>
        <v>0</v>
      </c>
    </row>
    <row r="848" spans="2:43" x14ac:dyDescent="0.25">
      <c r="B848" s="29">
        <f>WEEKNUM(MIP[[#This Row],[Data]])</f>
        <v>49</v>
      </c>
      <c r="C848" s="45">
        <v>43074</v>
      </c>
      <c r="D848" s="45"/>
      <c r="E848" s="35" t="s">
        <v>63</v>
      </c>
      <c r="F848" s="35" t="s">
        <v>5</v>
      </c>
      <c r="G848" s="35"/>
      <c r="H848" s="44"/>
      <c r="I848" s="44">
        <v>4</v>
      </c>
      <c r="J848" s="44">
        <v>2</v>
      </c>
      <c r="K848" s="44">
        <v>0</v>
      </c>
      <c r="L848" s="44">
        <v>0</v>
      </c>
      <c r="M848" s="43">
        <v>0.625</v>
      </c>
      <c r="N848" s="43">
        <v>0.63750000000000007</v>
      </c>
      <c r="O848" s="43">
        <v>4.8611111111111112E-3</v>
      </c>
      <c r="P848" s="43">
        <v>3.3333333333333333E-2</v>
      </c>
      <c r="Q848" s="39"/>
      <c r="R848" s="42"/>
      <c r="S848" s="29">
        <f>MIP[[#This Row],[PT-1]]+MIP[[#This Row],[PT-2]]*2+MIP[[#This Row],[PT-3]]*3+MIP[[#This Row],[PT &gt; 3 Pontos]]</f>
        <v>8</v>
      </c>
      <c r="T84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4.0972222222222299E-2</v>
      </c>
      <c r="U848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4.0972222222222299E-2</v>
      </c>
      <c r="V848" s="41">
        <f>MIP[[#This Row],[Eficiência]]</f>
        <v>0.57698541454219565</v>
      </c>
      <c r="W848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48" s="39">
        <f>IF(MIP[[#This Row],[P.S]]-MIP[[#This Row],[P.E]]&lt;0,1+MIP[[#This Row],[P.S]]-MIP[[#This Row],[P.E]]-1/24,MIP[[#This Row],[P.S]]-MIP[[#This Row],[P.E]]-1/24)</f>
        <v>0.36666666666666675</v>
      </c>
      <c r="Y848" s="39">
        <f>MIP[[#This Row],[PT-1]]*$S$3+MIP[[#This Row],[PT-2]]*$T$3+MIP[[#This Row],[PT-3]]*$U$3+MIP[[#This Row],[PT &gt; 3 Pontos]]*$V$3</f>
        <v>0.18792094404186788</v>
      </c>
      <c r="Z848" s="39">
        <f>MIP[[#This Row],[HH disponível]]-MIP[[#This Row],[HH AC TOT]]</f>
        <v>0.32569444444444445</v>
      </c>
      <c r="AA848" s="38">
        <f>MIP[[#This Row],[HH Produtivo
Total]]/MIP[[#This Row],[HH Trabalhado]]</f>
        <v>0.57698541454219565</v>
      </c>
      <c r="AB848" s="38">
        <f>MIP[[#This Row],[HH Produtivo
Total]]/MIP[[#This Row],[HH disponível]]</f>
        <v>0.5125116655687304</v>
      </c>
      <c r="AC848" s="38">
        <f>MIP[[#This Row],[HH Trabalhado]]/MIP[[#This Row],[HH disponível]]</f>
        <v>0.88825757575757558</v>
      </c>
      <c r="AD848" s="37" t="str">
        <f>LEFT(MIP[[#This Row],[Equipe]], SEARCH("/",MIP[[#This Row],[Equipe]],1)-1)</f>
        <v xml:space="preserve">VADEI </v>
      </c>
      <c r="AE848" s="37" t="str">
        <f>RIGHT(MIP[[#This Row],[Equipe]], LEN(MIP[[#This Row],[Equipe]])-SEARCH("/",MIP[[#This Row],[Equipe]],1))</f>
        <v xml:space="preserve"> GECIVALDO</v>
      </c>
      <c r="AF848" s="29">
        <f>COUNTIFS('[1]Tempo parado'!H:H,"&gt;="&amp;MIP[[#This Row],[S.B Sitrack]],'[1]Tempo parado'!I:I,"&lt;="&amp;MIP[[#This Row],[C.B Sitrack]],'[1]Tempo parado'!B:B,MIP[[#This Row],[Placa]])</f>
        <v>0</v>
      </c>
      <c r="AG848" s="36"/>
      <c r="AH848" s="35"/>
      <c r="AI848" s="34"/>
      <c r="AJ848" s="34"/>
      <c r="AK84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4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48" s="32">
        <f>SUMIFS('[1]Tempo parado'!J:J,'[1]Tempo parado'!H:H,"&gt;="&amp;MIP[[#This Row],[S.B Sitrack]],'[1]Tempo parado'!I:I,"&lt;="&amp;MIP[[#This Row],[C.B Sitrack]],'[1]Tempo parado'!B:B,MIP[[#This Row],[Placa]])</f>
        <v>0</v>
      </c>
      <c r="AN848" s="31" t="str">
        <f>IFERROR(MIP[[#This Row],[Tempo parado]]/(MIP[[#This Row],[C.B Sitrack]]-MIP[[#This Row],[S.B Sitrack]]),"")</f>
        <v/>
      </c>
      <c r="AO848" s="30"/>
      <c r="AP848" s="29">
        <f>IF(AND(MIP[Exc]=0,MIP[Previsto / Realizado]="Realizado"),MIP[Sem],0)</f>
        <v>0</v>
      </c>
      <c r="AQ848" s="29">
        <f>IF(AND(MIP[Exc]=0,MIP[Previsto / Realizado]="Realizado",ISBLANK(MIP[[#This Row],[S.B Sitrack]])=FALSE,ISBLANK(MIP[[#This Row],[C.B Sitrack]])=FALSE),MIP[Sem],0)</f>
        <v>0</v>
      </c>
    </row>
    <row r="849" spans="2:43" x14ac:dyDescent="0.25">
      <c r="B849" s="29">
        <f>WEEKNUM(MIP[[#This Row],[Data]])</f>
        <v>49</v>
      </c>
      <c r="C849" s="45">
        <v>43074</v>
      </c>
      <c r="D849" s="45"/>
      <c r="E849" s="35" t="s">
        <v>63</v>
      </c>
      <c r="F849" s="35" t="s">
        <v>2</v>
      </c>
      <c r="G849" s="35"/>
      <c r="H849" s="44"/>
      <c r="I849" s="44">
        <v>7</v>
      </c>
      <c r="J849" s="44">
        <v>2</v>
      </c>
      <c r="K849" s="44">
        <v>0</v>
      </c>
      <c r="L849" s="44">
        <v>0</v>
      </c>
      <c r="M849" s="43">
        <v>0.61944444444444446</v>
      </c>
      <c r="N849" s="43">
        <v>0.65555555555555556</v>
      </c>
      <c r="O849" s="43">
        <v>0.97916666666666663</v>
      </c>
      <c r="P849" s="43">
        <v>0</v>
      </c>
      <c r="Q849" s="39"/>
      <c r="R849" s="42"/>
      <c r="S849" s="29">
        <f>MIP[[#This Row],[PT-1]]+MIP[[#This Row],[PT-2]]*2+MIP[[#This Row],[PT-3]]*3+MIP[[#This Row],[PT &gt; 3 Pontos]]</f>
        <v>11</v>
      </c>
      <c r="T84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5.6944444444444464E-2</v>
      </c>
      <c r="U849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5.6944444444444464E-2</v>
      </c>
      <c r="V849" s="41">
        <f>MIP[[#This Row],[Eficiência]]</f>
        <v>0.93280257192832139</v>
      </c>
      <c r="W849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49" s="39">
        <f>IF(MIP[[#This Row],[P.S]]-MIP[[#This Row],[P.E]]&lt;0,1+MIP[[#This Row],[P.S]]-MIP[[#This Row],[P.E]]-1/24,MIP[[#This Row],[P.S]]-MIP[[#This Row],[P.E]]-1/24)</f>
        <v>0.33888888888888885</v>
      </c>
      <c r="Y849" s="39">
        <f>MIP[[#This Row],[PT-1]]*$S$3+MIP[[#This Row],[PT-2]]*$T$3+MIP[[#This Row],[PT-3]]*$U$3+MIP[[#This Row],[PT &gt; 3 Pontos]]*$V$3</f>
        <v>0.26299850291867943</v>
      </c>
      <c r="Z849" s="39">
        <f>MIP[[#This Row],[HH disponível]]-MIP[[#This Row],[HH AC TOT]]</f>
        <v>0.28194444444444439</v>
      </c>
      <c r="AA849" s="38">
        <f>MIP[[#This Row],[HH Produtivo
Total]]/MIP[[#This Row],[HH Trabalhado]]</f>
        <v>0.93280257192832139</v>
      </c>
      <c r="AB849" s="38">
        <f>MIP[[#This Row],[HH Produtivo
Total]]/MIP[[#This Row],[HH disponível]]</f>
        <v>0.77606115615348037</v>
      </c>
      <c r="AC849" s="38">
        <f>MIP[[#This Row],[HH Trabalhado]]/MIP[[#This Row],[HH disponível]]</f>
        <v>0.83196721311475397</v>
      </c>
      <c r="AD849" s="37" t="str">
        <f>LEFT(MIP[[#This Row],[Equipe]], SEARCH("/",MIP[[#This Row],[Equipe]],1)-1)</f>
        <v xml:space="preserve">VADEI </v>
      </c>
      <c r="AE849" s="37" t="str">
        <f>RIGHT(MIP[[#This Row],[Equipe]], LEN(MIP[[#This Row],[Equipe]])-SEARCH("/",MIP[[#This Row],[Equipe]],1))</f>
        <v xml:space="preserve"> GECIVALDO</v>
      </c>
      <c r="AF849" s="29">
        <f>COUNTIFS('[1]Tempo parado'!H:H,"&gt;="&amp;MIP[[#This Row],[S.B Sitrack]],'[1]Tempo parado'!I:I,"&lt;="&amp;MIP[[#This Row],[C.B Sitrack]],'[1]Tempo parado'!B:B,MIP[[#This Row],[Placa]])</f>
        <v>0</v>
      </c>
      <c r="AG849" s="36"/>
      <c r="AH849" s="35"/>
      <c r="AI849" s="34"/>
      <c r="AJ849" s="34"/>
      <c r="AK84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4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49" s="32">
        <f>SUMIFS('[1]Tempo parado'!J:J,'[1]Tempo parado'!H:H,"&gt;="&amp;MIP[[#This Row],[S.B Sitrack]],'[1]Tempo parado'!I:I,"&lt;="&amp;MIP[[#This Row],[C.B Sitrack]],'[1]Tempo parado'!B:B,MIP[[#This Row],[Placa]])</f>
        <v>0</v>
      </c>
      <c r="AN849" s="31" t="str">
        <f>IFERROR(MIP[[#This Row],[Tempo parado]]/(MIP[[#This Row],[C.B Sitrack]]-MIP[[#This Row],[S.B Sitrack]]),"")</f>
        <v/>
      </c>
      <c r="AO849" s="30"/>
      <c r="AP849" s="29">
        <f>IF(AND(MIP[Exc]=0,MIP[Previsto / Realizado]="Realizado"),MIP[Sem],0)</f>
        <v>49</v>
      </c>
      <c r="AQ849" s="29">
        <f>IF(AND(MIP[Exc]=0,MIP[Previsto / Realizado]="Realizado",ISBLANK(MIP[[#This Row],[S.B Sitrack]])=FALSE,ISBLANK(MIP[[#This Row],[C.B Sitrack]])=FALSE),MIP[Sem],0)</f>
        <v>0</v>
      </c>
    </row>
    <row r="850" spans="2:43" x14ac:dyDescent="0.25">
      <c r="B850" s="29">
        <f>WEEKNUM(MIP[[#This Row],[Data]])</f>
        <v>49</v>
      </c>
      <c r="C850" s="45">
        <v>43074</v>
      </c>
      <c r="D850" s="45"/>
      <c r="E850" s="35" t="s">
        <v>19</v>
      </c>
      <c r="F850" s="35" t="s">
        <v>5</v>
      </c>
      <c r="G850" s="35"/>
      <c r="H850" s="44"/>
      <c r="I850" s="44">
        <v>4</v>
      </c>
      <c r="J850" s="44">
        <v>3</v>
      </c>
      <c r="K850" s="44">
        <v>0</v>
      </c>
      <c r="L850" s="44">
        <v>0</v>
      </c>
      <c r="M850" s="43">
        <v>0.625</v>
      </c>
      <c r="N850" s="43">
        <v>0.63750000000000007</v>
      </c>
      <c r="O850" s="43">
        <v>4.8611111111111112E-3</v>
      </c>
      <c r="P850" s="43">
        <v>3.3333333333333333E-2</v>
      </c>
      <c r="Q850" s="39"/>
      <c r="R850" s="42"/>
      <c r="S850" s="29">
        <f>MIP[[#This Row],[PT-1]]+MIP[[#This Row],[PT-2]]*2+MIP[[#This Row],[PT-3]]*3+MIP[[#This Row],[PT &gt; 3 Pontos]]</f>
        <v>10</v>
      </c>
      <c r="T85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4.0972222222222299E-2</v>
      </c>
      <c r="U850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4.0972222222222299E-2</v>
      </c>
      <c r="V850" s="41">
        <f>MIP[[#This Row],[Eficiência]]</f>
        <v>0.7118012422360247</v>
      </c>
      <c r="W850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50" s="39">
        <f>IF(MIP[[#This Row],[P.S]]-MIP[[#This Row],[P.E]]&lt;0,1+MIP[[#This Row],[P.S]]-MIP[[#This Row],[P.E]]-1/24,MIP[[#This Row],[P.S]]-MIP[[#This Row],[P.E]]-1/24)</f>
        <v>0.36666666666666675</v>
      </c>
      <c r="Y850" s="39">
        <f>MIP[[#This Row],[PT-1]]*$S$3+MIP[[#This Row],[PT-2]]*$T$3+MIP[[#This Row],[PT-3]]*$U$3+MIP[[#This Row],[PT &gt; 3 Pontos]]*$V$3</f>
        <v>0.23182971014492748</v>
      </c>
      <c r="Z850" s="39">
        <f>MIP[[#This Row],[HH disponível]]-MIP[[#This Row],[HH AC TOT]]</f>
        <v>0.32569444444444445</v>
      </c>
      <c r="AA850" s="38">
        <f>MIP[[#This Row],[HH Produtivo
Total]]/MIP[[#This Row],[HH Trabalhado]]</f>
        <v>0.7118012422360247</v>
      </c>
      <c r="AB850" s="38">
        <f>MIP[[#This Row],[HH Produtivo
Total]]/MIP[[#This Row],[HH disponível]]</f>
        <v>0.63226284584980208</v>
      </c>
      <c r="AC850" s="38">
        <f>MIP[[#This Row],[HH Trabalhado]]/MIP[[#This Row],[HH disponível]]</f>
        <v>0.88825757575757558</v>
      </c>
      <c r="AD850" s="37" t="str">
        <f>LEFT(MIP[[#This Row],[Equipe]], SEARCH("/",MIP[[#This Row],[Equipe]],1)-1)</f>
        <v xml:space="preserve">ADEMÁRIO </v>
      </c>
      <c r="AE850" s="37" t="str">
        <f>RIGHT(MIP[[#This Row],[Equipe]], LEN(MIP[[#This Row],[Equipe]])-SEARCH("/",MIP[[#This Row],[Equipe]],1))</f>
        <v xml:space="preserve"> RONALDO</v>
      </c>
      <c r="AF850" s="29">
        <f>COUNTIFS('[1]Tempo parado'!H:H,"&gt;="&amp;MIP[[#This Row],[S.B Sitrack]],'[1]Tempo parado'!I:I,"&lt;="&amp;MIP[[#This Row],[C.B Sitrack]],'[1]Tempo parado'!B:B,MIP[[#This Row],[Placa]])</f>
        <v>0</v>
      </c>
      <c r="AG850" s="36"/>
      <c r="AH850" s="35"/>
      <c r="AI850" s="34"/>
      <c r="AJ850" s="34"/>
      <c r="AK85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5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50" s="32">
        <f>SUMIFS('[1]Tempo parado'!J:J,'[1]Tempo parado'!H:H,"&gt;="&amp;MIP[[#This Row],[S.B Sitrack]],'[1]Tempo parado'!I:I,"&lt;="&amp;MIP[[#This Row],[C.B Sitrack]],'[1]Tempo parado'!B:B,MIP[[#This Row],[Placa]])</f>
        <v>0</v>
      </c>
      <c r="AN850" s="31" t="str">
        <f>IFERROR(MIP[[#This Row],[Tempo parado]]/(MIP[[#This Row],[C.B Sitrack]]-MIP[[#This Row],[S.B Sitrack]]),"")</f>
        <v/>
      </c>
      <c r="AO850" s="30"/>
      <c r="AP850" s="29">
        <f>IF(AND(MIP[Exc]=0,MIP[Previsto / Realizado]="Realizado"),MIP[Sem],0)</f>
        <v>0</v>
      </c>
      <c r="AQ850" s="29">
        <f>IF(AND(MIP[Exc]=0,MIP[Previsto / Realizado]="Realizado",ISBLANK(MIP[[#This Row],[S.B Sitrack]])=FALSE,ISBLANK(MIP[[#This Row],[C.B Sitrack]])=FALSE),MIP[Sem],0)</f>
        <v>0</v>
      </c>
    </row>
    <row r="851" spans="2:43" x14ac:dyDescent="0.25">
      <c r="B851" s="29">
        <f>WEEKNUM(MIP[[#This Row],[Data]])</f>
        <v>49</v>
      </c>
      <c r="C851" s="45">
        <v>43074</v>
      </c>
      <c r="D851" s="45"/>
      <c r="E851" s="35" t="s">
        <v>19</v>
      </c>
      <c r="F851" s="35" t="s">
        <v>2</v>
      </c>
      <c r="G851" s="35"/>
      <c r="H851" s="44"/>
      <c r="I851" s="44">
        <v>9</v>
      </c>
      <c r="J851" s="44">
        <v>0</v>
      </c>
      <c r="K851" s="44">
        <v>0</v>
      </c>
      <c r="L851" s="44">
        <v>0</v>
      </c>
      <c r="M851" s="43">
        <v>0.625</v>
      </c>
      <c r="N851" s="43">
        <v>0.64583333333333337</v>
      </c>
      <c r="O851" s="43">
        <v>8.3333333333333332E-3</v>
      </c>
      <c r="P851" s="43">
        <v>3.3333333333333333E-2</v>
      </c>
      <c r="Q851" s="39"/>
      <c r="R851" s="42" t="s">
        <v>62</v>
      </c>
      <c r="S851" s="29">
        <f>MIP[[#This Row],[PT-1]]+MIP[[#This Row],[PT-2]]*2+MIP[[#This Row],[PT-3]]*3+MIP[[#This Row],[PT &gt; 3 Pontos]]</f>
        <v>9</v>
      </c>
      <c r="T85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4.5833333333333393E-2</v>
      </c>
      <c r="U851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4.5833333333333393E-2</v>
      </c>
      <c r="V851" s="41">
        <f>MIP[[#This Row],[Eficiência]]</f>
        <v>0.70202392715979611</v>
      </c>
      <c r="W851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51" s="39">
        <f>IF(MIP[[#This Row],[P.S]]-MIP[[#This Row],[P.E]]&lt;0,1+MIP[[#This Row],[P.S]]-MIP[[#This Row],[P.E]]-1/24,MIP[[#This Row],[P.S]]-MIP[[#This Row],[P.E]]-1/24)</f>
        <v>0.36666666666666675</v>
      </c>
      <c r="Y851" s="39">
        <f>MIP[[#This Row],[PT-1]]*$S$3+MIP[[#This Row],[PT-2]]*$T$3+MIP[[#This Row],[PT-3]]*$U$3+MIP[[#This Row],[PT &gt; 3 Pontos]]*$V$3</f>
        <v>0.22523267663043461</v>
      </c>
      <c r="Z851" s="39">
        <f>MIP[[#This Row],[HH disponível]]-MIP[[#This Row],[HH AC TOT]]</f>
        <v>0.32083333333333336</v>
      </c>
      <c r="AA851" s="38">
        <f>MIP[[#This Row],[HH Produtivo
Total]]/MIP[[#This Row],[HH Trabalhado]]</f>
        <v>0.70202392715979611</v>
      </c>
      <c r="AB851" s="38">
        <f>MIP[[#This Row],[HH Produtivo
Total]]/MIP[[#This Row],[HH disponível]]</f>
        <v>0.61427093626482154</v>
      </c>
      <c r="AC851" s="38">
        <f>MIP[[#This Row],[HH Trabalhado]]/MIP[[#This Row],[HH disponível]]</f>
        <v>0.87499999999999989</v>
      </c>
      <c r="AD851" s="37" t="str">
        <f>LEFT(MIP[[#This Row],[Equipe]], SEARCH("/",MIP[[#This Row],[Equipe]],1)-1)</f>
        <v xml:space="preserve">ADEMÁRIO </v>
      </c>
      <c r="AE851" s="37" t="str">
        <f>RIGHT(MIP[[#This Row],[Equipe]], LEN(MIP[[#This Row],[Equipe]])-SEARCH("/",MIP[[#This Row],[Equipe]],1))</f>
        <v xml:space="preserve"> RONALDO</v>
      </c>
      <c r="AF851" s="29">
        <f>COUNTIFS('[1]Tempo parado'!H:H,"&gt;="&amp;MIP[[#This Row],[S.B Sitrack]],'[1]Tempo parado'!I:I,"&lt;="&amp;MIP[[#This Row],[C.B Sitrack]],'[1]Tempo parado'!B:B,MIP[[#This Row],[Placa]])</f>
        <v>0</v>
      </c>
      <c r="AG851" s="36"/>
      <c r="AH851" s="35"/>
      <c r="AI851" s="34"/>
      <c r="AJ851" s="34"/>
      <c r="AK85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5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51" s="32">
        <f>SUMIFS('[1]Tempo parado'!J:J,'[1]Tempo parado'!H:H,"&gt;="&amp;MIP[[#This Row],[S.B Sitrack]],'[1]Tempo parado'!I:I,"&lt;="&amp;MIP[[#This Row],[C.B Sitrack]],'[1]Tempo parado'!B:B,MIP[[#This Row],[Placa]])</f>
        <v>0</v>
      </c>
      <c r="AN851" s="31" t="str">
        <f>IFERROR(MIP[[#This Row],[Tempo parado]]/(MIP[[#This Row],[C.B Sitrack]]-MIP[[#This Row],[S.B Sitrack]]),"")</f>
        <v/>
      </c>
      <c r="AO851" s="30"/>
      <c r="AP851" s="29">
        <f>IF(AND(MIP[Exc]=0,MIP[Previsto / Realizado]="Realizado"),MIP[Sem],0)</f>
        <v>49</v>
      </c>
      <c r="AQ851" s="29">
        <f>IF(AND(MIP[Exc]=0,MIP[Previsto / Realizado]="Realizado",ISBLANK(MIP[[#This Row],[S.B Sitrack]])=FALSE,ISBLANK(MIP[[#This Row],[C.B Sitrack]])=FALSE),MIP[Sem],0)</f>
        <v>0</v>
      </c>
    </row>
    <row r="852" spans="2:43" x14ac:dyDescent="0.25">
      <c r="B852" s="29">
        <f>WEEKNUM(MIP[[#This Row],[Data]])</f>
        <v>49</v>
      </c>
      <c r="C852" s="45">
        <v>43074</v>
      </c>
      <c r="D852" s="45"/>
      <c r="E852" s="35" t="s">
        <v>7</v>
      </c>
      <c r="F852" s="35" t="s">
        <v>5</v>
      </c>
      <c r="G852" s="35"/>
      <c r="H852" s="44"/>
      <c r="I852" s="44">
        <v>4</v>
      </c>
      <c r="J852" s="44">
        <v>1</v>
      </c>
      <c r="K852" s="44">
        <v>1</v>
      </c>
      <c r="L852" s="44">
        <v>0</v>
      </c>
      <c r="M852" s="43">
        <v>0.625</v>
      </c>
      <c r="N852" s="43">
        <v>0.63750000000000007</v>
      </c>
      <c r="O852" s="43">
        <v>4.8611111111111112E-3</v>
      </c>
      <c r="P852" s="43">
        <v>3.3333333333333333E-2</v>
      </c>
      <c r="Q852" s="39"/>
      <c r="R852" s="42" t="s">
        <v>61</v>
      </c>
      <c r="S852" s="29">
        <f>MIP[[#This Row],[PT-1]]+MIP[[#This Row],[PT-2]]*2+MIP[[#This Row],[PT-3]]*3+MIP[[#This Row],[PT &gt; 3 Pontos]]</f>
        <v>9</v>
      </c>
      <c r="T85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4.0972222222222299E-2</v>
      </c>
      <c r="U852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4.0972222222222299E-2</v>
      </c>
      <c r="V852" s="41">
        <f>MIP[[#This Row],[Eficiência]]</f>
        <v>0.63496280244739023</v>
      </c>
      <c r="W852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52" s="39">
        <f>IF(MIP[[#This Row],[P.S]]-MIP[[#This Row],[P.E]]&lt;0,1+MIP[[#This Row],[P.S]]-MIP[[#This Row],[P.E]]-1/24,MIP[[#This Row],[P.S]]-MIP[[#This Row],[P.E]]-1/24)</f>
        <v>0.36666666666666675</v>
      </c>
      <c r="Y852" s="39">
        <f>MIP[[#This Row],[PT-1]]*$S$3+MIP[[#This Row],[PT-2]]*$T$3+MIP[[#This Row],[PT-3]]*$U$3+MIP[[#This Row],[PT &gt; 3 Pontos]]*$V$3</f>
        <v>0.20680385718599029</v>
      </c>
      <c r="Z852" s="39">
        <f>MIP[[#This Row],[HH disponível]]-MIP[[#This Row],[HH AC TOT]]</f>
        <v>0.32569444444444445</v>
      </c>
      <c r="AA852" s="38">
        <f>MIP[[#This Row],[HH Produtivo
Total]]/MIP[[#This Row],[HH Trabalhado]]</f>
        <v>0.63496280244739023</v>
      </c>
      <c r="AB852" s="38">
        <f>MIP[[#This Row],[HH Produtivo
Total]]/MIP[[#This Row],[HH disponível]]</f>
        <v>0.56401051959815518</v>
      </c>
      <c r="AC852" s="38">
        <f>MIP[[#This Row],[HH Trabalhado]]/MIP[[#This Row],[HH disponível]]</f>
        <v>0.88825757575757558</v>
      </c>
      <c r="AD852" s="37" t="str">
        <f>LEFT(MIP[[#This Row],[Equipe]], SEARCH("/",MIP[[#This Row],[Equipe]],1)-1)</f>
        <v xml:space="preserve">ANDERSON </v>
      </c>
      <c r="AE852" s="37" t="str">
        <f>RIGHT(MIP[[#This Row],[Equipe]], LEN(MIP[[#This Row],[Equipe]])-SEARCH("/",MIP[[#This Row],[Equipe]],1))</f>
        <v xml:space="preserve"> MARCO</v>
      </c>
      <c r="AF852" s="29">
        <f>COUNTIFS('[1]Tempo parado'!H:H,"&gt;="&amp;MIP[[#This Row],[S.B Sitrack]],'[1]Tempo parado'!I:I,"&lt;="&amp;MIP[[#This Row],[C.B Sitrack]],'[1]Tempo parado'!B:B,MIP[[#This Row],[Placa]])</f>
        <v>0</v>
      </c>
      <c r="AG852" s="36"/>
      <c r="AH852" s="35"/>
      <c r="AI852" s="34"/>
      <c r="AJ852" s="34"/>
      <c r="AK85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5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52" s="32">
        <f>SUMIFS('[1]Tempo parado'!J:J,'[1]Tempo parado'!H:H,"&gt;="&amp;MIP[[#This Row],[S.B Sitrack]],'[1]Tempo parado'!I:I,"&lt;="&amp;MIP[[#This Row],[C.B Sitrack]],'[1]Tempo parado'!B:B,MIP[[#This Row],[Placa]])</f>
        <v>0</v>
      </c>
      <c r="AN852" s="31" t="str">
        <f>IFERROR(MIP[[#This Row],[Tempo parado]]/(MIP[[#This Row],[C.B Sitrack]]-MIP[[#This Row],[S.B Sitrack]]),"")</f>
        <v/>
      </c>
      <c r="AO852" s="30"/>
      <c r="AP852" s="29">
        <f>IF(AND(MIP[Exc]=0,MIP[Previsto / Realizado]="Realizado"),MIP[Sem],0)</f>
        <v>0</v>
      </c>
      <c r="AQ852" s="29">
        <f>IF(AND(MIP[Exc]=0,MIP[Previsto / Realizado]="Realizado",ISBLANK(MIP[[#This Row],[S.B Sitrack]])=FALSE,ISBLANK(MIP[[#This Row],[C.B Sitrack]])=FALSE),MIP[Sem],0)</f>
        <v>0</v>
      </c>
    </row>
    <row r="853" spans="2:43" x14ac:dyDescent="0.25">
      <c r="B853" s="29">
        <f>WEEKNUM(MIP[[#This Row],[Data]])</f>
        <v>49</v>
      </c>
      <c r="C853" s="45">
        <v>43074</v>
      </c>
      <c r="D853" s="45"/>
      <c r="E853" s="35" t="s">
        <v>7</v>
      </c>
      <c r="F853" s="35" t="s">
        <v>2</v>
      </c>
      <c r="G853" s="35"/>
      <c r="H853" s="44"/>
      <c r="I853" s="44">
        <v>7</v>
      </c>
      <c r="J853" s="44">
        <v>1</v>
      </c>
      <c r="K853" s="44">
        <v>1</v>
      </c>
      <c r="L853" s="44">
        <v>0</v>
      </c>
      <c r="M853" s="43">
        <v>0.625</v>
      </c>
      <c r="N853" s="43">
        <v>0.64583333333333337</v>
      </c>
      <c r="O853" s="43">
        <v>0</v>
      </c>
      <c r="P853" s="43">
        <v>2.0833333333333332E-2</v>
      </c>
      <c r="Q853" s="39"/>
      <c r="R853" s="42"/>
      <c r="S853" s="29">
        <f>MIP[[#This Row],[PT-1]]+MIP[[#This Row],[PT-2]]*2+MIP[[#This Row],[PT-3]]*3+MIP[[#This Row],[PT &gt; 3 Pontos]]</f>
        <v>12</v>
      </c>
      <c r="T85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4.1666666666666741E-2</v>
      </c>
      <c r="U853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4.1666666666666741E-2</v>
      </c>
      <c r="V853" s="41">
        <f>MIP[[#This Row],[Eficiência]]</f>
        <v>0.90202053140096627</v>
      </c>
      <c r="W853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53" s="39">
        <f>IF(MIP[[#This Row],[P.S]]-MIP[[#This Row],[P.E]]&lt;0,1+MIP[[#This Row],[P.S]]-MIP[[#This Row],[P.E]]-1/24,MIP[[#This Row],[P.S]]-MIP[[#This Row],[P.E]]-1/24)</f>
        <v>0.35416666666666657</v>
      </c>
      <c r="Y853" s="39">
        <f>MIP[[#This Row],[PT-1]]*$S$3+MIP[[#This Row],[PT-2]]*$T$3+MIP[[#This Row],[PT-3]]*$U$3+MIP[[#This Row],[PT &gt; 3 Pontos]]*$V$3</f>
        <v>0.28188141606280182</v>
      </c>
      <c r="Z853" s="39">
        <f>MIP[[#This Row],[HH disponível]]-MIP[[#This Row],[HH AC TOT]]</f>
        <v>0.31249999999999983</v>
      </c>
      <c r="AA853" s="38">
        <f>MIP[[#This Row],[HH Produtivo
Total]]/MIP[[#This Row],[HH Trabalhado]]</f>
        <v>0.90202053140096627</v>
      </c>
      <c r="AB853" s="38">
        <f>MIP[[#This Row],[HH Produtivo
Total]]/MIP[[#This Row],[HH disponível]]</f>
        <v>0.79590046888320531</v>
      </c>
      <c r="AC853" s="38">
        <f>MIP[[#This Row],[HH Trabalhado]]/MIP[[#This Row],[HH disponível]]</f>
        <v>0.88235294117647034</v>
      </c>
      <c r="AD853" s="37" t="str">
        <f>LEFT(MIP[[#This Row],[Equipe]], SEARCH("/",MIP[[#This Row],[Equipe]],1)-1)</f>
        <v xml:space="preserve">ANDERSON </v>
      </c>
      <c r="AE853" s="37" t="str">
        <f>RIGHT(MIP[[#This Row],[Equipe]], LEN(MIP[[#This Row],[Equipe]])-SEARCH("/",MIP[[#This Row],[Equipe]],1))</f>
        <v xml:space="preserve"> MARCO</v>
      </c>
      <c r="AF853" s="29">
        <f>COUNTIFS('[1]Tempo parado'!H:H,"&gt;="&amp;MIP[[#This Row],[S.B Sitrack]],'[1]Tempo parado'!I:I,"&lt;="&amp;MIP[[#This Row],[C.B Sitrack]],'[1]Tempo parado'!B:B,MIP[[#This Row],[Placa]])</f>
        <v>0</v>
      </c>
      <c r="AG853" s="36"/>
      <c r="AH853" s="35"/>
      <c r="AI853" s="34"/>
      <c r="AJ853" s="34"/>
      <c r="AK85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5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53" s="32">
        <f>SUMIFS('[1]Tempo parado'!J:J,'[1]Tempo parado'!H:H,"&gt;="&amp;MIP[[#This Row],[S.B Sitrack]],'[1]Tempo parado'!I:I,"&lt;="&amp;MIP[[#This Row],[C.B Sitrack]],'[1]Tempo parado'!B:B,MIP[[#This Row],[Placa]])</f>
        <v>0</v>
      </c>
      <c r="AN853" s="31" t="str">
        <f>IFERROR(MIP[[#This Row],[Tempo parado]]/(MIP[[#This Row],[C.B Sitrack]]-MIP[[#This Row],[S.B Sitrack]]),"")</f>
        <v/>
      </c>
      <c r="AO853" s="30"/>
      <c r="AP853" s="29">
        <f>IF(AND(MIP[Exc]=0,MIP[Previsto / Realizado]="Realizado"),MIP[Sem],0)</f>
        <v>49</v>
      </c>
      <c r="AQ853" s="29">
        <f>IF(AND(MIP[Exc]=0,MIP[Previsto / Realizado]="Realizado",ISBLANK(MIP[[#This Row],[S.B Sitrack]])=FALSE,ISBLANK(MIP[[#This Row],[C.B Sitrack]])=FALSE),MIP[Sem],0)</f>
        <v>0</v>
      </c>
    </row>
    <row r="854" spans="2:43" x14ac:dyDescent="0.25">
      <c r="B854" s="29">
        <f>WEEKNUM(MIP[[#This Row],[Data]])</f>
        <v>49</v>
      </c>
      <c r="C854" s="45">
        <v>43075</v>
      </c>
      <c r="D854" s="45"/>
      <c r="E854" s="35" t="s">
        <v>7</v>
      </c>
      <c r="F854" s="35" t="s">
        <v>5</v>
      </c>
      <c r="G854" s="35"/>
      <c r="H854" s="44"/>
      <c r="I854" s="44">
        <v>0</v>
      </c>
      <c r="J854" s="44">
        <v>3</v>
      </c>
      <c r="K854" s="44">
        <v>0</v>
      </c>
      <c r="L854" s="44">
        <v>0</v>
      </c>
      <c r="M854" s="43">
        <v>0.625</v>
      </c>
      <c r="N854" s="43">
        <v>0.6381944444444444</v>
      </c>
      <c r="O854" s="43">
        <v>5.5555555555555558E-3</v>
      </c>
      <c r="P854" s="43">
        <v>3.3333333333333333E-2</v>
      </c>
      <c r="Q854" s="39"/>
      <c r="R854" s="42" t="s">
        <v>60</v>
      </c>
      <c r="S854" s="29">
        <f>MIP[[#This Row],[PT-1]]+MIP[[#This Row],[PT-2]]*2+MIP[[#This Row],[PT-3]]*3+MIP[[#This Row],[PT &gt; 3 Pontos]]</f>
        <v>6</v>
      </c>
      <c r="T85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4.0972222222222188E-2</v>
      </c>
      <c r="U854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4.0972222222222188E-2</v>
      </c>
      <c r="V854" s="41">
        <f>MIP[[#This Row],[Eficiência]]</f>
        <v>0.40444748308148687</v>
      </c>
      <c r="W854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54" s="39">
        <f>IF(MIP[[#This Row],[P.S]]-MIP[[#This Row],[P.E]]&lt;0,1+MIP[[#This Row],[P.S]]-MIP[[#This Row],[P.E]]-1/24,MIP[[#This Row],[P.S]]-MIP[[#This Row],[P.E]]-1/24)</f>
        <v>0.36666666666666675</v>
      </c>
      <c r="Y854" s="39">
        <f>MIP[[#This Row],[PT-1]]*$S$3+MIP[[#This Row],[PT-2]]*$T$3+MIP[[#This Row],[PT-3]]*$U$3+MIP[[#This Row],[PT &gt; 3 Pontos]]*$V$3</f>
        <v>0.13172629830917876</v>
      </c>
      <c r="Z854" s="39">
        <f>MIP[[#This Row],[HH disponível]]-MIP[[#This Row],[HH AC TOT]]</f>
        <v>0.32569444444444456</v>
      </c>
      <c r="AA854" s="38">
        <f>MIP[[#This Row],[HH Produtivo
Total]]/MIP[[#This Row],[HH Trabalhado]]</f>
        <v>0.40444748308148687</v>
      </c>
      <c r="AB854" s="38">
        <f>MIP[[#This Row],[HH Produtivo
Total]]/MIP[[#This Row],[HH disponível]]</f>
        <v>0.3592535408432147</v>
      </c>
      <c r="AC854" s="38">
        <f>MIP[[#This Row],[HH Trabalhado]]/MIP[[#This Row],[HH disponível]]</f>
        <v>0.88825757575757591</v>
      </c>
      <c r="AD854" s="37" t="str">
        <f>LEFT(MIP[[#This Row],[Equipe]], SEARCH("/",MIP[[#This Row],[Equipe]],1)-1)</f>
        <v xml:space="preserve">ANDERSON </v>
      </c>
      <c r="AE854" s="37" t="str">
        <f>RIGHT(MIP[[#This Row],[Equipe]], LEN(MIP[[#This Row],[Equipe]])-SEARCH("/",MIP[[#This Row],[Equipe]],1))</f>
        <v xml:space="preserve"> MARCO</v>
      </c>
      <c r="AF854" s="29">
        <f>COUNTIFS('[1]Tempo parado'!H:H,"&gt;="&amp;MIP[[#This Row],[S.B Sitrack]],'[1]Tempo parado'!I:I,"&lt;="&amp;MIP[[#This Row],[C.B Sitrack]],'[1]Tempo parado'!B:B,MIP[[#This Row],[Placa]])</f>
        <v>0</v>
      </c>
      <c r="AG854" s="36"/>
      <c r="AH854" s="35"/>
      <c r="AI854" s="34"/>
      <c r="AJ854" s="34"/>
      <c r="AK85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5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54" s="32">
        <f>SUMIFS('[1]Tempo parado'!J:J,'[1]Tempo parado'!H:H,"&gt;="&amp;MIP[[#This Row],[S.B Sitrack]],'[1]Tempo parado'!I:I,"&lt;="&amp;MIP[[#This Row],[C.B Sitrack]],'[1]Tempo parado'!B:B,MIP[[#This Row],[Placa]])</f>
        <v>0</v>
      </c>
      <c r="AN854" s="31" t="str">
        <f>IFERROR(MIP[[#This Row],[Tempo parado]]/(MIP[[#This Row],[C.B Sitrack]]-MIP[[#This Row],[S.B Sitrack]]),"")</f>
        <v/>
      </c>
      <c r="AO854" s="30"/>
      <c r="AP854" s="29">
        <f>IF(AND(MIP[Exc]=0,MIP[Previsto / Realizado]="Realizado"),MIP[Sem],0)</f>
        <v>0</v>
      </c>
      <c r="AQ854" s="29">
        <f>IF(AND(MIP[Exc]=0,MIP[Previsto / Realizado]="Realizado",ISBLANK(MIP[[#This Row],[S.B Sitrack]])=FALSE,ISBLANK(MIP[[#This Row],[C.B Sitrack]])=FALSE),MIP[Sem],0)</f>
        <v>0</v>
      </c>
    </row>
    <row r="855" spans="2:43" x14ac:dyDescent="0.25">
      <c r="B855" s="29">
        <f>WEEKNUM(MIP[[#This Row],[Data]])</f>
        <v>49</v>
      </c>
      <c r="C855" s="45">
        <v>43075</v>
      </c>
      <c r="D855" s="45"/>
      <c r="E855" s="35" t="s">
        <v>7</v>
      </c>
      <c r="F855" s="35" t="s">
        <v>2</v>
      </c>
      <c r="G855" s="35"/>
      <c r="H855" s="44"/>
      <c r="I855" s="44">
        <v>5</v>
      </c>
      <c r="J855" s="44">
        <v>3</v>
      </c>
      <c r="K855" s="44">
        <v>0</v>
      </c>
      <c r="L855" s="44">
        <v>0</v>
      </c>
      <c r="M855" s="43">
        <v>0.62986111111111109</v>
      </c>
      <c r="N855" s="43">
        <v>0.6743055555555556</v>
      </c>
      <c r="O855" s="43">
        <v>2.7083333333333334E-2</v>
      </c>
      <c r="P855" s="43">
        <v>3.3333333333333333E-2</v>
      </c>
      <c r="Q855" s="39"/>
      <c r="R855" s="42" t="s">
        <v>59</v>
      </c>
      <c r="S855" s="29">
        <f>MIP[[#This Row],[PT-1]]+MIP[[#This Row],[PT-2]]*2+MIP[[#This Row],[PT-3]]*3+MIP[[#This Row],[PT &gt; 3 Pontos]]</f>
        <v>11</v>
      </c>
      <c r="T85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5.0694444444444486E-2</v>
      </c>
      <c r="U855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5.0694444444444486E-2</v>
      </c>
      <c r="V855" s="41">
        <f>MIP[[#This Row],[Eficiência]]</f>
        <v>0.82560716711956483</v>
      </c>
      <c r="W855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55" s="39">
        <f>IF(MIP[[#This Row],[P.S]]-MIP[[#This Row],[P.E]]&lt;0,1+MIP[[#This Row],[P.S]]-MIP[[#This Row],[P.E]]-1/24,MIP[[#This Row],[P.S]]-MIP[[#This Row],[P.E]]-1/24)</f>
        <v>0.36180555555555566</v>
      </c>
      <c r="Y855" s="39">
        <f>MIP[[#This Row],[PT-1]]*$S$3+MIP[[#This Row],[PT-2]]*$T$3+MIP[[#This Row],[PT-3]]*$U$3+MIP[[#This Row],[PT &gt; 3 Pontos]]*$V$3</f>
        <v>0.25685556310386465</v>
      </c>
      <c r="Z855" s="39">
        <f>MIP[[#This Row],[HH disponível]]-MIP[[#This Row],[HH AC TOT]]</f>
        <v>0.31111111111111117</v>
      </c>
      <c r="AA855" s="38">
        <f>MIP[[#This Row],[HH Produtivo
Total]]/MIP[[#This Row],[HH Trabalhado]]</f>
        <v>0.82560716711956483</v>
      </c>
      <c r="AB855" s="38">
        <f>MIP[[#This Row],[HH Produtivo
Total]]/MIP[[#This Row],[HH disponível]]</f>
        <v>0.70992708420261996</v>
      </c>
      <c r="AC855" s="38">
        <f>MIP[[#This Row],[HH Trabalhado]]/MIP[[#This Row],[HH disponível]]</f>
        <v>0.85988483685220718</v>
      </c>
      <c r="AD855" s="37" t="str">
        <f>LEFT(MIP[[#This Row],[Equipe]], SEARCH("/",MIP[[#This Row],[Equipe]],1)-1)</f>
        <v xml:space="preserve">ANDERSON </v>
      </c>
      <c r="AE855" s="37" t="str">
        <f>RIGHT(MIP[[#This Row],[Equipe]], LEN(MIP[[#This Row],[Equipe]])-SEARCH("/",MIP[[#This Row],[Equipe]],1))</f>
        <v xml:space="preserve"> MARCO</v>
      </c>
      <c r="AF855" s="29">
        <f>COUNTIFS('[1]Tempo parado'!H:H,"&gt;="&amp;MIP[[#This Row],[S.B Sitrack]],'[1]Tempo parado'!I:I,"&lt;="&amp;MIP[[#This Row],[C.B Sitrack]],'[1]Tempo parado'!B:B,MIP[[#This Row],[Placa]])</f>
        <v>0</v>
      </c>
      <c r="AG855" s="36"/>
      <c r="AH855" s="35"/>
      <c r="AI855" s="34"/>
      <c r="AJ855" s="34"/>
      <c r="AK85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5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55" s="32">
        <f>SUMIFS('[1]Tempo parado'!J:J,'[1]Tempo parado'!H:H,"&gt;="&amp;MIP[[#This Row],[S.B Sitrack]],'[1]Tempo parado'!I:I,"&lt;="&amp;MIP[[#This Row],[C.B Sitrack]],'[1]Tempo parado'!B:B,MIP[[#This Row],[Placa]])</f>
        <v>0</v>
      </c>
      <c r="AN855" s="31" t="str">
        <f>IFERROR(MIP[[#This Row],[Tempo parado]]/(MIP[[#This Row],[C.B Sitrack]]-MIP[[#This Row],[S.B Sitrack]]),"")</f>
        <v/>
      </c>
      <c r="AO855" s="30"/>
      <c r="AP855" s="29">
        <f>IF(AND(MIP[Exc]=0,MIP[Previsto / Realizado]="Realizado"),MIP[Sem],0)</f>
        <v>49</v>
      </c>
      <c r="AQ855" s="29">
        <f>IF(AND(MIP[Exc]=0,MIP[Previsto / Realizado]="Realizado",ISBLANK(MIP[[#This Row],[S.B Sitrack]])=FALSE,ISBLANK(MIP[[#This Row],[C.B Sitrack]])=FALSE),MIP[Sem],0)</f>
        <v>0</v>
      </c>
    </row>
    <row r="856" spans="2:43" x14ac:dyDescent="0.25">
      <c r="B856" s="29">
        <f>WEEKNUM(MIP[[#This Row],[Data]])</f>
        <v>49</v>
      </c>
      <c r="C856" s="45">
        <v>43075</v>
      </c>
      <c r="D856" s="45"/>
      <c r="E856" s="35" t="s">
        <v>3</v>
      </c>
      <c r="F856" s="35" t="s">
        <v>5</v>
      </c>
      <c r="G856" s="35"/>
      <c r="H856" s="44"/>
      <c r="I856" s="44">
        <v>2</v>
      </c>
      <c r="J856" s="44">
        <v>1</v>
      </c>
      <c r="K856" s="44">
        <v>0</v>
      </c>
      <c r="L856" s="44">
        <v>7</v>
      </c>
      <c r="M856" s="43">
        <v>0.625</v>
      </c>
      <c r="N856" s="43">
        <v>0.63750000000000007</v>
      </c>
      <c r="O856" s="43">
        <v>4.8611111111111112E-3</v>
      </c>
      <c r="P856" s="43">
        <v>3.3333333333333333E-2</v>
      </c>
      <c r="Q856" s="39"/>
      <c r="R856" s="42"/>
      <c r="S856" s="29">
        <f>MIP[[#This Row],[PT-1]]+MIP[[#This Row],[PT-2]]*2+MIP[[#This Row],[PT-3]]*3+MIP[[#This Row],[PT &gt; 3 Pontos]]</f>
        <v>11</v>
      </c>
      <c r="T85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4.0972222222222299E-2</v>
      </c>
      <c r="U856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4.0972222222222299E-2</v>
      </c>
      <c r="V856" s="41">
        <f>MIP[[#This Row],[Eficiência]]</f>
        <v>0.72367383664836626</v>
      </c>
      <c r="W856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56" s="39">
        <f>IF(MIP[[#This Row],[P.S]]-MIP[[#This Row],[P.E]]&lt;0,1+MIP[[#This Row],[P.S]]-MIP[[#This Row],[P.E]]-1/24,MIP[[#This Row],[P.S]]-MIP[[#This Row],[P.E]]-1/24)</f>
        <v>0.36666666666666675</v>
      </c>
      <c r="Y856" s="39">
        <f>MIP[[#This Row],[PT-1]]*$S$3+MIP[[#This Row],[PT-2]]*$T$3+MIP[[#This Row],[PT-3]]*$U$3+MIP[[#This Row],[PT &gt; 3 Pontos]]*$V$3</f>
        <v>0.23569654818616931</v>
      </c>
      <c r="Z856" s="39">
        <f>MIP[[#This Row],[HH disponível]]-MIP[[#This Row],[HH AC TOT]]</f>
        <v>0.32569444444444445</v>
      </c>
      <c r="AA856" s="38">
        <f>MIP[[#This Row],[HH Produtivo
Total]]/MIP[[#This Row],[HH Trabalhado]]</f>
        <v>0.72367383664836626</v>
      </c>
      <c r="AB856" s="38">
        <f>MIP[[#This Row],[HH Produtivo
Total]]/MIP[[#This Row],[HH disponível]]</f>
        <v>0.64280876778046159</v>
      </c>
      <c r="AC856" s="38">
        <f>MIP[[#This Row],[HH Trabalhado]]/MIP[[#This Row],[HH disponível]]</f>
        <v>0.88825757575757558</v>
      </c>
      <c r="AD856" s="37" t="str">
        <f>LEFT(MIP[[#This Row],[Equipe]], SEARCH("/",MIP[[#This Row],[Equipe]],1)-1)</f>
        <v xml:space="preserve">EDILTON </v>
      </c>
      <c r="AE856" s="37" t="str">
        <f>RIGHT(MIP[[#This Row],[Equipe]], LEN(MIP[[#This Row],[Equipe]])-SEARCH("/",MIP[[#This Row],[Equipe]],1))</f>
        <v xml:space="preserve"> GECIVALDO</v>
      </c>
      <c r="AF856" s="29">
        <f>COUNTIFS('[1]Tempo parado'!H:H,"&gt;="&amp;MIP[[#This Row],[S.B Sitrack]],'[1]Tempo parado'!I:I,"&lt;="&amp;MIP[[#This Row],[C.B Sitrack]],'[1]Tempo parado'!B:B,MIP[[#This Row],[Placa]])</f>
        <v>0</v>
      </c>
      <c r="AG856" s="36"/>
      <c r="AH856" s="35"/>
      <c r="AI856" s="34"/>
      <c r="AJ856" s="34"/>
      <c r="AK85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5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56" s="32">
        <f>SUMIFS('[1]Tempo parado'!J:J,'[1]Tempo parado'!H:H,"&gt;="&amp;MIP[[#This Row],[S.B Sitrack]],'[1]Tempo parado'!I:I,"&lt;="&amp;MIP[[#This Row],[C.B Sitrack]],'[1]Tempo parado'!B:B,MIP[[#This Row],[Placa]])</f>
        <v>0</v>
      </c>
      <c r="AN856" s="31" t="str">
        <f>IFERROR(MIP[[#This Row],[Tempo parado]]/(MIP[[#This Row],[C.B Sitrack]]-MIP[[#This Row],[S.B Sitrack]]),"")</f>
        <v/>
      </c>
      <c r="AO856" s="30"/>
      <c r="AP856" s="29">
        <f>IF(AND(MIP[Exc]=0,MIP[Previsto / Realizado]="Realizado"),MIP[Sem],0)</f>
        <v>0</v>
      </c>
      <c r="AQ856" s="29">
        <f>IF(AND(MIP[Exc]=0,MIP[Previsto / Realizado]="Realizado",ISBLANK(MIP[[#This Row],[S.B Sitrack]])=FALSE,ISBLANK(MIP[[#This Row],[C.B Sitrack]])=FALSE),MIP[Sem],0)</f>
        <v>0</v>
      </c>
    </row>
    <row r="857" spans="2:43" x14ac:dyDescent="0.25">
      <c r="B857" s="29">
        <f>WEEKNUM(MIP[[#This Row],[Data]])</f>
        <v>49</v>
      </c>
      <c r="C857" s="45">
        <v>43075</v>
      </c>
      <c r="D857" s="45"/>
      <c r="E857" s="35" t="s">
        <v>3</v>
      </c>
      <c r="F857" s="35" t="s">
        <v>2</v>
      </c>
      <c r="G857" s="35"/>
      <c r="H857" s="44"/>
      <c r="I857" s="44">
        <v>2</v>
      </c>
      <c r="J857" s="44">
        <v>1</v>
      </c>
      <c r="K857" s="44">
        <v>0</v>
      </c>
      <c r="L857" s="44">
        <v>7</v>
      </c>
      <c r="M857" s="43">
        <v>0.62222222222222223</v>
      </c>
      <c r="N857" s="43">
        <v>0.66111111111111109</v>
      </c>
      <c r="O857" s="43">
        <v>3.1944444444444449E-2</v>
      </c>
      <c r="P857" s="43">
        <v>3.3333333333333333E-2</v>
      </c>
      <c r="Q857" s="39"/>
      <c r="R857" s="42"/>
      <c r="S857" s="29">
        <f>MIP[[#This Row],[PT-1]]+MIP[[#This Row],[PT-2]]*2+MIP[[#This Row],[PT-3]]*3+MIP[[#This Row],[PT &gt; 3 Pontos]]</f>
        <v>11</v>
      </c>
      <c r="T85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4.0277777777777746E-2</v>
      </c>
      <c r="U857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4.0277777777777746E-2</v>
      </c>
      <c r="V857" s="41">
        <f>MIP[[#This Row],[Eficiência]]</f>
        <v>0.71604014638836222</v>
      </c>
      <c r="W857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57" s="39">
        <f>IF(MIP[[#This Row],[P.S]]-MIP[[#This Row],[P.E]]&lt;0,1+MIP[[#This Row],[P.S]]-MIP[[#This Row],[P.E]]-1/24,MIP[[#This Row],[P.S]]-MIP[[#This Row],[P.E]]-1/24)</f>
        <v>0.36944444444444452</v>
      </c>
      <c r="Y857" s="39">
        <f>MIP[[#This Row],[PT-1]]*$S$3+MIP[[#This Row],[PT-2]]*$T$3+MIP[[#This Row],[PT-3]]*$U$3+MIP[[#This Row],[PT &gt; 3 Pontos]]*$V$3</f>
        <v>0.23569654818616931</v>
      </c>
      <c r="Z857" s="39">
        <f>MIP[[#This Row],[HH disponível]]-MIP[[#This Row],[HH AC TOT]]</f>
        <v>0.32916666666666677</v>
      </c>
      <c r="AA857" s="38">
        <f>MIP[[#This Row],[HH Produtivo
Total]]/MIP[[#This Row],[HH Trabalhado]]</f>
        <v>0.71604014638836222</v>
      </c>
      <c r="AB857" s="38">
        <f>MIP[[#This Row],[HH Produtivo
Total]]/MIP[[#This Row],[HH disponível]]</f>
        <v>0.63797561915053336</v>
      </c>
      <c r="AC857" s="38">
        <f>MIP[[#This Row],[HH Trabalhado]]/MIP[[#This Row],[HH disponível]]</f>
        <v>0.89097744360902265</v>
      </c>
      <c r="AD857" s="37" t="str">
        <f>LEFT(MIP[[#This Row],[Equipe]], SEARCH("/",MIP[[#This Row],[Equipe]],1)-1)</f>
        <v xml:space="preserve">EDILTON </v>
      </c>
      <c r="AE857" s="37" t="str">
        <f>RIGHT(MIP[[#This Row],[Equipe]], LEN(MIP[[#This Row],[Equipe]])-SEARCH("/",MIP[[#This Row],[Equipe]],1))</f>
        <v xml:space="preserve"> GECIVALDO</v>
      </c>
      <c r="AF857" s="29">
        <f>COUNTIFS('[1]Tempo parado'!H:H,"&gt;="&amp;MIP[[#This Row],[S.B Sitrack]],'[1]Tempo parado'!I:I,"&lt;="&amp;MIP[[#This Row],[C.B Sitrack]],'[1]Tempo parado'!B:B,MIP[[#This Row],[Placa]])</f>
        <v>0</v>
      </c>
      <c r="AG857" s="36"/>
      <c r="AH857" s="35"/>
      <c r="AI857" s="34"/>
      <c r="AJ857" s="34"/>
      <c r="AK85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5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57" s="32">
        <f>SUMIFS('[1]Tempo parado'!J:J,'[1]Tempo parado'!H:H,"&gt;="&amp;MIP[[#This Row],[S.B Sitrack]],'[1]Tempo parado'!I:I,"&lt;="&amp;MIP[[#This Row],[C.B Sitrack]],'[1]Tempo parado'!B:B,MIP[[#This Row],[Placa]])</f>
        <v>0</v>
      </c>
      <c r="AN857" s="31" t="str">
        <f>IFERROR(MIP[[#This Row],[Tempo parado]]/(MIP[[#This Row],[C.B Sitrack]]-MIP[[#This Row],[S.B Sitrack]]),"")</f>
        <v/>
      </c>
      <c r="AO857" s="30"/>
      <c r="AP857" s="29">
        <f>IF(AND(MIP[Exc]=0,MIP[Previsto / Realizado]="Realizado"),MIP[Sem],0)</f>
        <v>49</v>
      </c>
      <c r="AQ857" s="29">
        <f>IF(AND(MIP[Exc]=0,MIP[Previsto / Realizado]="Realizado",ISBLANK(MIP[[#This Row],[S.B Sitrack]])=FALSE,ISBLANK(MIP[[#This Row],[C.B Sitrack]])=FALSE),MIP[Sem],0)</f>
        <v>0</v>
      </c>
    </row>
    <row r="858" spans="2:43" x14ac:dyDescent="0.25">
      <c r="B858" s="29">
        <f>WEEKNUM(MIP[[#This Row],[Data]])</f>
        <v>49</v>
      </c>
      <c r="C858" s="45">
        <v>43075</v>
      </c>
      <c r="D858" s="45"/>
      <c r="E858" s="35" t="s">
        <v>19</v>
      </c>
      <c r="F858" s="35" t="s">
        <v>5</v>
      </c>
      <c r="G858" s="35"/>
      <c r="H858" s="44"/>
      <c r="I858" s="44">
        <v>0</v>
      </c>
      <c r="J858" s="44">
        <v>0</v>
      </c>
      <c r="K858" s="44">
        <v>0</v>
      </c>
      <c r="L858" s="44">
        <v>0</v>
      </c>
      <c r="M858" s="43">
        <v>0.625</v>
      </c>
      <c r="N858" s="43">
        <v>0.6381944444444444</v>
      </c>
      <c r="O858" s="43">
        <v>5.5555555555555558E-3</v>
      </c>
      <c r="P858" s="43">
        <v>3.3333333333333333E-2</v>
      </c>
      <c r="Q858" s="39"/>
      <c r="R858" s="42" t="s">
        <v>58</v>
      </c>
      <c r="S858" s="29">
        <f>MIP[[#This Row],[PT-1]]+MIP[[#This Row],[PT-2]]*2+MIP[[#This Row],[PT-3]]*3+MIP[[#This Row],[PT &gt; 3 Pontos]]</f>
        <v>0</v>
      </c>
      <c r="T85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4.0972222222222188E-2</v>
      </c>
      <c r="U858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4.0972222222222188E-2</v>
      </c>
      <c r="V858" s="41">
        <f>MIP[[#This Row],[Eficiência]]</f>
        <v>0</v>
      </c>
      <c r="W858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58" s="39">
        <f>IF(MIP[[#This Row],[P.S]]-MIP[[#This Row],[P.E]]&lt;0,1+MIP[[#This Row],[P.S]]-MIP[[#This Row],[P.E]]-1/24,MIP[[#This Row],[P.S]]-MIP[[#This Row],[P.E]]-1/24)</f>
        <v>0.36666666666666675</v>
      </c>
      <c r="Y858" s="39">
        <f>MIP[[#This Row],[PT-1]]*$S$3+MIP[[#This Row],[PT-2]]*$T$3+MIP[[#This Row],[PT-3]]*$U$3+MIP[[#This Row],[PT &gt; 3 Pontos]]*$V$3</f>
        <v>0</v>
      </c>
      <c r="Z858" s="39">
        <f>MIP[[#This Row],[HH disponível]]-MIP[[#This Row],[HH AC TOT]]</f>
        <v>0.32569444444444456</v>
      </c>
      <c r="AA858" s="38">
        <f>MIP[[#This Row],[HH Produtivo
Total]]/MIP[[#This Row],[HH Trabalhado]]</f>
        <v>0</v>
      </c>
      <c r="AB858" s="38">
        <f>MIP[[#This Row],[HH Produtivo
Total]]/MIP[[#This Row],[HH disponível]]</f>
        <v>0</v>
      </c>
      <c r="AC858" s="38">
        <f>MIP[[#This Row],[HH Trabalhado]]/MIP[[#This Row],[HH disponível]]</f>
        <v>0.88825757575757591</v>
      </c>
      <c r="AD858" s="37" t="str">
        <f>LEFT(MIP[[#This Row],[Equipe]], SEARCH("/",MIP[[#This Row],[Equipe]],1)-1)</f>
        <v xml:space="preserve">ADEMÁRIO </v>
      </c>
      <c r="AE858" s="37" t="str">
        <f>RIGHT(MIP[[#This Row],[Equipe]], LEN(MIP[[#This Row],[Equipe]])-SEARCH("/",MIP[[#This Row],[Equipe]],1))</f>
        <v xml:space="preserve"> RONALDO</v>
      </c>
      <c r="AF858" s="29">
        <f>COUNTIFS('[1]Tempo parado'!H:H,"&gt;="&amp;MIP[[#This Row],[S.B Sitrack]],'[1]Tempo parado'!I:I,"&lt;="&amp;MIP[[#This Row],[C.B Sitrack]],'[1]Tempo parado'!B:B,MIP[[#This Row],[Placa]])</f>
        <v>0</v>
      </c>
      <c r="AG858" s="36"/>
      <c r="AH858" s="35"/>
      <c r="AI858" s="34"/>
      <c r="AJ858" s="34"/>
      <c r="AK85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5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58" s="32">
        <f>SUMIFS('[1]Tempo parado'!J:J,'[1]Tempo parado'!H:H,"&gt;="&amp;MIP[[#This Row],[S.B Sitrack]],'[1]Tempo parado'!I:I,"&lt;="&amp;MIP[[#This Row],[C.B Sitrack]],'[1]Tempo parado'!B:B,MIP[[#This Row],[Placa]])</f>
        <v>0</v>
      </c>
      <c r="AN858" s="31" t="str">
        <f>IFERROR(MIP[[#This Row],[Tempo parado]]/(MIP[[#This Row],[C.B Sitrack]]-MIP[[#This Row],[S.B Sitrack]]),"")</f>
        <v/>
      </c>
      <c r="AO858" s="30"/>
      <c r="AP858" s="29">
        <f>IF(AND(MIP[Exc]=0,MIP[Previsto / Realizado]="Realizado"),MIP[Sem],0)</f>
        <v>0</v>
      </c>
      <c r="AQ858" s="29">
        <f>IF(AND(MIP[Exc]=0,MIP[Previsto / Realizado]="Realizado",ISBLANK(MIP[[#This Row],[S.B Sitrack]])=FALSE,ISBLANK(MIP[[#This Row],[C.B Sitrack]])=FALSE),MIP[Sem],0)</f>
        <v>0</v>
      </c>
    </row>
    <row r="859" spans="2:43" x14ac:dyDescent="0.25">
      <c r="B859" s="29">
        <f>WEEKNUM(MIP[[#This Row],[Data]])</f>
        <v>49</v>
      </c>
      <c r="C859" s="45">
        <v>43075</v>
      </c>
      <c r="D859" s="45"/>
      <c r="E859" s="35" t="s">
        <v>19</v>
      </c>
      <c r="F859" s="35" t="s">
        <v>2</v>
      </c>
      <c r="G859" s="35"/>
      <c r="H859" s="44"/>
      <c r="I859" s="44">
        <v>0</v>
      </c>
      <c r="J859" s="44">
        <v>0</v>
      </c>
      <c r="K859" s="44">
        <v>0</v>
      </c>
      <c r="L859" s="44">
        <v>10</v>
      </c>
      <c r="M859" s="43">
        <v>0.65902777777777777</v>
      </c>
      <c r="N859" s="43">
        <v>0.67152777777777783</v>
      </c>
      <c r="O859" s="43">
        <v>1.3194444444444444E-2</v>
      </c>
      <c r="P859" s="43">
        <v>3.4027777777777775E-2</v>
      </c>
      <c r="Q859" s="39"/>
      <c r="R859" s="42" t="s">
        <v>57</v>
      </c>
      <c r="S859" s="29">
        <f>MIP[[#This Row],[PT-1]]+MIP[[#This Row],[PT-2]]*2+MIP[[#This Row],[PT-3]]*3+MIP[[#This Row],[PT &gt; 3 Pontos]]</f>
        <v>10</v>
      </c>
      <c r="T85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3.3333333333333437E-2</v>
      </c>
      <c r="U859" s="39">
        <f>IF(MIP[[#This Row],[P.S]]-MIP[[#This Row],[U.P]]&gt;=0,MIP[[#This Row],[P.S]]-MIP[[#This Row],[U.P]]+MIP[[#This Row],[S.B]]-MIP[[#This Row],[P.E]],1+MIP[[#This Row],[P.S]]-MIP[[#This Row],[U.P]]+MIP[[#This Row],[S.B]]-MIP[[#This Row],[P.E]])</f>
        <v>3.3333333333333437E-2</v>
      </c>
      <c r="V859" s="41">
        <f>MIP[[#This Row],[Eficiência]]</f>
        <v>0.67493369602493047</v>
      </c>
      <c r="W859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59" s="39">
        <f>IF(MIP[[#This Row],[P.S]]-MIP[[#This Row],[P.E]]&lt;0,1+MIP[[#This Row],[P.S]]-MIP[[#This Row],[P.E]]-1/24,MIP[[#This Row],[P.S]]-MIP[[#This Row],[P.E]]-1/24)</f>
        <v>0.33333333333333331</v>
      </c>
      <c r="Y859" s="39">
        <f>MIP[[#This Row],[PT-1]]*$S$3+MIP[[#This Row],[PT-2]]*$T$3+MIP[[#This Row],[PT-3]]*$U$3+MIP[[#This Row],[PT &gt; 3 Pontos]]*$V$3</f>
        <v>0.20248010880747908</v>
      </c>
      <c r="Z859" s="39">
        <f>MIP[[#This Row],[HH disponível]]-MIP[[#This Row],[HH AC TOT]]</f>
        <v>0.29999999999999988</v>
      </c>
      <c r="AA859" s="38">
        <f>MIP[[#This Row],[HH Produtivo
Total]]/MIP[[#This Row],[HH Trabalhado]]</f>
        <v>0.67493369602493047</v>
      </c>
      <c r="AB859" s="38">
        <f>MIP[[#This Row],[HH Produtivo
Total]]/MIP[[#This Row],[HH disponível]]</f>
        <v>0.60744032642243728</v>
      </c>
      <c r="AC859" s="38">
        <f>MIP[[#This Row],[HH Trabalhado]]/MIP[[#This Row],[HH disponível]]</f>
        <v>0.89999999999999969</v>
      </c>
      <c r="AD859" s="37" t="str">
        <f>LEFT(MIP[[#This Row],[Equipe]], SEARCH("/",MIP[[#This Row],[Equipe]],1)-1)</f>
        <v xml:space="preserve">ADEMÁRIO </v>
      </c>
      <c r="AE859" s="37" t="str">
        <f>RIGHT(MIP[[#This Row],[Equipe]], LEN(MIP[[#This Row],[Equipe]])-SEARCH("/",MIP[[#This Row],[Equipe]],1))</f>
        <v xml:space="preserve"> RONALDO</v>
      </c>
      <c r="AF859" s="29">
        <f>COUNTIFS('[1]Tempo parado'!H:H,"&gt;="&amp;MIP[[#This Row],[S.B Sitrack]],'[1]Tempo parado'!I:I,"&lt;="&amp;MIP[[#This Row],[C.B Sitrack]],'[1]Tempo parado'!B:B,MIP[[#This Row],[Placa]])</f>
        <v>0</v>
      </c>
      <c r="AG859" s="36"/>
      <c r="AH859" s="35"/>
      <c r="AI859" s="34"/>
      <c r="AJ859" s="34"/>
      <c r="AK85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5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59" s="32">
        <f>SUMIFS('[1]Tempo parado'!J:J,'[1]Tempo parado'!H:H,"&gt;="&amp;MIP[[#This Row],[S.B Sitrack]],'[1]Tempo parado'!I:I,"&lt;="&amp;MIP[[#This Row],[C.B Sitrack]],'[1]Tempo parado'!B:B,MIP[[#This Row],[Placa]])</f>
        <v>0</v>
      </c>
      <c r="AN859" s="31" t="str">
        <f>IFERROR(MIP[[#This Row],[Tempo parado]]/(MIP[[#This Row],[C.B Sitrack]]-MIP[[#This Row],[S.B Sitrack]]),"")</f>
        <v/>
      </c>
      <c r="AO859" s="30"/>
      <c r="AP859" s="29">
        <f>IF(AND(MIP[Exc]=0,MIP[Previsto / Realizado]="Realizado"),MIP[Sem],0)</f>
        <v>49</v>
      </c>
      <c r="AQ859" s="29">
        <f>IF(AND(MIP[Exc]=0,MIP[Previsto / Realizado]="Realizado",ISBLANK(MIP[[#This Row],[S.B Sitrack]])=FALSE,ISBLANK(MIP[[#This Row],[C.B Sitrack]])=FALSE),MIP[Sem],0)</f>
        <v>0</v>
      </c>
    </row>
    <row r="860" spans="2:43" x14ac:dyDescent="0.25">
      <c r="B860" s="29">
        <f>WEEKNUM(MIP[[#This Row],[Data]])</f>
        <v>49</v>
      </c>
      <c r="C860" s="45">
        <v>43076</v>
      </c>
      <c r="D860" s="45"/>
      <c r="E860" s="35" t="s">
        <v>10</v>
      </c>
      <c r="F860" s="35" t="s">
        <v>5</v>
      </c>
      <c r="G860" s="35"/>
      <c r="H860" s="44"/>
      <c r="I860" s="44">
        <v>2</v>
      </c>
      <c r="J860" s="44">
        <v>0</v>
      </c>
      <c r="K860" s="44">
        <v>0</v>
      </c>
      <c r="L860" s="44">
        <v>0</v>
      </c>
      <c r="M860" s="43">
        <v>0.25</v>
      </c>
      <c r="N860" s="43">
        <v>0.2638888888888889</v>
      </c>
      <c r="O860" s="43">
        <v>0.62986111111111109</v>
      </c>
      <c r="P860" s="43">
        <v>0.65833333333333333</v>
      </c>
      <c r="Q860" s="39"/>
      <c r="R860" s="42" t="s">
        <v>56</v>
      </c>
      <c r="S860" s="29">
        <f>MIP[[#This Row],[PT-1]]+MIP[[#This Row],[PT-2]]*2+MIP[[#This Row],[PT-3]]*3+MIP[[#This Row],[PT &gt; 3 Pontos]]</f>
        <v>2</v>
      </c>
      <c r="T86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4.2361111111111127E-2</v>
      </c>
      <c r="U860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4.2361111111111127E-2</v>
      </c>
      <c r="V860" s="41">
        <f>MIP[[#This Row],[Eficiência]]</f>
        <v>0.15433502467181817</v>
      </c>
      <c r="W860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60" s="39">
        <f>IF(MIP[[#This Row],[P.S]]-MIP[[#This Row],[P.E]]&lt;0,1+MIP[[#This Row],[P.S]]-MIP[[#This Row],[P.E]]-1/24,MIP[[#This Row],[P.S]]-MIP[[#This Row],[P.E]]-1/24)</f>
        <v>0.36666666666666664</v>
      </c>
      <c r="Y860" s="39">
        <f>MIP[[#This Row],[PT-1]]*$S$3+MIP[[#This Row],[PT-2]]*$T$3+MIP[[#This Row],[PT-3]]*$U$3+MIP[[#This Row],[PT &gt; 3 Pontos]]*$V$3</f>
        <v>5.0051705917874362E-2</v>
      </c>
      <c r="Z860" s="39">
        <f>MIP[[#This Row],[HH disponível]]-MIP[[#This Row],[HH AC TOT]]</f>
        <v>0.32430555555555551</v>
      </c>
      <c r="AA860" s="38">
        <f>MIP[[#This Row],[HH Produtivo
Total]]/MIP[[#This Row],[HH Trabalhado]]</f>
        <v>0.15433502467181817</v>
      </c>
      <c r="AB860" s="38">
        <f>MIP[[#This Row],[HH Produtivo
Total]]/MIP[[#This Row],[HH disponível]]</f>
        <v>0.13650465250329372</v>
      </c>
      <c r="AC860" s="38">
        <f>MIP[[#This Row],[HH Trabalhado]]/MIP[[#This Row],[HH disponível]]</f>
        <v>0.88446969696969691</v>
      </c>
      <c r="AD860" s="37" t="str">
        <f>LEFT(MIP[[#This Row],[Equipe]], SEARCH("/",MIP[[#This Row],[Equipe]],1)-1)</f>
        <v xml:space="preserve">JOILSON </v>
      </c>
      <c r="AE860" s="37" t="str">
        <f>RIGHT(MIP[[#This Row],[Equipe]], LEN(MIP[[#This Row],[Equipe]])-SEARCH("/",MIP[[#This Row],[Equipe]],1))</f>
        <v xml:space="preserve"> VALDEI</v>
      </c>
      <c r="AF860" s="29">
        <f>COUNTIFS('[1]Tempo parado'!H:H,"&gt;="&amp;MIP[[#This Row],[S.B Sitrack]],'[1]Tempo parado'!I:I,"&lt;="&amp;MIP[[#This Row],[C.B Sitrack]],'[1]Tempo parado'!B:B,MIP[[#This Row],[Placa]])</f>
        <v>0</v>
      </c>
      <c r="AG860" s="36"/>
      <c r="AH860" s="35"/>
      <c r="AI860" s="34"/>
      <c r="AJ860" s="34"/>
      <c r="AK86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6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60" s="32">
        <f>SUMIFS('[1]Tempo parado'!J:J,'[1]Tempo parado'!H:H,"&gt;="&amp;MIP[[#This Row],[S.B Sitrack]],'[1]Tempo parado'!I:I,"&lt;="&amp;MIP[[#This Row],[C.B Sitrack]],'[1]Tempo parado'!B:B,MIP[[#This Row],[Placa]])</f>
        <v>0</v>
      </c>
      <c r="AN860" s="31" t="str">
        <f>IFERROR(MIP[[#This Row],[Tempo parado]]/(MIP[[#This Row],[C.B Sitrack]]-MIP[[#This Row],[S.B Sitrack]]),"")</f>
        <v/>
      </c>
      <c r="AO860" s="30"/>
      <c r="AP860" s="29">
        <f>IF(AND(MIP[Exc]=0,MIP[Previsto / Realizado]="Realizado"),MIP[Sem],0)</f>
        <v>0</v>
      </c>
      <c r="AQ860" s="29">
        <f>IF(AND(MIP[Exc]=0,MIP[Previsto / Realizado]="Realizado",ISBLANK(MIP[[#This Row],[S.B Sitrack]])=FALSE,ISBLANK(MIP[[#This Row],[C.B Sitrack]])=FALSE),MIP[Sem],0)</f>
        <v>0</v>
      </c>
    </row>
    <row r="861" spans="2:43" x14ac:dyDescent="0.25">
      <c r="B861" s="29">
        <f>WEEKNUM(MIP[[#This Row],[Data]])</f>
        <v>49</v>
      </c>
      <c r="C861" s="45">
        <v>43076</v>
      </c>
      <c r="D861" s="45"/>
      <c r="E861" s="35" t="s">
        <v>10</v>
      </c>
      <c r="F861" s="35" t="s">
        <v>2</v>
      </c>
      <c r="G861" s="35"/>
      <c r="H861" s="44"/>
      <c r="I861" s="44">
        <v>3</v>
      </c>
      <c r="J861" s="44">
        <v>1</v>
      </c>
      <c r="K861" s="44">
        <v>1</v>
      </c>
      <c r="L861" s="44">
        <v>0</v>
      </c>
      <c r="M861" s="43">
        <v>0.24791666666666667</v>
      </c>
      <c r="N861" s="43">
        <v>0.27569444444444446</v>
      </c>
      <c r="O861" s="43">
        <v>0.61319444444444449</v>
      </c>
      <c r="P861" s="43">
        <v>0.66111111111111109</v>
      </c>
      <c r="Q861" s="39"/>
      <c r="R861" s="42" t="s">
        <v>55</v>
      </c>
      <c r="S861" s="29">
        <f>MIP[[#This Row],[PT-1]]+MIP[[#This Row],[PT-2]]*2+MIP[[#This Row],[PT-3]]*3+MIP[[#This Row],[PT &gt; 3 Pontos]]</f>
        <v>8</v>
      </c>
      <c r="T86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7.5694444444444398E-2</v>
      </c>
      <c r="U861" s="39">
        <f>IF(MIP[[#This Row],[P.S]]-MIP[[#This Row],[U.P]]&gt;=0,MIP[[#This Row],[P.S]]-MIP[[#This Row],[U.P]]+MIP[[#This Row],[S.B]]-MIP[[#This Row],[P.E]],1+MIP[[#This Row],[P.S]]-MIP[[#This Row],[U.P]]+MIP[[#This Row],[S.B]]-MIP[[#This Row],[P.E]])</f>
        <v>7.5694444444444398E-2</v>
      </c>
      <c r="V861" s="41">
        <f>MIP[[#This Row],[Eficiência]]</f>
        <v>0.61446085935905281</v>
      </c>
      <c r="W861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61" s="39">
        <f>IF(MIP[[#This Row],[P.S]]-MIP[[#This Row],[P.E]]&lt;0,1+MIP[[#This Row],[P.S]]-MIP[[#This Row],[P.E]]-1/24,MIP[[#This Row],[P.S]]-MIP[[#This Row],[P.E]]-1/24)</f>
        <v>0.37152777777777773</v>
      </c>
      <c r="Y861" s="39">
        <f>MIP[[#This Row],[PT-1]]*$S$3+MIP[[#This Row],[PT-2]]*$T$3+MIP[[#This Row],[PT-3]]*$U$3+MIP[[#This Row],[PT &gt; 3 Pontos]]*$V$3</f>
        <v>0.18177800422705312</v>
      </c>
      <c r="Z861" s="39">
        <f>MIP[[#This Row],[HH disponível]]-MIP[[#This Row],[HH AC TOT]]</f>
        <v>0.29583333333333334</v>
      </c>
      <c r="AA861" s="38">
        <f>MIP[[#This Row],[HH Produtivo
Total]]/MIP[[#This Row],[HH Trabalhado]]</f>
        <v>0.61446085935905281</v>
      </c>
      <c r="AB861" s="38">
        <f>MIP[[#This Row],[HH Produtivo
Total]]/MIP[[#This Row],[HH disponível]]</f>
        <v>0.48927163754571312</v>
      </c>
      <c r="AC861" s="38">
        <f>MIP[[#This Row],[HH Trabalhado]]/MIP[[#This Row],[HH disponível]]</f>
        <v>0.79626168224299076</v>
      </c>
      <c r="AD861" s="37" t="str">
        <f>LEFT(MIP[[#This Row],[Equipe]], SEARCH("/",MIP[[#This Row],[Equipe]],1)-1)</f>
        <v xml:space="preserve">JOILSON </v>
      </c>
      <c r="AE861" s="37" t="str">
        <f>RIGHT(MIP[[#This Row],[Equipe]], LEN(MIP[[#This Row],[Equipe]])-SEARCH("/",MIP[[#This Row],[Equipe]],1))</f>
        <v xml:space="preserve"> VALDEI</v>
      </c>
      <c r="AF861" s="29">
        <f>COUNTIFS('[1]Tempo parado'!H:H,"&gt;="&amp;MIP[[#This Row],[S.B Sitrack]],'[1]Tempo parado'!I:I,"&lt;="&amp;MIP[[#This Row],[C.B Sitrack]],'[1]Tempo parado'!B:B,MIP[[#This Row],[Placa]])</f>
        <v>0</v>
      </c>
      <c r="AG861" s="36"/>
      <c r="AH861" s="35"/>
      <c r="AI861" s="34"/>
      <c r="AJ861" s="34"/>
      <c r="AK86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6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61" s="32">
        <f>SUMIFS('[1]Tempo parado'!J:J,'[1]Tempo parado'!H:H,"&gt;="&amp;MIP[[#This Row],[S.B Sitrack]],'[1]Tempo parado'!I:I,"&lt;="&amp;MIP[[#This Row],[C.B Sitrack]],'[1]Tempo parado'!B:B,MIP[[#This Row],[Placa]])</f>
        <v>0</v>
      </c>
      <c r="AN861" s="31" t="str">
        <f>IFERROR(MIP[[#This Row],[Tempo parado]]/(MIP[[#This Row],[C.B Sitrack]]-MIP[[#This Row],[S.B Sitrack]]),"")</f>
        <v/>
      </c>
      <c r="AO861" s="30"/>
      <c r="AP861" s="29">
        <f>IF(AND(MIP[Exc]=0,MIP[Previsto / Realizado]="Realizado"),MIP[Sem],0)</f>
        <v>49</v>
      </c>
      <c r="AQ861" s="29">
        <f>IF(AND(MIP[Exc]=0,MIP[Previsto / Realizado]="Realizado",ISBLANK(MIP[[#This Row],[S.B Sitrack]])=FALSE,ISBLANK(MIP[[#This Row],[C.B Sitrack]])=FALSE),MIP[Sem],0)</f>
        <v>0</v>
      </c>
    </row>
    <row r="862" spans="2:43" x14ac:dyDescent="0.25">
      <c r="B862" s="29">
        <f>WEEKNUM(MIP[[#This Row],[Data]])</f>
        <v>49</v>
      </c>
      <c r="C862" s="45">
        <v>43076</v>
      </c>
      <c r="D862" s="45"/>
      <c r="E862" s="35" t="s">
        <v>7</v>
      </c>
      <c r="F862" s="35" t="s">
        <v>5</v>
      </c>
      <c r="G862" s="35"/>
      <c r="H862" s="44"/>
      <c r="I862" s="44">
        <v>6</v>
      </c>
      <c r="J862" s="44">
        <v>2</v>
      </c>
      <c r="K862" s="44">
        <v>0</v>
      </c>
      <c r="L862" s="44">
        <v>0</v>
      </c>
      <c r="M862" s="43">
        <v>0.625</v>
      </c>
      <c r="N862" s="43">
        <v>0.63750000000000007</v>
      </c>
      <c r="O862" s="43">
        <v>4.8611111111111112E-3</v>
      </c>
      <c r="P862" s="43">
        <v>3.3333333333333333E-2</v>
      </c>
      <c r="Q862" s="39"/>
      <c r="R862" s="42" t="s">
        <v>4</v>
      </c>
      <c r="S862" s="29">
        <f>MIP[[#This Row],[PT-1]]+MIP[[#This Row],[PT-2]]*2+MIP[[#This Row],[PT-3]]*3+MIP[[#This Row],[PT &gt; 3 Pontos]]</f>
        <v>10</v>
      </c>
      <c r="T86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4.0972222222222299E-2</v>
      </c>
      <c r="U862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4.0972222222222299E-2</v>
      </c>
      <c r="V862" s="41">
        <f>MIP[[#This Row],[Eficiência]]</f>
        <v>0.73066229411946448</v>
      </c>
      <c r="W862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62" s="39">
        <f>IF(MIP[[#This Row],[P.S]]-MIP[[#This Row],[P.E]]&lt;0,1+MIP[[#This Row],[P.S]]-MIP[[#This Row],[P.E]]-1/24,MIP[[#This Row],[P.S]]-MIP[[#This Row],[P.E]]-1/24)</f>
        <v>0.36666666666666675</v>
      </c>
      <c r="Y862" s="39">
        <f>MIP[[#This Row],[PT-1]]*$S$3+MIP[[#This Row],[PT-2]]*$T$3+MIP[[#This Row],[PT-3]]*$U$3+MIP[[#This Row],[PT &gt; 3 Pontos]]*$V$3</f>
        <v>0.23797264995974227</v>
      </c>
      <c r="Z862" s="39">
        <f>MIP[[#This Row],[HH disponível]]-MIP[[#This Row],[HH AC TOT]]</f>
        <v>0.32569444444444445</v>
      </c>
      <c r="AA862" s="38">
        <f>MIP[[#This Row],[HH Produtivo
Total]]/MIP[[#This Row],[HH Trabalhado]]</f>
        <v>0.73066229411946448</v>
      </c>
      <c r="AB862" s="38">
        <f>MIP[[#This Row],[HH Produtivo
Total]]/MIP[[#This Row],[HH disponível]]</f>
        <v>0.6490163180720242</v>
      </c>
      <c r="AC862" s="38">
        <f>MIP[[#This Row],[HH Trabalhado]]/MIP[[#This Row],[HH disponível]]</f>
        <v>0.88825757575757558</v>
      </c>
      <c r="AD862" s="37" t="str">
        <f>LEFT(MIP[[#This Row],[Equipe]], SEARCH("/",MIP[[#This Row],[Equipe]],1)-1)</f>
        <v xml:space="preserve">ANDERSON </v>
      </c>
      <c r="AE862" s="37" t="str">
        <f>RIGHT(MIP[[#This Row],[Equipe]], LEN(MIP[[#This Row],[Equipe]])-SEARCH("/",MIP[[#This Row],[Equipe]],1))</f>
        <v xml:space="preserve"> MARCO</v>
      </c>
      <c r="AF862" s="29">
        <f>COUNTIFS('[1]Tempo parado'!H:H,"&gt;="&amp;MIP[[#This Row],[S.B Sitrack]],'[1]Tempo parado'!I:I,"&lt;="&amp;MIP[[#This Row],[C.B Sitrack]],'[1]Tempo parado'!B:B,MIP[[#This Row],[Placa]])</f>
        <v>0</v>
      </c>
      <c r="AG862" s="36"/>
      <c r="AH862" s="35"/>
      <c r="AI862" s="34"/>
      <c r="AJ862" s="34"/>
      <c r="AK86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6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62" s="32">
        <f>SUMIFS('[1]Tempo parado'!J:J,'[1]Tempo parado'!H:H,"&gt;="&amp;MIP[[#This Row],[S.B Sitrack]],'[1]Tempo parado'!I:I,"&lt;="&amp;MIP[[#This Row],[C.B Sitrack]],'[1]Tempo parado'!B:B,MIP[[#This Row],[Placa]])</f>
        <v>0</v>
      </c>
      <c r="AN862" s="31" t="str">
        <f>IFERROR(MIP[[#This Row],[Tempo parado]]/(MIP[[#This Row],[C.B Sitrack]]-MIP[[#This Row],[S.B Sitrack]]),"")</f>
        <v/>
      </c>
      <c r="AO862" s="30"/>
      <c r="AP862" s="29">
        <f>IF(AND(MIP[Exc]=0,MIP[Previsto / Realizado]="Realizado"),MIP[Sem],0)</f>
        <v>0</v>
      </c>
      <c r="AQ862" s="29">
        <f>IF(AND(MIP[Exc]=0,MIP[Previsto / Realizado]="Realizado",ISBLANK(MIP[[#This Row],[S.B Sitrack]])=FALSE,ISBLANK(MIP[[#This Row],[C.B Sitrack]])=FALSE),MIP[Sem],0)</f>
        <v>0</v>
      </c>
    </row>
    <row r="863" spans="2:43" x14ac:dyDescent="0.25">
      <c r="B863" s="29">
        <f>WEEKNUM(MIP[[#This Row],[Data]])</f>
        <v>49</v>
      </c>
      <c r="C863" s="45">
        <v>43076</v>
      </c>
      <c r="D863" s="45"/>
      <c r="E863" s="35" t="s">
        <v>7</v>
      </c>
      <c r="F863" s="35" t="s">
        <v>2</v>
      </c>
      <c r="G863" s="35"/>
      <c r="H863" s="44"/>
      <c r="I863" s="44">
        <v>10</v>
      </c>
      <c r="J863" s="44">
        <v>2</v>
      </c>
      <c r="K863" s="44">
        <v>0</v>
      </c>
      <c r="L863" s="44">
        <v>0</v>
      </c>
      <c r="M863" s="43">
        <v>0.63611111111111118</v>
      </c>
      <c r="N863" s="43">
        <v>0.6875</v>
      </c>
      <c r="O863" s="43">
        <v>2.4305555555555556E-2</v>
      </c>
      <c r="P863" s="43">
        <v>3.3333333333333333E-2</v>
      </c>
      <c r="Q863" s="39"/>
      <c r="R863" s="42"/>
      <c r="S863" s="29">
        <f>MIP[[#This Row],[PT-1]]+MIP[[#This Row],[PT-2]]*2+MIP[[#This Row],[PT-3]]*3+MIP[[#This Row],[PT &gt; 3 Pontos]]</f>
        <v>14</v>
      </c>
      <c r="T86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6.0416666666666563E-2</v>
      </c>
      <c r="U863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6.0416666666666563E-2</v>
      </c>
      <c r="V863" s="41">
        <f>MIP[[#This Row],[Eficiência]]</f>
        <v>1.1454812446717806</v>
      </c>
      <c r="W863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63" s="39">
        <f>IF(MIP[[#This Row],[P.S]]-MIP[[#This Row],[P.E]]&lt;0,1+MIP[[#This Row],[P.S]]-MIP[[#This Row],[P.E]]-1/24,MIP[[#This Row],[P.S]]-MIP[[#This Row],[P.E]]-1/24)</f>
        <v>0.35555555555555557</v>
      </c>
      <c r="Y863" s="39">
        <f>MIP[[#This Row],[PT-1]]*$S$3+MIP[[#This Row],[PT-2]]*$T$3+MIP[[#This Row],[PT-3]]*$U$3+MIP[[#This Row],[PT &gt; 3 Pontos]]*$V$3</f>
        <v>0.33807606179549093</v>
      </c>
      <c r="Z863" s="39">
        <f>MIP[[#This Row],[HH disponível]]-MIP[[#This Row],[HH AC TOT]]</f>
        <v>0.29513888888888901</v>
      </c>
      <c r="AA863" s="38">
        <f>MIP[[#This Row],[HH Produtivo
Total]]/MIP[[#This Row],[HH Trabalhado]]</f>
        <v>1.1454812446717806</v>
      </c>
      <c r="AB863" s="38">
        <f>MIP[[#This Row],[HH Produtivo
Total]]/MIP[[#This Row],[HH disponível]]</f>
        <v>0.95083892379981827</v>
      </c>
      <c r="AC863" s="38">
        <f>MIP[[#This Row],[HH Trabalhado]]/MIP[[#This Row],[HH disponível]]</f>
        <v>0.83007812500000033</v>
      </c>
      <c r="AD863" s="37" t="str">
        <f>LEFT(MIP[[#This Row],[Equipe]], SEARCH("/",MIP[[#This Row],[Equipe]],1)-1)</f>
        <v xml:space="preserve">ANDERSON </v>
      </c>
      <c r="AE863" s="37" t="str">
        <f>RIGHT(MIP[[#This Row],[Equipe]], LEN(MIP[[#This Row],[Equipe]])-SEARCH("/",MIP[[#This Row],[Equipe]],1))</f>
        <v xml:space="preserve"> MARCO</v>
      </c>
      <c r="AF863" s="29">
        <f>COUNTIFS('[1]Tempo parado'!H:H,"&gt;="&amp;MIP[[#This Row],[S.B Sitrack]],'[1]Tempo parado'!I:I,"&lt;="&amp;MIP[[#This Row],[C.B Sitrack]],'[1]Tempo parado'!B:B,MIP[[#This Row],[Placa]])</f>
        <v>0</v>
      </c>
      <c r="AG863" s="36"/>
      <c r="AH863" s="35"/>
      <c r="AI863" s="34"/>
      <c r="AJ863" s="34"/>
      <c r="AK86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6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63" s="32">
        <f>SUMIFS('[1]Tempo parado'!J:J,'[1]Tempo parado'!H:H,"&gt;="&amp;MIP[[#This Row],[S.B Sitrack]],'[1]Tempo parado'!I:I,"&lt;="&amp;MIP[[#This Row],[C.B Sitrack]],'[1]Tempo parado'!B:B,MIP[[#This Row],[Placa]])</f>
        <v>0</v>
      </c>
      <c r="AN863" s="31" t="str">
        <f>IFERROR(MIP[[#This Row],[Tempo parado]]/(MIP[[#This Row],[C.B Sitrack]]-MIP[[#This Row],[S.B Sitrack]]),"")</f>
        <v/>
      </c>
      <c r="AO863" s="30"/>
      <c r="AP863" s="29">
        <f>IF(AND(MIP[Exc]=0,MIP[Previsto / Realizado]="Realizado"),MIP[Sem],0)</f>
        <v>49</v>
      </c>
      <c r="AQ863" s="29">
        <f>IF(AND(MIP[Exc]=0,MIP[Previsto / Realizado]="Realizado",ISBLANK(MIP[[#This Row],[S.B Sitrack]])=FALSE,ISBLANK(MIP[[#This Row],[C.B Sitrack]])=FALSE),MIP[Sem],0)</f>
        <v>0</v>
      </c>
    </row>
    <row r="864" spans="2:43" x14ac:dyDescent="0.25">
      <c r="B864" s="29">
        <f>WEEKNUM(MIP[[#This Row],[Data]])</f>
        <v>49</v>
      </c>
      <c r="C864" s="45">
        <v>43077</v>
      </c>
      <c r="D864" s="45"/>
      <c r="E864" s="35" t="s">
        <v>54</v>
      </c>
      <c r="F864" s="35" t="s">
        <v>5</v>
      </c>
      <c r="G864" s="35"/>
      <c r="H864" s="44"/>
      <c r="I864" s="44">
        <v>6</v>
      </c>
      <c r="J864" s="44">
        <v>1</v>
      </c>
      <c r="K864" s="44">
        <v>0</v>
      </c>
      <c r="L864" s="44">
        <v>0</v>
      </c>
      <c r="M864" s="43">
        <v>0.25</v>
      </c>
      <c r="N864" s="43">
        <v>0.2638888888888889</v>
      </c>
      <c r="O864" s="43">
        <v>0.62986111111111109</v>
      </c>
      <c r="P864" s="43">
        <v>0.65833333333333333</v>
      </c>
      <c r="Q864" s="39"/>
      <c r="R864" s="42"/>
      <c r="S864" s="29">
        <f>MIP[[#This Row],[PT-1]]+MIP[[#This Row],[PT-2]]*2+MIP[[#This Row],[PT-3]]*3+MIP[[#This Row],[PT &gt; 3 Pontos]]</f>
        <v>8</v>
      </c>
      <c r="T86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4.2361111111111127E-2</v>
      </c>
      <c r="U864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4.2361111111111127E-2</v>
      </c>
      <c r="V864" s="41">
        <f>MIP[[#This Row],[Eficiência]]</f>
        <v>0.59839827142103441</v>
      </c>
      <c r="W864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64" s="39">
        <f>IF(MIP[[#This Row],[P.S]]-MIP[[#This Row],[P.E]]&lt;0,1+MIP[[#This Row],[P.S]]-MIP[[#This Row],[P.E]]-1/24,MIP[[#This Row],[P.S]]-MIP[[#This Row],[P.E]]-1/24)</f>
        <v>0.36666666666666664</v>
      </c>
      <c r="Y864" s="39">
        <f>MIP[[#This Row],[PT-1]]*$S$3+MIP[[#This Row],[PT-2]]*$T$3+MIP[[#This Row],[PT-3]]*$U$3+MIP[[#This Row],[PT &gt; 3 Pontos]]*$V$3</f>
        <v>0.19406388385668266</v>
      </c>
      <c r="Z864" s="39">
        <f>MIP[[#This Row],[HH disponível]]-MIP[[#This Row],[HH AC TOT]]</f>
        <v>0.32430555555555551</v>
      </c>
      <c r="AA864" s="38">
        <f>MIP[[#This Row],[HH Produtivo
Total]]/MIP[[#This Row],[HH Trabalhado]]</f>
        <v>0.59839827142103441</v>
      </c>
      <c r="AB864" s="38">
        <f>MIP[[#This Row],[HH Produtivo
Total]]/MIP[[#This Row],[HH disponível]]</f>
        <v>0.52926513779095274</v>
      </c>
      <c r="AC864" s="38">
        <f>MIP[[#This Row],[HH Trabalhado]]/MIP[[#This Row],[HH disponível]]</f>
        <v>0.88446969696969691</v>
      </c>
      <c r="AD864" s="37" t="str">
        <f>LEFT(MIP[[#This Row],[Equipe]], SEARCH("/",MIP[[#This Row],[Equipe]],1)-1)</f>
        <v xml:space="preserve">CLAUDINEY </v>
      </c>
      <c r="AE864" s="37" t="str">
        <f>RIGHT(MIP[[#This Row],[Equipe]], LEN(MIP[[#This Row],[Equipe]])-SEARCH("/",MIP[[#This Row],[Equipe]],1))</f>
        <v xml:space="preserve"> JOILSON / VALDEI</v>
      </c>
      <c r="AF864" s="29">
        <f>COUNTIFS('[1]Tempo parado'!H:H,"&gt;="&amp;MIP[[#This Row],[S.B Sitrack]],'[1]Tempo parado'!I:I,"&lt;="&amp;MIP[[#This Row],[C.B Sitrack]],'[1]Tempo parado'!B:B,MIP[[#This Row],[Placa]])</f>
        <v>0</v>
      </c>
      <c r="AG864" s="36"/>
      <c r="AH864" s="35"/>
      <c r="AI864" s="34"/>
      <c r="AJ864" s="34"/>
      <c r="AK86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6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64" s="32">
        <f>SUMIFS('[1]Tempo parado'!J:J,'[1]Tempo parado'!H:H,"&gt;="&amp;MIP[[#This Row],[S.B Sitrack]],'[1]Tempo parado'!I:I,"&lt;="&amp;MIP[[#This Row],[C.B Sitrack]],'[1]Tempo parado'!B:B,MIP[[#This Row],[Placa]])</f>
        <v>0</v>
      </c>
      <c r="AN864" s="31" t="str">
        <f>IFERROR(MIP[[#This Row],[Tempo parado]]/(MIP[[#This Row],[C.B Sitrack]]-MIP[[#This Row],[S.B Sitrack]]),"")</f>
        <v/>
      </c>
      <c r="AO864" s="30"/>
      <c r="AP864" s="29">
        <f>IF(AND(MIP[Exc]=0,MIP[Previsto / Realizado]="Realizado"),MIP[Sem],0)</f>
        <v>0</v>
      </c>
      <c r="AQ864" s="29">
        <f>IF(AND(MIP[Exc]=0,MIP[Previsto / Realizado]="Realizado",ISBLANK(MIP[[#This Row],[S.B Sitrack]])=FALSE,ISBLANK(MIP[[#This Row],[C.B Sitrack]])=FALSE),MIP[Sem],0)</f>
        <v>0</v>
      </c>
    </row>
    <row r="865" spans="2:43" x14ac:dyDescent="0.25">
      <c r="B865" s="29">
        <f>WEEKNUM(MIP[[#This Row],[Data]])</f>
        <v>49</v>
      </c>
      <c r="C865" s="45">
        <v>43077</v>
      </c>
      <c r="D865" s="45"/>
      <c r="E865" s="35" t="s">
        <v>54</v>
      </c>
      <c r="F865" s="35" t="s">
        <v>2</v>
      </c>
      <c r="G865" s="35"/>
      <c r="H865" s="44"/>
      <c r="I865" s="44">
        <v>7</v>
      </c>
      <c r="J865" s="44">
        <v>2</v>
      </c>
      <c r="K865" s="44">
        <v>0</v>
      </c>
      <c r="L865" s="44">
        <v>0</v>
      </c>
      <c r="M865" s="43">
        <v>0.27013888888888887</v>
      </c>
      <c r="N865" s="43">
        <v>0.28402777777777777</v>
      </c>
      <c r="O865" s="43">
        <v>0.59861111111111109</v>
      </c>
      <c r="P865" s="43">
        <v>0.66597222222222219</v>
      </c>
      <c r="Q865" s="39"/>
      <c r="R865" s="42" t="s">
        <v>53</v>
      </c>
      <c r="S865" s="29">
        <f>MIP[[#This Row],[PT-1]]+MIP[[#This Row],[PT-2]]*2+MIP[[#This Row],[PT-3]]*3+MIP[[#This Row],[PT &gt; 3 Pontos]]</f>
        <v>11</v>
      </c>
      <c r="T86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8.1249999999999989E-2</v>
      </c>
      <c r="U865" s="39">
        <f>IF(MIP[[#This Row],[P.S]]-MIP[[#This Row],[U.P]]&gt;=0,MIP[[#This Row],[P.S]]-MIP[[#This Row],[U.P]]+MIP[[#This Row],[S.B]]-MIP[[#This Row],[P.E]],1+MIP[[#This Row],[P.S]]-MIP[[#This Row],[U.P]]+MIP[[#This Row],[S.B]]-MIP[[#This Row],[P.E]])</f>
        <v>8.1249999999999989E-2</v>
      </c>
      <c r="V865" s="41">
        <f>MIP[[#This Row],[Eficiência]]</f>
        <v>0.96365863664859652</v>
      </c>
      <c r="W865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65" s="39">
        <f>IF(MIP[[#This Row],[P.S]]-MIP[[#This Row],[P.E]]&lt;0,1+MIP[[#This Row],[P.S]]-MIP[[#This Row],[P.E]]-1/24,MIP[[#This Row],[P.S]]-MIP[[#This Row],[P.E]]-1/24)</f>
        <v>0.35416666666666663</v>
      </c>
      <c r="Y865" s="39">
        <f>MIP[[#This Row],[PT-1]]*$S$3+MIP[[#This Row],[PT-2]]*$T$3+MIP[[#This Row],[PT-3]]*$U$3+MIP[[#This Row],[PT &gt; 3 Pontos]]*$V$3</f>
        <v>0.26299850291867943</v>
      </c>
      <c r="Z865" s="39">
        <f>MIP[[#This Row],[HH disponível]]-MIP[[#This Row],[HH AC TOT]]</f>
        <v>0.27291666666666664</v>
      </c>
      <c r="AA865" s="38">
        <f>MIP[[#This Row],[HH Produtivo
Total]]/MIP[[#This Row],[HH Trabalhado]]</f>
        <v>0.96365863664859652</v>
      </c>
      <c r="AB865" s="38">
        <f>MIP[[#This Row],[HH Produtivo
Total]]/MIP[[#This Row],[HH disponível]]</f>
        <v>0.74258400824097726</v>
      </c>
      <c r="AC865" s="38">
        <f>MIP[[#This Row],[HH Trabalhado]]/MIP[[#This Row],[HH disponível]]</f>
        <v>0.77058823529411768</v>
      </c>
      <c r="AD865" s="37" t="str">
        <f>LEFT(MIP[[#This Row],[Equipe]], SEARCH("/",MIP[[#This Row],[Equipe]],1)-1)</f>
        <v xml:space="preserve">CLAUDINEY </v>
      </c>
      <c r="AE865" s="37" t="str">
        <f>RIGHT(MIP[[#This Row],[Equipe]], LEN(MIP[[#This Row],[Equipe]])-SEARCH("/",MIP[[#This Row],[Equipe]],1))</f>
        <v xml:space="preserve"> JOILSON / VALDEI</v>
      </c>
      <c r="AF865" s="29">
        <f>COUNTIFS('[1]Tempo parado'!H:H,"&gt;="&amp;MIP[[#This Row],[S.B Sitrack]],'[1]Tempo parado'!I:I,"&lt;="&amp;MIP[[#This Row],[C.B Sitrack]],'[1]Tempo parado'!B:B,MIP[[#This Row],[Placa]])</f>
        <v>0</v>
      </c>
      <c r="AG865" s="36"/>
      <c r="AH865" s="35"/>
      <c r="AI865" s="34"/>
      <c r="AJ865" s="34"/>
      <c r="AK86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6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65" s="32">
        <f>SUMIFS('[1]Tempo parado'!J:J,'[1]Tempo parado'!H:H,"&gt;="&amp;MIP[[#This Row],[S.B Sitrack]],'[1]Tempo parado'!I:I,"&lt;="&amp;MIP[[#This Row],[C.B Sitrack]],'[1]Tempo parado'!B:B,MIP[[#This Row],[Placa]])</f>
        <v>0</v>
      </c>
      <c r="AN865" s="31" t="str">
        <f>IFERROR(MIP[[#This Row],[Tempo parado]]/(MIP[[#This Row],[C.B Sitrack]]-MIP[[#This Row],[S.B Sitrack]]),"")</f>
        <v/>
      </c>
      <c r="AO865" s="30"/>
      <c r="AP865" s="29">
        <f>IF(AND(MIP[Exc]=0,MIP[Previsto / Realizado]="Realizado"),MIP[Sem],0)</f>
        <v>49</v>
      </c>
      <c r="AQ865" s="29">
        <f>IF(AND(MIP[Exc]=0,MIP[Previsto / Realizado]="Realizado",ISBLANK(MIP[[#This Row],[S.B Sitrack]])=FALSE,ISBLANK(MIP[[#This Row],[C.B Sitrack]])=FALSE),MIP[Sem],0)</f>
        <v>0</v>
      </c>
    </row>
    <row r="866" spans="2:43" x14ac:dyDescent="0.25">
      <c r="B866" s="29">
        <f>WEEKNUM(MIP[[#This Row],[Data]])</f>
        <v>49</v>
      </c>
      <c r="C866" s="45">
        <v>43077</v>
      </c>
      <c r="D866" s="45"/>
      <c r="E866" s="35" t="s">
        <v>7</v>
      </c>
      <c r="F866" s="35" t="s">
        <v>5</v>
      </c>
      <c r="G866" s="35"/>
      <c r="H866" s="44"/>
      <c r="I866" s="44">
        <v>2</v>
      </c>
      <c r="J866" s="44">
        <v>3</v>
      </c>
      <c r="K866" s="44">
        <v>1</v>
      </c>
      <c r="L866" s="44">
        <v>0</v>
      </c>
      <c r="M866" s="43">
        <v>0.625</v>
      </c>
      <c r="N866" s="43">
        <v>0.6381944444444444</v>
      </c>
      <c r="O866" s="43">
        <v>5.5555555555555558E-3</v>
      </c>
      <c r="P866" s="43">
        <v>3.3333333333333333E-2</v>
      </c>
      <c r="Q866" s="39"/>
      <c r="R866" s="42"/>
      <c r="S866" s="29">
        <f>MIP[[#This Row],[PT-1]]+MIP[[#This Row],[PT-2]]*2+MIP[[#This Row],[PT-3]]*3+MIP[[#This Row],[PT &gt; 3 Pontos]]</f>
        <v>11</v>
      </c>
      <c r="T86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4.0972222222222188E-2</v>
      </c>
      <c r="U866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4.0972222222222188E-2</v>
      </c>
      <c r="V866" s="41">
        <f>MIP[[#This Row],[Eficiência]]</f>
        <v>0.75091757825777916</v>
      </c>
      <c r="W866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66" s="39">
        <f>IF(MIP[[#This Row],[P.S]]-MIP[[#This Row],[P.E]]&lt;0,1+MIP[[#This Row],[P.S]]-MIP[[#This Row],[P.E]]-1/24,MIP[[#This Row],[P.S]]-MIP[[#This Row],[P.E]]-1/24)</f>
        <v>0.36666666666666675</v>
      </c>
      <c r="Y866" s="39">
        <f>MIP[[#This Row],[PT-1]]*$S$3+MIP[[#This Row],[PT-2]]*$T$3+MIP[[#This Row],[PT-3]]*$U$3+MIP[[#This Row],[PT &gt; 3 Pontos]]*$V$3</f>
        <v>0.24456968347423511</v>
      </c>
      <c r="Z866" s="39">
        <f>MIP[[#This Row],[HH disponível]]-MIP[[#This Row],[HH AC TOT]]</f>
        <v>0.32569444444444456</v>
      </c>
      <c r="AA866" s="38">
        <f>MIP[[#This Row],[HH Produtivo
Total]]/MIP[[#This Row],[HH Trabalhado]]</f>
        <v>0.75091757825777916</v>
      </c>
      <c r="AB866" s="38">
        <f>MIP[[#This Row],[HH Produtivo
Total]]/MIP[[#This Row],[HH disponível]]</f>
        <v>0.66700822765700463</v>
      </c>
      <c r="AC866" s="38">
        <f>MIP[[#This Row],[HH Trabalhado]]/MIP[[#This Row],[HH disponível]]</f>
        <v>0.88825757575757591</v>
      </c>
      <c r="AD866" s="37" t="str">
        <f>LEFT(MIP[[#This Row],[Equipe]], SEARCH("/",MIP[[#This Row],[Equipe]],1)-1)</f>
        <v xml:space="preserve">ANDERSON </v>
      </c>
      <c r="AE866" s="37" t="str">
        <f>RIGHT(MIP[[#This Row],[Equipe]], LEN(MIP[[#This Row],[Equipe]])-SEARCH("/",MIP[[#This Row],[Equipe]],1))</f>
        <v xml:space="preserve"> MARCO</v>
      </c>
      <c r="AF866" s="29">
        <f>COUNTIFS('[1]Tempo parado'!H:H,"&gt;="&amp;MIP[[#This Row],[S.B Sitrack]],'[1]Tempo parado'!I:I,"&lt;="&amp;MIP[[#This Row],[C.B Sitrack]],'[1]Tempo parado'!B:B,MIP[[#This Row],[Placa]])</f>
        <v>0</v>
      </c>
      <c r="AG866" s="36"/>
      <c r="AH866" s="35"/>
      <c r="AI866" s="34"/>
      <c r="AJ866" s="34"/>
      <c r="AK86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6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66" s="32">
        <f>SUMIFS('[1]Tempo parado'!J:J,'[1]Tempo parado'!H:H,"&gt;="&amp;MIP[[#This Row],[S.B Sitrack]],'[1]Tempo parado'!I:I,"&lt;="&amp;MIP[[#This Row],[C.B Sitrack]],'[1]Tempo parado'!B:B,MIP[[#This Row],[Placa]])</f>
        <v>0</v>
      </c>
      <c r="AN866" s="31" t="str">
        <f>IFERROR(MIP[[#This Row],[Tempo parado]]/(MIP[[#This Row],[C.B Sitrack]]-MIP[[#This Row],[S.B Sitrack]]),"")</f>
        <v/>
      </c>
      <c r="AO866" s="30"/>
      <c r="AP866" s="29">
        <f>IF(AND(MIP[Exc]=0,MIP[Previsto / Realizado]="Realizado"),MIP[Sem],0)</f>
        <v>0</v>
      </c>
      <c r="AQ866" s="29">
        <f>IF(AND(MIP[Exc]=0,MIP[Previsto / Realizado]="Realizado",ISBLANK(MIP[[#This Row],[S.B Sitrack]])=FALSE,ISBLANK(MIP[[#This Row],[C.B Sitrack]])=FALSE),MIP[Sem],0)</f>
        <v>0</v>
      </c>
    </row>
    <row r="867" spans="2:43" x14ac:dyDescent="0.25">
      <c r="B867" s="29">
        <f>WEEKNUM(MIP[[#This Row],[Data]])</f>
        <v>49</v>
      </c>
      <c r="C867" s="45">
        <v>43077</v>
      </c>
      <c r="D867" s="45"/>
      <c r="E867" s="35" t="s">
        <v>7</v>
      </c>
      <c r="F867" s="35" t="s">
        <v>2</v>
      </c>
      <c r="G867" s="35"/>
      <c r="H867" s="44"/>
      <c r="I867" s="44">
        <v>2</v>
      </c>
      <c r="J867" s="44">
        <v>3</v>
      </c>
      <c r="K867" s="44">
        <v>1</v>
      </c>
      <c r="L867" s="44">
        <v>0</v>
      </c>
      <c r="M867" s="43">
        <v>0.63541666666666663</v>
      </c>
      <c r="N867" s="43">
        <v>0.67708333333333337</v>
      </c>
      <c r="O867" s="43">
        <v>0.91805555555555562</v>
      </c>
      <c r="P867" s="43">
        <v>0.91875000000000007</v>
      </c>
      <c r="Q867" s="39"/>
      <c r="R867" s="42" t="s">
        <v>52</v>
      </c>
      <c r="S867" s="29">
        <f>MIP[[#This Row],[PT-1]]+MIP[[#This Row],[PT-2]]*2+MIP[[#This Row],[PT-3]]*3+MIP[[#This Row],[PT &gt; 3 Pontos]]</f>
        <v>11</v>
      </c>
      <c r="T86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4.2361111111111183E-2</v>
      </c>
      <c r="U867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4.2361111111111183E-2</v>
      </c>
      <c r="V867" s="41">
        <f>MIP[[#This Row],[Eficiência]]</f>
        <v>1.2271092132505173</v>
      </c>
      <c r="W867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67" s="39">
        <f>IF(MIP[[#This Row],[P.S]]-MIP[[#This Row],[P.E]]&lt;0,1+MIP[[#This Row],[P.S]]-MIP[[#This Row],[P.E]]-1/24,MIP[[#This Row],[P.S]]-MIP[[#This Row],[P.E]]-1/24)</f>
        <v>0.24166666666666678</v>
      </c>
      <c r="Y867" s="39">
        <f>MIP[[#This Row],[PT-1]]*$S$3+MIP[[#This Row],[PT-2]]*$T$3+MIP[[#This Row],[PT-3]]*$U$3+MIP[[#This Row],[PT &gt; 3 Pontos]]*$V$3</f>
        <v>0.24456968347423511</v>
      </c>
      <c r="Z867" s="39">
        <f>MIP[[#This Row],[HH disponível]]-MIP[[#This Row],[HH AC TOT]]</f>
        <v>0.1993055555555556</v>
      </c>
      <c r="AA867" s="38">
        <f>MIP[[#This Row],[HH Produtivo
Total]]/MIP[[#This Row],[HH Trabalhado]]</f>
        <v>1.2271092132505173</v>
      </c>
      <c r="AB867" s="38">
        <f>MIP[[#This Row],[HH Produtivo
Total]]/MIP[[#This Row],[HH disponível]]</f>
        <v>1.0120124833416619</v>
      </c>
      <c r="AC867" s="38">
        <f>MIP[[#This Row],[HH Trabalhado]]/MIP[[#This Row],[HH disponível]]</f>
        <v>0.82471264367816066</v>
      </c>
      <c r="AD867" s="37" t="str">
        <f>LEFT(MIP[[#This Row],[Equipe]], SEARCH("/",MIP[[#This Row],[Equipe]],1)-1)</f>
        <v xml:space="preserve">ANDERSON </v>
      </c>
      <c r="AE867" s="37" t="str">
        <f>RIGHT(MIP[[#This Row],[Equipe]], LEN(MIP[[#This Row],[Equipe]])-SEARCH("/",MIP[[#This Row],[Equipe]],1))</f>
        <v xml:space="preserve"> MARCO</v>
      </c>
      <c r="AF867" s="29">
        <f>COUNTIFS('[1]Tempo parado'!H:H,"&gt;="&amp;MIP[[#This Row],[S.B Sitrack]],'[1]Tempo parado'!I:I,"&lt;="&amp;MIP[[#This Row],[C.B Sitrack]],'[1]Tempo parado'!B:B,MIP[[#This Row],[Placa]])</f>
        <v>0</v>
      </c>
      <c r="AG867" s="36"/>
      <c r="AH867" s="35"/>
      <c r="AI867" s="34"/>
      <c r="AJ867" s="34"/>
      <c r="AK86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6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67" s="32">
        <f>SUMIFS('[1]Tempo parado'!J:J,'[1]Tempo parado'!H:H,"&gt;="&amp;MIP[[#This Row],[S.B Sitrack]],'[1]Tempo parado'!I:I,"&lt;="&amp;MIP[[#This Row],[C.B Sitrack]],'[1]Tempo parado'!B:B,MIP[[#This Row],[Placa]])</f>
        <v>0</v>
      </c>
      <c r="AN867" s="31" t="str">
        <f>IFERROR(MIP[[#This Row],[Tempo parado]]/(MIP[[#This Row],[C.B Sitrack]]-MIP[[#This Row],[S.B Sitrack]]),"")</f>
        <v/>
      </c>
      <c r="AO867" s="30"/>
      <c r="AP867" s="29">
        <f>IF(AND(MIP[Exc]=0,MIP[Previsto / Realizado]="Realizado"),MIP[Sem],0)</f>
        <v>49</v>
      </c>
      <c r="AQ867" s="29">
        <f>IF(AND(MIP[Exc]=0,MIP[Previsto / Realizado]="Realizado",ISBLANK(MIP[[#This Row],[S.B Sitrack]])=FALSE,ISBLANK(MIP[[#This Row],[C.B Sitrack]])=FALSE),MIP[Sem],0)</f>
        <v>0</v>
      </c>
    </row>
    <row r="868" spans="2:43" x14ac:dyDescent="0.25">
      <c r="B868" s="29">
        <f>WEEKNUM(MIP[[#This Row],[Data]])</f>
        <v>50</v>
      </c>
      <c r="C868" s="45">
        <v>43080</v>
      </c>
      <c r="D868" s="45"/>
      <c r="E868" s="35" t="s">
        <v>7</v>
      </c>
      <c r="F868" s="35" t="s">
        <v>5</v>
      </c>
      <c r="G868" s="35"/>
      <c r="H868" s="44"/>
      <c r="I868" s="44">
        <v>1</v>
      </c>
      <c r="J868" s="44">
        <v>1</v>
      </c>
      <c r="K868" s="44">
        <v>1</v>
      </c>
      <c r="L868" s="44">
        <v>0</v>
      </c>
      <c r="M868" s="43">
        <v>0</v>
      </c>
      <c r="N868" s="43">
        <v>0</v>
      </c>
      <c r="O868" s="43">
        <v>0</v>
      </c>
      <c r="P868" s="43">
        <v>0</v>
      </c>
      <c r="Q868" s="39"/>
      <c r="R868" s="42" t="s">
        <v>51</v>
      </c>
      <c r="S868" s="29">
        <f>MIP[[#This Row],[PT-1]]+MIP[[#This Row],[PT-2]]*2+MIP[[#This Row],[PT-3]]*3+MIP[[#This Row],[PT &gt; 3 Pontos]]</f>
        <v>6</v>
      </c>
      <c r="T86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</v>
      </c>
      <c r="U868" s="39">
        <f>IF(MIP[[#This Row],[P.S]]-MIP[[#This Row],[U.P]]&gt;=0,MIP[[#This Row],[P.S]]-MIP[[#This Row],[U.P]]+MIP[[#This Row],[S.B]]-MIP[[#This Row],[P.E]],1+MIP[[#This Row],[P.S]]-MIP[[#This Row],[U.P]]+MIP[[#This Row],[S.B]]-MIP[[#This Row],[P.E]])</f>
        <v>0</v>
      </c>
      <c r="V868" s="41">
        <f>MIP[[#This Row],[Eficiência]]</f>
        <v>-3.1614311594202902</v>
      </c>
      <c r="W868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68" s="39">
        <f>IF(MIP[[#This Row],[P.S]]-MIP[[#This Row],[P.E]]&lt;0,1+MIP[[#This Row],[P.S]]-MIP[[#This Row],[P.E]]-1/24,MIP[[#This Row],[P.S]]-MIP[[#This Row],[P.E]]-1/24)</f>
        <v>-4.1666666666666664E-2</v>
      </c>
      <c r="Y868" s="39">
        <f>MIP[[#This Row],[PT-1]]*$S$3+MIP[[#This Row],[PT-2]]*$T$3+MIP[[#This Row],[PT-3]]*$U$3+MIP[[#This Row],[PT &gt; 3 Pontos]]*$V$3</f>
        <v>0.13172629830917876</v>
      </c>
      <c r="Z868" s="39">
        <f>MIP[[#This Row],[HH disponível]]-MIP[[#This Row],[HH AC TOT]]</f>
        <v>-4.1666666666666664E-2</v>
      </c>
      <c r="AA868" s="38">
        <f>MIP[[#This Row],[HH Produtivo
Total]]/MIP[[#This Row],[HH Trabalhado]]</f>
        <v>-3.1614311594202902</v>
      </c>
      <c r="AB868" s="38">
        <f>MIP[[#This Row],[HH Produtivo
Total]]/MIP[[#This Row],[HH disponível]]</f>
        <v>-3.1614311594202902</v>
      </c>
      <c r="AC868" s="38">
        <f>MIP[[#This Row],[HH Trabalhado]]/MIP[[#This Row],[HH disponível]]</f>
        <v>1</v>
      </c>
      <c r="AD868" s="37" t="str">
        <f>LEFT(MIP[[#This Row],[Equipe]], SEARCH("/",MIP[[#This Row],[Equipe]],1)-1)</f>
        <v xml:space="preserve">ANDERSON </v>
      </c>
      <c r="AE868" s="37" t="str">
        <f>RIGHT(MIP[[#This Row],[Equipe]], LEN(MIP[[#This Row],[Equipe]])-SEARCH("/",MIP[[#This Row],[Equipe]],1))</f>
        <v xml:space="preserve"> MARCO</v>
      </c>
      <c r="AF868" s="29">
        <f>COUNTIFS('[1]Tempo parado'!H:H,"&gt;="&amp;MIP[[#This Row],[S.B Sitrack]],'[1]Tempo parado'!I:I,"&lt;="&amp;MIP[[#This Row],[C.B Sitrack]],'[1]Tempo parado'!B:B,MIP[[#This Row],[Placa]])</f>
        <v>0</v>
      </c>
      <c r="AG868" s="36"/>
      <c r="AH868" s="35"/>
      <c r="AI868" s="34"/>
      <c r="AJ868" s="34"/>
      <c r="AK86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6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68" s="32">
        <f>SUMIFS('[1]Tempo parado'!J:J,'[1]Tempo parado'!H:H,"&gt;="&amp;MIP[[#This Row],[S.B Sitrack]],'[1]Tempo parado'!I:I,"&lt;="&amp;MIP[[#This Row],[C.B Sitrack]],'[1]Tempo parado'!B:B,MIP[[#This Row],[Placa]])</f>
        <v>0</v>
      </c>
      <c r="AN868" s="31" t="str">
        <f>IFERROR(MIP[[#This Row],[Tempo parado]]/(MIP[[#This Row],[C.B Sitrack]]-MIP[[#This Row],[S.B Sitrack]]),"")</f>
        <v/>
      </c>
      <c r="AO868" s="30"/>
      <c r="AP868" s="29">
        <f>IF(AND(MIP[Exc]=0,MIP[Previsto / Realizado]="Realizado"),MIP[Sem],0)</f>
        <v>0</v>
      </c>
      <c r="AQ868" s="29">
        <f>IF(AND(MIP[Exc]=0,MIP[Previsto / Realizado]="Realizado",ISBLANK(MIP[[#This Row],[S.B Sitrack]])=FALSE,ISBLANK(MIP[[#This Row],[C.B Sitrack]])=FALSE),MIP[Sem],0)</f>
        <v>0</v>
      </c>
    </row>
    <row r="869" spans="2:43" x14ac:dyDescent="0.25">
      <c r="B869" s="29">
        <f>WEEKNUM(MIP[[#This Row],[Data]])</f>
        <v>50</v>
      </c>
      <c r="C869" s="45">
        <v>43080</v>
      </c>
      <c r="D869" s="45"/>
      <c r="E869" s="35" t="s">
        <v>7</v>
      </c>
      <c r="F869" s="35" t="s">
        <v>2</v>
      </c>
      <c r="G869" s="35"/>
      <c r="H869" s="44"/>
      <c r="I869" s="44">
        <v>3</v>
      </c>
      <c r="J869" s="44">
        <v>1</v>
      </c>
      <c r="K869" s="44">
        <v>2</v>
      </c>
      <c r="L869" s="44">
        <v>0</v>
      </c>
      <c r="M869" s="43">
        <v>0.62986111111111109</v>
      </c>
      <c r="N869" s="43">
        <v>0.67361111111111116</v>
      </c>
      <c r="O869" s="43">
        <v>0.88263888888888886</v>
      </c>
      <c r="P869" s="43">
        <v>3.4722222222222224E-2</v>
      </c>
      <c r="Q869" s="39"/>
      <c r="R869" s="42" t="s">
        <v>50</v>
      </c>
      <c r="S869" s="29">
        <f>MIP[[#This Row],[PT-1]]+MIP[[#This Row],[PT-2]]*2+MIP[[#This Row],[PT-3]]*3+MIP[[#This Row],[PT &gt; 3 Pontos]]</f>
        <v>11</v>
      </c>
      <c r="T86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0.19583333333333353</v>
      </c>
      <c r="U869" s="39">
        <f>IF(MIP[[#This Row],[P.S]]-MIP[[#This Row],[U.P]]&gt;=0,MIP[[#This Row],[P.S]]-MIP[[#This Row],[U.P]]+MIP[[#This Row],[S.B]]-MIP[[#This Row],[P.E]],1+MIP[[#This Row],[P.S]]-MIP[[#This Row],[U.P]]+MIP[[#This Row],[S.B]]-MIP[[#This Row],[P.E]])</f>
        <v>0.19583333333333353</v>
      </c>
      <c r="V869" s="41">
        <f>MIP[[#This Row],[Eficiência]]</f>
        <v>1.4613292290576712</v>
      </c>
      <c r="W869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69" s="39">
        <f>IF(MIP[[#This Row],[P.S]]-MIP[[#This Row],[P.E]]&lt;0,1+MIP[[#This Row],[P.S]]-MIP[[#This Row],[P.E]]-1/24,MIP[[#This Row],[P.S]]-MIP[[#This Row],[P.E]]-1/24)</f>
        <v>0.36319444444444454</v>
      </c>
      <c r="Y869" s="39">
        <f>MIP[[#This Row],[PT-1]]*$S$3+MIP[[#This Row],[PT-2]]*$T$3+MIP[[#This Row],[PT-3]]*$U$3+MIP[[#This Row],[PT &gt; 3 Pontos]]*$V$3</f>
        <v>0.24456968347423511</v>
      </c>
      <c r="Z869" s="39">
        <f>MIP[[#This Row],[HH disponível]]-MIP[[#This Row],[HH AC TOT]]</f>
        <v>0.16736111111111102</v>
      </c>
      <c r="AA869" s="38">
        <f>MIP[[#This Row],[HH Produtivo
Total]]/MIP[[#This Row],[HH Trabalhado]]</f>
        <v>1.4613292290576712</v>
      </c>
      <c r="AB869" s="38">
        <f>MIP[[#This Row],[HH Produtivo
Total]]/MIP[[#This Row],[HH disponível]]</f>
        <v>0.67338497935544639</v>
      </c>
      <c r="AC869" s="38">
        <f>MIP[[#This Row],[HH Trabalhado]]/MIP[[#This Row],[HH disponível]]</f>
        <v>0.46080305927342219</v>
      </c>
      <c r="AD869" s="37" t="str">
        <f>LEFT(MIP[[#This Row],[Equipe]], SEARCH("/",MIP[[#This Row],[Equipe]],1)-1)</f>
        <v xml:space="preserve">ANDERSON </v>
      </c>
      <c r="AE869" s="37" t="str">
        <f>RIGHT(MIP[[#This Row],[Equipe]], LEN(MIP[[#This Row],[Equipe]])-SEARCH("/",MIP[[#This Row],[Equipe]],1))</f>
        <v xml:space="preserve"> MARCO</v>
      </c>
      <c r="AF869" s="29">
        <f>COUNTIFS('[1]Tempo parado'!H:H,"&gt;="&amp;MIP[[#This Row],[S.B Sitrack]],'[1]Tempo parado'!I:I,"&lt;="&amp;MIP[[#This Row],[C.B Sitrack]],'[1]Tempo parado'!B:B,MIP[[#This Row],[Placa]])</f>
        <v>0</v>
      </c>
      <c r="AG869" s="36"/>
      <c r="AH869" s="35"/>
      <c r="AI869" s="34"/>
      <c r="AJ869" s="34"/>
      <c r="AK86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6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69" s="32">
        <f>SUMIFS('[1]Tempo parado'!J:J,'[1]Tempo parado'!H:H,"&gt;="&amp;MIP[[#This Row],[S.B Sitrack]],'[1]Tempo parado'!I:I,"&lt;="&amp;MIP[[#This Row],[C.B Sitrack]],'[1]Tempo parado'!B:B,MIP[[#This Row],[Placa]])</f>
        <v>0</v>
      </c>
      <c r="AN869" s="31" t="str">
        <f>IFERROR(MIP[[#This Row],[Tempo parado]]/(MIP[[#This Row],[C.B Sitrack]]-MIP[[#This Row],[S.B Sitrack]]),"")</f>
        <v/>
      </c>
      <c r="AO869" s="30"/>
      <c r="AP869" s="29">
        <f>IF(AND(MIP[Exc]=0,MIP[Previsto / Realizado]="Realizado"),MIP[Sem],0)</f>
        <v>50</v>
      </c>
      <c r="AQ869" s="29">
        <f>IF(AND(MIP[Exc]=0,MIP[Previsto / Realizado]="Realizado",ISBLANK(MIP[[#This Row],[S.B Sitrack]])=FALSE,ISBLANK(MIP[[#This Row],[C.B Sitrack]])=FALSE),MIP[Sem],0)</f>
        <v>0</v>
      </c>
    </row>
    <row r="870" spans="2:43" x14ac:dyDescent="0.25">
      <c r="B870" s="29">
        <f>WEEKNUM(MIP[[#This Row],[Data]])</f>
        <v>50</v>
      </c>
      <c r="C870" s="45">
        <v>43080</v>
      </c>
      <c r="D870" s="45"/>
      <c r="E870" s="35" t="s">
        <v>3</v>
      </c>
      <c r="F870" s="35" t="s">
        <v>5</v>
      </c>
      <c r="G870" s="35"/>
      <c r="H870" s="44"/>
      <c r="I870" s="44">
        <v>5</v>
      </c>
      <c r="J870" s="44">
        <v>2</v>
      </c>
      <c r="K870" s="44">
        <v>0</v>
      </c>
      <c r="L870" s="44">
        <v>0</v>
      </c>
      <c r="M870" s="43">
        <v>0.625</v>
      </c>
      <c r="N870" s="43">
        <v>0.63750000000000007</v>
      </c>
      <c r="O870" s="43">
        <v>4.8611111111111112E-3</v>
      </c>
      <c r="P870" s="43">
        <v>3.3333333333333333E-2</v>
      </c>
      <c r="Q870" s="39"/>
      <c r="R870" s="42"/>
      <c r="S870" s="29">
        <f>MIP[[#This Row],[PT-1]]+MIP[[#This Row],[PT-2]]*2+MIP[[#This Row],[PT-3]]*3+MIP[[#This Row],[PT &gt; 3 Pontos]]</f>
        <v>9</v>
      </c>
      <c r="T87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4.0972222222222299E-2</v>
      </c>
      <c r="U870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4.0972222222222299E-2</v>
      </c>
      <c r="V870" s="41">
        <f>MIP[[#This Row],[Eficiência]]</f>
        <v>0.65382385433083001</v>
      </c>
      <c r="W870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70" s="39">
        <f>IF(MIP[[#This Row],[P.S]]-MIP[[#This Row],[P.E]]&lt;0,1+MIP[[#This Row],[P.S]]-MIP[[#This Row],[P.E]]-1/24,MIP[[#This Row],[P.S]]-MIP[[#This Row],[P.E]]-1/24)</f>
        <v>0.36666666666666675</v>
      </c>
      <c r="Y870" s="39">
        <f>MIP[[#This Row],[PT-1]]*$S$3+MIP[[#This Row],[PT-2]]*$T$3+MIP[[#This Row],[PT-3]]*$U$3+MIP[[#This Row],[PT &gt; 3 Pontos]]*$V$3</f>
        <v>0.21294679700080504</v>
      </c>
      <c r="Z870" s="39">
        <f>MIP[[#This Row],[HH disponível]]-MIP[[#This Row],[HH AC TOT]]</f>
        <v>0.32569444444444445</v>
      </c>
      <c r="AA870" s="38">
        <f>MIP[[#This Row],[HH Produtivo
Total]]/MIP[[#This Row],[HH Trabalhado]]</f>
        <v>0.65382385433083001</v>
      </c>
      <c r="AB870" s="38">
        <f>MIP[[#This Row],[HH Produtivo
Total]]/MIP[[#This Row],[HH disponível]]</f>
        <v>0.5807639918203773</v>
      </c>
      <c r="AC870" s="38">
        <f>MIP[[#This Row],[HH Trabalhado]]/MIP[[#This Row],[HH disponível]]</f>
        <v>0.88825757575757558</v>
      </c>
      <c r="AD870" s="37" t="str">
        <f>LEFT(MIP[[#This Row],[Equipe]], SEARCH("/",MIP[[#This Row],[Equipe]],1)-1)</f>
        <v xml:space="preserve">EDILTON </v>
      </c>
      <c r="AE870" s="37" t="str">
        <f>RIGHT(MIP[[#This Row],[Equipe]], LEN(MIP[[#This Row],[Equipe]])-SEARCH("/",MIP[[#This Row],[Equipe]],1))</f>
        <v xml:space="preserve"> GECIVALDO</v>
      </c>
      <c r="AF870" s="29">
        <f>COUNTIFS('[1]Tempo parado'!H:H,"&gt;="&amp;MIP[[#This Row],[S.B Sitrack]],'[1]Tempo parado'!I:I,"&lt;="&amp;MIP[[#This Row],[C.B Sitrack]],'[1]Tempo parado'!B:B,MIP[[#This Row],[Placa]])</f>
        <v>0</v>
      </c>
      <c r="AG870" s="36"/>
      <c r="AH870" s="35"/>
      <c r="AI870" s="34"/>
      <c r="AJ870" s="34"/>
      <c r="AK87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7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70" s="32">
        <f>SUMIFS('[1]Tempo parado'!J:J,'[1]Tempo parado'!H:H,"&gt;="&amp;MIP[[#This Row],[S.B Sitrack]],'[1]Tempo parado'!I:I,"&lt;="&amp;MIP[[#This Row],[C.B Sitrack]],'[1]Tempo parado'!B:B,MIP[[#This Row],[Placa]])</f>
        <v>0</v>
      </c>
      <c r="AN870" s="31" t="str">
        <f>IFERROR(MIP[[#This Row],[Tempo parado]]/(MIP[[#This Row],[C.B Sitrack]]-MIP[[#This Row],[S.B Sitrack]]),"")</f>
        <v/>
      </c>
      <c r="AO870" s="30"/>
      <c r="AP870" s="29">
        <f>IF(AND(MIP[Exc]=0,MIP[Previsto / Realizado]="Realizado"),MIP[Sem],0)</f>
        <v>0</v>
      </c>
      <c r="AQ870" s="29">
        <f>IF(AND(MIP[Exc]=0,MIP[Previsto / Realizado]="Realizado",ISBLANK(MIP[[#This Row],[S.B Sitrack]])=FALSE,ISBLANK(MIP[[#This Row],[C.B Sitrack]])=FALSE),MIP[Sem],0)</f>
        <v>0</v>
      </c>
    </row>
    <row r="871" spans="2:43" x14ac:dyDescent="0.25">
      <c r="B871" s="29">
        <f>WEEKNUM(MIP[[#This Row],[Data]])</f>
        <v>46</v>
      </c>
      <c r="C871" s="45">
        <v>43051</v>
      </c>
      <c r="D871" s="45"/>
      <c r="E871" s="35" t="s">
        <v>3</v>
      </c>
      <c r="F871" s="35" t="s">
        <v>2</v>
      </c>
      <c r="G871" s="35"/>
      <c r="H871" s="44"/>
      <c r="I871" s="44">
        <v>5</v>
      </c>
      <c r="J871" s="44">
        <v>2</v>
      </c>
      <c r="K871" s="44">
        <v>0</v>
      </c>
      <c r="L871" s="44">
        <v>0</v>
      </c>
      <c r="M871" s="43">
        <v>0.62708333333333333</v>
      </c>
      <c r="N871" s="43">
        <v>0.66875000000000007</v>
      </c>
      <c r="O871" s="43">
        <v>4.8611111111111112E-3</v>
      </c>
      <c r="P871" s="43">
        <v>3.3333333333333333E-2</v>
      </c>
      <c r="Q871" s="39"/>
      <c r="R871" s="42" t="s">
        <v>49</v>
      </c>
      <c r="S871" s="29">
        <f>MIP[[#This Row],[PT-1]]+MIP[[#This Row],[PT-2]]*2+MIP[[#This Row],[PT-3]]*3+MIP[[#This Row],[PT &gt; 3 Pontos]]</f>
        <v>9</v>
      </c>
      <c r="T87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7.0138888888888973E-2</v>
      </c>
      <c r="U871" s="39">
        <f>IF(MIP[[#This Row],[P.S]]-MIP[[#This Row],[U.P]]&gt;=0,MIP[[#This Row],[P.S]]-MIP[[#This Row],[U.P]]+MIP[[#This Row],[S.B]]-MIP[[#This Row],[P.E]],1+MIP[[#This Row],[P.S]]-MIP[[#This Row],[U.P]]+MIP[[#This Row],[S.B]]-MIP[[#This Row],[P.E]])</f>
        <v>7.0138888888888973E-2</v>
      </c>
      <c r="V871" s="41">
        <f>MIP[[#This Row],[Eficiência]]</f>
        <v>0.7232155369838662</v>
      </c>
      <c r="W871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71" s="39">
        <f>IF(MIP[[#This Row],[P.S]]-MIP[[#This Row],[P.E]]&lt;0,1+MIP[[#This Row],[P.S]]-MIP[[#This Row],[P.E]]-1/24,MIP[[#This Row],[P.S]]-MIP[[#This Row],[P.E]]-1/24)</f>
        <v>0.36458333333333343</v>
      </c>
      <c r="Y871" s="39">
        <f>MIP[[#This Row],[PT-1]]*$S$3+MIP[[#This Row],[PT-2]]*$T$3+MIP[[#This Row],[PT-3]]*$U$3+MIP[[#This Row],[PT &gt; 3 Pontos]]*$V$3</f>
        <v>0.21294679700080504</v>
      </c>
      <c r="Z871" s="39">
        <f>MIP[[#This Row],[HH disponível]]-MIP[[#This Row],[HH AC TOT]]</f>
        <v>0.29444444444444445</v>
      </c>
      <c r="AA871" s="38">
        <f>MIP[[#This Row],[HH Produtivo
Total]]/MIP[[#This Row],[HH Trabalhado]]</f>
        <v>0.7232155369838662</v>
      </c>
      <c r="AB871" s="38">
        <f>MIP[[#This Row],[HH Produtivo
Total]]/MIP[[#This Row],[HH disponível]]</f>
        <v>0.58408264320220793</v>
      </c>
      <c r="AC871" s="38">
        <f>MIP[[#This Row],[HH Trabalhado]]/MIP[[#This Row],[HH disponível]]</f>
        <v>0.80761904761904746</v>
      </c>
      <c r="AD871" s="37" t="str">
        <f>LEFT(MIP[[#This Row],[Equipe]], SEARCH("/",MIP[[#This Row],[Equipe]],1)-1)</f>
        <v xml:space="preserve">EDILTON </v>
      </c>
      <c r="AE871" s="37" t="str">
        <f>RIGHT(MIP[[#This Row],[Equipe]], LEN(MIP[[#This Row],[Equipe]])-SEARCH("/",MIP[[#This Row],[Equipe]],1))</f>
        <v xml:space="preserve"> GECIVALDO</v>
      </c>
      <c r="AF871" s="29">
        <f>COUNTIFS('[1]Tempo parado'!H:H,"&gt;="&amp;MIP[[#This Row],[S.B Sitrack]],'[1]Tempo parado'!I:I,"&lt;="&amp;MIP[[#This Row],[C.B Sitrack]],'[1]Tempo parado'!B:B,MIP[[#This Row],[Placa]])</f>
        <v>0</v>
      </c>
      <c r="AG871" s="36"/>
      <c r="AH871" s="35"/>
      <c r="AI871" s="34"/>
      <c r="AJ871" s="34"/>
      <c r="AK87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7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71" s="32">
        <f>SUMIFS('[1]Tempo parado'!J:J,'[1]Tempo parado'!H:H,"&gt;="&amp;MIP[[#This Row],[S.B Sitrack]],'[1]Tempo parado'!I:I,"&lt;="&amp;MIP[[#This Row],[C.B Sitrack]],'[1]Tempo parado'!B:B,MIP[[#This Row],[Placa]])</f>
        <v>0</v>
      </c>
      <c r="AN871" s="31" t="str">
        <f>IFERROR(MIP[[#This Row],[Tempo parado]]/(MIP[[#This Row],[C.B Sitrack]]-MIP[[#This Row],[S.B Sitrack]]),"")</f>
        <v/>
      </c>
      <c r="AO871" s="30"/>
      <c r="AP871" s="29">
        <f>IF(AND(MIP[Exc]=0,MIP[Previsto / Realizado]="Realizado"),MIP[Sem],0)</f>
        <v>46</v>
      </c>
      <c r="AQ871" s="29">
        <f>IF(AND(MIP[Exc]=0,MIP[Previsto / Realizado]="Realizado",ISBLANK(MIP[[#This Row],[S.B Sitrack]])=FALSE,ISBLANK(MIP[[#This Row],[C.B Sitrack]])=FALSE),MIP[Sem],0)</f>
        <v>0</v>
      </c>
    </row>
    <row r="872" spans="2:43" x14ac:dyDescent="0.25">
      <c r="B872" s="29">
        <f>WEEKNUM(MIP[[#This Row],[Data]])</f>
        <v>50</v>
      </c>
      <c r="C872" s="45">
        <v>43081</v>
      </c>
      <c r="D872" s="45"/>
      <c r="E872" s="35" t="s">
        <v>10</v>
      </c>
      <c r="F872" s="35" t="s">
        <v>5</v>
      </c>
      <c r="G872" s="35"/>
      <c r="H872" s="44"/>
      <c r="I872" s="44">
        <v>3</v>
      </c>
      <c r="J872" s="44">
        <v>0</v>
      </c>
      <c r="K872" s="44">
        <v>1</v>
      </c>
      <c r="L872" s="44">
        <v>0</v>
      </c>
      <c r="M872" s="43">
        <v>0.25</v>
      </c>
      <c r="N872" s="43">
        <v>0.2638888888888889</v>
      </c>
      <c r="O872" s="43">
        <v>0.62986111111111109</v>
      </c>
      <c r="P872" s="43">
        <v>0.65833333333333333</v>
      </c>
      <c r="Q872" s="39"/>
      <c r="R872" s="42" t="s">
        <v>48</v>
      </c>
      <c r="S872" s="29">
        <f>MIP[[#This Row],[PT-1]]+MIP[[#This Row],[PT-2]]*2+MIP[[#This Row],[PT-3]]*3+MIP[[#This Row],[PT &gt; 3 Pontos]]</f>
        <v>6</v>
      </c>
      <c r="T87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4.2361111111111127E-2</v>
      </c>
      <c r="U872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4.2361111111111127E-2</v>
      </c>
      <c r="V872" s="41">
        <f>MIP[[#This Row],[Eficiência]]</f>
        <v>0.42512141948297799</v>
      </c>
      <c r="W872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72" s="39">
        <f>IF(MIP[[#This Row],[P.S]]-MIP[[#This Row],[P.E]]&lt;0,1+MIP[[#This Row],[P.S]]-MIP[[#This Row],[P.E]]-1/24,MIP[[#This Row],[P.S]]-MIP[[#This Row],[P.E]]-1/24)</f>
        <v>0.36666666666666664</v>
      </c>
      <c r="Y872" s="39">
        <f>MIP[[#This Row],[PT-1]]*$S$3+MIP[[#This Row],[PT-2]]*$T$3+MIP[[#This Row],[PT-3]]*$U$3+MIP[[#This Row],[PT &gt; 3 Pontos]]*$V$3</f>
        <v>0.13786923812399354</v>
      </c>
      <c r="Z872" s="39">
        <f>MIP[[#This Row],[HH disponível]]-MIP[[#This Row],[HH AC TOT]]</f>
        <v>0.32430555555555551</v>
      </c>
      <c r="AA872" s="38">
        <f>MIP[[#This Row],[HH Produtivo
Total]]/MIP[[#This Row],[HH Trabalhado]]</f>
        <v>0.42512141948297799</v>
      </c>
      <c r="AB872" s="38">
        <f>MIP[[#This Row],[HH Produtivo
Total]]/MIP[[#This Row],[HH disponível]]</f>
        <v>0.37600701306543693</v>
      </c>
      <c r="AC872" s="38">
        <f>MIP[[#This Row],[HH Trabalhado]]/MIP[[#This Row],[HH disponível]]</f>
        <v>0.88446969696969691</v>
      </c>
      <c r="AD872" s="37" t="str">
        <f>LEFT(MIP[[#This Row],[Equipe]], SEARCH("/",MIP[[#This Row],[Equipe]],1)-1)</f>
        <v xml:space="preserve">JOILSON </v>
      </c>
      <c r="AE872" s="37" t="str">
        <f>RIGHT(MIP[[#This Row],[Equipe]], LEN(MIP[[#This Row],[Equipe]])-SEARCH("/",MIP[[#This Row],[Equipe]],1))</f>
        <v xml:space="preserve"> VALDEI</v>
      </c>
      <c r="AF872" s="29">
        <f>COUNTIFS('[1]Tempo parado'!H:H,"&gt;="&amp;MIP[[#This Row],[S.B Sitrack]],'[1]Tempo parado'!I:I,"&lt;="&amp;MIP[[#This Row],[C.B Sitrack]],'[1]Tempo parado'!B:B,MIP[[#This Row],[Placa]])</f>
        <v>0</v>
      </c>
      <c r="AG872" s="36"/>
      <c r="AH872" s="35"/>
      <c r="AI872" s="34"/>
      <c r="AJ872" s="34"/>
      <c r="AK87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7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72" s="32">
        <f>SUMIFS('[1]Tempo parado'!J:J,'[1]Tempo parado'!H:H,"&gt;="&amp;MIP[[#This Row],[S.B Sitrack]],'[1]Tempo parado'!I:I,"&lt;="&amp;MIP[[#This Row],[C.B Sitrack]],'[1]Tempo parado'!B:B,MIP[[#This Row],[Placa]])</f>
        <v>0</v>
      </c>
      <c r="AN872" s="31" t="str">
        <f>IFERROR(MIP[[#This Row],[Tempo parado]]/(MIP[[#This Row],[C.B Sitrack]]-MIP[[#This Row],[S.B Sitrack]]),"")</f>
        <v/>
      </c>
      <c r="AO872" s="30"/>
      <c r="AP872" s="29">
        <f>IF(AND(MIP[Exc]=0,MIP[Previsto / Realizado]="Realizado"),MIP[Sem],0)</f>
        <v>0</v>
      </c>
      <c r="AQ872" s="29">
        <f>IF(AND(MIP[Exc]=0,MIP[Previsto / Realizado]="Realizado",ISBLANK(MIP[[#This Row],[S.B Sitrack]])=FALSE,ISBLANK(MIP[[#This Row],[C.B Sitrack]])=FALSE),MIP[Sem],0)</f>
        <v>0</v>
      </c>
    </row>
    <row r="873" spans="2:43" x14ac:dyDescent="0.25">
      <c r="B873" s="29">
        <f>WEEKNUM(MIP[[#This Row],[Data]])</f>
        <v>50</v>
      </c>
      <c r="C873" s="45">
        <v>43081</v>
      </c>
      <c r="D873" s="45"/>
      <c r="E873" s="35" t="s">
        <v>10</v>
      </c>
      <c r="F873" s="35" t="s">
        <v>2</v>
      </c>
      <c r="G873" s="35" t="s">
        <v>1</v>
      </c>
      <c r="H873" s="44"/>
      <c r="I873" s="44">
        <v>5</v>
      </c>
      <c r="J873" s="44">
        <v>0</v>
      </c>
      <c r="K873" s="44">
        <v>2</v>
      </c>
      <c r="L873" s="44">
        <v>0</v>
      </c>
      <c r="M873" s="43">
        <v>0.24861111111111112</v>
      </c>
      <c r="N873" s="43">
        <v>0.27777777777777779</v>
      </c>
      <c r="O873" s="43">
        <v>0.62222222222222223</v>
      </c>
      <c r="P873" s="43">
        <v>0.67152777777777783</v>
      </c>
      <c r="Q873" s="39"/>
      <c r="R873" s="42" t="s">
        <v>47</v>
      </c>
      <c r="S873" s="29">
        <f>MIP[[#This Row],[PT-1]]+MIP[[#This Row],[PT-2]]*2+MIP[[#This Row],[PT-3]]*3+MIP[[#This Row],[PT &gt; 3 Pontos]]</f>
        <v>11</v>
      </c>
      <c r="T87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7.8472222222222276E-2</v>
      </c>
      <c r="U873" s="39">
        <f>IF(MIP[[#This Row],[P.S]]-MIP[[#This Row],[U.P]]&gt;=0,MIP[[#This Row],[P.S]]-MIP[[#This Row],[U.P]]+MIP[[#This Row],[S.B]]-MIP[[#This Row],[P.E]],1+MIP[[#This Row],[P.S]]-MIP[[#This Row],[U.P]]+MIP[[#This Row],[S.B]]-MIP[[#This Row],[P.E]])</f>
        <v>7.8472222222222276E-2</v>
      </c>
      <c r="V873" s="41">
        <f>MIP[[#This Row],[Eficiência]]</f>
        <v>0.82804169159686203</v>
      </c>
      <c r="W873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73" s="39">
        <f>IF(MIP[[#This Row],[P.S]]-MIP[[#This Row],[P.E]]&lt;0,1+MIP[[#This Row],[P.S]]-MIP[[#This Row],[P.E]]-1/24,MIP[[#This Row],[P.S]]-MIP[[#This Row],[P.E]]-1/24)</f>
        <v>0.38125000000000003</v>
      </c>
      <c r="Y873" s="39">
        <f>MIP[[#This Row],[PT-1]]*$S$3+MIP[[#This Row],[PT-2]]*$T$3+MIP[[#This Row],[PT-3]]*$U$3+MIP[[#This Row],[PT &gt; 3 Pontos]]*$V$3</f>
        <v>0.25071262328904986</v>
      </c>
      <c r="Z873" s="39">
        <f>MIP[[#This Row],[HH disponível]]-MIP[[#This Row],[HH AC TOT]]</f>
        <v>0.30277777777777776</v>
      </c>
      <c r="AA873" s="38">
        <f>MIP[[#This Row],[HH Produtivo
Total]]/MIP[[#This Row],[HH Trabalhado]]</f>
        <v>0.82804169159686203</v>
      </c>
      <c r="AB873" s="38">
        <f>MIP[[#This Row],[HH Produtivo
Total]]/MIP[[#This Row],[HH disponível]]</f>
        <v>0.65760688075816354</v>
      </c>
      <c r="AC873" s="38">
        <f>MIP[[#This Row],[HH Trabalhado]]/MIP[[#This Row],[HH disponível]]</f>
        <v>0.79417122040072852</v>
      </c>
      <c r="AD873" s="37" t="str">
        <f>LEFT(MIP[[#This Row],[Equipe]], SEARCH("/",MIP[[#This Row],[Equipe]],1)-1)</f>
        <v xml:space="preserve">JOILSON </v>
      </c>
      <c r="AE873" s="37" t="str">
        <f>RIGHT(MIP[[#This Row],[Equipe]], LEN(MIP[[#This Row],[Equipe]])-SEARCH("/",MIP[[#This Row],[Equipe]],1))</f>
        <v xml:space="preserve"> VALDEI</v>
      </c>
      <c r="AF873" s="29">
        <f>COUNTIFS('[1]Tempo parado'!H:H,"&gt;="&amp;MIP[[#This Row],[S.B Sitrack]],'[1]Tempo parado'!I:I,"&lt;="&amp;MIP[[#This Row],[C.B Sitrack]],'[1]Tempo parado'!B:B,MIP[[#This Row],[Placa]])</f>
        <v>0</v>
      </c>
      <c r="AG873" s="36"/>
      <c r="AH873" s="35"/>
      <c r="AI873" s="34"/>
      <c r="AJ873" s="34"/>
      <c r="AK87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7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73" s="32">
        <f>SUMIFS('[1]Tempo parado'!J:J,'[1]Tempo parado'!H:H,"&gt;="&amp;MIP[[#This Row],[S.B Sitrack]],'[1]Tempo parado'!I:I,"&lt;="&amp;MIP[[#This Row],[C.B Sitrack]],'[1]Tempo parado'!B:B,MIP[[#This Row],[Placa]])</f>
        <v>0</v>
      </c>
      <c r="AN873" s="31" t="str">
        <f>IFERROR(MIP[[#This Row],[Tempo parado]]/(MIP[[#This Row],[C.B Sitrack]]-MIP[[#This Row],[S.B Sitrack]]),"")</f>
        <v/>
      </c>
      <c r="AO873" s="30"/>
      <c r="AP873" s="29">
        <f>IF(AND(MIP[Exc]=0,MIP[Previsto / Realizado]="Realizado"),MIP[Sem],0)</f>
        <v>50</v>
      </c>
      <c r="AQ873" s="29">
        <f>IF(AND(MIP[Exc]=0,MIP[Previsto / Realizado]="Realizado",ISBLANK(MIP[[#This Row],[S.B Sitrack]])=FALSE,ISBLANK(MIP[[#This Row],[C.B Sitrack]])=FALSE),MIP[Sem],0)</f>
        <v>0</v>
      </c>
    </row>
    <row r="874" spans="2:43" x14ac:dyDescent="0.25">
      <c r="B874" s="29">
        <f>WEEKNUM(MIP[[#This Row],[Data]])</f>
        <v>50</v>
      </c>
      <c r="C874" s="45">
        <v>43081</v>
      </c>
      <c r="D874" s="45"/>
      <c r="E874" s="35" t="s">
        <v>7</v>
      </c>
      <c r="F874" s="35" t="s">
        <v>5</v>
      </c>
      <c r="G874" s="35"/>
      <c r="H874" s="44"/>
      <c r="I874" s="44">
        <v>2</v>
      </c>
      <c r="J874" s="44">
        <v>3</v>
      </c>
      <c r="K874" s="44">
        <v>0</v>
      </c>
      <c r="L874" s="44">
        <v>0</v>
      </c>
      <c r="M874" s="43">
        <v>0.625</v>
      </c>
      <c r="N874" s="43">
        <v>0.6381944444444444</v>
      </c>
      <c r="O874" s="43">
        <v>5.5555555555555558E-3</v>
      </c>
      <c r="P874" s="43">
        <v>3.3333333333333333E-2</v>
      </c>
      <c r="Q874" s="39"/>
      <c r="R874" s="42" t="s">
        <v>4</v>
      </c>
      <c r="S874" s="29">
        <f>MIP[[#This Row],[PT-1]]+MIP[[#This Row],[PT-2]]*2+MIP[[#This Row],[PT-3]]*3+MIP[[#This Row],[PT &gt; 3 Pontos]]</f>
        <v>8</v>
      </c>
      <c r="T87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4.0972222222222188E-2</v>
      </c>
      <c r="U874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4.0972222222222188E-2</v>
      </c>
      <c r="V874" s="41">
        <f>MIP[[#This Row],[Eficiência]]</f>
        <v>0.55812436265875565</v>
      </c>
      <c r="W874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74" s="39">
        <f>IF(MIP[[#This Row],[P.S]]-MIP[[#This Row],[P.E]]&lt;0,1+MIP[[#This Row],[P.S]]-MIP[[#This Row],[P.E]]-1/24,MIP[[#This Row],[P.S]]-MIP[[#This Row],[P.E]]-1/24)</f>
        <v>0.36666666666666675</v>
      </c>
      <c r="Y874" s="39">
        <f>MIP[[#This Row],[PT-1]]*$S$3+MIP[[#This Row],[PT-2]]*$T$3+MIP[[#This Row],[PT-3]]*$U$3+MIP[[#This Row],[PT &gt; 3 Pontos]]*$V$3</f>
        <v>0.18177800422705312</v>
      </c>
      <c r="Z874" s="39">
        <f>MIP[[#This Row],[HH disponível]]-MIP[[#This Row],[HH AC TOT]]</f>
        <v>0.32569444444444456</v>
      </c>
      <c r="AA874" s="38">
        <f>MIP[[#This Row],[HH Produtivo
Total]]/MIP[[#This Row],[HH Trabalhado]]</f>
        <v>0.55812436265875565</v>
      </c>
      <c r="AB874" s="38">
        <f>MIP[[#This Row],[HH Produtivo
Total]]/MIP[[#This Row],[HH disponível]]</f>
        <v>0.49575819334650839</v>
      </c>
      <c r="AC874" s="38">
        <f>MIP[[#This Row],[HH Trabalhado]]/MIP[[#This Row],[HH disponível]]</f>
        <v>0.88825757575757591</v>
      </c>
      <c r="AD874" s="37" t="str">
        <f>LEFT(MIP[[#This Row],[Equipe]], SEARCH("/",MIP[[#This Row],[Equipe]],1)-1)</f>
        <v xml:space="preserve">ANDERSON </v>
      </c>
      <c r="AE874" s="37" t="str">
        <f>RIGHT(MIP[[#This Row],[Equipe]], LEN(MIP[[#This Row],[Equipe]])-SEARCH("/",MIP[[#This Row],[Equipe]],1))</f>
        <v xml:space="preserve"> MARCO</v>
      </c>
      <c r="AF874" s="29">
        <f>COUNTIFS('[1]Tempo parado'!H:H,"&gt;="&amp;MIP[[#This Row],[S.B Sitrack]],'[1]Tempo parado'!I:I,"&lt;="&amp;MIP[[#This Row],[C.B Sitrack]],'[1]Tempo parado'!B:B,MIP[[#This Row],[Placa]])</f>
        <v>0</v>
      </c>
      <c r="AG874" s="36"/>
      <c r="AH874" s="35"/>
      <c r="AI874" s="34"/>
      <c r="AJ874" s="34"/>
      <c r="AK87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7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74" s="32">
        <f>SUMIFS('[1]Tempo parado'!J:J,'[1]Tempo parado'!H:H,"&gt;="&amp;MIP[[#This Row],[S.B Sitrack]],'[1]Tempo parado'!I:I,"&lt;="&amp;MIP[[#This Row],[C.B Sitrack]],'[1]Tempo parado'!B:B,MIP[[#This Row],[Placa]])</f>
        <v>0</v>
      </c>
      <c r="AN874" s="31" t="str">
        <f>IFERROR(MIP[[#This Row],[Tempo parado]]/(MIP[[#This Row],[C.B Sitrack]]-MIP[[#This Row],[S.B Sitrack]]),"")</f>
        <v/>
      </c>
      <c r="AO874" s="30"/>
      <c r="AP874" s="29">
        <f>IF(AND(MIP[Exc]=0,MIP[Previsto / Realizado]="Realizado"),MIP[Sem],0)</f>
        <v>0</v>
      </c>
      <c r="AQ874" s="29">
        <f>IF(AND(MIP[Exc]=0,MIP[Previsto / Realizado]="Realizado",ISBLANK(MIP[[#This Row],[S.B Sitrack]])=FALSE,ISBLANK(MIP[[#This Row],[C.B Sitrack]])=FALSE),MIP[Sem],0)</f>
        <v>0</v>
      </c>
    </row>
    <row r="875" spans="2:43" x14ac:dyDescent="0.25">
      <c r="B875" s="29">
        <f>WEEKNUM(MIP[[#This Row],[Data]])</f>
        <v>50</v>
      </c>
      <c r="C875" s="45">
        <v>43081</v>
      </c>
      <c r="D875" s="45"/>
      <c r="E875" s="46" t="s">
        <v>7</v>
      </c>
      <c r="F875" s="35" t="s">
        <v>2</v>
      </c>
      <c r="G875" s="35" t="s">
        <v>6</v>
      </c>
      <c r="H875" s="44"/>
      <c r="I875" s="44">
        <v>3</v>
      </c>
      <c r="J875" s="44">
        <v>3</v>
      </c>
      <c r="K875" s="44">
        <v>0</v>
      </c>
      <c r="L875" s="44">
        <v>5</v>
      </c>
      <c r="M875" s="43">
        <v>0.63750000000000007</v>
      </c>
      <c r="N875" s="43">
        <v>0.67152777777777783</v>
      </c>
      <c r="O875" s="43">
        <v>1.3194444444444444E-2</v>
      </c>
      <c r="P875" s="43">
        <v>3.3333333333333333E-2</v>
      </c>
      <c r="Q875" s="39"/>
      <c r="R875" s="42" t="s">
        <v>17</v>
      </c>
      <c r="S875" s="29">
        <f>MIP[[#This Row],[PT-1]]+MIP[[#This Row],[PT-2]]*2+MIP[[#This Row],[PT-3]]*3+MIP[[#This Row],[PT &gt; 3 Pontos]]</f>
        <v>14</v>
      </c>
      <c r="T87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5.4166666666666696E-2</v>
      </c>
      <c r="U875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5.4166666666666696E-2</v>
      </c>
      <c r="V875" s="41">
        <f>MIP[[#This Row],[Eficiência]]</f>
        <v>1.026813038632433</v>
      </c>
      <c r="W875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75" s="39">
        <f>IF(MIP[[#This Row],[P.S]]-MIP[[#This Row],[P.E]]&lt;0,1+MIP[[#This Row],[P.S]]-MIP[[#This Row],[P.E]]-1/24,MIP[[#This Row],[P.S]]-MIP[[#This Row],[P.E]]-1/24)</f>
        <v>0.35416666666666669</v>
      </c>
      <c r="Y875" s="39">
        <f>MIP[[#This Row],[PT-1]]*$S$3+MIP[[#This Row],[PT-2]]*$T$3+MIP[[#This Row],[PT-3]]*$U$3+MIP[[#This Row],[PT &gt; 3 Pontos]]*$V$3</f>
        <v>0.30804391158972988</v>
      </c>
      <c r="Z875" s="39">
        <f>MIP[[#This Row],[HH disponível]]-MIP[[#This Row],[HH AC TOT]]</f>
        <v>0.3</v>
      </c>
      <c r="AA875" s="38">
        <f>MIP[[#This Row],[HH Produtivo
Total]]/MIP[[#This Row],[HH Trabalhado]]</f>
        <v>1.026813038632433</v>
      </c>
      <c r="AB875" s="38">
        <f>MIP[[#This Row],[HH Produtivo
Total]]/MIP[[#This Row],[HH disponível]]</f>
        <v>0.86977104448864906</v>
      </c>
      <c r="AC875" s="38">
        <f>MIP[[#This Row],[HH Trabalhado]]/MIP[[#This Row],[HH disponível]]</f>
        <v>0.84705882352941164</v>
      </c>
      <c r="AD875" s="37" t="str">
        <f>LEFT(MIP[[#This Row],[Equipe]], SEARCH("/",MIP[[#This Row],[Equipe]],1)-1)</f>
        <v xml:space="preserve">ANDERSON </v>
      </c>
      <c r="AE875" s="37" t="str">
        <f>RIGHT(MIP[[#This Row],[Equipe]], LEN(MIP[[#This Row],[Equipe]])-SEARCH("/",MIP[[#This Row],[Equipe]],1))</f>
        <v xml:space="preserve"> MARCO</v>
      </c>
      <c r="AF875" s="29">
        <f>COUNTIFS('[1]Tempo parado'!H:H,"&gt;="&amp;MIP[[#This Row],[S.B Sitrack]],'[1]Tempo parado'!I:I,"&lt;="&amp;MIP[[#This Row],[C.B Sitrack]],'[1]Tempo parado'!B:B,MIP[[#This Row],[Placa]])</f>
        <v>15</v>
      </c>
      <c r="AG875" s="36"/>
      <c r="AH875" s="35"/>
      <c r="AI875" s="34">
        <v>43081.675729166665</v>
      </c>
      <c r="AJ875" s="34">
        <v>43082.020543981482</v>
      </c>
      <c r="AK875" s="32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1.1111111111110987E-2</v>
      </c>
      <c r="AL87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51.6</v>
      </c>
      <c r="AM875" s="32">
        <f>SUMIFS('[1]Tempo parado'!J:J,'[1]Tempo parado'!H:H,"&gt;="&amp;MIP[[#This Row],[S.B Sitrack]],'[1]Tempo parado'!I:I,"&lt;="&amp;MIP[[#This Row],[C.B Sitrack]],'[1]Tempo parado'!B:B,MIP[[#This Row],[Placa]])</f>
        <v>0.22238425925925925</v>
      </c>
      <c r="AN875" s="31">
        <f>IFERROR(MIP[[#This Row],[Tempo parado]]/(MIP[[#This Row],[C.B Sitrack]]-MIP[[#This Row],[S.B Sitrack]]),"")</f>
        <v>0.64493823845041309</v>
      </c>
      <c r="AO875" s="30" t="s">
        <v>46</v>
      </c>
      <c r="AP875" s="29">
        <f>IF(AND(MIP[Exc]=0,MIP[Previsto / Realizado]="Realizado"),MIP[Sem],0)</f>
        <v>50</v>
      </c>
      <c r="AQ875" s="29">
        <f>IF(AND(MIP[Exc]=0,MIP[Previsto / Realizado]="Realizado",ISBLANK(MIP[[#This Row],[S.B Sitrack]])=FALSE,ISBLANK(MIP[[#This Row],[C.B Sitrack]])=FALSE),MIP[Sem],0)</f>
        <v>50</v>
      </c>
    </row>
    <row r="876" spans="2:43" x14ac:dyDescent="0.25">
      <c r="B876" s="29">
        <f>WEEKNUM(MIP[[#This Row],[Data]])</f>
        <v>50</v>
      </c>
      <c r="C876" s="45">
        <v>43082</v>
      </c>
      <c r="D876" s="45"/>
      <c r="E876" s="35" t="s">
        <v>3</v>
      </c>
      <c r="F876" s="35" t="s">
        <v>5</v>
      </c>
      <c r="G876" s="35"/>
      <c r="H876" s="44"/>
      <c r="I876" s="44">
        <v>5</v>
      </c>
      <c r="J876" s="44">
        <v>1</v>
      </c>
      <c r="K876" s="44">
        <v>1</v>
      </c>
      <c r="L876" s="44">
        <v>0</v>
      </c>
      <c r="M876" s="43">
        <v>0.625</v>
      </c>
      <c r="N876" s="43">
        <v>0.6381944444444444</v>
      </c>
      <c r="O876" s="43">
        <v>5.5555555555555558E-3</v>
      </c>
      <c r="P876" s="43">
        <v>3.3333333333333333E-2</v>
      </c>
      <c r="Q876" s="39"/>
      <c r="R876" s="42"/>
      <c r="S876" s="29">
        <f>MIP[[#This Row],[PT-1]]+MIP[[#This Row],[PT-2]]*2+MIP[[#This Row],[PT-3]]*3+MIP[[#This Row],[PT &gt; 3 Pontos]]</f>
        <v>10</v>
      </c>
      <c r="T87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4.0972222222222188E-2</v>
      </c>
      <c r="U876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4.0972222222222188E-2</v>
      </c>
      <c r="V876" s="41">
        <f>MIP[[#This Row],[Eficiência]]</f>
        <v>0.71180124223602437</v>
      </c>
      <c r="W876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76" s="39">
        <f>IF(MIP[[#This Row],[P.S]]-MIP[[#This Row],[P.E]]&lt;0,1+MIP[[#This Row],[P.S]]-MIP[[#This Row],[P.E]]-1/24,MIP[[#This Row],[P.S]]-MIP[[#This Row],[P.E]]-1/24)</f>
        <v>0.36666666666666675</v>
      </c>
      <c r="Y876" s="39">
        <f>MIP[[#This Row],[PT-1]]*$S$3+MIP[[#This Row],[PT-2]]*$T$3+MIP[[#This Row],[PT-3]]*$U$3+MIP[[#This Row],[PT &gt; 3 Pontos]]*$V$3</f>
        <v>0.23182971014492745</v>
      </c>
      <c r="Z876" s="39">
        <f>MIP[[#This Row],[HH disponível]]-MIP[[#This Row],[HH AC TOT]]</f>
        <v>0.32569444444444456</v>
      </c>
      <c r="AA876" s="38">
        <f>MIP[[#This Row],[HH Produtivo
Total]]/MIP[[#This Row],[HH Trabalhado]]</f>
        <v>0.71180124223602437</v>
      </c>
      <c r="AB876" s="38">
        <f>MIP[[#This Row],[HH Produtivo
Total]]/MIP[[#This Row],[HH disponível]]</f>
        <v>0.63226284584980197</v>
      </c>
      <c r="AC876" s="38">
        <f>MIP[[#This Row],[HH Trabalhado]]/MIP[[#This Row],[HH disponível]]</f>
        <v>0.88825757575757591</v>
      </c>
      <c r="AD876" s="37" t="str">
        <f>LEFT(MIP[[#This Row],[Equipe]], SEARCH("/",MIP[[#This Row],[Equipe]],1)-1)</f>
        <v xml:space="preserve">EDILTON </v>
      </c>
      <c r="AE876" s="37" t="str">
        <f>RIGHT(MIP[[#This Row],[Equipe]], LEN(MIP[[#This Row],[Equipe]])-SEARCH("/",MIP[[#This Row],[Equipe]],1))</f>
        <v xml:space="preserve"> GECIVALDO</v>
      </c>
      <c r="AF876" s="29">
        <f>COUNTIFS('[1]Tempo parado'!H:H,"&gt;="&amp;MIP[[#This Row],[S.B Sitrack]],'[1]Tempo parado'!I:I,"&lt;="&amp;MIP[[#This Row],[C.B Sitrack]],'[1]Tempo parado'!B:B,MIP[[#This Row],[Placa]])</f>
        <v>0</v>
      </c>
      <c r="AG876" s="36"/>
      <c r="AH876" s="35"/>
      <c r="AI876" s="34"/>
      <c r="AJ876" s="34"/>
      <c r="AK87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7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76" s="32">
        <f>SUMIFS('[1]Tempo parado'!J:J,'[1]Tempo parado'!H:H,"&gt;="&amp;MIP[[#This Row],[S.B Sitrack]],'[1]Tempo parado'!I:I,"&lt;="&amp;MIP[[#This Row],[C.B Sitrack]],'[1]Tempo parado'!B:B,MIP[[#This Row],[Placa]])</f>
        <v>0</v>
      </c>
      <c r="AN876" s="31" t="str">
        <f>IFERROR(MIP[[#This Row],[Tempo parado]]/(MIP[[#This Row],[C.B Sitrack]]-MIP[[#This Row],[S.B Sitrack]]),"")</f>
        <v/>
      </c>
      <c r="AO876" s="30"/>
      <c r="AP876" s="29">
        <f>IF(AND(MIP[Exc]=0,MIP[Previsto / Realizado]="Realizado"),MIP[Sem],0)</f>
        <v>0</v>
      </c>
      <c r="AQ876" s="29">
        <f>IF(AND(MIP[Exc]=0,MIP[Previsto / Realizado]="Realizado",ISBLANK(MIP[[#This Row],[S.B Sitrack]])=FALSE,ISBLANK(MIP[[#This Row],[C.B Sitrack]])=FALSE),MIP[Sem],0)</f>
        <v>0</v>
      </c>
    </row>
    <row r="877" spans="2:43" x14ac:dyDescent="0.25">
      <c r="B877" s="29">
        <f>WEEKNUM(MIP[[#This Row],[Data]])</f>
        <v>50</v>
      </c>
      <c r="C877" s="45" t="s">
        <v>45</v>
      </c>
      <c r="D877" s="45"/>
      <c r="E877" s="35" t="s">
        <v>3</v>
      </c>
      <c r="F877" s="35" t="s">
        <v>2</v>
      </c>
      <c r="G877" s="35" t="s">
        <v>1</v>
      </c>
      <c r="H877" s="44"/>
      <c r="I877" s="44">
        <v>5</v>
      </c>
      <c r="J877" s="44">
        <v>1</v>
      </c>
      <c r="K877" s="44">
        <v>1</v>
      </c>
      <c r="L877" s="44">
        <v>0</v>
      </c>
      <c r="M877" s="43">
        <v>0.62569444444444444</v>
      </c>
      <c r="N877" s="43">
        <v>0.65625</v>
      </c>
      <c r="O877" s="43">
        <v>3.125E-2</v>
      </c>
      <c r="P877" s="43">
        <v>3.3333333333333333E-2</v>
      </c>
      <c r="Q877" s="39"/>
      <c r="R877" s="42" t="s">
        <v>44</v>
      </c>
      <c r="S877" s="29">
        <f>MIP[[#This Row],[PT-1]]+MIP[[#This Row],[PT-2]]*2+MIP[[#This Row],[PT-3]]*3+MIP[[#This Row],[PT &gt; 3 Pontos]]</f>
        <v>10</v>
      </c>
      <c r="T87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3.2638888888888884E-2</v>
      </c>
      <c r="U877" s="39">
        <f>IF(MIP[[#This Row],[P.S]]-MIP[[#This Row],[U.P]]&gt;=0,MIP[[#This Row],[P.S]]-MIP[[#This Row],[U.P]]+MIP[[#This Row],[S.B]]-MIP[[#This Row],[P.E]],1+MIP[[#This Row],[P.S]]-MIP[[#This Row],[U.P]]+MIP[[#This Row],[S.B]]-MIP[[#This Row],[P.E]])</f>
        <v>3.2638888888888884E-2</v>
      </c>
      <c r="V877" s="41">
        <f>MIP[[#This Row],[Eficiência]]</f>
        <v>0.69548913043478222</v>
      </c>
      <c r="W877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77" s="39">
        <f>IF(MIP[[#This Row],[P.S]]-MIP[[#This Row],[P.E]]&lt;0,1+MIP[[#This Row],[P.S]]-MIP[[#This Row],[P.E]]-1/24,MIP[[#This Row],[P.S]]-MIP[[#This Row],[P.E]]-1/24)</f>
        <v>0.36597222222222231</v>
      </c>
      <c r="Y877" s="39">
        <f>MIP[[#This Row],[PT-1]]*$S$3+MIP[[#This Row],[PT-2]]*$T$3+MIP[[#This Row],[PT-3]]*$U$3+MIP[[#This Row],[PT &gt; 3 Pontos]]*$V$3</f>
        <v>0.23182971014492745</v>
      </c>
      <c r="Z877" s="39">
        <f>MIP[[#This Row],[HH disponível]]-MIP[[#This Row],[HH AC TOT]]</f>
        <v>0.33333333333333343</v>
      </c>
      <c r="AA877" s="38">
        <f>MIP[[#This Row],[HH Produtivo
Total]]/MIP[[#This Row],[HH Trabalhado]]</f>
        <v>0.69548913043478222</v>
      </c>
      <c r="AB877" s="38">
        <f>MIP[[#This Row],[HH Produtivo
Total]]/MIP[[#This Row],[HH disponível]]</f>
        <v>0.63346258559524748</v>
      </c>
      <c r="AC877" s="38">
        <f>MIP[[#This Row],[HH Trabalhado]]/MIP[[#This Row],[HH disponível]]</f>
        <v>0.91081593927893745</v>
      </c>
      <c r="AD877" s="37" t="str">
        <f>LEFT(MIP[[#This Row],[Equipe]], SEARCH("/",MIP[[#This Row],[Equipe]],1)-1)</f>
        <v xml:space="preserve">EDILTON </v>
      </c>
      <c r="AE877" s="37" t="str">
        <f>RIGHT(MIP[[#This Row],[Equipe]], LEN(MIP[[#This Row],[Equipe]])-SEARCH("/",MIP[[#This Row],[Equipe]],1))</f>
        <v xml:space="preserve"> GECIVALDO</v>
      </c>
      <c r="AF877" s="29">
        <f>COUNTIFS('[1]Tempo parado'!H:H,"&gt;="&amp;MIP[[#This Row],[S.B Sitrack]],'[1]Tempo parado'!I:I,"&lt;="&amp;MIP[[#This Row],[C.B Sitrack]],'[1]Tempo parado'!B:B,MIP[[#This Row],[Placa]])</f>
        <v>0</v>
      </c>
      <c r="AG877" s="36"/>
      <c r="AH877" s="35"/>
      <c r="AI877" s="34"/>
      <c r="AJ877" s="34"/>
      <c r="AK87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7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77" s="32">
        <f>SUMIFS('[1]Tempo parado'!J:J,'[1]Tempo parado'!H:H,"&gt;="&amp;MIP[[#This Row],[S.B Sitrack]],'[1]Tempo parado'!I:I,"&lt;="&amp;MIP[[#This Row],[C.B Sitrack]],'[1]Tempo parado'!B:B,MIP[[#This Row],[Placa]])</f>
        <v>0</v>
      </c>
      <c r="AN877" s="31" t="str">
        <f>IFERROR(MIP[[#This Row],[Tempo parado]]/(MIP[[#This Row],[C.B Sitrack]]-MIP[[#This Row],[S.B Sitrack]]),"")</f>
        <v/>
      </c>
      <c r="AO877" s="30"/>
      <c r="AP877" s="29">
        <f>IF(AND(MIP[Exc]=0,MIP[Previsto / Realizado]="Realizado"),MIP[Sem],0)</f>
        <v>50</v>
      </c>
      <c r="AQ877" s="29">
        <f>IF(AND(MIP[Exc]=0,MIP[Previsto / Realizado]="Realizado",ISBLANK(MIP[[#This Row],[S.B Sitrack]])=FALSE,ISBLANK(MIP[[#This Row],[C.B Sitrack]])=FALSE),MIP[Sem],0)</f>
        <v>0</v>
      </c>
    </row>
    <row r="878" spans="2:43" x14ac:dyDescent="0.25">
      <c r="B878" s="29">
        <f>WEEKNUM(MIP[[#This Row],[Data]])</f>
        <v>50</v>
      </c>
      <c r="C878" s="45">
        <v>43083</v>
      </c>
      <c r="D878" s="45"/>
      <c r="E878" s="35" t="s">
        <v>10</v>
      </c>
      <c r="F878" s="35" t="s">
        <v>5</v>
      </c>
      <c r="G878" s="35"/>
      <c r="H878" s="44"/>
      <c r="I878" s="44">
        <v>4</v>
      </c>
      <c r="J878" s="44">
        <v>0</v>
      </c>
      <c r="K878" s="44">
        <v>0</v>
      </c>
      <c r="L878" s="44">
        <v>0</v>
      </c>
      <c r="M878" s="43">
        <v>0.25</v>
      </c>
      <c r="N878" s="43">
        <v>0.2638888888888889</v>
      </c>
      <c r="O878" s="43">
        <v>0.62986111111111109</v>
      </c>
      <c r="P878" s="43">
        <v>0.65833333333333333</v>
      </c>
      <c r="Q878" s="39"/>
      <c r="R878" s="42" t="s">
        <v>4</v>
      </c>
      <c r="S878" s="29">
        <f>MIP[[#This Row],[PT-1]]+MIP[[#This Row],[PT-2]]*2+MIP[[#This Row],[PT-3]]*3+MIP[[#This Row],[PT &gt; 3 Pontos]]</f>
        <v>4</v>
      </c>
      <c r="T87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4.2361111111111127E-2</v>
      </c>
      <c r="U878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4.2361111111111127E-2</v>
      </c>
      <c r="V878" s="41">
        <f>MIP[[#This Row],[Eficiência]]</f>
        <v>0.30867004934363634</v>
      </c>
      <c r="W878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78" s="39">
        <f>IF(MIP[[#This Row],[P.S]]-MIP[[#This Row],[P.E]]&lt;0,1+MIP[[#This Row],[P.S]]-MIP[[#This Row],[P.E]]-1/24,MIP[[#This Row],[P.S]]-MIP[[#This Row],[P.E]]-1/24)</f>
        <v>0.36666666666666664</v>
      </c>
      <c r="Y878" s="39">
        <f>MIP[[#This Row],[PT-1]]*$S$3+MIP[[#This Row],[PT-2]]*$T$3+MIP[[#This Row],[PT-3]]*$U$3+MIP[[#This Row],[PT &gt; 3 Pontos]]*$V$3</f>
        <v>0.10010341183574872</v>
      </c>
      <c r="Z878" s="39">
        <f>MIP[[#This Row],[HH disponível]]-MIP[[#This Row],[HH AC TOT]]</f>
        <v>0.32430555555555551</v>
      </c>
      <c r="AA878" s="38">
        <f>MIP[[#This Row],[HH Produtivo
Total]]/MIP[[#This Row],[HH Trabalhado]]</f>
        <v>0.30867004934363634</v>
      </c>
      <c r="AB878" s="38">
        <f>MIP[[#This Row],[HH Produtivo
Total]]/MIP[[#This Row],[HH disponível]]</f>
        <v>0.27300930500658743</v>
      </c>
      <c r="AC878" s="38">
        <f>MIP[[#This Row],[HH Trabalhado]]/MIP[[#This Row],[HH disponível]]</f>
        <v>0.88446969696969691</v>
      </c>
      <c r="AD878" s="37" t="str">
        <f>LEFT(MIP[[#This Row],[Equipe]], SEARCH("/",MIP[[#This Row],[Equipe]],1)-1)</f>
        <v xml:space="preserve">JOILSON </v>
      </c>
      <c r="AE878" s="37" t="str">
        <f>RIGHT(MIP[[#This Row],[Equipe]], LEN(MIP[[#This Row],[Equipe]])-SEARCH("/",MIP[[#This Row],[Equipe]],1))</f>
        <v xml:space="preserve"> VALDEI</v>
      </c>
      <c r="AF878" s="29">
        <f>COUNTIFS('[1]Tempo parado'!H:H,"&gt;="&amp;MIP[[#This Row],[S.B Sitrack]],'[1]Tempo parado'!I:I,"&lt;="&amp;MIP[[#This Row],[C.B Sitrack]],'[1]Tempo parado'!B:B,MIP[[#This Row],[Placa]])</f>
        <v>0</v>
      </c>
      <c r="AG878" s="36"/>
      <c r="AH878" s="35"/>
      <c r="AI878" s="34"/>
      <c r="AJ878" s="34"/>
      <c r="AK87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7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78" s="32">
        <f>SUMIFS('[1]Tempo parado'!J:J,'[1]Tempo parado'!H:H,"&gt;="&amp;MIP[[#This Row],[S.B Sitrack]],'[1]Tempo parado'!I:I,"&lt;="&amp;MIP[[#This Row],[C.B Sitrack]],'[1]Tempo parado'!B:B,MIP[[#This Row],[Placa]])</f>
        <v>0</v>
      </c>
      <c r="AN878" s="31" t="str">
        <f>IFERROR(MIP[[#This Row],[Tempo parado]]/(MIP[[#This Row],[C.B Sitrack]]-MIP[[#This Row],[S.B Sitrack]]),"")</f>
        <v/>
      </c>
      <c r="AO878" s="30"/>
      <c r="AP878" s="29">
        <f>IF(AND(MIP[Exc]=0,MIP[Previsto / Realizado]="Realizado"),MIP[Sem],0)</f>
        <v>0</v>
      </c>
      <c r="AQ878" s="29">
        <f>IF(AND(MIP[Exc]=0,MIP[Previsto / Realizado]="Realizado",ISBLANK(MIP[[#This Row],[S.B Sitrack]])=FALSE,ISBLANK(MIP[[#This Row],[C.B Sitrack]])=FALSE),MIP[Sem],0)</f>
        <v>0</v>
      </c>
    </row>
    <row r="879" spans="2:43" x14ac:dyDescent="0.25">
      <c r="B879" s="29">
        <f>WEEKNUM(MIP[[#This Row],[Data]])</f>
        <v>50</v>
      </c>
      <c r="C879" s="45" t="s">
        <v>42</v>
      </c>
      <c r="D879" s="45"/>
      <c r="E879" s="35" t="s">
        <v>10</v>
      </c>
      <c r="F879" s="35" t="s">
        <v>2</v>
      </c>
      <c r="G879" s="35" t="s">
        <v>1</v>
      </c>
      <c r="H879" s="44"/>
      <c r="I879" s="44">
        <v>7</v>
      </c>
      <c r="J879" s="44">
        <v>1</v>
      </c>
      <c r="K879" s="44">
        <v>0</v>
      </c>
      <c r="L879" s="44">
        <v>0</v>
      </c>
      <c r="M879" s="43">
        <v>0.25</v>
      </c>
      <c r="N879" s="43">
        <v>0.27291666666666664</v>
      </c>
      <c r="O879" s="43">
        <v>0.58750000000000002</v>
      </c>
      <c r="P879" s="43">
        <v>0.65972222222222221</v>
      </c>
      <c r="Q879" s="39"/>
      <c r="R879" s="42" t="s">
        <v>43</v>
      </c>
      <c r="S879" s="29">
        <f>MIP[[#This Row],[PT-1]]+MIP[[#This Row],[PT-2]]*2+MIP[[#This Row],[PT-3]]*3+MIP[[#This Row],[PT &gt; 3 Pontos]]</f>
        <v>9</v>
      </c>
      <c r="T87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9.5138888888888828E-2</v>
      </c>
      <c r="U879" s="39">
        <f>IF(MIP[[#This Row],[P.S]]-MIP[[#This Row],[U.P]]&gt;=0,MIP[[#This Row],[P.S]]-MIP[[#This Row],[U.P]]+MIP[[#This Row],[S.B]]-MIP[[#This Row],[P.E]],1+MIP[[#This Row],[P.S]]-MIP[[#This Row],[U.P]]+MIP[[#This Row],[S.B]]-MIP[[#This Row],[P.E]])</f>
        <v>9.5138888888888828E-2</v>
      </c>
      <c r="V879" s="41">
        <f>MIP[[#This Row],[Eficiência]]</f>
        <v>0.80277155474425588</v>
      </c>
      <c r="W879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79" s="39">
        <f>IF(MIP[[#This Row],[P.S]]-MIP[[#This Row],[P.E]]&lt;0,1+MIP[[#This Row],[P.S]]-MIP[[#This Row],[P.E]]-1/24,MIP[[#This Row],[P.S]]-MIP[[#This Row],[P.E]]-1/24)</f>
        <v>0.36805555555555552</v>
      </c>
      <c r="Y879" s="39">
        <f>MIP[[#This Row],[PT-1]]*$S$3+MIP[[#This Row],[PT-2]]*$T$3+MIP[[#This Row],[PT-3]]*$U$3+MIP[[#This Row],[PT &gt; 3 Pontos]]*$V$3</f>
        <v>0.21908973681561986</v>
      </c>
      <c r="Z879" s="39">
        <f>MIP[[#This Row],[HH disponível]]-MIP[[#This Row],[HH AC TOT]]</f>
        <v>0.2729166666666667</v>
      </c>
      <c r="AA879" s="38">
        <f>MIP[[#This Row],[HH Produtivo
Total]]/MIP[[#This Row],[HH Trabalhado]]</f>
        <v>0.80277155474425588</v>
      </c>
      <c r="AB879" s="38">
        <f>MIP[[#This Row],[HH Produtivo
Total]]/MIP[[#This Row],[HH disponível]]</f>
        <v>0.59526268115942005</v>
      </c>
      <c r="AC879" s="38">
        <f>MIP[[#This Row],[HH Trabalhado]]/MIP[[#This Row],[HH disponível]]</f>
        <v>0.74150943396226432</v>
      </c>
      <c r="AD879" s="37" t="str">
        <f>LEFT(MIP[[#This Row],[Equipe]], SEARCH("/",MIP[[#This Row],[Equipe]],1)-1)</f>
        <v xml:space="preserve">JOILSON </v>
      </c>
      <c r="AE879" s="37" t="str">
        <f>RIGHT(MIP[[#This Row],[Equipe]], LEN(MIP[[#This Row],[Equipe]])-SEARCH("/",MIP[[#This Row],[Equipe]],1))</f>
        <v xml:space="preserve"> VALDEI</v>
      </c>
      <c r="AF879" s="29">
        <f>COUNTIFS('[1]Tempo parado'!H:H,"&gt;="&amp;MIP[[#This Row],[S.B Sitrack]],'[1]Tempo parado'!I:I,"&lt;="&amp;MIP[[#This Row],[C.B Sitrack]],'[1]Tempo parado'!B:B,MIP[[#This Row],[Placa]])</f>
        <v>0</v>
      </c>
      <c r="AG879" s="36"/>
      <c r="AH879" s="35"/>
      <c r="AI879" s="34"/>
      <c r="AJ879" s="34"/>
      <c r="AK87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7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79" s="32">
        <f>SUMIFS('[1]Tempo parado'!J:J,'[1]Tempo parado'!H:H,"&gt;="&amp;MIP[[#This Row],[S.B Sitrack]],'[1]Tempo parado'!I:I,"&lt;="&amp;MIP[[#This Row],[C.B Sitrack]],'[1]Tempo parado'!B:B,MIP[[#This Row],[Placa]])</f>
        <v>0</v>
      </c>
      <c r="AN879" s="31" t="str">
        <f>IFERROR(MIP[[#This Row],[Tempo parado]]/(MIP[[#This Row],[C.B Sitrack]]-MIP[[#This Row],[S.B Sitrack]]),"")</f>
        <v/>
      </c>
      <c r="AO879" s="30"/>
      <c r="AP879" s="29">
        <f>IF(AND(MIP[Exc]=0,MIP[Previsto / Realizado]="Realizado"),MIP[Sem],0)</f>
        <v>50</v>
      </c>
      <c r="AQ879" s="29">
        <f>IF(AND(MIP[Exc]=0,MIP[Previsto / Realizado]="Realizado",ISBLANK(MIP[[#This Row],[S.B Sitrack]])=FALSE,ISBLANK(MIP[[#This Row],[C.B Sitrack]])=FALSE),MIP[Sem],0)</f>
        <v>0</v>
      </c>
    </row>
    <row r="880" spans="2:43" x14ac:dyDescent="0.25">
      <c r="B880" s="29">
        <f>WEEKNUM(MIP[[#This Row],[Data]])</f>
        <v>50</v>
      </c>
      <c r="C880" s="45">
        <v>43083</v>
      </c>
      <c r="D880" s="45"/>
      <c r="E880" s="35" t="s">
        <v>7</v>
      </c>
      <c r="F880" s="35" t="s">
        <v>5</v>
      </c>
      <c r="G880" s="35"/>
      <c r="H880" s="44"/>
      <c r="I880" s="44">
        <v>6</v>
      </c>
      <c r="J880" s="44">
        <v>2</v>
      </c>
      <c r="K880" s="44">
        <v>0</v>
      </c>
      <c r="L880" s="44">
        <v>0</v>
      </c>
      <c r="M880" s="43">
        <v>0.625</v>
      </c>
      <c r="N880" s="43">
        <v>0.6381944444444444</v>
      </c>
      <c r="O880" s="43">
        <v>5.5555555555555558E-3</v>
      </c>
      <c r="P880" s="43">
        <v>3.3333333333333333E-2</v>
      </c>
      <c r="Q880" s="39"/>
      <c r="R880" s="42" t="s">
        <v>4</v>
      </c>
      <c r="S880" s="29">
        <f>MIP[[#This Row],[PT-1]]+MIP[[#This Row],[PT-2]]*2+MIP[[#This Row],[PT-3]]*3+MIP[[#This Row],[PT &gt; 3 Pontos]]</f>
        <v>10</v>
      </c>
      <c r="T88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4.0972222222222188E-2</v>
      </c>
      <c r="U880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4.0972222222222188E-2</v>
      </c>
      <c r="V880" s="41">
        <f>MIP[[#This Row],[Eficiência]]</f>
        <v>0.73066229411946426</v>
      </c>
      <c r="W880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80" s="39">
        <f>IF(MIP[[#This Row],[P.S]]-MIP[[#This Row],[P.E]]&lt;0,1+MIP[[#This Row],[P.S]]-MIP[[#This Row],[P.E]]-1/24,MIP[[#This Row],[P.S]]-MIP[[#This Row],[P.E]]-1/24)</f>
        <v>0.36666666666666675</v>
      </c>
      <c r="Y880" s="39">
        <f>MIP[[#This Row],[PT-1]]*$S$3+MIP[[#This Row],[PT-2]]*$T$3+MIP[[#This Row],[PT-3]]*$U$3+MIP[[#This Row],[PT &gt; 3 Pontos]]*$V$3</f>
        <v>0.23797264995974227</v>
      </c>
      <c r="Z880" s="39">
        <f>MIP[[#This Row],[HH disponível]]-MIP[[#This Row],[HH AC TOT]]</f>
        <v>0.32569444444444456</v>
      </c>
      <c r="AA880" s="38">
        <f>MIP[[#This Row],[HH Produtivo
Total]]/MIP[[#This Row],[HH Trabalhado]]</f>
        <v>0.73066229411946426</v>
      </c>
      <c r="AB880" s="38">
        <f>MIP[[#This Row],[HH Produtivo
Total]]/MIP[[#This Row],[HH disponível]]</f>
        <v>0.6490163180720242</v>
      </c>
      <c r="AC880" s="38">
        <f>MIP[[#This Row],[HH Trabalhado]]/MIP[[#This Row],[HH disponível]]</f>
        <v>0.88825757575757591</v>
      </c>
      <c r="AD880" s="37" t="str">
        <f>LEFT(MIP[[#This Row],[Equipe]], SEARCH("/",MIP[[#This Row],[Equipe]],1)-1)</f>
        <v xml:space="preserve">ANDERSON </v>
      </c>
      <c r="AE880" s="37" t="str">
        <f>RIGHT(MIP[[#This Row],[Equipe]], LEN(MIP[[#This Row],[Equipe]])-SEARCH("/",MIP[[#This Row],[Equipe]],1))</f>
        <v xml:space="preserve"> MARCO</v>
      </c>
      <c r="AF880" s="29">
        <f>COUNTIFS('[1]Tempo parado'!H:H,"&gt;="&amp;MIP[[#This Row],[S.B Sitrack]],'[1]Tempo parado'!I:I,"&lt;="&amp;MIP[[#This Row],[C.B Sitrack]],'[1]Tempo parado'!B:B,MIP[[#This Row],[Placa]])</f>
        <v>0</v>
      </c>
      <c r="AG880" s="36"/>
      <c r="AH880" s="35"/>
      <c r="AI880" s="34"/>
      <c r="AJ880" s="34"/>
      <c r="AK88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8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80" s="32">
        <f>SUMIFS('[1]Tempo parado'!J:J,'[1]Tempo parado'!H:H,"&gt;="&amp;MIP[[#This Row],[S.B Sitrack]],'[1]Tempo parado'!I:I,"&lt;="&amp;MIP[[#This Row],[C.B Sitrack]],'[1]Tempo parado'!B:B,MIP[[#This Row],[Placa]])</f>
        <v>0</v>
      </c>
      <c r="AN880" s="31" t="str">
        <f>IFERROR(MIP[[#This Row],[Tempo parado]]/(MIP[[#This Row],[C.B Sitrack]]-MIP[[#This Row],[S.B Sitrack]]),"")</f>
        <v/>
      </c>
      <c r="AO880" s="30"/>
      <c r="AP880" s="29">
        <f>IF(AND(MIP[Exc]=0,MIP[Previsto / Realizado]="Realizado"),MIP[Sem],0)</f>
        <v>0</v>
      </c>
      <c r="AQ880" s="29">
        <f>IF(AND(MIP[Exc]=0,MIP[Previsto / Realizado]="Realizado",ISBLANK(MIP[[#This Row],[S.B Sitrack]])=FALSE,ISBLANK(MIP[[#This Row],[C.B Sitrack]])=FALSE),MIP[Sem],0)</f>
        <v>0</v>
      </c>
    </row>
    <row r="881" spans="2:43" x14ac:dyDescent="0.25">
      <c r="B881" s="29">
        <f>WEEKNUM(MIP[[#This Row],[Data]])</f>
        <v>50</v>
      </c>
      <c r="C881" s="45" t="s">
        <v>42</v>
      </c>
      <c r="D881" s="45"/>
      <c r="E881" s="46" t="s">
        <v>7</v>
      </c>
      <c r="F881" s="35" t="s">
        <v>2</v>
      </c>
      <c r="G881" s="35" t="s">
        <v>6</v>
      </c>
      <c r="H881" s="44"/>
      <c r="I881" s="44">
        <v>7</v>
      </c>
      <c r="J881" s="44">
        <v>2</v>
      </c>
      <c r="K881" s="44">
        <v>0</v>
      </c>
      <c r="L881" s="44">
        <v>0</v>
      </c>
      <c r="M881" s="43">
        <v>0.62569444444444444</v>
      </c>
      <c r="N881" s="43">
        <v>0.66180555555555554</v>
      </c>
      <c r="O881" s="43">
        <v>2.4305555555555556E-2</v>
      </c>
      <c r="P881" s="43">
        <v>3.3333333333333333E-2</v>
      </c>
      <c r="Q881" s="39"/>
      <c r="R881" s="42" t="s">
        <v>41</v>
      </c>
      <c r="S881" s="29">
        <f>MIP[[#This Row],[PT-1]]+MIP[[#This Row],[PT-2]]*2+MIP[[#This Row],[PT-3]]*3+MIP[[#This Row],[PT &gt; 3 Pontos]]</f>
        <v>11</v>
      </c>
      <c r="T88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4.513888888888884E-2</v>
      </c>
      <c r="U881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4.513888888888884E-2</v>
      </c>
      <c r="V881" s="41">
        <f>MIP[[#This Row],[Eficiência]]</f>
        <v>0.8197355935127667</v>
      </c>
      <c r="W881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81" s="39">
        <f>IF(MIP[[#This Row],[P.S]]-MIP[[#This Row],[P.E]]&lt;0,1+MIP[[#This Row],[P.S]]-MIP[[#This Row],[P.E]]-1/24,MIP[[#This Row],[P.S]]-MIP[[#This Row],[P.E]]-1/24)</f>
        <v>0.36597222222222231</v>
      </c>
      <c r="Y881" s="39">
        <f>MIP[[#This Row],[PT-1]]*$S$3+MIP[[#This Row],[PT-2]]*$T$3+MIP[[#This Row],[PT-3]]*$U$3+MIP[[#This Row],[PT &gt; 3 Pontos]]*$V$3</f>
        <v>0.26299850291867943</v>
      </c>
      <c r="Z881" s="39">
        <f>MIP[[#This Row],[HH disponível]]-MIP[[#This Row],[HH AC TOT]]</f>
        <v>0.32083333333333347</v>
      </c>
      <c r="AA881" s="38">
        <f>MIP[[#This Row],[HH Produtivo
Total]]/MIP[[#This Row],[HH Trabalhado]]</f>
        <v>0.8197355935127667</v>
      </c>
      <c r="AB881" s="38">
        <f>MIP[[#This Row],[HH Produtivo
Total]]/MIP[[#This Row],[HH disponível]]</f>
        <v>0.7186296853944939</v>
      </c>
      <c r="AC881" s="38">
        <f>MIP[[#This Row],[HH Trabalhado]]/MIP[[#This Row],[HH disponível]]</f>
        <v>0.87666034155597738</v>
      </c>
      <c r="AD881" s="37" t="str">
        <f>LEFT(MIP[[#This Row],[Equipe]], SEARCH("/",MIP[[#This Row],[Equipe]],1)-1)</f>
        <v xml:space="preserve">ANDERSON </v>
      </c>
      <c r="AE881" s="37" t="str">
        <f>RIGHT(MIP[[#This Row],[Equipe]], LEN(MIP[[#This Row],[Equipe]])-SEARCH("/",MIP[[#This Row],[Equipe]],1))</f>
        <v xml:space="preserve"> MARCO</v>
      </c>
      <c r="AF881" s="29">
        <f>COUNTIFS('[1]Tempo parado'!H:H,"&gt;="&amp;MIP[[#This Row],[S.B Sitrack]],'[1]Tempo parado'!I:I,"&lt;="&amp;MIP[[#This Row],[C.B Sitrack]],'[1]Tempo parado'!B:B,MIP[[#This Row],[Placa]])</f>
        <v>13</v>
      </c>
      <c r="AG881" s="36"/>
      <c r="AH881" s="35"/>
      <c r="AI881" s="34">
        <v>43083.663263888891</v>
      </c>
      <c r="AJ881" s="34">
        <v>43084.022291666668</v>
      </c>
      <c r="AK881" s="32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3.4722222222222168E-3</v>
      </c>
      <c r="AL88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71</v>
      </c>
      <c r="AM881" s="32">
        <f>SUMIFS('[1]Tempo parado'!J:J,'[1]Tempo parado'!H:H,"&gt;="&amp;MIP[[#This Row],[S.B Sitrack]],'[1]Tempo parado'!I:I,"&lt;="&amp;MIP[[#This Row],[C.B Sitrack]],'[1]Tempo parado'!B:B,MIP[[#This Row],[Placa]])</f>
        <v>0.21547453703703701</v>
      </c>
      <c r="AN881" s="31">
        <f>IFERROR(MIP[[#This Row],[Tempo parado]]/(MIP[[#This Row],[C.B Sitrack]]-MIP[[#This Row],[S.B Sitrack]]),"")</f>
        <v>0.60016118633329096</v>
      </c>
      <c r="AO881" s="30" t="s">
        <v>40</v>
      </c>
      <c r="AP881" s="29">
        <f>IF(AND(MIP[Exc]=0,MIP[Previsto / Realizado]="Realizado"),MIP[Sem],0)</f>
        <v>50</v>
      </c>
      <c r="AQ881" s="29">
        <f>IF(AND(MIP[Exc]=0,MIP[Previsto / Realizado]="Realizado",ISBLANK(MIP[[#This Row],[S.B Sitrack]])=FALSE,ISBLANK(MIP[[#This Row],[C.B Sitrack]])=FALSE),MIP[Sem],0)</f>
        <v>50</v>
      </c>
    </row>
    <row r="882" spans="2:43" x14ac:dyDescent="0.25">
      <c r="B882" s="29">
        <f>WEEKNUM(MIP[[#This Row],[Data]])</f>
        <v>50</v>
      </c>
      <c r="C882" s="45">
        <v>43084</v>
      </c>
      <c r="D882" s="45"/>
      <c r="E882" s="35" t="s">
        <v>19</v>
      </c>
      <c r="F882" s="35" t="s">
        <v>5</v>
      </c>
      <c r="G882" s="35"/>
      <c r="H882" s="44"/>
      <c r="I882" s="44">
        <v>7</v>
      </c>
      <c r="J882" s="44">
        <v>2</v>
      </c>
      <c r="K882" s="44">
        <v>0</v>
      </c>
      <c r="L882" s="44">
        <v>0</v>
      </c>
      <c r="M882" s="43">
        <v>0.625</v>
      </c>
      <c r="N882" s="43">
        <v>0.6381944444444444</v>
      </c>
      <c r="O882" s="43">
        <v>5.5555555555555558E-3</v>
      </c>
      <c r="P882" s="43">
        <v>3.3333333333333333E-2</v>
      </c>
      <c r="Q882" s="39"/>
      <c r="R882" s="42"/>
      <c r="S882" s="29">
        <f>MIP[[#This Row],[PT-1]]+MIP[[#This Row],[PT-2]]*2+MIP[[#This Row],[PT-3]]*3+MIP[[#This Row],[PT &gt; 3 Pontos]]</f>
        <v>11</v>
      </c>
      <c r="T88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4.0972222222222188E-2</v>
      </c>
      <c r="U882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4.0972222222222188E-2</v>
      </c>
      <c r="V882" s="41">
        <f>MIP[[#This Row],[Eficiência]]</f>
        <v>0.80750073390809862</v>
      </c>
      <c r="W882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82" s="39">
        <f>IF(MIP[[#This Row],[P.S]]-MIP[[#This Row],[P.E]]&lt;0,1+MIP[[#This Row],[P.S]]-MIP[[#This Row],[P.E]]-1/24,MIP[[#This Row],[P.S]]-MIP[[#This Row],[P.E]]-1/24)</f>
        <v>0.36666666666666675</v>
      </c>
      <c r="Y882" s="39">
        <f>MIP[[#This Row],[PT-1]]*$S$3+MIP[[#This Row],[PT-2]]*$T$3+MIP[[#This Row],[PT-3]]*$U$3+MIP[[#This Row],[PT &gt; 3 Pontos]]*$V$3</f>
        <v>0.26299850291867943</v>
      </c>
      <c r="Z882" s="39">
        <f>MIP[[#This Row],[HH disponível]]-MIP[[#This Row],[HH AC TOT]]</f>
        <v>0.32569444444444456</v>
      </c>
      <c r="AA882" s="38">
        <f>MIP[[#This Row],[HH Produtivo
Total]]/MIP[[#This Row],[HH Trabalhado]]</f>
        <v>0.80750073390809862</v>
      </c>
      <c r="AB882" s="38">
        <f>MIP[[#This Row],[HH Produtivo
Total]]/MIP[[#This Row],[HH disponível]]</f>
        <v>0.71726864432367099</v>
      </c>
      <c r="AC882" s="38">
        <f>MIP[[#This Row],[HH Trabalhado]]/MIP[[#This Row],[HH disponível]]</f>
        <v>0.88825757575757591</v>
      </c>
      <c r="AD882" s="37" t="str">
        <f>LEFT(MIP[[#This Row],[Equipe]], SEARCH("/",MIP[[#This Row],[Equipe]],1)-1)</f>
        <v xml:space="preserve">ADEMÁRIO </v>
      </c>
      <c r="AE882" s="37" t="str">
        <f>RIGHT(MIP[[#This Row],[Equipe]], LEN(MIP[[#This Row],[Equipe]])-SEARCH("/",MIP[[#This Row],[Equipe]],1))</f>
        <v xml:space="preserve"> RONALDO</v>
      </c>
      <c r="AF882" s="29">
        <f>COUNTIFS('[1]Tempo parado'!H:H,"&gt;="&amp;MIP[[#This Row],[S.B Sitrack]],'[1]Tempo parado'!I:I,"&lt;="&amp;MIP[[#This Row],[C.B Sitrack]],'[1]Tempo parado'!B:B,MIP[[#This Row],[Placa]])</f>
        <v>0</v>
      </c>
      <c r="AG882" s="36"/>
      <c r="AH882" s="35"/>
      <c r="AI882" s="34"/>
      <c r="AJ882" s="34"/>
      <c r="AK88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8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82" s="32">
        <f>SUMIFS('[1]Tempo parado'!J:J,'[1]Tempo parado'!H:H,"&gt;="&amp;MIP[[#This Row],[S.B Sitrack]],'[1]Tempo parado'!I:I,"&lt;="&amp;MIP[[#This Row],[C.B Sitrack]],'[1]Tempo parado'!B:B,MIP[[#This Row],[Placa]])</f>
        <v>0</v>
      </c>
      <c r="AN882" s="31" t="str">
        <f>IFERROR(MIP[[#This Row],[Tempo parado]]/(MIP[[#This Row],[C.B Sitrack]]-MIP[[#This Row],[S.B Sitrack]]),"")</f>
        <v/>
      </c>
      <c r="AO882" s="30"/>
      <c r="AP882" s="29">
        <f>IF(AND(MIP[Exc]=0,MIP[Previsto / Realizado]="Realizado"),MIP[Sem],0)</f>
        <v>0</v>
      </c>
      <c r="AQ882" s="29">
        <f>IF(AND(MIP[Exc]=0,MIP[Previsto / Realizado]="Realizado",ISBLANK(MIP[[#This Row],[S.B Sitrack]])=FALSE,ISBLANK(MIP[[#This Row],[C.B Sitrack]])=FALSE),MIP[Sem],0)</f>
        <v>0</v>
      </c>
    </row>
    <row r="883" spans="2:43" x14ac:dyDescent="0.25">
      <c r="B883" s="29">
        <f>WEEKNUM(MIP[[#This Row],[Data]])</f>
        <v>50</v>
      </c>
      <c r="C883" s="45" t="s">
        <v>35</v>
      </c>
      <c r="D883" s="45"/>
      <c r="E883" s="46" t="s">
        <v>19</v>
      </c>
      <c r="F883" s="35" t="s">
        <v>2</v>
      </c>
      <c r="G883" s="35" t="s">
        <v>39</v>
      </c>
      <c r="H883" s="44"/>
      <c r="I883" s="44">
        <v>7</v>
      </c>
      <c r="J883" s="44">
        <v>2</v>
      </c>
      <c r="K883" s="44">
        <v>0</v>
      </c>
      <c r="L883" s="44">
        <v>0</v>
      </c>
      <c r="M883" s="43">
        <v>0.71527777777777779</v>
      </c>
      <c r="N883" s="43">
        <v>0.72916666666666663</v>
      </c>
      <c r="O883" s="43">
        <v>1.3194444444444444E-2</v>
      </c>
      <c r="P883" s="43">
        <v>3.8194444444444441E-2</v>
      </c>
      <c r="Q883" s="39"/>
      <c r="R883" s="42" t="s">
        <v>38</v>
      </c>
      <c r="S883" s="29">
        <f>MIP[[#This Row],[PT-1]]+MIP[[#This Row],[PT-2]]*2+MIP[[#This Row],[PT-3]]*3+MIP[[#This Row],[PT &gt; 3 Pontos]]</f>
        <v>11</v>
      </c>
      <c r="T88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3.8888888888888862E-2</v>
      </c>
      <c r="U883" s="39">
        <f>IF(MIP[[#This Row],[P.S]]-MIP[[#This Row],[U.P]]&gt;=0,MIP[[#This Row],[P.S]]-MIP[[#This Row],[U.P]]+MIP[[#This Row],[S.B]]-MIP[[#This Row],[P.E]],1+MIP[[#This Row],[P.S]]-MIP[[#This Row],[U.P]]+MIP[[#This Row],[S.B]]-MIP[[#This Row],[P.E]])</f>
        <v>3.8888888888888862E-2</v>
      </c>
      <c r="V883" s="41">
        <f>MIP[[#This Row],[Eficiência]]</f>
        <v>1.0851514160541502</v>
      </c>
      <c r="W883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83" s="39">
        <f>IF(MIP[[#This Row],[P.S]]-MIP[[#This Row],[P.E]]&lt;0,1+MIP[[#This Row],[P.S]]-MIP[[#This Row],[P.E]]-1/24,MIP[[#This Row],[P.S]]-MIP[[#This Row],[P.E]]-1/24)</f>
        <v>0.28124999999999994</v>
      </c>
      <c r="Y883" s="39">
        <f>MIP[[#This Row],[PT-1]]*$S$3+MIP[[#This Row],[PT-2]]*$T$3+MIP[[#This Row],[PT-3]]*$U$3+MIP[[#This Row],[PT &gt; 3 Pontos]]*$V$3</f>
        <v>0.26299850291867943</v>
      </c>
      <c r="Z883" s="39">
        <f>MIP[[#This Row],[HH disponível]]-MIP[[#This Row],[HH AC TOT]]</f>
        <v>0.24236111111111108</v>
      </c>
      <c r="AA883" s="38">
        <f>MIP[[#This Row],[HH Produtivo
Total]]/MIP[[#This Row],[HH Trabalhado]]</f>
        <v>1.0851514160541502</v>
      </c>
      <c r="AB883" s="38">
        <f>MIP[[#This Row],[HH Produtivo
Total]]/MIP[[#This Row],[HH disponível]]</f>
        <v>0.93510578815530487</v>
      </c>
      <c r="AC883" s="38">
        <f>MIP[[#This Row],[HH Trabalhado]]/MIP[[#This Row],[HH disponível]]</f>
        <v>0.86172839506172849</v>
      </c>
      <c r="AD883" s="37" t="str">
        <f>LEFT(MIP[[#This Row],[Equipe]], SEARCH("/",MIP[[#This Row],[Equipe]],1)-1)</f>
        <v xml:space="preserve">ADEMÁRIO </v>
      </c>
      <c r="AE883" s="37" t="str">
        <f>RIGHT(MIP[[#This Row],[Equipe]], LEN(MIP[[#This Row],[Equipe]])-SEARCH("/",MIP[[#This Row],[Equipe]],1))</f>
        <v xml:space="preserve"> RONALDO</v>
      </c>
      <c r="AF883" s="29">
        <f>COUNTIFS('[1]Tempo parado'!H:H,"&gt;="&amp;MIP[[#This Row],[S.B Sitrack]],'[1]Tempo parado'!I:I,"&lt;="&amp;MIP[[#This Row],[C.B Sitrack]],'[1]Tempo parado'!B:B,MIP[[#This Row],[Placa]])</f>
        <v>10</v>
      </c>
      <c r="AG883" s="36"/>
      <c r="AH883" s="35"/>
      <c r="AI883" s="34">
        <v>43084.73337962963</v>
      </c>
      <c r="AJ883" s="34">
        <v>43085.024039351854</v>
      </c>
      <c r="AK883" s="32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1.4583333333333429E-2</v>
      </c>
      <c r="AL88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36.6</v>
      </c>
      <c r="AM883" s="32">
        <f>SUMIFS('[1]Tempo parado'!J:J,'[1]Tempo parado'!H:H,"&gt;="&amp;MIP[[#This Row],[S.B Sitrack]],'[1]Tempo parado'!I:I,"&lt;="&amp;MIP[[#This Row],[C.B Sitrack]],'[1]Tempo parado'!B:B,MIP[[#This Row],[Placa]])</f>
        <v>0.18517361111111111</v>
      </c>
      <c r="AN883" s="31">
        <f>IFERROR(MIP[[#This Row],[Tempo parado]]/(MIP[[#This Row],[C.B Sitrack]]-MIP[[#This Row],[S.B Sitrack]]),"")</f>
        <v>0.63708039660230242</v>
      </c>
      <c r="AO883" s="30" t="s">
        <v>37</v>
      </c>
      <c r="AP883" s="29">
        <f>IF(AND(MIP[Exc]=0,MIP[Previsto / Realizado]="Realizado"),MIP[Sem],0)</f>
        <v>50</v>
      </c>
      <c r="AQ883" s="29">
        <f>IF(AND(MIP[Exc]=0,MIP[Previsto / Realizado]="Realizado",ISBLANK(MIP[[#This Row],[S.B Sitrack]])=FALSE,ISBLANK(MIP[[#This Row],[C.B Sitrack]])=FALSE),MIP[Sem],0)</f>
        <v>50</v>
      </c>
    </row>
    <row r="884" spans="2:43" x14ac:dyDescent="0.25">
      <c r="B884" s="29">
        <f>WEEKNUM(MIP[[#This Row],[Data]])</f>
        <v>50</v>
      </c>
      <c r="C884" s="45" t="s">
        <v>35</v>
      </c>
      <c r="D884" s="45"/>
      <c r="E884" s="35" t="s">
        <v>3</v>
      </c>
      <c r="F884" s="35" t="s">
        <v>5</v>
      </c>
      <c r="G884" s="35"/>
      <c r="H884" s="44"/>
      <c r="I884" s="44">
        <v>2</v>
      </c>
      <c r="J884" s="44">
        <v>2</v>
      </c>
      <c r="K884" s="44">
        <v>1</v>
      </c>
      <c r="L884" s="44">
        <v>0</v>
      </c>
      <c r="M884" s="43">
        <v>0.625</v>
      </c>
      <c r="N884" s="43">
        <v>0.6381944444444444</v>
      </c>
      <c r="O884" s="43">
        <v>5.5555555555555558E-3</v>
      </c>
      <c r="P884" s="43">
        <v>3.3333333333333333E-2</v>
      </c>
      <c r="Q884" s="39"/>
      <c r="R884" s="42" t="s">
        <v>36</v>
      </c>
      <c r="S884" s="29">
        <f>MIP[[#This Row],[PT-1]]+MIP[[#This Row],[PT-2]]*2+MIP[[#This Row],[PT-3]]*3+MIP[[#This Row],[PT &gt; 3 Pontos]]</f>
        <v>9</v>
      </c>
      <c r="T88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4.0972222222222188E-2</v>
      </c>
      <c r="U884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4.0972222222222188E-2</v>
      </c>
      <c r="V884" s="41">
        <f>MIP[[#This Row],[Eficiência]]</f>
        <v>0.61610175056395022</v>
      </c>
      <c r="W884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84" s="39">
        <f>IF(MIP[[#This Row],[P.S]]-MIP[[#This Row],[P.E]]&lt;0,1+MIP[[#This Row],[P.S]]-MIP[[#This Row],[P.E]]-1/24,MIP[[#This Row],[P.S]]-MIP[[#This Row],[P.E]]-1/24)</f>
        <v>0.36666666666666675</v>
      </c>
      <c r="Y884" s="39">
        <f>MIP[[#This Row],[PT-1]]*$S$3+MIP[[#This Row],[PT-2]]*$T$3+MIP[[#This Row],[PT-3]]*$U$3+MIP[[#This Row],[PT &gt; 3 Pontos]]*$V$3</f>
        <v>0.20066091737117553</v>
      </c>
      <c r="Z884" s="39">
        <f>MIP[[#This Row],[HH disponível]]-MIP[[#This Row],[HH AC TOT]]</f>
        <v>0.32569444444444456</v>
      </c>
      <c r="AA884" s="38">
        <f>MIP[[#This Row],[HH Produtivo
Total]]/MIP[[#This Row],[HH Trabalhado]]</f>
        <v>0.61610175056395022</v>
      </c>
      <c r="AB884" s="38">
        <f>MIP[[#This Row],[HH Produtivo
Total]]/MIP[[#This Row],[HH disponível]]</f>
        <v>0.54725704737593317</v>
      </c>
      <c r="AC884" s="38">
        <f>MIP[[#This Row],[HH Trabalhado]]/MIP[[#This Row],[HH disponível]]</f>
        <v>0.88825757575757591</v>
      </c>
      <c r="AD884" s="37" t="str">
        <f>LEFT(MIP[[#This Row],[Equipe]], SEARCH("/",MIP[[#This Row],[Equipe]],1)-1)</f>
        <v xml:space="preserve">EDILTON </v>
      </c>
      <c r="AE884" s="37" t="str">
        <f>RIGHT(MIP[[#This Row],[Equipe]], LEN(MIP[[#This Row],[Equipe]])-SEARCH("/",MIP[[#This Row],[Equipe]],1))</f>
        <v xml:space="preserve"> GECIVALDO</v>
      </c>
      <c r="AF884" s="29">
        <f>COUNTIFS('[1]Tempo parado'!H:H,"&gt;="&amp;MIP[[#This Row],[S.B Sitrack]],'[1]Tempo parado'!I:I,"&lt;="&amp;MIP[[#This Row],[C.B Sitrack]],'[1]Tempo parado'!B:B,MIP[[#This Row],[Placa]])</f>
        <v>0</v>
      </c>
      <c r="AG884" s="36"/>
      <c r="AH884" s="35"/>
      <c r="AI884" s="34"/>
      <c r="AJ884" s="34"/>
      <c r="AK88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8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84" s="32">
        <f>SUMIFS('[1]Tempo parado'!J:J,'[1]Tempo parado'!H:H,"&gt;="&amp;MIP[[#This Row],[S.B Sitrack]],'[1]Tempo parado'!I:I,"&lt;="&amp;MIP[[#This Row],[C.B Sitrack]],'[1]Tempo parado'!B:B,MIP[[#This Row],[Placa]])</f>
        <v>0</v>
      </c>
      <c r="AN884" s="31" t="str">
        <f>IFERROR(MIP[[#This Row],[Tempo parado]]/(MIP[[#This Row],[C.B Sitrack]]-MIP[[#This Row],[S.B Sitrack]]),"")</f>
        <v/>
      </c>
      <c r="AO884" s="30"/>
      <c r="AP884" s="29">
        <f>IF(AND(MIP[Exc]=0,MIP[Previsto / Realizado]="Realizado"),MIP[Sem],0)</f>
        <v>0</v>
      </c>
      <c r="AQ884" s="29">
        <f>IF(AND(MIP[Exc]=0,MIP[Previsto / Realizado]="Realizado",ISBLANK(MIP[[#This Row],[S.B Sitrack]])=FALSE,ISBLANK(MIP[[#This Row],[C.B Sitrack]])=FALSE),MIP[Sem],0)</f>
        <v>0</v>
      </c>
    </row>
    <row r="885" spans="2:43" x14ac:dyDescent="0.25">
      <c r="B885" s="29">
        <f>WEEKNUM(MIP[[#This Row],[Data]])</f>
        <v>50</v>
      </c>
      <c r="C885" s="45" t="s">
        <v>35</v>
      </c>
      <c r="D885" s="45"/>
      <c r="E885" s="35" t="s">
        <v>3</v>
      </c>
      <c r="F885" s="35" t="s">
        <v>2</v>
      </c>
      <c r="G885" s="35" t="s">
        <v>1</v>
      </c>
      <c r="H885" s="44"/>
      <c r="I885" s="44">
        <v>5</v>
      </c>
      <c r="J885" s="44">
        <v>2</v>
      </c>
      <c r="K885" s="44">
        <v>1</v>
      </c>
      <c r="L885" s="44">
        <v>0</v>
      </c>
      <c r="M885" s="43">
        <v>0.62152777777777779</v>
      </c>
      <c r="N885" s="43">
        <v>0.6875</v>
      </c>
      <c r="O885" s="43">
        <v>7.6388888888888886E-3</v>
      </c>
      <c r="P885" s="43">
        <v>3.3333333333333333E-2</v>
      </c>
      <c r="Q885" s="39"/>
      <c r="R885" s="42" t="s">
        <v>34</v>
      </c>
      <c r="S885" s="29">
        <f>MIP[[#This Row],[PT-1]]+MIP[[#This Row],[PT-2]]*2+MIP[[#This Row],[PT-3]]*3+MIP[[#This Row],[PT &gt; 3 Pontos]]</f>
        <v>12</v>
      </c>
      <c r="T88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9.1666666666666674E-2</v>
      </c>
      <c r="U885" s="39">
        <f>IF(MIP[[#This Row],[P.S]]-MIP[[#This Row],[U.P]]&gt;=0,MIP[[#This Row],[P.S]]-MIP[[#This Row],[U.P]]+MIP[[#This Row],[S.B]]-MIP[[#This Row],[P.E]],1+MIP[[#This Row],[P.S]]-MIP[[#This Row],[U.P]]+MIP[[#This Row],[S.B]]-MIP[[#This Row],[P.E]])</f>
        <v>9.1666666666666674E-2</v>
      </c>
      <c r="V885" s="41">
        <f>MIP[[#This Row],[Eficiência]]</f>
        <v>0.99018305685062646</v>
      </c>
      <c r="W885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85" s="39">
        <f>IF(MIP[[#This Row],[P.S]]-MIP[[#This Row],[P.E]]&lt;0,1+MIP[[#This Row],[P.S]]-MIP[[#This Row],[P.E]]-1/24,MIP[[#This Row],[P.S]]-MIP[[#This Row],[P.E]]-1/24)</f>
        <v>0.37013888888888896</v>
      </c>
      <c r="Y885" s="39">
        <f>MIP[[#This Row],[PT-1]]*$S$3+MIP[[#This Row],[PT-2]]*$T$3+MIP[[#This Row],[PT-3]]*$U$3+MIP[[#This Row],[PT &gt; 3 Pontos]]*$V$3</f>
        <v>0.27573847624798703</v>
      </c>
      <c r="Z885" s="39">
        <f>MIP[[#This Row],[HH disponível]]-MIP[[#This Row],[HH AC TOT]]</f>
        <v>0.27847222222222229</v>
      </c>
      <c r="AA885" s="38">
        <f>MIP[[#This Row],[HH Produtivo
Total]]/MIP[[#This Row],[HH Trabalhado]]</f>
        <v>0.99018305685062646</v>
      </c>
      <c r="AB885" s="38">
        <f>MIP[[#This Row],[HH Produtivo
Total]]/MIP[[#This Row],[HH disponível]]</f>
        <v>0.74495948554803237</v>
      </c>
      <c r="AC885" s="38">
        <f>MIP[[#This Row],[HH Trabalhado]]/MIP[[#This Row],[HH disponível]]</f>
        <v>0.75234521575984992</v>
      </c>
      <c r="AD885" s="37" t="str">
        <f>LEFT(MIP[[#This Row],[Equipe]], SEARCH("/",MIP[[#This Row],[Equipe]],1)-1)</f>
        <v xml:space="preserve">EDILTON </v>
      </c>
      <c r="AE885" s="37" t="str">
        <f>RIGHT(MIP[[#This Row],[Equipe]], LEN(MIP[[#This Row],[Equipe]])-SEARCH("/",MIP[[#This Row],[Equipe]],1))</f>
        <v xml:space="preserve"> GECIVALDO</v>
      </c>
      <c r="AF885" s="29">
        <f>COUNTIFS('[1]Tempo parado'!H:H,"&gt;="&amp;MIP[[#This Row],[S.B Sitrack]],'[1]Tempo parado'!I:I,"&lt;="&amp;MIP[[#This Row],[C.B Sitrack]],'[1]Tempo parado'!B:B,MIP[[#This Row],[Placa]])</f>
        <v>0</v>
      </c>
      <c r="AG885" s="36"/>
      <c r="AH885" s="35"/>
      <c r="AI885" s="34"/>
      <c r="AJ885" s="34"/>
      <c r="AK88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8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85" s="32">
        <f>SUMIFS('[1]Tempo parado'!J:J,'[1]Tempo parado'!H:H,"&gt;="&amp;MIP[[#This Row],[S.B Sitrack]],'[1]Tempo parado'!I:I,"&lt;="&amp;MIP[[#This Row],[C.B Sitrack]],'[1]Tempo parado'!B:B,MIP[[#This Row],[Placa]])</f>
        <v>0</v>
      </c>
      <c r="AN885" s="31" t="str">
        <f>IFERROR(MIP[[#This Row],[Tempo parado]]/(MIP[[#This Row],[C.B Sitrack]]-MIP[[#This Row],[S.B Sitrack]]),"")</f>
        <v/>
      </c>
      <c r="AO885" s="30"/>
      <c r="AP885" s="29">
        <f>IF(AND(MIP[Exc]=0,MIP[Previsto / Realizado]="Realizado"),MIP[Sem],0)</f>
        <v>50</v>
      </c>
      <c r="AQ885" s="29">
        <f>IF(AND(MIP[Exc]=0,MIP[Previsto / Realizado]="Realizado",ISBLANK(MIP[[#This Row],[S.B Sitrack]])=FALSE,ISBLANK(MIP[[#This Row],[C.B Sitrack]])=FALSE),MIP[Sem],0)</f>
        <v>0</v>
      </c>
    </row>
    <row r="886" spans="2:43" x14ac:dyDescent="0.25">
      <c r="B886" s="29">
        <f>WEEKNUM(MIP[[#This Row],[Data]])</f>
        <v>51</v>
      </c>
      <c r="C886" s="45" t="s">
        <v>30</v>
      </c>
      <c r="D886" s="45"/>
      <c r="E886" s="35" t="s">
        <v>33</v>
      </c>
      <c r="F886" s="35" t="s">
        <v>5</v>
      </c>
      <c r="G886" s="35"/>
      <c r="H886" s="44"/>
      <c r="I886" s="44">
        <v>8</v>
      </c>
      <c r="J886" s="44">
        <v>3</v>
      </c>
      <c r="K886" s="44">
        <v>1</v>
      </c>
      <c r="L886" s="44">
        <v>0</v>
      </c>
      <c r="M886" s="43">
        <v>0.25</v>
      </c>
      <c r="N886" s="43">
        <v>0.2638888888888889</v>
      </c>
      <c r="O886" s="43">
        <v>0.62986111111111109</v>
      </c>
      <c r="P886" s="43">
        <v>0.65833333333333333</v>
      </c>
      <c r="Q886" s="39"/>
      <c r="R886" s="42"/>
      <c r="S886" s="29">
        <f>MIP[[#This Row],[PT-1]]+MIP[[#This Row],[PT-2]]*2+MIP[[#This Row],[PT-3]]*3+MIP[[#This Row],[PT &gt; 3 Pontos]]</f>
        <v>17</v>
      </c>
      <c r="T88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4.2361111111111127E-2</v>
      </c>
      <c r="U886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4.2361111111111127E-2</v>
      </c>
      <c r="V886" s="41">
        <f>MIP[[#This Row],[Eficiência]]</f>
        <v>1.217138573379263</v>
      </c>
      <c r="W886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86" s="39">
        <f>IF(MIP[[#This Row],[P.S]]-MIP[[#This Row],[P.E]]&lt;0,1+MIP[[#This Row],[P.S]]-MIP[[#This Row],[P.E]]-1/24,MIP[[#This Row],[P.S]]-MIP[[#This Row],[P.E]]-1/24)</f>
        <v>0.36666666666666664</v>
      </c>
      <c r="Y886" s="39">
        <f>MIP[[#This Row],[PT-1]]*$S$3+MIP[[#This Row],[PT-2]]*$T$3+MIP[[#This Row],[PT-3]]*$U$3+MIP[[#This Row],[PT &gt; 3 Pontos]]*$V$3</f>
        <v>0.39472480122785819</v>
      </c>
      <c r="Z886" s="39">
        <f>MIP[[#This Row],[HH disponível]]-MIP[[#This Row],[HH AC TOT]]</f>
        <v>0.32430555555555551</v>
      </c>
      <c r="AA886" s="38">
        <f>MIP[[#This Row],[HH Produtivo
Total]]/MIP[[#This Row],[HH Trabalhado]]</f>
        <v>1.217138573379263</v>
      </c>
      <c r="AB886" s="38">
        <f>MIP[[#This Row],[HH Produtivo
Total]]/MIP[[#This Row],[HH disponível]]</f>
        <v>1.076522185166886</v>
      </c>
      <c r="AC886" s="38">
        <f>MIP[[#This Row],[HH Trabalhado]]/MIP[[#This Row],[HH disponível]]</f>
        <v>0.88446969696969691</v>
      </c>
      <c r="AD886" s="37" t="str">
        <f>LEFT(MIP[[#This Row],[Equipe]], SEARCH("/",MIP[[#This Row],[Equipe]],1)-1)</f>
        <v xml:space="preserve">JOILSON </v>
      </c>
      <c r="AE886" s="37" t="str">
        <f>RIGHT(MIP[[#This Row],[Equipe]], LEN(MIP[[#This Row],[Equipe]])-SEARCH("/",MIP[[#This Row],[Equipe]],1))</f>
        <v xml:space="preserve"> HERVAL</v>
      </c>
      <c r="AF886" s="29">
        <f>COUNTIFS('[1]Tempo parado'!H:H,"&gt;="&amp;MIP[[#This Row],[S.B Sitrack]],'[1]Tempo parado'!I:I,"&lt;="&amp;MIP[[#This Row],[C.B Sitrack]],'[1]Tempo parado'!B:B,MIP[[#This Row],[Placa]])</f>
        <v>0</v>
      </c>
      <c r="AG886" s="36"/>
      <c r="AH886" s="35"/>
      <c r="AI886" s="34"/>
      <c r="AJ886" s="34"/>
      <c r="AK88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8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86" s="32">
        <f>SUMIFS('[1]Tempo parado'!J:J,'[1]Tempo parado'!H:H,"&gt;="&amp;MIP[[#This Row],[S.B Sitrack]],'[1]Tempo parado'!I:I,"&lt;="&amp;MIP[[#This Row],[C.B Sitrack]],'[1]Tempo parado'!B:B,MIP[[#This Row],[Placa]])</f>
        <v>0</v>
      </c>
      <c r="AN886" s="31" t="str">
        <f>IFERROR(MIP[[#This Row],[Tempo parado]]/(MIP[[#This Row],[C.B Sitrack]]-MIP[[#This Row],[S.B Sitrack]]),"")</f>
        <v/>
      </c>
      <c r="AO886" s="30"/>
      <c r="AP886" s="29">
        <f>IF(AND(MIP[Exc]=0,MIP[Previsto / Realizado]="Realizado"),MIP[Sem],0)</f>
        <v>0</v>
      </c>
      <c r="AQ886" s="29">
        <f>IF(AND(MIP[Exc]=0,MIP[Previsto / Realizado]="Realizado",ISBLANK(MIP[[#This Row],[S.B Sitrack]])=FALSE,ISBLANK(MIP[[#This Row],[C.B Sitrack]])=FALSE),MIP[Sem],0)</f>
        <v>0</v>
      </c>
    </row>
    <row r="887" spans="2:43" x14ac:dyDescent="0.25">
      <c r="B887" s="29">
        <f>WEEKNUM(MIP[[#This Row],[Data]])</f>
        <v>51</v>
      </c>
      <c r="C887" s="45" t="s">
        <v>30</v>
      </c>
      <c r="D887" s="45"/>
      <c r="E887" s="46" t="s">
        <v>10</v>
      </c>
      <c r="F887" s="35" t="s">
        <v>2</v>
      </c>
      <c r="G887" s="35" t="s">
        <v>6</v>
      </c>
      <c r="H887" s="44"/>
      <c r="I887" s="44">
        <v>6</v>
      </c>
      <c r="J887" s="44">
        <v>1</v>
      </c>
      <c r="K887" s="44">
        <v>0</v>
      </c>
      <c r="L887" s="44">
        <v>0</v>
      </c>
      <c r="M887" s="43">
        <v>0.25069444444444444</v>
      </c>
      <c r="N887" s="43">
        <v>0.27083333333333331</v>
      </c>
      <c r="O887" s="43">
        <v>0.59375</v>
      </c>
      <c r="P887" s="43">
        <v>0.66041666666666665</v>
      </c>
      <c r="Q887" s="39"/>
      <c r="R887" s="42" t="s">
        <v>32</v>
      </c>
      <c r="S887" s="29">
        <f>MIP[[#This Row],[PT-1]]+MIP[[#This Row],[PT-2]]*2+MIP[[#This Row],[PT-3]]*3+MIP[[#This Row],[PT &gt; 3 Pontos]]</f>
        <v>8</v>
      </c>
      <c r="T88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8.6805555555555525E-2</v>
      </c>
      <c r="U887" s="39">
        <f>IF(MIP[[#This Row],[P.S]]-MIP[[#This Row],[U.P]]&gt;=0,MIP[[#This Row],[P.S]]-MIP[[#This Row],[U.P]]+MIP[[#This Row],[S.B]]-MIP[[#This Row],[P.E]],1+MIP[[#This Row],[P.S]]-MIP[[#This Row],[U.P]]+MIP[[#This Row],[S.B]]-MIP[[#This Row],[P.E]])</f>
        <v>8.6805555555555525E-2</v>
      </c>
      <c r="V887" s="41">
        <f>MIP[[#This Row],[Eficiência]]</f>
        <v>0.69000492037931616</v>
      </c>
      <c r="W887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87" s="39">
        <f>IF(MIP[[#This Row],[P.S]]-MIP[[#This Row],[P.E]]&lt;0,1+MIP[[#This Row],[P.S]]-MIP[[#This Row],[P.E]]-1/24,MIP[[#This Row],[P.S]]-MIP[[#This Row],[P.E]]-1/24)</f>
        <v>0.36805555555555552</v>
      </c>
      <c r="Y887" s="39">
        <f>MIP[[#This Row],[PT-1]]*$S$3+MIP[[#This Row],[PT-2]]*$T$3+MIP[[#This Row],[PT-3]]*$U$3+MIP[[#This Row],[PT &gt; 3 Pontos]]*$V$3</f>
        <v>0.19406388385668266</v>
      </c>
      <c r="Z887" s="39">
        <f>MIP[[#This Row],[HH disponível]]-MIP[[#This Row],[HH AC TOT]]</f>
        <v>0.28125</v>
      </c>
      <c r="AA887" s="38">
        <f>MIP[[#This Row],[HH Produtivo
Total]]/MIP[[#This Row],[HH Trabalhado]]</f>
        <v>0.69000492037931616</v>
      </c>
      <c r="AB887" s="38">
        <f>MIP[[#This Row],[HH Produtivo
Total]]/MIP[[#This Row],[HH disponível]]</f>
        <v>0.52726791085589253</v>
      </c>
      <c r="AC887" s="38">
        <f>MIP[[#This Row],[HH Trabalhado]]/MIP[[#This Row],[HH disponível]]</f>
        <v>0.76415094339622647</v>
      </c>
      <c r="AD887" s="37" t="str">
        <f>LEFT(MIP[[#This Row],[Equipe]], SEARCH("/",MIP[[#This Row],[Equipe]],1)-1)</f>
        <v xml:space="preserve">JOILSON </v>
      </c>
      <c r="AE887" s="37" t="str">
        <f>RIGHT(MIP[[#This Row],[Equipe]], LEN(MIP[[#This Row],[Equipe]])-SEARCH("/",MIP[[#This Row],[Equipe]],1))</f>
        <v xml:space="preserve"> VALDEI</v>
      </c>
      <c r="AF887" s="29">
        <f>COUNTIFS('[1]Tempo parado'!H:H,"&gt;="&amp;MIP[[#This Row],[S.B Sitrack]],'[1]Tempo parado'!I:I,"&lt;="&amp;MIP[[#This Row],[C.B Sitrack]],'[1]Tempo parado'!B:B,MIP[[#This Row],[Placa]])</f>
        <v>15</v>
      </c>
      <c r="AG887" s="36"/>
      <c r="AH887" s="35"/>
      <c r="AI887" s="34">
        <v>43088.278425925928</v>
      </c>
      <c r="AJ887" s="34">
        <v>43088.631435185183</v>
      </c>
      <c r="AK887" s="32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4.4444444444444453E-2</v>
      </c>
      <c r="AL88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49.599999999999994</v>
      </c>
      <c r="AM887" s="32">
        <f>SUMIFS('[1]Tempo parado'!J:J,'[1]Tempo parado'!H:H,"&gt;="&amp;MIP[[#This Row],[S.B Sitrack]],'[1]Tempo parado'!I:I,"&lt;="&amp;MIP[[#This Row],[C.B Sitrack]],'[1]Tempo parado'!B:B,MIP[[#This Row],[Placa]])</f>
        <v>0.21125000000000002</v>
      </c>
      <c r="AN887" s="31">
        <f>IFERROR(MIP[[#This Row],[Tempo parado]]/(MIP[[#This Row],[C.B Sitrack]]-MIP[[#This Row],[S.B Sitrack]]),"")</f>
        <v>0.59842622951459234</v>
      </c>
      <c r="AO887" s="30" t="s">
        <v>31</v>
      </c>
      <c r="AP887" s="29">
        <f>IF(AND(MIP[Exc]=0,MIP[Previsto / Realizado]="Realizado"),MIP[Sem],0)</f>
        <v>51</v>
      </c>
      <c r="AQ887" s="29">
        <f>IF(AND(MIP[Exc]=0,MIP[Previsto / Realizado]="Realizado",ISBLANK(MIP[[#This Row],[S.B Sitrack]])=FALSE,ISBLANK(MIP[[#This Row],[C.B Sitrack]])=FALSE),MIP[Sem],0)</f>
        <v>51</v>
      </c>
    </row>
    <row r="888" spans="2:43" x14ac:dyDescent="0.25">
      <c r="B888" s="29">
        <f>WEEKNUM(MIP[[#This Row],[Data]])</f>
        <v>51</v>
      </c>
      <c r="C888" s="45" t="s">
        <v>30</v>
      </c>
      <c r="D888" s="45"/>
      <c r="E888" s="35" t="s">
        <v>3</v>
      </c>
      <c r="F888" s="35" t="s">
        <v>5</v>
      </c>
      <c r="G888" s="35"/>
      <c r="H888" s="44"/>
      <c r="I888" s="44">
        <v>11</v>
      </c>
      <c r="J888" s="44">
        <v>1</v>
      </c>
      <c r="K888" s="44">
        <v>1</v>
      </c>
      <c r="L888" s="44">
        <v>0</v>
      </c>
      <c r="M888" s="43">
        <v>0.625</v>
      </c>
      <c r="N888" s="43">
        <v>0.63750000000000007</v>
      </c>
      <c r="O888" s="43">
        <v>4.8611111111111112E-3</v>
      </c>
      <c r="P888" s="43">
        <v>3.3333333333333333E-2</v>
      </c>
      <c r="Q888" s="39"/>
      <c r="R888" s="42"/>
      <c r="S888" s="29">
        <f>MIP[[#This Row],[PT-1]]+MIP[[#This Row],[PT-2]]*2+MIP[[#This Row],[PT-3]]*3+MIP[[#This Row],[PT &gt; 3 Pontos]]</f>
        <v>16</v>
      </c>
      <c r="T88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4.0972222222222299E-2</v>
      </c>
      <c r="U888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4.0972222222222299E-2</v>
      </c>
      <c r="V888" s="41">
        <f>MIP[[#This Row],[Eficiência]]</f>
        <v>1.1728318809678313</v>
      </c>
      <c r="W888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88" s="39">
        <f>IF(MIP[[#This Row],[P.S]]-MIP[[#This Row],[P.E]]&lt;0,1+MIP[[#This Row],[P.S]]-MIP[[#This Row],[P.E]]-1/24,MIP[[#This Row],[P.S]]-MIP[[#This Row],[P.E]]-1/24)</f>
        <v>0.36666666666666675</v>
      </c>
      <c r="Y888" s="39">
        <f>MIP[[#This Row],[PT-1]]*$S$3+MIP[[#This Row],[PT-2]]*$T$3+MIP[[#This Row],[PT-3]]*$U$3+MIP[[#This Row],[PT &gt; 3 Pontos]]*$V$3</f>
        <v>0.38198482789855059</v>
      </c>
      <c r="Z888" s="39">
        <f>MIP[[#This Row],[HH disponível]]-MIP[[#This Row],[HH AC TOT]]</f>
        <v>0.32569444444444445</v>
      </c>
      <c r="AA888" s="38">
        <f>MIP[[#This Row],[HH Produtivo
Total]]/MIP[[#This Row],[HH Trabalhado]]</f>
        <v>1.1728318809678313</v>
      </c>
      <c r="AB888" s="38">
        <f>MIP[[#This Row],[HH Produtivo
Total]]/MIP[[#This Row],[HH disponível]]</f>
        <v>1.0417768033596833</v>
      </c>
      <c r="AC888" s="38">
        <f>MIP[[#This Row],[HH Trabalhado]]/MIP[[#This Row],[HH disponível]]</f>
        <v>0.88825757575757558</v>
      </c>
      <c r="AD888" s="37" t="str">
        <f>LEFT(MIP[[#This Row],[Equipe]], SEARCH("/",MIP[[#This Row],[Equipe]],1)-1)</f>
        <v xml:space="preserve">EDILTON </v>
      </c>
      <c r="AE888" s="37" t="str">
        <f>RIGHT(MIP[[#This Row],[Equipe]], LEN(MIP[[#This Row],[Equipe]])-SEARCH("/",MIP[[#This Row],[Equipe]],1))</f>
        <v xml:space="preserve"> GECIVALDO</v>
      </c>
      <c r="AF888" s="29">
        <f>COUNTIFS('[1]Tempo parado'!H:H,"&gt;="&amp;MIP[[#This Row],[S.B Sitrack]],'[1]Tempo parado'!I:I,"&lt;="&amp;MIP[[#This Row],[C.B Sitrack]],'[1]Tempo parado'!B:B,MIP[[#This Row],[Placa]])</f>
        <v>0</v>
      </c>
      <c r="AG888" s="36"/>
      <c r="AH888" s="35"/>
      <c r="AI888" s="34"/>
      <c r="AJ888" s="34"/>
      <c r="AK88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8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88" s="32">
        <f>SUMIFS('[1]Tempo parado'!J:J,'[1]Tempo parado'!H:H,"&gt;="&amp;MIP[[#This Row],[S.B Sitrack]],'[1]Tempo parado'!I:I,"&lt;="&amp;MIP[[#This Row],[C.B Sitrack]],'[1]Tempo parado'!B:B,MIP[[#This Row],[Placa]])</f>
        <v>0</v>
      </c>
      <c r="AN888" s="31" t="str">
        <f>IFERROR(MIP[[#This Row],[Tempo parado]]/(MIP[[#This Row],[C.B Sitrack]]-MIP[[#This Row],[S.B Sitrack]]),"")</f>
        <v/>
      </c>
      <c r="AO888" s="30"/>
      <c r="AP888" s="29">
        <f>IF(AND(MIP[Exc]=0,MIP[Previsto / Realizado]="Realizado"),MIP[Sem],0)</f>
        <v>0</v>
      </c>
      <c r="AQ888" s="29">
        <f>IF(AND(MIP[Exc]=0,MIP[Previsto / Realizado]="Realizado",ISBLANK(MIP[[#This Row],[S.B Sitrack]])=FALSE,ISBLANK(MIP[[#This Row],[C.B Sitrack]])=FALSE),MIP[Sem],0)</f>
        <v>0</v>
      </c>
    </row>
    <row r="889" spans="2:43" x14ac:dyDescent="0.25">
      <c r="B889" s="29">
        <f>WEEKNUM(MIP[[#This Row],[Data]])</f>
        <v>51</v>
      </c>
      <c r="C889" s="45" t="s">
        <v>30</v>
      </c>
      <c r="D889" s="45"/>
      <c r="E889" s="35" t="s">
        <v>3</v>
      </c>
      <c r="F889" s="35" t="s">
        <v>2</v>
      </c>
      <c r="G889" s="35" t="s">
        <v>1</v>
      </c>
      <c r="H889" s="44"/>
      <c r="I889" s="44">
        <v>12</v>
      </c>
      <c r="J889" s="44">
        <v>1</v>
      </c>
      <c r="K889" s="44">
        <v>1</v>
      </c>
      <c r="L889" s="44">
        <v>0</v>
      </c>
      <c r="M889" s="43">
        <v>0.62708333333333333</v>
      </c>
      <c r="N889" s="43">
        <v>0.67708333333333337</v>
      </c>
      <c r="O889" s="43">
        <v>3.1944444444444449E-2</v>
      </c>
      <c r="P889" s="43">
        <v>3.3333333333333333E-2</v>
      </c>
      <c r="Q889" s="39"/>
      <c r="R889" s="42" t="s">
        <v>29</v>
      </c>
      <c r="S889" s="29">
        <f>MIP[[#This Row],[PT-1]]+MIP[[#This Row],[PT-2]]*2+MIP[[#This Row],[PT-3]]*3+MIP[[#This Row],[PT &gt; 3 Pontos]]</f>
        <v>17</v>
      </c>
      <c r="T88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5.1388888888888928E-2</v>
      </c>
      <c r="U889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5.1388888888888928E-2</v>
      </c>
      <c r="V889" s="41">
        <f>MIP[[#This Row],[Eficiência]]</f>
        <v>1.2995462980815571</v>
      </c>
      <c r="W889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89" s="39">
        <f>IF(MIP[[#This Row],[P.S]]-MIP[[#This Row],[P.E]]&lt;0,1+MIP[[#This Row],[P.S]]-MIP[[#This Row],[P.E]]-1/24,MIP[[#This Row],[P.S]]-MIP[[#This Row],[P.E]]-1/24)</f>
        <v>0.36458333333333343</v>
      </c>
      <c r="Y889" s="39">
        <f>MIP[[#This Row],[PT-1]]*$S$3+MIP[[#This Row],[PT-2]]*$T$3+MIP[[#This Row],[PT-3]]*$U$3+MIP[[#This Row],[PT &gt; 3 Pontos]]*$V$3</f>
        <v>0.40701068085748776</v>
      </c>
      <c r="Z889" s="39">
        <f>MIP[[#This Row],[HH disponível]]-MIP[[#This Row],[HH AC TOT]]</f>
        <v>0.3131944444444445</v>
      </c>
      <c r="AA889" s="38">
        <f>MIP[[#This Row],[HH Produtivo
Total]]/MIP[[#This Row],[HH Trabalhado]]</f>
        <v>1.2995462980815571</v>
      </c>
      <c r="AB889" s="38">
        <f>MIP[[#This Row],[HH Produtivo
Total]]/MIP[[#This Row],[HH disponível]]</f>
        <v>1.1163721532091091</v>
      </c>
      <c r="AC889" s="38">
        <f>MIP[[#This Row],[HH Trabalhado]]/MIP[[#This Row],[HH disponível]]</f>
        <v>0.85904761904761895</v>
      </c>
      <c r="AD889" s="37" t="str">
        <f>LEFT(MIP[[#This Row],[Equipe]], SEARCH("/",MIP[[#This Row],[Equipe]],1)-1)</f>
        <v xml:space="preserve">EDILTON </v>
      </c>
      <c r="AE889" s="37" t="str">
        <f>RIGHT(MIP[[#This Row],[Equipe]], LEN(MIP[[#This Row],[Equipe]])-SEARCH("/",MIP[[#This Row],[Equipe]],1))</f>
        <v xml:space="preserve"> GECIVALDO</v>
      </c>
      <c r="AF889" s="29">
        <f>COUNTIFS('[1]Tempo parado'!H:H,"&gt;="&amp;MIP[[#This Row],[S.B Sitrack]],'[1]Tempo parado'!I:I,"&lt;="&amp;MIP[[#This Row],[C.B Sitrack]],'[1]Tempo parado'!B:B,MIP[[#This Row],[Placa]])</f>
        <v>0</v>
      </c>
      <c r="AG889" s="36"/>
      <c r="AH889" s="35"/>
      <c r="AI889" s="34"/>
      <c r="AJ889" s="34"/>
      <c r="AK88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8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89" s="32">
        <f>SUMIFS('[1]Tempo parado'!J:J,'[1]Tempo parado'!H:H,"&gt;="&amp;MIP[[#This Row],[S.B Sitrack]],'[1]Tempo parado'!I:I,"&lt;="&amp;MIP[[#This Row],[C.B Sitrack]],'[1]Tempo parado'!B:B,MIP[[#This Row],[Placa]])</f>
        <v>0</v>
      </c>
      <c r="AN889" s="31" t="str">
        <f>IFERROR(MIP[[#This Row],[Tempo parado]]/(MIP[[#This Row],[C.B Sitrack]]-MIP[[#This Row],[S.B Sitrack]]),"")</f>
        <v/>
      </c>
      <c r="AO889" s="30"/>
      <c r="AP889" s="29">
        <f>IF(AND(MIP[Exc]=0,MIP[Previsto / Realizado]="Realizado"),MIP[Sem],0)</f>
        <v>51</v>
      </c>
      <c r="AQ889" s="29">
        <f>IF(AND(MIP[Exc]=0,MIP[Previsto / Realizado]="Realizado",ISBLANK(MIP[[#This Row],[S.B Sitrack]])=FALSE,ISBLANK(MIP[[#This Row],[C.B Sitrack]])=FALSE),MIP[Sem],0)</f>
        <v>0</v>
      </c>
    </row>
    <row r="890" spans="2:43" x14ac:dyDescent="0.25">
      <c r="B890" s="29">
        <f>WEEKNUM(MIP[[#This Row],[Data]])</f>
        <v>51</v>
      </c>
      <c r="C890" s="45" t="s">
        <v>27</v>
      </c>
      <c r="D890" s="45"/>
      <c r="E890" s="35" t="s">
        <v>7</v>
      </c>
      <c r="F890" s="35" t="s">
        <v>5</v>
      </c>
      <c r="G890" s="35"/>
      <c r="H890" s="44"/>
      <c r="I890" s="44">
        <v>6</v>
      </c>
      <c r="J890" s="44">
        <v>0</v>
      </c>
      <c r="K890" s="44">
        <v>1</v>
      </c>
      <c r="L890" s="44">
        <v>4</v>
      </c>
      <c r="M890" s="43">
        <v>0.625</v>
      </c>
      <c r="N890" s="43">
        <v>0.63750000000000007</v>
      </c>
      <c r="O890" s="43">
        <v>4.8611111111111112E-3</v>
      </c>
      <c r="P890" s="43">
        <v>3.3333333333333333E-2</v>
      </c>
      <c r="Q890" s="39"/>
      <c r="R890" s="42"/>
      <c r="S890" s="29">
        <f>MIP[[#This Row],[PT-1]]+MIP[[#This Row],[PT-2]]*2+MIP[[#This Row],[PT-3]]*3+MIP[[#This Row],[PT &gt; 3 Pontos]]</f>
        <v>13</v>
      </c>
      <c r="T89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4.0972222222222299E-2</v>
      </c>
      <c r="U890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4.0972222222222299E-2</v>
      </c>
      <c r="V890" s="41">
        <f>MIP[[#This Row],[Eficiência]]</f>
        <v>0.90249878540355488</v>
      </c>
      <c r="W890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90" s="39">
        <f>IF(MIP[[#This Row],[P.S]]-MIP[[#This Row],[P.E]]&lt;0,1+MIP[[#This Row],[P.S]]-MIP[[#This Row],[P.E]]-1/24,MIP[[#This Row],[P.S]]-MIP[[#This Row],[P.E]]-1/24)</f>
        <v>0.36666666666666675</v>
      </c>
      <c r="Y890" s="39">
        <f>MIP[[#This Row],[PT-1]]*$S$3+MIP[[#This Row],[PT-2]]*$T$3+MIP[[#This Row],[PT-3]]*$U$3+MIP[[#This Row],[PT &gt; 3 Pontos]]*$V$3</f>
        <v>0.29393884052379671</v>
      </c>
      <c r="Z890" s="39">
        <f>MIP[[#This Row],[HH disponível]]-MIP[[#This Row],[HH AC TOT]]</f>
        <v>0.32569444444444445</v>
      </c>
      <c r="AA890" s="38">
        <f>MIP[[#This Row],[HH Produtivo
Total]]/MIP[[#This Row],[HH Trabalhado]]</f>
        <v>0.90249878540355488</v>
      </c>
      <c r="AB890" s="38">
        <f>MIP[[#This Row],[HH Produtivo
Total]]/MIP[[#This Row],[HH disponível]]</f>
        <v>0.80165138324671814</v>
      </c>
      <c r="AC890" s="38">
        <f>MIP[[#This Row],[HH Trabalhado]]/MIP[[#This Row],[HH disponível]]</f>
        <v>0.88825757575757558</v>
      </c>
      <c r="AD890" s="37" t="str">
        <f>LEFT(MIP[[#This Row],[Equipe]], SEARCH("/",MIP[[#This Row],[Equipe]],1)-1)</f>
        <v xml:space="preserve">ANDERSON </v>
      </c>
      <c r="AE890" s="37" t="str">
        <f>RIGHT(MIP[[#This Row],[Equipe]], LEN(MIP[[#This Row],[Equipe]])-SEARCH("/",MIP[[#This Row],[Equipe]],1))</f>
        <v xml:space="preserve"> MARCO</v>
      </c>
      <c r="AF890" s="29">
        <f>COUNTIFS('[1]Tempo parado'!H:H,"&gt;="&amp;MIP[[#This Row],[S.B Sitrack]],'[1]Tempo parado'!I:I,"&lt;="&amp;MIP[[#This Row],[C.B Sitrack]],'[1]Tempo parado'!B:B,MIP[[#This Row],[Placa]])</f>
        <v>0</v>
      </c>
      <c r="AG890" s="36"/>
      <c r="AH890" s="35"/>
      <c r="AI890" s="34"/>
      <c r="AJ890" s="34"/>
      <c r="AK89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9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90" s="32">
        <f>SUMIFS('[1]Tempo parado'!J:J,'[1]Tempo parado'!H:H,"&gt;="&amp;MIP[[#This Row],[S.B Sitrack]],'[1]Tempo parado'!I:I,"&lt;="&amp;MIP[[#This Row],[C.B Sitrack]],'[1]Tempo parado'!B:B,MIP[[#This Row],[Placa]])</f>
        <v>0</v>
      </c>
      <c r="AN890" s="31" t="str">
        <f>IFERROR(MIP[[#This Row],[Tempo parado]]/(MIP[[#This Row],[C.B Sitrack]]-MIP[[#This Row],[S.B Sitrack]]),"")</f>
        <v/>
      </c>
      <c r="AO890" s="30"/>
      <c r="AP890" s="29">
        <f>IF(AND(MIP[Exc]=0,MIP[Previsto / Realizado]="Realizado"),MIP[Sem],0)</f>
        <v>0</v>
      </c>
      <c r="AQ890" s="29">
        <f>IF(AND(MIP[Exc]=0,MIP[Previsto / Realizado]="Realizado",ISBLANK(MIP[[#This Row],[S.B Sitrack]])=FALSE,ISBLANK(MIP[[#This Row],[C.B Sitrack]])=FALSE),MIP[Sem],0)</f>
        <v>0</v>
      </c>
    </row>
    <row r="891" spans="2:43" x14ac:dyDescent="0.25">
      <c r="B891" s="29">
        <f>WEEKNUM(MIP[[#This Row],[Data]])</f>
        <v>51</v>
      </c>
      <c r="C891" s="45" t="s">
        <v>27</v>
      </c>
      <c r="D891" s="45"/>
      <c r="E891" s="46" t="s">
        <v>7</v>
      </c>
      <c r="F891" s="35" t="s">
        <v>2</v>
      </c>
      <c r="G891" s="35" t="s">
        <v>6</v>
      </c>
      <c r="H891" s="44"/>
      <c r="I891" s="44">
        <v>8</v>
      </c>
      <c r="J891" s="44">
        <v>0</v>
      </c>
      <c r="K891" s="44">
        <v>1</v>
      </c>
      <c r="L891" s="44">
        <v>4</v>
      </c>
      <c r="M891" s="43">
        <v>0.61875000000000002</v>
      </c>
      <c r="N891" s="43">
        <v>0.64583333333333337</v>
      </c>
      <c r="O891" s="43">
        <v>1.9444444444444445E-2</v>
      </c>
      <c r="P891" s="43">
        <v>2.7777777777777776E-2</v>
      </c>
      <c r="Q891" s="39"/>
      <c r="R891" s="42" t="s">
        <v>0</v>
      </c>
      <c r="S891" s="29">
        <f>MIP[[#This Row],[PT-1]]+MIP[[#This Row],[PT-2]]*2+MIP[[#This Row],[PT-3]]*3+MIP[[#This Row],[PT &gt; 3 Pontos]]</f>
        <v>15</v>
      </c>
      <c r="T89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3.5416666666666652E-2</v>
      </c>
      <c r="U891" s="39">
        <f>IF(MIP[[#This Row],[P.S]]-MIP[[#This Row],[U.P]]&gt;=0,MIP[[#This Row],[P.S]]-MIP[[#This Row],[U.P]]+MIP[[#This Row],[S.B]]-MIP[[#This Row],[P.E]],1+MIP[[#This Row],[P.S]]-MIP[[#This Row],[U.P]]+MIP[[#This Row],[S.B]]-MIP[[#This Row],[P.E]])</f>
        <v>3.5416666666666652E-2</v>
      </c>
      <c r="V891" s="41">
        <f>MIP[[#This Row],[Eficiência]]</f>
        <v>1.0362895122929006</v>
      </c>
      <c r="W891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91" s="39">
        <f>IF(MIP[[#This Row],[P.S]]-MIP[[#This Row],[P.E]]&lt;0,1+MIP[[#This Row],[P.S]]-MIP[[#This Row],[P.E]]-1/24,MIP[[#This Row],[P.S]]-MIP[[#This Row],[P.E]]-1/24)</f>
        <v>0.36736111111111097</v>
      </c>
      <c r="Y891" s="39">
        <f>MIP[[#This Row],[PT-1]]*$S$3+MIP[[#This Row],[PT-2]]*$T$3+MIP[[#This Row],[PT-3]]*$U$3+MIP[[#This Row],[PT &gt; 3 Pontos]]*$V$3</f>
        <v>0.34399054644167104</v>
      </c>
      <c r="Z891" s="39">
        <f>MIP[[#This Row],[HH disponível]]-MIP[[#This Row],[HH AC TOT]]</f>
        <v>0.33194444444444432</v>
      </c>
      <c r="AA891" s="38">
        <f>MIP[[#This Row],[HH Produtivo
Total]]/MIP[[#This Row],[HH Trabalhado]]</f>
        <v>1.0362895122929006</v>
      </c>
      <c r="AB891" s="38">
        <f>MIP[[#This Row],[HH Produtivo
Total]]/MIP[[#This Row],[HH disponível]]</f>
        <v>0.93638258388659068</v>
      </c>
      <c r="AC891" s="38">
        <f>MIP[[#This Row],[HH Trabalhado]]/MIP[[#This Row],[HH disponível]]</f>
        <v>0.9035916824196597</v>
      </c>
      <c r="AD891" s="37" t="str">
        <f>LEFT(MIP[[#This Row],[Equipe]], SEARCH("/",MIP[[#This Row],[Equipe]],1)-1)</f>
        <v xml:space="preserve">ANDERSON </v>
      </c>
      <c r="AE891" s="37" t="str">
        <f>RIGHT(MIP[[#This Row],[Equipe]], LEN(MIP[[#This Row],[Equipe]])-SEARCH("/",MIP[[#This Row],[Equipe]],1))</f>
        <v xml:space="preserve"> MARCO</v>
      </c>
      <c r="AF891" s="29">
        <f>COUNTIFS('[1]Tempo parado'!H:H,"&gt;="&amp;MIP[[#This Row],[S.B Sitrack]],'[1]Tempo parado'!I:I,"&lt;="&amp;MIP[[#This Row],[C.B Sitrack]],'[1]Tempo parado'!B:B,MIP[[#This Row],[Placa]])</f>
        <v>10</v>
      </c>
      <c r="AG891" s="36"/>
      <c r="AH891" s="35"/>
      <c r="AI891" s="34">
        <v>43089.66511574074</v>
      </c>
      <c r="AJ891" s="34">
        <v>43090.021261574075</v>
      </c>
      <c r="AK891" s="32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2.0138888888888821E-2</v>
      </c>
      <c r="AL89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34.099999999999994</v>
      </c>
      <c r="AM891" s="32">
        <f>SUMIFS('[1]Tempo parado'!J:J,'[1]Tempo parado'!H:H,"&gt;="&amp;MIP[[#This Row],[S.B Sitrack]],'[1]Tempo parado'!I:I,"&lt;="&amp;MIP[[#This Row],[C.B Sitrack]],'[1]Tempo parado'!B:B,MIP[[#This Row],[Placa]])</f>
        <v>0.25585648148148149</v>
      </c>
      <c r="AN891" s="31">
        <f>IFERROR(MIP[[#This Row],[Tempo parado]]/(MIP[[#This Row],[C.B Sitrack]]-MIP[[#This Row],[S.B Sitrack]]),"")</f>
        <v>0.71840369178400409</v>
      </c>
      <c r="AO891" s="30" t="s">
        <v>28</v>
      </c>
      <c r="AP891" s="29">
        <f>IF(AND(MIP[Exc]=0,MIP[Previsto / Realizado]="Realizado"),MIP[Sem],0)</f>
        <v>51</v>
      </c>
      <c r="AQ891" s="29">
        <f>IF(AND(MIP[Exc]=0,MIP[Previsto / Realizado]="Realizado",ISBLANK(MIP[[#This Row],[S.B Sitrack]])=FALSE,ISBLANK(MIP[[#This Row],[C.B Sitrack]])=FALSE),MIP[Sem],0)</f>
        <v>51</v>
      </c>
    </row>
    <row r="892" spans="2:43" x14ac:dyDescent="0.25">
      <c r="B892" s="29">
        <f>WEEKNUM(MIP[[#This Row],[Data]])</f>
        <v>51</v>
      </c>
      <c r="C892" s="45" t="s">
        <v>27</v>
      </c>
      <c r="D892" s="45"/>
      <c r="E892" s="35" t="s">
        <v>3</v>
      </c>
      <c r="F892" s="35" t="s">
        <v>5</v>
      </c>
      <c r="G892" s="35"/>
      <c r="H892" s="44"/>
      <c r="I892" s="44">
        <v>6</v>
      </c>
      <c r="J892" s="44">
        <v>3</v>
      </c>
      <c r="K892" s="44">
        <v>0</v>
      </c>
      <c r="L892" s="44">
        <v>0</v>
      </c>
      <c r="M892" s="43">
        <v>0.625</v>
      </c>
      <c r="N892" s="43">
        <v>0.63750000000000007</v>
      </c>
      <c r="O892" s="43">
        <v>4.8611111111111112E-3</v>
      </c>
      <c r="P892" s="43">
        <v>3.3333333333333333E-2</v>
      </c>
      <c r="Q892" s="39"/>
      <c r="R892" s="42" t="s">
        <v>4</v>
      </c>
      <c r="S892" s="29">
        <f>MIP[[#This Row],[PT-1]]+MIP[[#This Row],[PT-2]]*2+MIP[[#This Row],[PT-3]]*3+MIP[[#This Row],[PT &gt; 3 Pontos]]</f>
        <v>12</v>
      </c>
      <c r="T89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4.0972222222222299E-2</v>
      </c>
      <c r="U892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4.0972222222222299E-2</v>
      </c>
      <c r="V892" s="41">
        <f>MIP[[#This Row],[Eficiência]]</f>
        <v>0.86547812181329342</v>
      </c>
      <c r="W892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92" s="39">
        <f>IF(MIP[[#This Row],[P.S]]-MIP[[#This Row],[P.E]]&lt;0,1+MIP[[#This Row],[P.S]]-MIP[[#This Row],[P.E]]-1/24,MIP[[#This Row],[P.S]]-MIP[[#This Row],[P.E]]-1/24)</f>
        <v>0.36666666666666675</v>
      </c>
      <c r="Y892" s="39">
        <f>MIP[[#This Row],[PT-1]]*$S$3+MIP[[#This Row],[PT-2]]*$T$3+MIP[[#This Row],[PT-3]]*$U$3+MIP[[#This Row],[PT &gt; 3 Pontos]]*$V$3</f>
        <v>0.28188141606280182</v>
      </c>
      <c r="Z892" s="39">
        <f>MIP[[#This Row],[HH disponível]]-MIP[[#This Row],[HH AC TOT]]</f>
        <v>0.32569444444444445</v>
      </c>
      <c r="AA892" s="38">
        <f>MIP[[#This Row],[HH Produtivo
Total]]/MIP[[#This Row],[HH Trabalhado]]</f>
        <v>0.86547812181329342</v>
      </c>
      <c r="AB892" s="38">
        <f>MIP[[#This Row],[HH Produtivo
Total]]/MIP[[#This Row],[HH disponível]]</f>
        <v>0.76876749835309566</v>
      </c>
      <c r="AC892" s="38">
        <f>MIP[[#This Row],[HH Trabalhado]]/MIP[[#This Row],[HH disponível]]</f>
        <v>0.88825757575757558</v>
      </c>
      <c r="AD892" s="37" t="str">
        <f>LEFT(MIP[[#This Row],[Equipe]], SEARCH("/",MIP[[#This Row],[Equipe]],1)-1)</f>
        <v xml:space="preserve">EDILTON </v>
      </c>
      <c r="AE892" s="37" t="str">
        <f>RIGHT(MIP[[#This Row],[Equipe]], LEN(MIP[[#This Row],[Equipe]])-SEARCH("/",MIP[[#This Row],[Equipe]],1))</f>
        <v xml:space="preserve"> GECIVALDO</v>
      </c>
      <c r="AF892" s="29">
        <f>COUNTIFS('[1]Tempo parado'!H:H,"&gt;="&amp;MIP[[#This Row],[S.B Sitrack]],'[1]Tempo parado'!I:I,"&lt;="&amp;MIP[[#This Row],[C.B Sitrack]],'[1]Tempo parado'!B:B,MIP[[#This Row],[Placa]])</f>
        <v>0</v>
      </c>
      <c r="AG892" s="36"/>
      <c r="AH892" s="35"/>
      <c r="AI892" s="34"/>
      <c r="AJ892" s="34"/>
      <c r="AK89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9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92" s="32">
        <f>SUMIFS('[1]Tempo parado'!J:J,'[1]Tempo parado'!H:H,"&gt;="&amp;MIP[[#This Row],[S.B Sitrack]],'[1]Tempo parado'!I:I,"&lt;="&amp;MIP[[#This Row],[C.B Sitrack]],'[1]Tempo parado'!B:B,MIP[[#This Row],[Placa]])</f>
        <v>0</v>
      </c>
      <c r="AN892" s="31" t="str">
        <f>IFERROR(MIP[[#This Row],[Tempo parado]]/(MIP[[#This Row],[C.B Sitrack]]-MIP[[#This Row],[S.B Sitrack]]),"")</f>
        <v/>
      </c>
      <c r="AO892" s="30"/>
      <c r="AP892" s="29">
        <f>IF(AND(MIP[Exc]=0,MIP[Previsto / Realizado]="Realizado"),MIP[Sem],0)</f>
        <v>0</v>
      </c>
      <c r="AQ892" s="29">
        <f>IF(AND(MIP[Exc]=0,MIP[Previsto / Realizado]="Realizado",ISBLANK(MIP[[#This Row],[S.B Sitrack]])=FALSE,ISBLANK(MIP[[#This Row],[C.B Sitrack]])=FALSE),MIP[Sem],0)</f>
        <v>0</v>
      </c>
    </row>
    <row r="893" spans="2:43" x14ac:dyDescent="0.25">
      <c r="B893" s="29">
        <f>WEEKNUM(MIP[[#This Row],[Data]])</f>
        <v>51</v>
      </c>
      <c r="C893" s="45" t="s">
        <v>27</v>
      </c>
      <c r="D893" s="45"/>
      <c r="E893" s="35" t="s">
        <v>3</v>
      </c>
      <c r="F893" s="35" t="s">
        <v>2</v>
      </c>
      <c r="G893" s="35" t="s">
        <v>1</v>
      </c>
      <c r="H893" s="44"/>
      <c r="I893" s="44">
        <v>8</v>
      </c>
      <c r="J893" s="44">
        <v>3</v>
      </c>
      <c r="K893" s="44">
        <v>0</v>
      </c>
      <c r="L893" s="44">
        <v>0</v>
      </c>
      <c r="M893" s="43">
        <v>0.62986111111111109</v>
      </c>
      <c r="N893" s="43">
        <v>0.66388888888888886</v>
      </c>
      <c r="O893" s="43">
        <v>2.7083333333333334E-2</v>
      </c>
      <c r="P893" s="43">
        <v>3.2638888888888891E-2</v>
      </c>
      <c r="Q893" s="39"/>
      <c r="R893" s="42" t="s">
        <v>0</v>
      </c>
      <c r="S893" s="29">
        <f>MIP[[#This Row],[PT-1]]+MIP[[#This Row],[PT-2]]*2+MIP[[#This Row],[PT-3]]*3+MIP[[#This Row],[PT &gt; 3 Pontos]]</f>
        <v>14</v>
      </c>
      <c r="T89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3.9583333333333304E-2</v>
      </c>
      <c r="U893" s="39">
        <f>IF(MIP[[#This Row],[P.S]]-MIP[[#This Row],[U.P]]&gt;=0,MIP[[#This Row],[P.S]]-MIP[[#This Row],[U.P]]+MIP[[#This Row],[S.B]]-MIP[[#This Row],[P.E]],1+MIP[[#This Row],[P.S]]-MIP[[#This Row],[U.P]]+MIP[[#This Row],[S.B]]-MIP[[#This Row],[P.E]])</f>
        <v>3.9583333333333304E-2</v>
      </c>
      <c r="V893" s="41">
        <f>MIP[[#This Row],[Eficiência]]</f>
        <v>1.0323621936332046</v>
      </c>
      <c r="W893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93" s="39">
        <f>IF(MIP[[#This Row],[P.S]]-MIP[[#This Row],[P.E]]&lt;0,1+MIP[[#This Row],[P.S]]-MIP[[#This Row],[P.E]]-1/24,MIP[[#This Row],[P.S]]-MIP[[#This Row],[P.E]]-1/24)</f>
        <v>0.3611111111111111</v>
      </c>
      <c r="Y893" s="39">
        <f>MIP[[#This Row],[PT-1]]*$S$3+MIP[[#This Row],[PT-2]]*$T$3+MIP[[#This Row],[PT-3]]*$U$3+MIP[[#This Row],[PT &gt; 3 Pontos]]*$V$3</f>
        <v>0.3319331219806762</v>
      </c>
      <c r="Z893" s="39">
        <f>MIP[[#This Row],[HH disponível]]-MIP[[#This Row],[HH AC TOT]]</f>
        <v>0.3215277777777778</v>
      </c>
      <c r="AA893" s="38">
        <f>MIP[[#This Row],[HH Produtivo
Total]]/MIP[[#This Row],[HH Trabalhado]]</f>
        <v>1.0323621936332046</v>
      </c>
      <c r="AB893" s="38">
        <f>MIP[[#This Row],[HH Produtivo
Total]]/MIP[[#This Row],[HH disponível]]</f>
        <v>0.91919941471571875</v>
      </c>
      <c r="AC893" s="38">
        <f>MIP[[#This Row],[HH Trabalhado]]/MIP[[#This Row],[HH disponível]]</f>
        <v>0.89038461538461544</v>
      </c>
      <c r="AD893" s="37" t="str">
        <f>LEFT(MIP[[#This Row],[Equipe]], SEARCH("/",MIP[[#This Row],[Equipe]],1)-1)</f>
        <v xml:space="preserve">EDILTON </v>
      </c>
      <c r="AE893" s="37" t="str">
        <f>RIGHT(MIP[[#This Row],[Equipe]], LEN(MIP[[#This Row],[Equipe]])-SEARCH("/",MIP[[#This Row],[Equipe]],1))</f>
        <v xml:space="preserve"> GECIVALDO</v>
      </c>
      <c r="AF893" s="29">
        <f>COUNTIFS('[1]Tempo parado'!H:H,"&gt;="&amp;MIP[[#This Row],[S.B Sitrack]],'[1]Tempo parado'!I:I,"&lt;="&amp;MIP[[#This Row],[C.B Sitrack]],'[1]Tempo parado'!B:B,MIP[[#This Row],[Placa]])</f>
        <v>0</v>
      </c>
      <c r="AG893" s="36"/>
      <c r="AH893" s="35"/>
      <c r="AI893" s="34"/>
      <c r="AJ893" s="34"/>
      <c r="AK89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9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93" s="32">
        <f>SUMIFS('[1]Tempo parado'!J:J,'[1]Tempo parado'!H:H,"&gt;="&amp;MIP[[#This Row],[S.B Sitrack]],'[1]Tempo parado'!I:I,"&lt;="&amp;MIP[[#This Row],[C.B Sitrack]],'[1]Tempo parado'!B:B,MIP[[#This Row],[Placa]])</f>
        <v>0</v>
      </c>
      <c r="AN893" s="31" t="str">
        <f>IFERROR(MIP[[#This Row],[Tempo parado]]/(MIP[[#This Row],[C.B Sitrack]]-MIP[[#This Row],[S.B Sitrack]]),"")</f>
        <v/>
      </c>
      <c r="AO893" s="30"/>
      <c r="AP893" s="29">
        <f>IF(AND(MIP[Exc]=0,MIP[Previsto / Realizado]="Realizado"),MIP[Sem],0)</f>
        <v>51</v>
      </c>
      <c r="AQ893" s="29">
        <f>IF(AND(MIP[Exc]=0,MIP[Previsto / Realizado]="Realizado",ISBLANK(MIP[[#This Row],[S.B Sitrack]])=FALSE,ISBLANK(MIP[[#This Row],[C.B Sitrack]])=FALSE),MIP[Sem],0)</f>
        <v>0</v>
      </c>
    </row>
    <row r="894" spans="2:43" x14ac:dyDescent="0.25">
      <c r="B894" s="29">
        <f>WEEKNUM(MIP[[#This Row],[Data]])</f>
        <v>51</v>
      </c>
      <c r="C894" s="45" t="s">
        <v>26</v>
      </c>
      <c r="D894" s="45"/>
      <c r="E894" s="35" t="s">
        <v>10</v>
      </c>
      <c r="F894" s="35" t="s">
        <v>5</v>
      </c>
      <c r="G894" s="35"/>
      <c r="H894" s="44"/>
      <c r="I894" s="44">
        <v>3</v>
      </c>
      <c r="J894" s="44">
        <v>1</v>
      </c>
      <c r="K894" s="44">
        <v>0</v>
      </c>
      <c r="L894" s="44">
        <v>6</v>
      </c>
      <c r="M894" s="43">
        <v>0.25</v>
      </c>
      <c r="N894" s="43">
        <v>0.2638888888888889</v>
      </c>
      <c r="O894" s="43">
        <v>0.62986111111111109</v>
      </c>
      <c r="P894" s="43">
        <v>0.65833333333333333</v>
      </c>
      <c r="Q894" s="39"/>
      <c r="R894" s="42" t="s">
        <v>4</v>
      </c>
      <c r="S894" s="29">
        <f>MIP[[#This Row],[PT-1]]+MIP[[#This Row],[PT-2]]*2+MIP[[#This Row],[PT-3]]*3+MIP[[#This Row],[PT &gt; 3 Pontos]]</f>
        <v>11</v>
      </c>
      <c r="T89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4.2361111111111127E-2</v>
      </c>
      <c r="U894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4.2361111111111127E-2</v>
      </c>
      <c r="V894" s="41">
        <f>MIP[[#This Row],[Eficiência]]</f>
        <v>0.74150561451964969</v>
      </c>
      <c r="W894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94" s="39">
        <f>IF(MIP[[#This Row],[P.S]]-MIP[[#This Row],[P.E]]&lt;0,1+MIP[[#This Row],[P.S]]-MIP[[#This Row],[P.E]]-1/24,MIP[[#This Row],[P.S]]-MIP[[#This Row],[P.E]]-1/24)</f>
        <v>0.36666666666666664</v>
      </c>
      <c r="Y894" s="39">
        <f>MIP[[#This Row],[PT-1]]*$S$3+MIP[[#This Row],[PT-2]]*$T$3+MIP[[#This Row],[PT-3]]*$U$3+MIP[[#This Row],[PT &gt; 3 Pontos]]*$V$3</f>
        <v>0.24047439026435857</v>
      </c>
      <c r="Z894" s="39">
        <f>MIP[[#This Row],[HH disponível]]-MIP[[#This Row],[HH AC TOT]]</f>
        <v>0.32430555555555551</v>
      </c>
      <c r="AA894" s="38">
        <f>MIP[[#This Row],[HH Produtivo
Total]]/MIP[[#This Row],[HH Trabalhado]]</f>
        <v>0.74150561451964969</v>
      </c>
      <c r="AB894" s="38">
        <f>MIP[[#This Row],[HH Produtivo
Total]]/MIP[[#This Row],[HH disponível]]</f>
        <v>0.65583924617552347</v>
      </c>
      <c r="AC894" s="38">
        <f>MIP[[#This Row],[HH Trabalhado]]/MIP[[#This Row],[HH disponível]]</f>
        <v>0.88446969696969691</v>
      </c>
      <c r="AD894" s="37" t="str">
        <f>LEFT(MIP[[#This Row],[Equipe]], SEARCH("/",MIP[[#This Row],[Equipe]],1)-1)</f>
        <v xml:space="preserve">JOILSON </v>
      </c>
      <c r="AE894" s="37" t="str">
        <f>RIGHT(MIP[[#This Row],[Equipe]], LEN(MIP[[#This Row],[Equipe]])-SEARCH("/",MIP[[#This Row],[Equipe]],1))</f>
        <v xml:space="preserve"> VALDEI</v>
      </c>
      <c r="AF894" s="29">
        <f>COUNTIFS('[1]Tempo parado'!H:H,"&gt;="&amp;MIP[[#This Row],[S.B Sitrack]],'[1]Tempo parado'!I:I,"&lt;="&amp;MIP[[#This Row],[C.B Sitrack]],'[1]Tempo parado'!B:B,MIP[[#This Row],[Placa]])</f>
        <v>0</v>
      </c>
      <c r="AG894" s="36"/>
      <c r="AH894" s="35"/>
      <c r="AI894" s="34"/>
      <c r="AJ894" s="34"/>
      <c r="AK89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9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94" s="32">
        <f>SUMIFS('[1]Tempo parado'!J:J,'[1]Tempo parado'!H:H,"&gt;="&amp;MIP[[#This Row],[S.B Sitrack]],'[1]Tempo parado'!I:I,"&lt;="&amp;MIP[[#This Row],[C.B Sitrack]],'[1]Tempo parado'!B:B,MIP[[#This Row],[Placa]])</f>
        <v>0</v>
      </c>
      <c r="AN894" s="31" t="str">
        <f>IFERROR(MIP[[#This Row],[Tempo parado]]/(MIP[[#This Row],[C.B Sitrack]]-MIP[[#This Row],[S.B Sitrack]]),"")</f>
        <v/>
      </c>
      <c r="AO894" s="30"/>
      <c r="AP894" s="29">
        <f>IF(AND(MIP[Exc]=0,MIP[Previsto / Realizado]="Realizado"),MIP[Sem],0)</f>
        <v>0</v>
      </c>
      <c r="AQ894" s="29">
        <f>IF(AND(MIP[Exc]=0,MIP[Previsto / Realizado]="Realizado",ISBLANK(MIP[[#This Row],[S.B Sitrack]])=FALSE,ISBLANK(MIP[[#This Row],[C.B Sitrack]])=FALSE),MIP[Sem],0)</f>
        <v>0</v>
      </c>
    </row>
    <row r="895" spans="2:43" x14ac:dyDescent="0.25">
      <c r="B895" s="29">
        <f>WEEKNUM(MIP[[#This Row],[Data]])</f>
        <v>51</v>
      </c>
      <c r="C895" s="45" t="s">
        <v>26</v>
      </c>
      <c r="D895" s="45"/>
      <c r="E895" s="35" t="s">
        <v>10</v>
      </c>
      <c r="F895" s="35" t="s">
        <v>2</v>
      </c>
      <c r="G895" s="35" t="s">
        <v>1</v>
      </c>
      <c r="H895" s="44"/>
      <c r="I895" s="44">
        <v>5</v>
      </c>
      <c r="J895" s="44">
        <v>3</v>
      </c>
      <c r="K895" s="44">
        <v>0</v>
      </c>
      <c r="L895" s="44">
        <v>0</v>
      </c>
      <c r="M895" s="43">
        <v>0.25763888888888892</v>
      </c>
      <c r="N895" s="43">
        <v>0.28263888888888888</v>
      </c>
      <c r="O895" s="43">
        <v>0.59652777777777777</v>
      </c>
      <c r="P895" s="43">
        <v>0.65833333333333333</v>
      </c>
      <c r="Q895" s="39"/>
      <c r="R895" s="42" t="s">
        <v>17</v>
      </c>
      <c r="S895" s="29">
        <f>MIP[[#This Row],[PT-1]]+MIP[[#This Row],[PT-2]]*2+MIP[[#This Row],[PT-3]]*3+MIP[[#This Row],[PT &gt; 3 Pontos]]</f>
        <v>11</v>
      </c>
      <c r="T89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8.6805555555555525E-2</v>
      </c>
      <c r="U895" s="39">
        <f>IF(MIP[[#This Row],[P.S]]-MIP[[#This Row],[U.P]]&gt;=0,MIP[[#This Row],[P.S]]-MIP[[#This Row],[U.P]]+MIP[[#This Row],[S.B]]-MIP[[#This Row],[P.E]],1+MIP[[#This Row],[P.S]]-MIP[[#This Row],[U.P]]+MIP[[#This Row],[S.B]]-MIP[[#This Row],[P.E]])</f>
        <v>8.6805555555555525E-2</v>
      </c>
      <c r="V895" s="41">
        <f>MIP[[#This Row],[Eficiência]]</f>
        <v>0.9435510481366457</v>
      </c>
      <c r="W895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95" s="39">
        <f>IF(MIP[[#This Row],[P.S]]-MIP[[#This Row],[P.E]]&lt;0,1+MIP[[#This Row],[P.S]]-MIP[[#This Row],[P.E]]-1/24,MIP[[#This Row],[P.S]]-MIP[[#This Row],[P.E]]-1/24)</f>
        <v>0.35902777777777772</v>
      </c>
      <c r="Y895" s="39">
        <f>MIP[[#This Row],[PT-1]]*$S$3+MIP[[#This Row],[PT-2]]*$T$3+MIP[[#This Row],[PT-3]]*$U$3+MIP[[#This Row],[PT &gt; 3 Pontos]]*$V$3</f>
        <v>0.25685556310386465</v>
      </c>
      <c r="Z895" s="39">
        <f>MIP[[#This Row],[HH disponível]]-MIP[[#This Row],[HH AC TOT]]</f>
        <v>0.2722222222222222</v>
      </c>
      <c r="AA895" s="38">
        <f>MIP[[#This Row],[HH Produtivo
Total]]/MIP[[#This Row],[HH Trabalhado]]</f>
        <v>0.9435510481366457</v>
      </c>
      <c r="AB895" s="38">
        <f>MIP[[#This Row],[HH Produtivo
Total]]/MIP[[#This Row],[HH disponível]]</f>
        <v>0.71541975023126725</v>
      </c>
      <c r="AC895" s="38">
        <f>MIP[[#This Row],[HH Trabalhado]]/MIP[[#This Row],[HH disponível]]</f>
        <v>0.75822050290135401</v>
      </c>
      <c r="AD895" s="37" t="str">
        <f>LEFT(MIP[[#This Row],[Equipe]], SEARCH("/",MIP[[#This Row],[Equipe]],1)-1)</f>
        <v xml:space="preserve">JOILSON </v>
      </c>
      <c r="AE895" s="37" t="str">
        <f>RIGHT(MIP[[#This Row],[Equipe]], LEN(MIP[[#This Row],[Equipe]])-SEARCH("/",MIP[[#This Row],[Equipe]],1))</f>
        <v xml:space="preserve"> VALDEI</v>
      </c>
      <c r="AF895" s="29">
        <f>COUNTIFS('[1]Tempo parado'!H:H,"&gt;="&amp;MIP[[#This Row],[S.B Sitrack]],'[1]Tempo parado'!I:I,"&lt;="&amp;MIP[[#This Row],[C.B Sitrack]],'[1]Tempo parado'!B:B,MIP[[#This Row],[Placa]])</f>
        <v>0</v>
      </c>
      <c r="AG895" s="36"/>
      <c r="AH895" s="35"/>
      <c r="AI895" s="34"/>
      <c r="AJ895" s="34"/>
      <c r="AK89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9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95" s="32">
        <f>SUMIFS('[1]Tempo parado'!J:J,'[1]Tempo parado'!H:H,"&gt;="&amp;MIP[[#This Row],[S.B Sitrack]],'[1]Tempo parado'!I:I,"&lt;="&amp;MIP[[#This Row],[C.B Sitrack]],'[1]Tempo parado'!B:B,MIP[[#This Row],[Placa]])</f>
        <v>0</v>
      </c>
      <c r="AN895" s="31" t="str">
        <f>IFERROR(MIP[[#This Row],[Tempo parado]]/(MIP[[#This Row],[C.B Sitrack]]-MIP[[#This Row],[S.B Sitrack]]),"")</f>
        <v/>
      </c>
      <c r="AO895" s="30"/>
      <c r="AP895" s="29">
        <f>IF(AND(MIP[Exc]=0,MIP[Previsto / Realizado]="Realizado"),MIP[Sem],0)</f>
        <v>51</v>
      </c>
      <c r="AQ895" s="29">
        <f>IF(AND(MIP[Exc]=0,MIP[Previsto / Realizado]="Realizado",ISBLANK(MIP[[#This Row],[S.B Sitrack]])=FALSE,ISBLANK(MIP[[#This Row],[C.B Sitrack]])=FALSE),MIP[Sem],0)</f>
        <v>0</v>
      </c>
    </row>
    <row r="896" spans="2:43" x14ac:dyDescent="0.25">
      <c r="B896" s="29">
        <f>WEEKNUM(MIP[[#This Row],[Data]])</f>
        <v>51</v>
      </c>
      <c r="C896" s="45" t="s">
        <v>26</v>
      </c>
      <c r="D896" s="45"/>
      <c r="E896" s="35" t="s">
        <v>3</v>
      </c>
      <c r="F896" s="35" t="s">
        <v>5</v>
      </c>
      <c r="G896" s="35"/>
      <c r="H896" s="44"/>
      <c r="I896" s="44">
        <v>5</v>
      </c>
      <c r="J896" s="44">
        <v>1</v>
      </c>
      <c r="K896" s="44">
        <v>1</v>
      </c>
      <c r="L896" s="44">
        <v>0</v>
      </c>
      <c r="M896" s="43">
        <v>0.625</v>
      </c>
      <c r="N896" s="43">
        <v>0.63750000000000007</v>
      </c>
      <c r="O896" s="43">
        <v>4.8611111111111112E-3</v>
      </c>
      <c r="P896" s="43">
        <v>3.3333333333333333E-2</v>
      </c>
      <c r="Q896" s="39"/>
      <c r="R896" s="42" t="s">
        <v>4</v>
      </c>
      <c r="S896" s="29">
        <f>MIP[[#This Row],[PT-1]]+MIP[[#This Row],[PT-2]]*2+MIP[[#This Row],[PT-3]]*3+MIP[[#This Row],[PT &gt; 3 Pontos]]</f>
        <v>10</v>
      </c>
      <c r="T89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4.0972222222222299E-2</v>
      </c>
      <c r="U896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4.0972222222222299E-2</v>
      </c>
      <c r="V896" s="41">
        <f>MIP[[#This Row],[Eficiência]]</f>
        <v>0.71180124223602459</v>
      </c>
      <c r="W896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96" s="39">
        <f>IF(MIP[[#This Row],[P.S]]-MIP[[#This Row],[P.E]]&lt;0,1+MIP[[#This Row],[P.S]]-MIP[[#This Row],[P.E]]-1/24,MIP[[#This Row],[P.S]]-MIP[[#This Row],[P.E]]-1/24)</f>
        <v>0.36666666666666675</v>
      </c>
      <c r="Y896" s="39">
        <f>MIP[[#This Row],[PT-1]]*$S$3+MIP[[#This Row],[PT-2]]*$T$3+MIP[[#This Row],[PT-3]]*$U$3+MIP[[#This Row],[PT &gt; 3 Pontos]]*$V$3</f>
        <v>0.23182971014492745</v>
      </c>
      <c r="Z896" s="39">
        <f>MIP[[#This Row],[HH disponível]]-MIP[[#This Row],[HH AC TOT]]</f>
        <v>0.32569444444444445</v>
      </c>
      <c r="AA896" s="38">
        <f>MIP[[#This Row],[HH Produtivo
Total]]/MIP[[#This Row],[HH Trabalhado]]</f>
        <v>0.71180124223602459</v>
      </c>
      <c r="AB896" s="38">
        <f>MIP[[#This Row],[HH Produtivo
Total]]/MIP[[#This Row],[HH disponível]]</f>
        <v>0.63226284584980197</v>
      </c>
      <c r="AC896" s="38">
        <f>MIP[[#This Row],[HH Trabalhado]]/MIP[[#This Row],[HH disponível]]</f>
        <v>0.88825757575757558</v>
      </c>
      <c r="AD896" s="37" t="str">
        <f>LEFT(MIP[[#This Row],[Equipe]], SEARCH("/",MIP[[#This Row],[Equipe]],1)-1)</f>
        <v xml:space="preserve">EDILTON </v>
      </c>
      <c r="AE896" s="37" t="str">
        <f>RIGHT(MIP[[#This Row],[Equipe]], LEN(MIP[[#This Row],[Equipe]])-SEARCH("/",MIP[[#This Row],[Equipe]],1))</f>
        <v xml:space="preserve"> GECIVALDO</v>
      </c>
      <c r="AF896" s="29">
        <f>COUNTIFS('[1]Tempo parado'!H:H,"&gt;="&amp;MIP[[#This Row],[S.B Sitrack]],'[1]Tempo parado'!I:I,"&lt;="&amp;MIP[[#This Row],[C.B Sitrack]],'[1]Tempo parado'!B:B,MIP[[#This Row],[Placa]])</f>
        <v>0</v>
      </c>
      <c r="AG896" s="36"/>
      <c r="AH896" s="35"/>
      <c r="AI896" s="34"/>
      <c r="AJ896" s="34"/>
      <c r="AK89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9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96" s="32">
        <f>SUMIFS('[1]Tempo parado'!J:J,'[1]Tempo parado'!H:H,"&gt;="&amp;MIP[[#This Row],[S.B Sitrack]],'[1]Tempo parado'!I:I,"&lt;="&amp;MIP[[#This Row],[C.B Sitrack]],'[1]Tempo parado'!B:B,MIP[[#This Row],[Placa]])</f>
        <v>0</v>
      </c>
      <c r="AN896" s="31" t="str">
        <f>IFERROR(MIP[[#This Row],[Tempo parado]]/(MIP[[#This Row],[C.B Sitrack]]-MIP[[#This Row],[S.B Sitrack]]),"")</f>
        <v/>
      </c>
      <c r="AO896" s="30"/>
      <c r="AP896" s="29">
        <f>IF(AND(MIP[Exc]=0,MIP[Previsto / Realizado]="Realizado"),MIP[Sem],0)</f>
        <v>0</v>
      </c>
      <c r="AQ896" s="29">
        <f>IF(AND(MIP[Exc]=0,MIP[Previsto / Realizado]="Realizado",ISBLANK(MIP[[#This Row],[S.B Sitrack]])=FALSE,ISBLANK(MIP[[#This Row],[C.B Sitrack]])=FALSE),MIP[Sem],0)</f>
        <v>0</v>
      </c>
    </row>
    <row r="897" spans="2:43" x14ac:dyDescent="0.25">
      <c r="B897" s="29">
        <f>WEEKNUM(MIP[[#This Row],[Data]])</f>
        <v>51</v>
      </c>
      <c r="C897" s="45" t="s">
        <v>26</v>
      </c>
      <c r="D897" s="45"/>
      <c r="E897" s="35" t="s">
        <v>3</v>
      </c>
      <c r="F897" s="35" t="s">
        <v>2</v>
      </c>
      <c r="G897" s="35" t="s">
        <v>1</v>
      </c>
      <c r="H897" s="44"/>
      <c r="I897" s="44">
        <v>9</v>
      </c>
      <c r="J897" s="44">
        <v>1</v>
      </c>
      <c r="K897" s="44">
        <v>1</v>
      </c>
      <c r="L897" s="44">
        <v>0</v>
      </c>
      <c r="M897" s="43">
        <v>0.62847222222222221</v>
      </c>
      <c r="N897" s="43">
        <v>0.67638888888888893</v>
      </c>
      <c r="O897" s="43">
        <v>2.8472222222222222E-2</v>
      </c>
      <c r="P897" s="43">
        <v>3.3333333333333333E-2</v>
      </c>
      <c r="Q897" s="39"/>
      <c r="R897" s="42" t="s">
        <v>25</v>
      </c>
      <c r="S897" s="29">
        <f>MIP[[#This Row],[PT-1]]+MIP[[#This Row],[PT-2]]*2+MIP[[#This Row],[PT-3]]*3+MIP[[#This Row],[PT &gt; 3 Pontos]]</f>
        <v>14</v>
      </c>
      <c r="T89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5.2777777777777812E-2</v>
      </c>
      <c r="U897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5.2777777777777812E-2</v>
      </c>
      <c r="V897" s="41">
        <f>MIP[[#This Row],[Eficiência]]</f>
        <v>1.0693147553739903</v>
      </c>
      <c r="W897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97" s="39">
        <f>IF(MIP[[#This Row],[P.S]]-MIP[[#This Row],[P.E]]&lt;0,1+MIP[[#This Row],[P.S]]-MIP[[#This Row],[P.E]]-1/24,MIP[[#This Row],[P.S]]-MIP[[#This Row],[P.E]]-1/24)</f>
        <v>0.36319444444444454</v>
      </c>
      <c r="Y897" s="39">
        <f>MIP[[#This Row],[PT-1]]*$S$3+MIP[[#This Row],[PT-2]]*$T$3+MIP[[#This Row],[PT-3]]*$U$3+MIP[[#This Row],[PT &gt; 3 Pontos]]*$V$3</f>
        <v>0.3319331219806762</v>
      </c>
      <c r="Z897" s="39">
        <f>MIP[[#This Row],[HH disponível]]-MIP[[#This Row],[HH AC TOT]]</f>
        <v>0.31041666666666673</v>
      </c>
      <c r="AA897" s="38">
        <f>MIP[[#This Row],[HH Produtivo
Total]]/MIP[[#This Row],[HH Trabalhado]]</f>
        <v>1.0693147553739903</v>
      </c>
      <c r="AB897" s="38">
        <f>MIP[[#This Row],[HH Produtivo
Total]]/MIP[[#This Row],[HH disponível]]</f>
        <v>0.91392676032920384</v>
      </c>
      <c r="AC897" s="38">
        <f>MIP[[#This Row],[HH Trabalhado]]/MIP[[#This Row],[HH disponível]]</f>
        <v>0.85468451242829824</v>
      </c>
      <c r="AD897" s="37" t="str">
        <f>LEFT(MIP[[#This Row],[Equipe]], SEARCH("/",MIP[[#This Row],[Equipe]],1)-1)</f>
        <v xml:space="preserve">EDILTON </v>
      </c>
      <c r="AE897" s="37" t="str">
        <f>RIGHT(MIP[[#This Row],[Equipe]], LEN(MIP[[#This Row],[Equipe]])-SEARCH("/",MIP[[#This Row],[Equipe]],1))</f>
        <v xml:space="preserve"> GECIVALDO</v>
      </c>
      <c r="AF897" s="29">
        <f>COUNTIFS('[1]Tempo parado'!H:H,"&gt;="&amp;MIP[[#This Row],[S.B Sitrack]],'[1]Tempo parado'!I:I,"&lt;="&amp;MIP[[#This Row],[C.B Sitrack]],'[1]Tempo parado'!B:B,MIP[[#This Row],[Placa]])</f>
        <v>0</v>
      </c>
      <c r="AG897" s="36"/>
      <c r="AH897" s="35"/>
      <c r="AI897" s="34"/>
      <c r="AJ897" s="34"/>
      <c r="AK89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9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97" s="32">
        <f>SUMIFS('[1]Tempo parado'!J:J,'[1]Tempo parado'!H:H,"&gt;="&amp;MIP[[#This Row],[S.B Sitrack]],'[1]Tempo parado'!I:I,"&lt;="&amp;MIP[[#This Row],[C.B Sitrack]],'[1]Tempo parado'!B:B,MIP[[#This Row],[Placa]])</f>
        <v>0</v>
      </c>
      <c r="AN897" s="31" t="str">
        <f>IFERROR(MIP[[#This Row],[Tempo parado]]/(MIP[[#This Row],[C.B Sitrack]]-MIP[[#This Row],[S.B Sitrack]]),"")</f>
        <v/>
      </c>
      <c r="AO897" s="30"/>
      <c r="AP897" s="29">
        <f>IF(AND(MIP[Exc]=0,MIP[Previsto / Realizado]="Realizado"),MIP[Sem],0)</f>
        <v>51</v>
      </c>
      <c r="AQ897" s="29">
        <f>IF(AND(MIP[Exc]=0,MIP[Previsto / Realizado]="Realizado",ISBLANK(MIP[[#This Row],[S.B Sitrack]])=FALSE,ISBLANK(MIP[[#This Row],[C.B Sitrack]])=FALSE),MIP[Sem],0)</f>
        <v>0</v>
      </c>
    </row>
    <row r="898" spans="2:43" x14ac:dyDescent="0.25">
      <c r="B898" s="29">
        <f>WEEKNUM(MIP[[#This Row],[Data]])</f>
        <v>51</v>
      </c>
      <c r="C898" s="45" t="s">
        <v>24</v>
      </c>
      <c r="D898" s="45"/>
      <c r="E898" s="35" t="s">
        <v>10</v>
      </c>
      <c r="F898" s="35" t="s">
        <v>5</v>
      </c>
      <c r="G898" s="35"/>
      <c r="H898" s="44"/>
      <c r="I898" s="44">
        <v>5</v>
      </c>
      <c r="J898" s="44">
        <v>0</v>
      </c>
      <c r="K898" s="44">
        <v>0</v>
      </c>
      <c r="L898" s="44">
        <v>0</v>
      </c>
      <c r="M898" s="43">
        <v>0.25</v>
      </c>
      <c r="N898" s="43">
        <v>0.2638888888888889</v>
      </c>
      <c r="O898" s="43">
        <v>0.62986111111111109</v>
      </c>
      <c r="P898" s="43">
        <v>0.65833333333333333</v>
      </c>
      <c r="Q898" s="39"/>
      <c r="R898" s="42" t="s">
        <v>4</v>
      </c>
      <c r="S898" s="29">
        <f>MIP[[#This Row],[PT-1]]+MIP[[#This Row],[PT-2]]*2+MIP[[#This Row],[PT-3]]*3+MIP[[#This Row],[PT &gt; 3 Pontos]]</f>
        <v>5</v>
      </c>
      <c r="T89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4.2361111111111127E-2</v>
      </c>
      <c r="U898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4.2361111111111127E-2</v>
      </c>
      <c r="V898" s="41">
        <f>MIP[[#This Row],[Eficiência]]</f>
        <v>0.38583756167954542</v>
      </c>
      <c r="W898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98" s="39">
        <f>IF(MIP[[#This Row],[P.S]]-MIP[[#This Row],[P.E]]&lt;0,1+MIP[[#This Row],[P.S]]-MIP[[#This Row],[P.E]]-1/24,MIP[[#This Row],[P.S]]-MIP[[#This Row],[P.E]]-1/24)</f>
        <v>0.36666666666666664</v>
      </c>
      <c r="Y898" s="39">
        <f>MIP[[#This Row],[PT-1]]*$S$3+MIP[[#This Row],[PT-2]]*$T$3+MIP[[#This Row],[PT-3]]*$U$3+MIP[[#This Row],[PT &gt; 3 Pontos]]*$V$3</f>
        <v>0.12512926479468589</v>
      </c>
      <c r="Z898" s="39">
        <f>MIP[[#This Row],[HH disponível]]-MIP[[#This Row],[HH AC TOT]]</f>
        <v>0.32430555555555551</v>
      </c>
      <c r="AA898" s="38">
        <f>MIP[[#This Row],[HH Produtivo
Total]]/MIP[[#This Row],[HH Trabalhado]]</f>
        <v>0.38583756167954542</v>
      </c>
      <c r="AB898" s="38">
        <f>MIP[[#This Row],[HH Produtivo
Total]]/MIP[[#This Row],[HH disponível]]</f>
        <v>0.34126163125823428</v>
      </c>
      <c r="AC898" s="38">
        <f>MIP[[#This Row],[HH Trabalhado]]/MIP[[#This Row],[HH disponível]]</f>
        <v>0.88446969696969691</v>
      </c>
      <c r="AD898" s="37" t="str">
        <f>LEFT(MIP[[#This Row],[Equipe]], SEARCH("/",MIP[[#This Row],[Equipe]],1)-1)</f>
        <v xml:space="preserve">JOILSON </v>
      </c>
      <c r="AE898" s="37" t="str">
        <f>RIGHT(MIP[[#This Row],[Equipe]], LEN(MIP[[#This Row],[Equipe]])-SEARCH("/",MIP[[#This Row],[Equipe]],1))</f>
        <v xml:space="preserve"> VALDEI</v>
      </c>
      <c r="AF898" s="29">
        <f>COUNTIFS('[1]Tempo parado'!H:H,"&gt;="&amp;MIP[[#This Row],[S.B Sitrack]],'[1]Tempo parado'!I:I,"&lt;="&amp;MIP[[#This Row],[C.B Sitrack]],'[1]Tempo parado'!B:B,MIP[[#This Row],[Placa]])</f>
        <v>0</v>
      </c>
      <c r="AG898" s="36"/>
      <c r="AH898" s="35"/>
      <c r="AI898" s="34"/>
      <c r="AJ898" s="34"/>
      <c r="AK89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9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98" s="32">
        <f>SUMIFS('[1]Tempo parado'!J:J,'[1]Tempo parado'!H:H,"&gt;="&amp;MIP[[#This Row],[S.B Sitrack]],'[1]Tempo parado'!I:I,"&lt;="&amp;MIP[[#This Row],[C.B Sitrack]],'[1]Tempo parado'!B:B,MIP[[#This Row],[Placa]])</f>
        <v>0</v>
      </c>
      <c r="AN898" s="31" t="str">
        <f>IFERROR(MIP[[#This Row],[Tempo parado]]/(MIP[[#This Row],[C.B Sitrack]]-MIP[[#This Row],[S.B Sitrack]]),"")</f>
        <v/>
      </c>
      <c r="AO898" s="30"/>
      <c r="AP898" s="29">
        <f>IF(AND(MIP[Exc]=0,MIP[Previsto / Realizado]="Realizado"),MIP[Sem],0)</f>
        <v>0</v>
      </c>
      <c r="AQ898" s="29">
        <f>IF(AND(MIP[Exc]=0,MIP[Previsto / Realizado]="Realizado",ISBLANK(MIP[[#This Row],[S.B Sitrack]])=FALSE,ISBLANK(MIP[[#This Row],[C.B Sitrack]])=FALSE),MIP[Sem],0)</f>
        <v>0</v>
      </c>
    </row>
    <row r="899" spans="2:43" x14ac:dyDescent="0.25">
      <c r="B899" s="29">
        <f>WEEKNUM(MIP[[#This Row],[Data]])</f>
        <v>51</v>
      </c>
      <c r="C899" s="45" t="s">
        <v>24</v>
      </c>
      <c r="D899" s="45"/>
      <c r="E899" s="35" t="s">
        <v>10</v>
      </c>
      <c r="F899" s="35" t="s">
        <v>2</v>
      </c>
      <c r="G899" s="35" t="s">
        <v>1</v>
      </c>
      <c r="H899" s="44"/>
      <c r="I899" s="44">
        <v>8</v>
      </c>
      <c r="J899" s="44">
        <v>0</v>
      </c>
      <c r="K899" s="44">
        <v>1</v>
      </c>
      <c r="L899" s="44">
        <v>0</v>
      </c>
      <c r="M899" s="43">
        <v>0.25208333333333333</v>
      </c>
      <c r="N899" s="43">
        <v>0.26874999999999999</v>
      </c>
      <c r="O899" s="43">
        <v>0.60416666666666663</v>
      </c>
      <c r="P899" s="43">
        <v>0.65833333333333333</v>
      </c>
      <c r="Q899" s="39"/>
      <c r="R899" s="42" t="s">
        <v>17</v>
      </c>
      <c r="S899" s="29">
        <f>MIP[[#This Row],[PT-1]]+MIP[[#This Row],[PT-2]]*2+MIP[[#This Row],[PT-3]]*3+MIP[[#This Row],[PT &gt; 3 Pontos]]</f>
        <v>11</v>
      </c>
      <c r="T89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7.0833333333333359E-2</v>
      </c>
      <c r="U899" s="39">
        <f>IF(MIP[[#This Row],[P.S]]-MIP[[#This Row],[U.P]]&gt;=0,MIP[[#This Row],[P.S]]-MIP[[#This Row],[U.P]]+MIP[[#This Row],[S.B]]-MIP[[#This Row],[P.E]],1+MIP[[#This Row],[P.S]]-MIP[[#This Row],[U.P]]+MIP[[#This Row],[S.B]]-MIP[[#This Row],[P.E]])</f>
        <v>7.0833333333333359E-2</v>
      </c>
      <c r="V899" s="41">
        <f>MIP[[#This Row],[Eficiência]]</f>
        <v>0.89531405248912166</v>
      </c>
      <c r="W899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899" s="39">
        <f>IF(MIP[[#This Row],[P.S]]-MIP[[#This Row],[P.E]]&lt;0,1+MIP[[#This Row],[P.S]]-MIP[[#This Row],[P.E]]-1/24,MIP[[#This Row],[P.S]]-MIP[[#This Row],[P.E]]-1/24)</f>
        <v>0.36458333333333331</v>
      </c>
      <c r="Y899" s="39">
        <f>MIP[[#This Row],[PT-1]]*$S$3+MIP[[#This Row],[PT-2]]*$T$3+MIP[[#This Row],[PT-3]]*$U$3+MIP[[#This Row],[PT &gt; 3 Pontos]]*$V$3</f>
        <v>0.26299850291867943</v>
      </c>
      <c r="Z899" s="39">
        <f>MIP[[#This Row],[HH disponível]]-MIP[[#This Row],[HH AC TOT]]</f>
        <v>0.29374999999999996</v>
      </c>
      <c r="AA899" s="38">
        <f>MIP[[#This Row],[HH Produtivo
Total]]/MIP[[#This Row],[HH Trabalhado]]</f>
        <v>0.89531405248912166</v>
      </c>
      <c r="AB899" s="38">
        <f>MIP[[#This Row],[HH Produtivo
Total]]/MIP[[#This Row],[HH disponível]]</f>
        <v>0.72136732229123501</v>
      </c>
      <c r="AC899" s="38">
        <f>MIP[[#This Row],[HH Trabalhado]]/MIP[[#This Row],[HH disponível]]</f>
        <v>0.80571428571428561</v>
      </c>
      <c r="AD899" s="37" t="str">
        <f>LEFT(MIP[[#This Row],[Equipe]], SEARCH("/",MIP[[#This Row],[Equipe]],1)-1)</f>
        <v xml:space="preserve">JOILSON </v>
      </c>
      <c r="AE899" s="37" t="str">
        <f>RIGHT(MIP[[#This Row],[Equipe]], LEN(MIP[[#This Row],[Equipe]])-SEARCH("/",MIP[[#This Row],[Equipe]],1))</f>
        <v xml:space="preserve"> VALDEI</v>
      </c>
      <c r="AF899" s="29">
        <f>COUNTIFS('[1]Tempo parado'!H:H,"&gt;="&amp;MIP[[#This Row],[S.B Sitrack]],'[1]Tempo parado'!I:I,"&lt;="&amp;MIP[[#This Row],[C.B Sitrack]],'[1]Tempo parado'!B:B,MIP[[#This Row],[Placa]])</f>
        <v>0</v>
      </c>
      <c r="AG899" s="36"/>
      <c r="AH899" s="35"/>
      <c r="AI899" s="34"/>
      <c r="AJ899" s="34"/>
      <c r="AK89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89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899" s="32">
        <f>SUMIFS('[1]Tempo parado'!J:J,'[1]Tempo parado'!H:H,"&gt;="&amp;MIP[[#This Row],[S.B Sitrack]],'[1]Tempo parado'!I:I,"&lt;="&amp;MIP[[#This Row],[C.B Sitrack]],'[1]Tempo parado'!B:B,MIP[[#This Row],[Placa]])</f>
        <v>0</v>
      </c>
      <c r="AN899" s="31" t="str">
        <f>IFERROR(MIP[[#This Row],[Tempo parado]]/(MIP[[#This Row],[C.B Sitrack]]-MIP[[#This Row],[S.B Sitrack]]),"")</f>
        <v/>
      </c>
      <c r="AO899" s="30"/>
      <c r="AP899" s="29">
        <f>IF(AND(MIP[Exc]=0,MIP[Previsto / Realizado]="Realizado"),MIP[Sem],0)</f>
        <v>51</v>
      </c>
      <c r="AQ899" s="29">
        <f>IF(AND(MIP[Exc]=0,MIP[Previsto / Realizado]="Realizado",ISBLANK(MIP[[#This Row],[S.B Sitrack]])=FALSE,ISBLANK(MIP[[#This Row],[C.B Sitrack]])=FALSE),MIP[Sem],0)</f>
        <v>0</v>
      </c>
    </row>
    <row r="900" spans="2:43" x14ac:dyDescent="0.25">
      <c r="B900" s="29">
        <f>WEEKNUM(MIP[[#This Row],[Data]])</f>
        <v>51</v>
      </c>
      <c r="C900" s="45">
        <v>43091</v>
      </c>
      <c r="D900" s="45"/>
      <c r="E900" s="35" t="s">
        <v>3</v>
      </c>
      <c r="F900" s="35" t="s">
        <v>5</v>
      </c>
      <c r="G900" s="35"/>
      <c r="H900" s="44"/>
      <c r="I900" s="44">
        <v>10</v>
      </c>
      <c r="J900" s="44">
        <v>0</v>
      </c>
      <c r="K900" s="44">
        <v>0</v>
      </c>
      <c r="L900" s="44">
        <v>0</v>
      </c>
      <c r="M900" s="43">
        <v>0.625</v>
      </c>
      <c r="N900" s="43">
        <v>0.6381944444444444</v>
      </c>
      <c r="O900" s="43">
        <v>5.5555555555555558E-3</v>
      </c>
      <c r="P900" s="43">
        <v>3.3333333333333333E-2</v>
      </c>
      <c r="Q900" s="39"/>
      <c r="R900" s="42" t="s">
        <v>4</v>
      </c>
      <c r="S900" s="29">
        <f>MIP[[#This Row],[PT-1]]+MIP[[#This Row],[PT-2]]*2+MIP[[#This Row],[PT-3]]*3+MIP[[#This Row],[PT &gt; 3 Pontos]]</f>
        <v>10</v>
      </c>
      <c r="T90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4.0972222222222188E-2</v>
      </c>
      <c r="U900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4.0972222222222188E-2</v>
      </c>
      <c r="V900" s="41">
        <f>MIP[[#This Row],[Eficiência]]</f>
        <v>0.76838439788634383</v>
      </c>
      <c r="W900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900" s="39">
        <f>IF(MIP[[#This Row],[P.S]]-MIP[[#This Row],[P.E]]&lt;0,1+MIP[[#This Row],[P.S]]-MIP[[#This Row],[P.E]]-1/24,MIP[[#This Row],[P.S]]-MIP[[#This Row],[P.E]]-1/24)</f>
        <v>0.36666666666666675</v>
      </c>
      <c r="Y900" s="39">
        <f>MIP[[#This Row],[PT-1]]*$S$3+MIP[[#This Row],[PT-2]]*$T$3+MIP[[#This Row],[PT-3]]*$U$3+MIP[[#This Row],[PT &gt; 3 Pontos]]*$V$3</f>
        <v>0.25025852958937178</v>
      </c>
      <c r="Z900" s="39">
        <f>MIP[[#This Row],[HH disponível]]-MIP[[#This Row],[HH AC TOT]]</f>
        <v>0.32569444444444456</v>
      </c>
      <c r="AA900" s="38">
        <f>MIP[[#This Row],[HH Produtivo
Total]]/MIP[[#This Row],[HH Trabalhado]]</f>
        <v>0.76838439788634383</v>
      </c>
      <c r="AB900" s="38">
        <f>MIP[[#This Row],[HH Produtivo
Total]]/MIP[[#This Row],[HH disponível]]</f>
        <v>0.68252326251646833</v>
      </c>
      <c r="AC900" s="38">
        <f>MIP[[#This Row],[HH Trabalhado]]/MIP[[#This Row],[HH disponível]]</f>
        <v>0.88825757575757591</v>
      </c>
      <c r="AD900" s="37" t="str">
        <f>LEFT(MIP[[#This Row],[Equipe]], SEARCH("/",MIP[[#This Row],[Equipe]],1)-1)</f>
        <v xml:space="preserve">EDILTON </v>
      </c>
      <c r="AE900" s="37" t="str">
        <f>RIGHT(MIP[[#This Row],[Equipe]], LEN(MIP[[#This Row],[Equipe]])-SEARCH("/",MIP[[#This Row],[Equipe]],1))</f>
        <v xml:space="preserve"> GECIVALDO</v>
      </c>
      <c r="AF900" s="29">
        <f>COUNTIFS('[1]Tempo parado'!H:H,"&gt;="&amp;MIP[[#This Row],[S.B Sitrack]],'[1]Tempo parado'!I:I,"&lt;="&amp;MIP[[#This Row],[C.B Sitrack]],'[1]Tempo parado'!B:B,MIP[[#This Row],[Placa]])</f>
        <v>0</v>
      </c>
      <c r="AG900" s="36"/>
      <c r="AH900" s="35"/>
      <c r="AI900" s="34"/>
      <c r="AJ900" s="34"/>
      <c r="AK90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90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900" s="32">
        <f>SUMIFS('[1]Tempo parado'!J:J,'[1]Tempo parado'!H:H,"&gt;="&amp;MIP[[#This Row],[S.B Sitrack]],'[1]Tempo parado'!I:I,"&lt;="&amp;MIP[[#This Row],[C.B Sitrack]],'[1]Tempo parado'!B:B,MIP[[#This Row],[Placa]])</f>
        <v>0</v>
      </c>
      <c r="AN900" s="31" t="str">
        <f>IFERROR(MIP[[#This Row],[Tempo parado]]/(MIP[[#This Row],[C.B Sitrack]]-MIP[[#This Row],[S.B Sitrack]]),"")</f>
        <v/>
      </c>
      <c r="AO900" s="30"/>
      <c r="AP900" s="29">
        <f>IF(AND(MIP[Exc]=0,MIP[Previsto / Realizado]="Realizado"),MIP[Sem],0)</f>
        <v>0</v>
      </c>
      <c r="AQ900" s="29">
        <f>IF(AND(MIP[Exc]=0,MIP[Previsto / Realizado]="Realizado",ISBLANK(MIP[[#This Row],[S.B Sitrack]])=FALSE,ISBLANK(MIP[[#This Row],[C.B Sitrack]])=FALSE),MIP[Sem],0)</f>
        <v>0</v>
      </c>
    </row>
    <row r="901" spans="2:43" x14ac:dyDescent="0.25">
      <c r="B901" s="29">
        <f>WEEKNUM(MIP[[#This Row],[Data]])</f>
        <v>51</v>
      </c>
      <c r="C901" s="45" t="s">
        <v>24</v>
      </c>
      <c r="D901" s="45"/>
      <c r="E901" s="35" t="s">
        <v>3</v>
      </c>
      <c r="F901" s="35" t="s">
        <v>2</v>
      </c>
      <c r="G901" s="35" t="s">
        <v>1</v>
      </c>
      <c r="H901" s="44"/>
      <c r="I901" s="44">
        <v>12</v>
      </c>
      <c r="J901" s="44">
        <v>0</v>
      </c>
      <c r="K901" s="44">
        <v>0</v>
      </c>
      <c r="L901" s="44">
        <v>0</v>
      </c>
      <c r="M901" s="43">
        <v>0.62708333333333333</v>
      </c>
      <c r="N901" s="43">
        <v>0.65972222222222221</v>
      </c>
      <c r="O901" s="43">
        <v>2.7083333333333334E-2</v>
      </c>
      <c r="P901" s="43">
        <v>3.888888888888889E-2</v>
      </c>
      <c r="Q901" s="39"/>
      <c r="R901" s="42" t="s">
        <v>0</v>
      </c>
      <c r="S901" s="29">
        <f>MIP[[#This Row],[PT-1]]+MIP[[#This Row],[PT-2]]*2+MIP[[#This Row],[PT-3]]*3+MIP[[#This Row],[PT &gt; 3 Pontos]]</f>
        <v>12</v>
      </c>
      <c r="T90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4.4444444444444398E-2</v>
      </c>
      <c r="U901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4.4444444444444398E-2</v>
      </c>
      <c r="V901" s="41">
        <f>MIP[[#This Row],[Eficiência]]</f>
        <v>0.92206127746361266</v>
      </c>
      <c r="W901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901" s="39">
        <f>IF(MIP[[#This Row],[P.S]]-MIP[[#This Row],[P.E]]&lt;0,1+MIP[[#This Row],[P.S]]-MIP[[#This Row],[P.E]]-1/24,MIP[[#This Row],[P.S]]-MIP[[#This Row],[P.E]]-1/24)</f>
        <v>0.37013888888888896</v>
      </c>
      <c r="Y901" s="39">
        <f>MIP[[#This Row],[PT-1]]*$S$3+MIP[[#This Row],[PT-2]]*$T$3+MIP[[#This Row],[PT-3]]*$U$3+MIP[[#This Row],[PT &gt; 3 Pontos]]*$V$3</f>
        <v>0.30031023550724617</v>
      </c>
      <c r="Z901" s="39">
        <f>MIP[[#This Row],[HH disponível]]-MIP[[#This Row],[HH AC TOT]]</f>
        <v>0.32569444444444456</v>
      </c>
      <c r="AA901" s="38">
        <f>MIP[[#This Row],[HH Produtivo
Total]]/MIP[[#This Row],[HH Trabalhado]]</f>
        <v>0.92206127746361266</v>
      </c>
      <c r="AB901" s="38">
        <f>MIP[[#This Row],[HH Produtivo
Total]]/MIP[[#This Row],[HH disponível]]</f>
        <v>0.81134472632351673</v>
      </c>
      <c r="AC901" s="38">
        <f>MIP[[#This Row],[HH Trabalhado]]/MIP[[#This Row],[HH disponível]]</f>
        <v>0.87992495309568497</v>
      </c>
      <c r="AD901" s="37" t="str">
        <f>LEFT(MIP[[#This Row],[Equipe]], SEARCH("/",MIP[[#This Row],[Equipe]],1)-1)</f>
        <v xml:space="preserve">EDILTON </v>
      </c>
      <c r="AE901" s="37" t="str">
        <f>RIGHT(MIP[[#This Row],[Equipe]], LEN(MIP[[#This Row],[Equipe]])-SEARCH("/",MIP[[#This Row],[Equipe]],1))</f>
        <v xml:space="preserve"> GECIVALDO</v>
      </c>
      <c r="AF901" s="29">
        <f>COUNTIFS('[1]Tempo parado'!H:H,"&gt;="&amp;MIP[[#This Row],[S.B Sitrack]],'[1]Tempo parado'!I:I,"&lt;="&amp;MIP[[#This Row],[C.B Sitrack]],'[1]Tempo parado'!B:B,MIP[[#This Row],[Placa]])</f>
        <v>0</v>
      </c>
      <c r="AG901" s="36"/>
      <c r="AH901" s="35"/>
      <c r="AI901" s="34"/>
      <c r="AJ901" s="34"/>
      <c r="AK90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90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901" s="32">
        <f>SUMIFS('[1]Tempo parado'!J:J,'[1]Tempo parado'!H:H,"&gt;="&amp;MIP[[#This Row],[S.B Sitrack]],'[1]Tempo parado'!I:I,"&lt;="&amp;MIP[[#This Row],[C.B Sitrack]],'[1]Tempo parado'!B:B,MIP[[#This Row],[Placa]])</f>
        <v>0</v>
      </c>
      <c r="AN901" s="31" t="str">
        <f>IFERROR(MIP[[#This Row],[Tempo parado]]/(MIP[[#This Row],[C.B Sitrack]]-MIP[[#This Row],[S.B Sitrack]]),"")</f>
        <v/>
      </c>
      <c r="AO901" s="30"/>
      <c r="AP901" s="29">
        <f>IF(AND(MIP[Exc]=0,MIP[Previsto / Realizado]="Realizado"),MIP[Sem],0)</f>
        <v>51</v>
      </c>
      <c r="AQ901" s="29">
        <f>IF(AND(MIP[Exc]=0,MIP[Previsto / Realizado]="Realizado",ISBLANK(MIP[[#This Row],[S.B Sitrack]])=FALSE,ISBLANK(MIP[[#This Row],[C.B Sitrack]])=FALSE),MIP[Sem],0)</f>
        <v>0</v>
      </c>
    </row>
    <row r="902" spans="2:43" x14ac:dyDescent="0.25">
      <c r="B902" s="29">
        <f>WEEKNUM(MIP[[#This Row],[Data]])</f>
        <v>51</v>
      </c>
      <c r="C902" s="45">
        <v>43092</v>
      </c>
      <c r="D902" s="45"/>
      <c r="E902" s="35" t="s">
        <v>19</v>
      </c>
      <c r="F902" s="35" t="s">
        <v>5</v>
      </c>
      <c r="G902" s="35"/>
      <c r="H902" s="44"/>
      <c r="I902" s="44">
        <v>11</v>
      </c>
      <c r="J902" s="44">
        <v>0</v>
      </c>
      <c r="K902" s="44">
        <v>0</v>
      </c>
      <c r="L902" s="44">
        <v>0</v>
      </c>
      <c r="M902" s="43">
        <v>0.625</v>
      </c>
      <c r="N902" s="43">
        <v>0.6381944444444444</v>
      </c>
      <c r="O902" s="43">
        <v>5.5555555555555558E-3</v>
      </c>
      <c r="P902" s="43">
        <v>3.3333333333333333E-2</v>
      </c>
      <c r="Q902" s="39"/>
      <c r="R902" s="42"/>
      <c r="S902" s="29">
        <f>MIP[[#This Row],[PT-1]]+MIP[[#This Row],[PT-2]]*2+MIP[[#This Row],[PT-3]]*3+MIP[[#This Row],[PT &gt; 3 Pontos]]</f>
        <v>11</v>
      </c>
      <c r="T90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4.0972222222222188E-2</v>
      </c>
      <c r="U902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4.0972222222222188E-2</v>
      </c>
      <c r="V902" s="41">
        <f>MIP[[#This Row],[Eficiência]]</f>
        <v>0.8452228376749783</v>
      </c>
      <c r="W902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902" s="39">
        <f>IF(MIP[[#This Row],[P.S]]-MIP[[#This Row],[P.E]]&lt;0,1+MIP[[#This Row],[P.S]]-MIP[[#This Row],[P.E]]-1/24,MIP[[#This Row],[P.S]]-MIP[[#This Row],[P.E]]-1/24)</f>
        <v>0.36666666666666675</v>
      </c>
      <c r="Y902" s="39">
        <f>MIP[[#This Row],[PT-1]]*$S$3+MIP[[#This Row],[PT-2]]*$T$3+MIP[[#This Row],[PT-3]]*$U$3+MIP[[#This Row],[PT &gt; 3 Pontos]]*$V$3</f>
        <v>0.275284382548309</v>
      </c>
      <c r="Z902" s="39">
        <f>MIP[[#This Row],[HH disponível]]-MIP[[#This Row],[HH AC TOT]]</f>
        <v>0.32569444444444456</v>
      </c>
      <c r="AA902" s="38">
        <f>MIP[[#This Row],[HH Produtivo
Total]]/MIP[[#This Row],[HH Trabalhado]]</f>
        <v>0.8452228376749783</v>
      </c>
      <c r="AB902" s="38">
        <f>MIP[[#This Row],[HH Produtivo
Total]]/MIP[[#This Row],[HH disponível]]</f>
        <v>0.75077558876811534</v>
      </c>
      <c r="AC902" s="38">
        <f>MIP[[#This Row],[HH Trabalhado]]/MIP[[#This Row],[HH disponível]]</f>
        <v>0.88825757575757591</v>
      </c>
      <c r="AD902" s="37" t="str">
        <f>LEFT(MIP[[#This Row],[Equipe]], SEARCH("/",MIP[[#This Row],[Equipe]],1)-1)</f>
        <v xml:space="preserve">ADEMÁRIO </v>
      </c>
      <c r="AE902" s="37" t="str">
        <f>RIGHT(MIP[[#This Row],[Equipe]], LEN(MIP[[#This Row],[Equipe]])-SEARCH("/",MIP[[#This Row],[Equipe]],1))</f>
        <v xml:space="preserve"> RONALDO</v>
      </c>
      <c r="AF902" s="29">
        <f>COUNTIFS('[1]Tempo parado'!H:H,"&gt;="&amp;MIP[[#This Row],[S.B Sitrack]],'[1]Tempo parado'!I:I,"&lt;="&amp;MIP[[#This Row],[C.B Sitrack]],'[1]Tempo parado'!B:B,MIP[[#This Row],[Placa]])</f>
        <v>0</v>
      </c>
      <c r="AG902" s="36"/>
      <c r="AH902" s="35"/>
      <c r="AI902" s="34"/>
      <c r="AJ902" s="34"/>
      <c r="AK90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90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902" s="32">
        <f>SUMIFS('[1]Tempo parado'!J:J,'[1]Tempo parado'!H:H,"&gt;="&amp;MIP[[#This Row],[S.B Sitrack]],'[1]Tempo parado'!I:I,"&lt;="&amp;MIP[[#This Row],[C.B Sitrack]],'[1]Tempo parado'!B:B,MIP[[#This Row],[Placa]])</f>
        <v>0</v>
      </c>
      <c r="AN902" s="31" t="str">
        <f>IFERROR(MIP[[#This Row],[Tempo parado]]/(MIP[[#This Row],[C.B Sitrack]]-MIP[[#This Row],[S.B Sitrack]]),"")</f>
        <v/>
      </c>
      <c r="AO902" s="30"/>
      <c r="AP902" s="29">
        <f>IF(AND(MIP[Exc]=0,MIP[Previsto / Realizado]="Realizado"),MIP[Sem],0)</f>
        <v>0</v>
      </c>
      <c r="AQ902" s="29">
        <f>IF(AND(MIP[Exc]=0,MIP[Previsto / Realizado]="Realizado",ISBLANK(MIP[[#This Row],[S.B Sitrack]])=FALSE,ISBLANK(MIP[[#This Row],[C.B Sitrack]])=FALSE),MIP[Sem],0)</f>
        <v>0</v>
      </c>
    </row>
    <row r="903" spans="2:43" x14ac:dyDescent="0.25">
      <c r="B903" s="29">
        <f>WEEKNUM(MIP[[#This Row],[Data]])</f>
        <v>51</v>
      </c>
      <c r="C903" s="45" t="s">
        <v>23</v>
      </c>
      <c r="D903" s="45"/>
      <c r="E903" s="35" t="s">
        <v>19</v>
      </c>
      <c r="F903" s="35" t="s">
        <v>2</v>
      </c>
      <c r="G903" s="35" t="s">
        <v>1</v>
      </c>
      <c r="H903" s="44"/>
      <c r="I903" s="44">
        <v>11</v>
      </c>
      <c r="J903" s="44">
        <v>0</v>
      </c>
      <c r="K903" s="44">
        <v>0</v>
      </c>
      <c r="L903" s="44">
        <v>0</v>
      </c>
      <c r="M903" s="43">
        <v>0.63541666666666663</v>
      </c>
      <c r="N903" s="43">
        <v>0.65277777777777779</v>
      </c>
      <c r="O903" s="43">
        <v>4.8611111111111112E-3</v>
      </c>
      <c r="P903" s="43">
        <v>3.5416666666666666E-2</v>
      </c>
      <c r="Q903" s="39"/>
      <c r="R903" s="42"/>
      <c r="S903" s="29">
        <f>MIP[[#This Row],[PT-1]]+MIP[[#This Row],[PT-2]]*2+MIP[[#This Row],[PT-3]]*3+MIP[[#This Row],[PT &gt; 3 Pontos]]</f>
        <v>11</v>
      </c>
      <c r="T90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4.7916666666666718E-2</v>
      </c>
      <c r="U903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4.7916666666666718E-2</v>
      </c>
      <c r="V903" s="41">
        <f>MIP[[#This Row],[Eficiência]]</f>
        <v>0.88682217196770696</v>
      </c>
      <c r="W903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903" s="39">
        <f>IF(MIP[[#This Row],[P.S]]-MIP[[#This Row],[P.E]]&lt;0,1+MIP[[#This Row],[P.S]]-MIP[[#This Row],[P.E]]-1/24,MIP[[#This Row],[P.S]]-MIP[[#This Row],[P.E]]-1/24)</f>
        <v>0.35833333333333334</v>
      </c>
      <c r="Y903" s="39">
        <f>MIP[[#This Row],[PT-1]]*$S$3+MIP[[#This Row],[PT-2]]*$T$3+MIP[[#This Row],[PT-3]]*$U$3+MIP[[#This Row],[PT &gt; 3 Pontos]]*$V$3</f>
        <v>0.275284382548309</v>
      </c>
      <c r="Z903" s="39">
        <f>MIP[[#This Row],[HH disponível]]-MIP[[#This Row],[HH AC TOT]]</f>
        <v>0.31041666666666662</v>
      </c>
      <c r="AA903" s="38">
        <f>MIP[[#This Row],[HH Produtivo
Total]]/MIP[[#This Row],[HH Trabalhado]]</f>
        <v>0.88682217196770696</v>
      </c>
      <c r="AB903" s="38">
        <f>MIP[[#This Row],[HH Produtivo
Total]]/MIP[[#This Row],[HH disponível]]</f>
        <v>0.76823548618132742</v>
      </c>
      <c r="AC903" s="38">
        <f>MIP[[#This Row],[HH Trabalhado]]/MIP[[#This Row],[HH disponível]]</f>
        <v>0.86627906976744173</v>
      </c>
      <c r="AD903" s="37" t="str">
        <f>LEFT(MIP[[#This Row],[Equipe]], SEARCH("/",MIP[[#This Row],[Equipe]],1)-1)</f>
        <v xml:space="preserve">ADEMÁRIO </v>
      </c>
      <c r="AE903" s="37" t="str">
        <f>RIGHT(MIP[[#This Row],[Equipe]], LEN(MIP[[#This Row],[Equipe]])-SEARCH("/",MIP[[#This Row],[Equipe]],1))</f>
        <v xml:space="preserve"> RONALDO</v>
      </c>
      <c r="AF903" s="29">
        <f>COUNTIFS('[1]Tempo parado'!H:H,"&gt;="&amp;MIP[[#This Row],[S.B Sitrack]],'[1]Tempo parado'!I:I,"&lt;="&amp;MIP[[#This Row],[C.B Sitrack]],'[1]Tempo parado'!B:B,MIP[[#This Row],[Placa]])</f>
        <v>0</v>
      </c>
      <c r="AG903" s="36"/>
      <c r="AH903" s="35"/>
      <c r="AI903" s="34"/>
      <c r="AJ903" s="34"/>
      <c r="AK90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90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903" s="32">
        <f>SUMIFS('[1]Tempo parado'!J:J,'[1]Tempo parado'!H:H,"&gt;="&amp;MIP[[#This Row],[S.B Sitrack]],'[1]Tempo parado'!I:I,"&lt;="&amp;MIP[[#This Row],[C.B Sitrack]],'[1]Tempo parado'!B:B,MIP[[#This Row],[Placa]])</f>
        <v>0</v>
      </c>
      <c r="AN903" s="31" t="str">
        <f>IFERROR(MIP[[#This Row],[Tempo parado]]/(MIP[[#This Row],[C.B Sitrack]]-MIP[[#This Row],[S.B Sitrack]]),"")</f>
        <v/>
      </c>
      <c r="AO903" s="30"/>
      <c r="AP903" s="29">
        <f>IF(AND(MIP[Exc]=0,MIP[Previsto / Realizado]="Realizado"),MIP[Sem],0)</f>
        <v>51</v>
      </c>
      <c r="AQ903" s="29">
        <f>IF(AND(MIP[Exc]=0,MIP[Previsto / Realizado]="Realizado",ISBLANK(MIP[[#This Row],[S.B Sitrack]])=FALSE,ISBLANK(MIP[[#This Row],[C.B Sitrack]])=FALSE),MIP[Sem],0)</f>
        <v>0</v>
      </c>
    </row>
    <row r="904" spans="2:43" x14ac:dyDescent="0.25">
      <c r="B904" s="29">
        <f>WEEKNUM(MIP[[#This Row],[Data]])</f>
        <v>52</v>
      </c>
      <c r="C904" s="45">
        <v>43093</v>
      </c>
      <c r="D904" s="45"/>
      <c r="E904" s="35" t="s">
        <v>10</v>
      </c>
      <c r="F904" s="35" t="s">
        <v>5</v>
      </c>
      <c r="G904" s="35"/>
      <c r="H904" s="44"/>
      <c r="I904" s="44">
        <v>0</v>
      </c>
      <c r="J904" s="44">
        <v>0</v>
      </c>
      <c r="K904" s="44">
        <v>0</v>
      </c>
      <c r="L904" s="44">
        <v>0</v>
      </c>
      <c r="M904" s="43">
        <v>0.25</v>
      </c>
      <c r="N904" s="43">
        <v>0.2638888888888889</v>
      </c>
      <c r="O904" s="43">
        <v>0.62986111111111109</v>
      </c>
      <c r="P904" s="43">
        <v>0.65833333333333333</v>
      </c>
      <c r="Q904" s="39"/>
      <c r="R904" s="42" t="s">
        <v>4</v>
      </c>
      <c r="S904" s="29">
        <f>MIP[[#This Row],[PT-1]]+MIP[[#This Row],[PT-2]]*2+MIP[[#This Row],[PT-3]]*3+MIP[[#This Row],[PT &gt; 3 Pontos]]</f>
        <v>0</v>
      </c>
      <c r="T90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4.2361111111111127E-2</v>
      </c>
      <c r="U904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4.2361111111111127E-2</v>
      </c>
      <c r="V904" s="41">
        <f>MIP[[#This Row],[Eficiência]]</f>
        <v>0</v>
      </c>
      <c r="W904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904" s="39">
        <f>IF(MIP[[#This Row],[P.S]]-MIP[[#This Row],[P.E]]&lt;0,1+MIP[[#This Row],[P.S]]-MIP[[#This Row],[P.E]]-1/24,MIP[[#This Row],[P.S]]-MIP[[#This Row],[P.E]]-1/24)</f>
        <v>0.36666666666666664</v>
      </c>
      <c r="Y904" s="39">
        <f>MIP[[#This Row],[PT-1]]*$S$3+MIP[[#This Row],[PT-2]]*$T$3+MIP[[#This Row],[PT-3]]*$U$3+MIP[[#This Row],[PT &gt; 3 Pontos]]*$V$3</f>
        <v>0</v>
      </c>
      <c r="Z904" s="39">
        <f>MIP[[#This Row],[HH disponível]]-MIP[[#This Row],[HH AC TOT]]</f>
        <v>0.32430555555555551</v>
      </c>
      <c r="AA904" s="38">
        <f>MIP[[#This Row],[HH Produtivo
Total]]/MIP[[#This Row],[HH Trabalhado]]</f>
        <v>0</v>
      </c>
      <c r="AB904" s="38">
        <f>MIP[[#This Row],[HH Produtivo
Total]]/MIP[[#This Row],[HH disponível]]</f>
        <v>0</v>
      </c>
      <c r="AC904" s="38">
        <f>MIP[[#This Row],[HH Trabalhado]]/MIP[[#This Row],[HH disponível]]</f>
        <v>0.88446969696969691</v>
      </c>
      <c r="AD904" s="37" t="str">
        <f>LEFT(MIP[[#This Row],[Equipe]], SEARCH("/",MIP[[#This Row],[Equipe]],1)-1)</f>
        <v xml:space="preserve">JOILSON </v>
      </c>
      <c r="AE904" s="37" t="str">
        <f>RIGHT(MIP[[#This Row],[Equipe]], LEN(MIP[[#This Row],[Equipe]])-SEARCH("/",MIP[[#This Row],[Equipe]],1))</f>
        <v xml:space="preserve"> VALDEI</v>
      </c>
      <c r="AF904" s="29">
        <f>COUNTIFS('[1]Tempo parado'!H:H,"&gt;="&amp;MIP[[#This Row],[S.B Sitrack]],'[1]Tempo parado'!I:I,"&lt;="&amp;MIP[[#This Row],[C.B Sitrack]],'[1]Tempo parado'!B:B,MIP[[#This Row],[Placa]])</f>
        <v>0</v>
      </c>
      <c r="AG904" s="36"/>
      <c r="AH904" s="35"/>
      <c r="AI904" s="34"/>
      <c r="AJ904" s="34"/>
      <c r="AK90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90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904" s="32">
        <f>SUMIFS('[1]Tempo parado'!J:J,'[1]Tempo parado'!H:H,"&gt;="&amp;MIP[[#This Row],[S.B Sitrack]],'[1]Tempo parado'!I:I,"&lt;="&amp;MIP[[#This Row],[C.B Sitrack]],'[1]Tempo parado'!B:B,MIP[[#This Row],[Placa]])</f>
        <v>0</v>
      </c>
      <c r="AN904" s="31" t="str">
        <f>IFERROR(MIP[[#This Row],[Tempo parado]]/(MIP[[#This Row],[C.B Sitrack]]-MIP[[#This Row],[S.B Sitrack]]),"")</f>
        <v/>
      </c>
      <c r="AO904" s="30"/>
      <c r="AP904" s="29">
        <f>IF(AND(MIP[Exc]=0,MIP[Previsto / Realizado]="Realizado"),MIP[Sem],0)</f>
        <v>0</v>
      </c>
      <c r="AQ904" s="29">
        <f>IF(AND(MIP[Exc]=0,MIP[Previsto / Realizado]="Realizado",ISBLANK(MIP[[#This Row],[S.B Sitrack]])=FALSE,ISBLANK(MIP[[#This Row],[C.B Sitrack]])=FALSE),MIP[Sem],0)</f>
        <v>0</v>
      </c>
    </row>
    <row r="905" spans="2:43" x14ac:dyDescent="0.25">
      <c r="B905" s="29">
        <f>WEEKNUM(MIP[[#This Row],[Data]])</f>
        <v>52</v>
      </c>
      <c r="C905" s="45" t="s">
        <v>22</v>
      </c>
      <c r="D905" s="45"/>
      <c r="E905" s="35" t="s">
        <v>10</v>
      </c>
      <c r="F905" s="35" t="s">
        <v>2</v>
      </c>
      <c r="G905" s="35" t="s">
        <v>1</v>
      </c>
      <c r="H905" s="44"/>
      <c r="I905" s="44">
        <v>3</v>
      </c>
      <c r="J905" s="44">
        <v>1</v>
      </c>
      <c r="K905" s="44">
        <v>2</v>
      </c>
      <c r="L905" s="44">
        <v>0</v>
      </c>
      <c r="M905" s="43">
        <v>0.24652777777777779</v>
      </c>
      <c r="N905" s="43">
        <v>0.27777777777777779</v>
      </c>
      <c r="O905" s="43">
        <v>0.57500000000000007</v>
      </c>
      <c r="P905" s="43">
        <v>0.66875000000000007</v>
      </c>
      <c r="Q905" s="39"/>
      <c r="R905" s="42" t="s">
        <v>21</v>
      </c>
      <c r="S905" s="29">
        <f>MIP[[#This Row],[PT-1]]+MIP[[#This Row],[PT-2]]*2+MIP[[#This Row],[PT-3]]*3+MIP[[#This Row],[PT &gt; 3 Pontos]]</f>
        <v>11</v>
      </c>
      <c r="T90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0.125</v>
      </c>
      <c r="U905" s="39">
        <f>IF(MIP[[#This Row],[P.S]]-MIP[[#This Row],[U.P]]&gt;=0,MIP[[#This Row],[P.S]]-MIP[[#This Row],[U.P]]+MIP[[#This Row],[S.B]]-MIP[[#This Row],[P.E]],1+MIP[[#This Row],[P.S]]-MIP[[#This Row],[U.P]]+MIP[[#This Row],[S.B]]-MIP[[#This Row],[P.E]])</f>
        <v>0.125</v>
      </c>
      <c r="V905" s="41">
        <f>MIP[[#This Row],[Eficiência]]</f>
        <v>0.9570118048991807</v>
      </c>
      <c r="W905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905" s="39">
        <f>IF(MIP[[#This Row],[P.S]]-MIP[[#This Row],[P.E]]&lt;0,1+MIP[[#This Row],[P.S]]-MIP[[#This Row],[P.E]]-1/24,MIP[[#This Row],[P.S]]-MIP[[#This Row],[P.E]]-1/24)</f>
        <v>0.38055555555555559</v>
      </c>
      <c r="Y905" s="39">
        <f>MIP[[#This Row],[PT-1]]*$S$3+MIP[[#This Row],[PT-2]]*$T$3+MIP[[#This Row],[PT-3]]*$U$3+MIP[[#This Row],[PT &gt; 3 Pontos]]*$V$3</f>
        <v>0.24456968347423511</v>
      </c>
      <c r="Z905" s="39">
        <f>MIP[[#This Row],[HH disponível]]-MIP[[#This Row],[HH AC TOT]]</f>
        <v>0.25555555555555559</v>
      </c>
      <c r="AA905" s="38">
        <f>MIP[[#This Row],[HH Produtivo
Total]]/MIP[[#This Row],[HH Trabalhado]]</f>
        <v>0.9570118048991807</v>
      </c>
      <c r="AB905" s="38">
        <f>MIP[[#This Row],[HH Produtivo
Total]]/MIP[[#This Row],[HH disponível]]</f>
        <v>0.6426648616841214</v>
      </c>
      <c r="AC905" s="38">
        <f>MIP[[#This Row],[HH Trabalhado]]/MIP[[#This Row],[HH disponível]]</f>
        <v>0.67153284671532854</v>
      </c>
      <c r="AD905" s="37" t="str">
        <f>LEFT(MIP[[#This Row],[Equipe]], SEARCH("/",MIP[[#This Row],[Equipe]],1)-1)</f>
        <v xml:space="preserve">JOILSON </v>
      </c>
      <c r="AE905" s="37" t="str">
        <f>RIGHT(MIP[[#This Row],[Equipe]], LEN(MIP[[#This Row],[Equipe]])-SEARCH("/",MIP[[#This Row],[Equipe]],1))</f>
        <v xml:space="preserve"> VALDEI</v>
      </c>
      <c r="AF905" s="29">
        <f>COUNTIFS('[1]Tempo parado'!H:H,"&gt;="&amp;MIP[[#This Row],[S.B Sitrack]],'[1]Tempo parado'!I:I,"&lt;="&amp;MIP[[#This Row],[C.B Sitrack]],'[1]Tempo parado'!B:B,MIP[[#This Row],[Placa]])</f>
        <v>0</v>
      </c>
      <c r="AG905" s="36"/>
      <c r="AH905" s="35"/>
      <c r="AI905" s="34"/>
      <c r="AJ905" s="34"/>
      <c r="AK90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90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905" s="32">
        <f>SUMIFS('[1]Tempo parado'!J:J,'[1]Tempo parado'!H:H,"&gt;="&amp;MIP[[#This Row],[S.B Sitrack]],'[1]Tempo parado'!I:I,"&lt;="&amp;MIP[[#This Row],[C.B Sitrack]],'[1]Tempo parado'!B:B,MIP[[#This Row],[Placa]])</f>
        <v>0</v>
      </c>
      <c r="AN905" s="31" t="str">
        <f>IFERROR(MIP[[#This Row],[Tempo parado]]/(MIP[[#This Row],[C.B Sitrack]]-MIP[[#This Row],[S.B Sitrack]]),"")</f>
        <v/>
      </c>
      <c r="AO905" s="30"/>
      <c r="AP905" s="29">
        <f>IF(AND(MIP[Exc]=0,MIP[Previsto / Realizado]="Realizado"),MIP[Sem],0)</f>
        <v>52</v>
      </c>
      <c r="AQ905" s="29">
        <f>IF(AND(MIP[Exc]=0,MIP[Previsto / Realizado]="Realizado",ISBLANK(MIP[[#This Row],[S.B Sitrack]])=FALSE,ISBLANK(MIP[[#This Row],[C.B Sitrack]])=FALSE),MIP[Sem],0)</f>
        <v>0</v>
      </c>
    </row>
    <row r="906" spans="2:43" x14ac:dyDescent="0.25">
      <c r="B906" s="29">
        <f>WEEKNUM(MIP[[#This Row],[Data]])</f>
        <v>52</v>
      </c>
      <c r="C906" s="45" t="s">
        <v>20</v>
      </c>
      <c r="D906" s="45"/>
      <c r="E906" s="35" t="s">
        <v>19</v>
      </c>
      <c r="F906" s="35" t="s">
        <v>5</v>
      </c>
      <c r="G906" s="35"/>
      <c r="H906" s="44"/>
      <c r="I906" s="44">
        <v>5</v>
      </c>
      <c r="J906" s="44">
        <v>5</v>
      </c>
      <c r="K906" s="44">
        <v>0</v>
      </c>
      <c r="L906" s="44">
        <v>6</v>
      </c>
      <c r="M906" s="43">
        <v>0.625</v>
      </c>
      <c r="N906" s="43">
        <v>0.63750000000000007</v>
      </c>
      <c r="O906" s="43">
        <v>4.8611111111111112E-3</v>
      </c>
      <c r="P906" s="43">
        <v>3.3333333333333333E-2</v>
      </c>
      <c r="Q906" s="39"/>
      <c r="R906" s="42"/>
      <c r="S906" s="29">
        <f>MIP[[#This Row],[PT-1]]+MIP[[#This Row],[PT-2]]*2+MIP[[#This Row],[PT-3]]*3+MIP[[#This Row],[PT &gt; 3 Pontos]]</f>
        <v>21</v>
      </c>
      <c r="T90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4.0972222222222299E-2</v>
      </c>
      <c r="U906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4.0972222222222299E-2</v>
      </c>
      <c r="V906" s="41">
        <f>MIP[[#This Row],[Eficiência]]</f>
        <v>1.4312837340214042</v>
      </c>
      <c r="W906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906" s="39">
        <f>IF(MIP[[#This Row],[P.S]]-MIP[[#This Row],[P.E]]&lt;0,1+MIP[[#This Row],[P.S]]-MIP[[#This Row],[P.E]]-1/24,MIP[[#This Row],[P.S]]-MIP[[#This Row],[P.E]]-1/24)</f>
        <v>0.36666666666666675</v>
      </c>
      <c r="Y906" s="39">
        <f>MIP[[#This Row],[PT-1]]*$S$3+MIP[[#This Row],[PT-2]]*$T$3+MIP[[#This Row],[PT-3]]*$U$3+MIP[[#This Row],[PT &gt; 3 Pontos]]*$V$3</f>
        <v>0.46616116059447127</v>
      </c>
      <c r="Z906" s="39">
        <f>MIP[[#This Row],[HH disponível]]-MIP[[#This Row],[HH AC TOT]]</f>
        <v>0.32569444444444445</v>
      </c>
      <c r="AA906" s="38">
        <f>MIP[[#This Row],[HH Produtivo
Total]]/MIP[[#This Row],[HH Trabalhado]]</f>
        <v>1.4312837340214042</v>
      </c>
      <c r="AB906" s="38">
        <f>MIP[[#This Row],[HH Produtivo
Total]]/MIP[[#This Row],[HH disponível]]</f>
        <v>1.2713486198031032</v>
      </c>
      <c r="AC906" s="38">
        <f>MIP[[#This Row],[HH Trabalhado]]/MIP[[#This Row],[HH disponível]]</f>
        <v>0.88825757575757558</v>
      </c>
      <c r="AD906" s="37" t="str">
        <f>LEFT(MIP[[#This Row],[Equipe]], SEARCH("/",MIP[[#This Row],[Equipe]],1)-1)</f>
        <v xml:space="preserve">ADEMÁRIO </v>
      </c>
      <c r="AE906" s="37" t="str">
        <f>RIGHT(MIP[[#This Row],[Equipe]], LEN(MIP[[#This Row],[Equipe]])-SEARCH("/",MIP[[#This Row],[Equipe]],1))</f>
        <v xml:space="preserve"> RONALDO</v>
      </c>
      <c r="AF906" s="29">
        <f>COUNTIFS('[1]Tempo parado'!H:H,"&gt;="&amp;MIP[[#This Row],[S.B Sitrack]],'[1]Tempo parado'!I:I,"&lt;="&amp;MIP[[#This Row],[C.B Sitrack]],'[1]Tempo parado'!B:B,MIP[[#This Row],[Placa]])</f>
        <v>0</v>
      </c>
      <c r="AG906" s="36"/>
      <c r="AH906" s="35"/>
      <c r="AI906" s="34"/>
      <c r="AJ906" s="34"/>
      <c r="AK90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90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906" s="32">
        <f>SUMIFS('[1]Tempo parado'!J:J,'[1]Tempo parado'!H:H,"&gt;="&amp;MIP[[#This Row],[S.B Sitrack]],'[1]Tempo parado'!I:I,"&lt;="&amp;MIP[[#This Row],[C.B Sitrack]],'[1]Tempo parado'!B:B,MIP[[#This Row],[Placa]])</f>
        <v>0</v>
      </c>
      <c r="AN906" s="31" t="str">
        <f>IFERROR(MIP[[#This Row],[Tempo parado]]/(MIP[[#This Row],[C.B Sitrack]]-MIP[[#This Row],[S.B Sitrack]]),"")</f>
        <v/>
      </c>
      <c r="AO906" s="30"/>
      <c r="AP906" s="29">
        <f>IF(AND(MIP[Exc]=0,MIP[Previsto / Realizado]="Realizado"),MIP[Sem],0)</f>
        <v>0</v>
      </c>
      <c r="AQ906" s="29">
        <f>IF(AND(MIP[Exc]=0,MIP[Previsto / Realizado]="Realizado",ISBLANK(MIP[[#This Row],[S.B Sitrack]])=FALSE,ISBLANK(MIP[[#This Row],[C.B Sitrack]])=FALSE),MIP[Sem],0)</f>
        <v>0</v>
      </c>
    </row>
    <row r="907" spans="2:43" x14ac:dyDescent="0.25">
      <c r="B907" s="29">
        <f>WEEKNUM(MIP[[#This Row],[Data]])</f>
        <v>52</v>
      </c>
      <c r="C907" s="45" t="s">
        <v>20</v>
      </c>
      <c r="D907" s="45"/>
      <c r="E907" s="35" t="s">
        <v>19</v>
      </c>
      <c r="F907" s="35" t="s">
        <v>2</v>
      </c>
      <c r="G907" s="35" t="s">
        <v>1</v>
      </c>
      <c r="H907" s="44"/>
      <c r="I907" s="44">
        <v>6</v>
      </c>
      <c r="J907" s="44">
        <v>4</v>
      </c>
      <c r="K907" s="44">
        <v>0</v>
      </c>
      <c r="L907" s="44">
        <v>0</v>
      </c>
      <c r="M907" s="43">
        <v>0.62916666666666665</v>
      </c>
      <c r="N907" s="43">
        <v>0.65972222222222221</v>
      </c>
      <c r="O907" s="43">
        <v>1.0416666666666666E-2</v>
      </c>
      <c r="P907" s="43">
        <v>3.5416666666666666E-2</v>
      </c>
      <c r="Q907" s="39"/>
      <c r="R907" s="42"/>
      <c r="S907" s="29">
        <f>MIP[[#This Row],[PT-1]]+MIP[[#This Row],[PT-2]]*2+MIP[[#This Row],[PT-3]]*3+MIP[[#This Row],[PT &gt; 3 Pontos]]</f>
        <v>14</v>
      </c>
      <c r="T90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5.555555555555558E-2</v>
      </c>
      <c r="U907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5.555555555555558E-2</v>
      </c>
      <c r="V907" s="41">
        <f>MIP[[#This Row],[Eficiência]]</f>
        <v>1.0542423872333495</v>
      </c>
      <c r="W907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907" s="39">
        <f>IF(MIP[[#This Row],[P.S]]-MIP[[#This Row],[P.E]]&lt;0,1+MIP[[#This Row],[P.S]]-MIP[[#This Row],[P.E]]-1/24,MIP[[#This Row],[P.S]]-MIP[[#This Row],[P.E]]-1/24)</f>
        <v>0.36458333333333331</v>
      </c>
      <c r="Y907" s="39">
        <f>MIP[[#This Row],[PT-1]]*$S$3+MIP[[#This Row],[PT-2]]*$T$3+MIP[[#This Row],[PT-3]]*$U$3+MIP[[#This Row],[PT &gt; 3 Pontos]]*$V$3</f>
        <v>0.32579018216586142</v>
      </c>
      <c r="Z907" s="39">
        <f>MIP[[#This Row],[HH disponível]]-MIP[[#This Row],[HH AC TOT]]</f>
        <v>0.30902777777777773</v>
      </c>
      <c r="AA907" s="38">
        <f>MIP[[#This Row],[HH Produtivo
Total]]/MIP[[#This Row],[HH Trabalhado]]</f>
        <v>1.0542423872333495</v>
      </c>
      <c r="AB907" s="38">
        <f>MIP[[#This Row],[HH Produtivo
Total]]/MIP[[#This Row],[HH disponível]]</f>
        <v>0.8935959282263628</v>
      </c>
      <c r="AC907" s="38">
        <f>MIP[[#This Row],[HH Trabalhado]]/MIP[[#This Row],[HH disponível]]</f>
        <v>0.84761904761904749</v>
      </c>
      <c r="AD907" s="37" t="str">
        <f>LEFT(MIP[[#This Row],[Equipe]], SEARCH("/",MIP[[#This Row],[Equipe]],1)-1)</f>
        <v xml:space="preserve">ADEMÁRIO </v>
      </c>
      <c r="AE907" s="37" t="str">
        <f>RIGHT(MIP[[#This Row],[Equipe]], LEN(MIP[[#This Row],[Equipe]])-SEARCH("/",MIP[[#This Row],[Equipe]],1))</f>
        <v xml:space="preserve"> RONALDO</v>
      </c>
      <c r="AF907" s="29">
        <f>COUNTIFS('[1]Tempo parado'!H:H,"&gt;="&amp;MIP[[#This Row],[S.B Sitrack]],'[1]Tempo parado'!I:I,"&lt;="&amp;MIP[[#This Row],[C.B Sitrack]],'[1]Tempo parado'!B:B,MIP[[#This Row],[Placa]])</f>
        <v>0</v>
      </c>
      <c r="AG907" s="36"/>
      <c r="AH907" s="35"/>
      <c r="AI907" s="34"/>
      <c r="AJ907" s="34"/>
      <c r="AK90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90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907" s="32">
        <f>SUMIFS('[1]Tempo parado'!J:J,'[1]Tempo parado'!H:H,"&gt;="&amp;MIP[[#This Row],[S.B Sitrack]],'[1]Tempo parado'!I:I,"&lt;="&amp;MIP[[#This Row],[C.B Sitrack]],'[1]Tempo parado'!B:B,MIP[[#This Row],[Placa]])</f>
        <v>0</v>
      </c>
      <c r="AN907" s="31" t="str">
        <f>IFERROR(MIP[[#This Row],[Tempo parado]]/(MIP[[#This Row],[C.B Sitrack]]-MIP[[#This Row],[S.B Sitrack]]),"")</f>
        <v/>
      </c>
      <c r="AO907" s="30"/>
      <c r="AP907" s="29">
        <f>IF(AND(MIP[Exc]=0,MIP[Previsto / Realizado]="Realizado"),MIP[Sem],0)</f>
        <v>52</v>
      </c>
      <c r="AQ907" s="29">
        <f>IF(AND(MIP[Exc]=0,MIP[Previsto / Realizado]="Realizado",ISBLANK(MIP[[#This Row],[S.B Sitrack]])=FALSE,ISBLANK(MIP[[#This Row],[C.B Sitrack]])=FALSE),MIP[Sem],0)</f>
        <v>0</v>
      </c>
    </row>
    <row r="908" spans="2:43" x14ac:dyDescent="0.25">
      <c r="B908" s="29">
        <f>WEEKNUM(MIP[[#This Row],[Data]])</f>
        <v>52</v>
      </c>
      <c r="C908" s="45" t="s">
        <v>18</v>
      </c>
      <c r="D908" s="45"/>
      <c r="E908" s="35" t="s">
        <v>3</v>
      </c>
      <c r="F908" s="35" t="s">
        <v>5</v>
      </c>
      <c r="G908" s="35"/>
      <c r="H908" s="44"/>
      <c r="I908" s="44">
        <v>1</v>
      </c>
      <c r="J908" s="44">
        <v>2</v>
      </c>
      <c r="K908" s="44">
        <v>1</v>
      </c>
      <c r="L908" s="44">
        <v>7</v>
      </c>
      <c r="M908" s="43">
        <v>0.625</v>
      </c>
      <c r="N908" s="43">
        <v>0.63750000000000007</v>
      </c>
      <c r="O908" s="43">
        <v>4.8611111111111112E-3</v>
      </c>
      <c r="P908" s="43">
        <v>3.3333333333333333E-2</v>
      </c>
      <c r="Q908" s="39"/>
      <c r="R908" s="42"/>
      <c r="S908" s="29">
        <f>MIP[[#This Row],[PT-1]]+MIP[[#This Row],[PT-2]]*2+MIP[[#This Row],[PT-3]]*3+MIP[[#This Row],[PT &gt; 3 Pontos]]</f>
        <v>15</v>
      </c>
      <c r="T90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4.0972222222222299E-2</v>
      </c>
      <c r="U908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4.0972222222222299E-2</v>
      </c>
      <c r="V908" s="41">
        <f>MIP[[#This Row],[Eficiência]]</f>
        <v>0.97444444015258458</v>
      </c>
      <c r="W908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908" s="39">
        <f>IF(MIP[[#This Row],[P.S]]-MIP[[#This Row],[P.E]]&lt;0,1+MIP[[#This Row],[P.S]]-MIP[[#This Row],[P.E]]-1/24,MIP[[#This Row],[P.S]]-MIP[[#This Row],[P.E]]-1/24)</f>
        <v>0.36666666666666675</v>
      </c>
      <c r="Y908" s="39">
        <f>MIP[[#This Row],[PT-1]]*$S$3+MIP[[#This Row],[PT-2]]*$T$3+MIP[[#This Row],[PT-3]]*$U$3+MIP[[#This Row],[PT &gt; 3 Pontos]]*$V$3</f>
        <v>0.31737114057747373</v>
      </c>
      <c r="Z908" s="39">
        <f>MIP[[#This Row],[HH disponível]]-MIP[[#This Row],[HH AC TOT]]</f>
        <v>0.32569444444444445</v>
      </c>
      <c r="AA908" s="38">
        <f>MIP[[#This Row],[HH Produtivo
Total]]/MIP[[#This Row],[HH Trabalhado]]</f>
        <v>0.97444444015258458</v>
      </c>
      <c r="AB908" s="38">
        <f>MIP[[#This Row],[HH Produtivo
Total]]/MIP[[#This Row],[HH disponível]]</f>
        <v>0.86555765612038271</v>
      </c>
      <c r="AC908" s="38">
        <f>MIP[[#This Row],[HH Trabalhado]]/MIP[[#This Row],[HH disponível]]</f>
        <v>0.88825757575757558</v>
      </c>
      <c r="AD908" s="37" t="str">
        <f>LEFT(MIP[[#This Row],[Equipe]], SEARCH("/",MIP[[#This Row],[Equipe]],1)-1)</f>
        <v xml:space="preserve">EDILTON </v>
      </c>
      <c r="AE908" s="37" t="str">
        <f>RIGHT(MIP[[#This Row],[Equipe]], LEN(MIP[[#This Row],[Equipe]])-SEARCH("/",MIP[[#This Row],[Equipe]],1))</f>
        <v xml:space="preserve"> GECIVALDO</v>
      </c>
      <c r="AF908" s="29">
        <f>COUNTIFS('[1]Tempo parado'!H:H,"&gt;="&amp;MIP[[#This Row],[S.B Sitrack]],'[1]Tempo parado'!I:I,"&lt;="&amp;MIP[[#This Row],[C.B Sitrack]],'[1]Tempo parado'!B:B,MIP[[#This Row],[Placa]])</f>
        <v>0</v>
      </c>
      <c r="AG908" s="36"/>
      <c r="AH908" s="35"/>
      <c r="AI908" s="34"/>
      <c r="AJ908" s="34"/>
      <c r="AK90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90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908" s="32">
        <f>SUMIFS('[1]Tempo parado'!J:J,'[1]Tempo parado'!H:H,"&gt;="&amp;MIP[[#This Row],[S.B Sitrack]],'[1]Tempo parado'!I:I,"&lt;="&amp;MIP[[#This Row],[C.B Sitrack]],'[1]Tempo parado'!B:B,MIP[[#This Row],[Placa]])</f>
        <v>0</v>
      </c>
      <c r="AN908" s="31" t="str">
        <f>IFERROR(MIP[[#This Row],[Tempo parado]]/(MIP[[#This Row],[C.B Sitrack]]-MIP[[#This Row],[S.B Sitrack]]),"")</f>
        <v/>
      </c>
      <c r="AO908" s="30"/>
      <c r="AP908" s="29">
        <f>IF(AND(MIP[Exc]=0,MIP[Previsto / Realizado]="Realizado"),MIP[Sem],0)</f>
        <v>0</v>
      </c>
      <c r="AQ908" s="29">
        <f>IF(AND(MIP[Exc]=0,MIP[Previsto / Realizado]="Realizado",ISBLANK(MIP[[#This Row],[S.B Sitrack]])=FALSE,ISBLANK(MIP[[#This Row],[C.B Sitrack]])=FALSE),MIP[Sem],0)</f>
        <v>0</v>
      </c>
    </row>
    <row r="909" spans="2:43" x14ac:dyDescent="0.25">
      <c r="B909" s="29">
        <f>WEEKNUM(MIP[[#This Row],[Data]])</f>
        <v>52</v>
      </c>
      <c r="C909" s="45" t="s">
        <v>18</v>
      </c>
      <c r="D909" s="45"/>
      <c r="E909" s="35" t="s">
        <v>3</v>
      </c>
      <c r="F909" s="35" t="s">
        <v>2</v>
      </c>
      <c r="G909" s="35" t="s">
        <v>1</v>
      </c>
      <c r="H909" s="44"/>
      <c r="I909" s="44">
        <v>1</v>
      </c>
      <c r="J909" s="44">
        <v>2</v>
      </c>
      <c r="K909" s="44">
        <v>1</v>
      </c>
      <c r="L909" s="44">
        <v>7</v>
      </c>
      <c r="M909" s="43">
        <v>0.625</v>
      </c>
      <c r="N909" s="43">
        <v>0.66666666666666663</v>
      </c>
      <c r="O909" s="43">
        <v>4.8611111111111112E-2</v>
      </c>
      <c r="P909" s="43">
        <v>6.25E-2</v>
      </c>
      <c r="Q909" s="39"/>
      <c r="R909" s="42"/>
      <c r="S909" s="29">
        <f>MIP[[#This Row],[PT-1]]+MIP[[#This Row],[PT-2]]*2+MIP[[#This Row],[PT-3]]*3+MIP[[#This Row],[PT &gt; 3 Pontos]]</f>
        <v>15</v>
      </c>
      <c r="T90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5.5555555555555469E-2</v>
      </c>
      <c r="U909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5.5555555555555469E-2</v>
      </c>
      <c r="V909" s="41">
        <f>MIP[[#This Row],[Eficiência]]</f>
        <v>0.93268253557461644</v>
      </c>
      <c r="W909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909" s="39">
        <f>IF(MIP[[#This Row],[P.S]]-MIP[[#This Row],[P.E]]&lt;0,1+MIP[[#This Row],[P.S]]-MIP[[#This Row],[P.E]]-1/24,MIP[[#This Row],[P.S]]-MIP[[#This Row],[P.E]]-1/24)</f>
        <v>0.39583333333333331</v>
      </c>
      <c r="Y909" s="39">
        <f>MIP[[#This Row],[PT-1]]*$S$3+MIP[[#This Row],[PT-2]]*$T$3+MIP[[#This Row],[PT-3]]*$U$3+MIP[[#This Row],[PT &gt; 3 Pontos]]*$V$3</f>
        <v>0.31737114057747373</v>
      </c>
      <c r="Z909" s="39">
        <f>MIP[[#This Row],[HH disponível]]-MIP[[#This Row],[HH AC TOT]]</f>
        <v>0.34027777777777785</v>
      </c>
      <c r="AA909" s="38">
        <f>MIP[[#This Row],[HH Produtivo
Total]]/MIP[[#This Row],[HH Trabalhado]]</f>
        <v>0.93268253557461644</v>
      </c>
      <c r="AB909" s="38">
        <f>MIP[[#This Row],[HH Produtivo
Total]]/MIP[[#This Row],[HH disponível]]</f>
        <v>0.80177972356414418</v>
      </c>
      <c r="AC909" s="38">
        <f>MIP[[#This Row],[HH Trabalhado]]/MIP[[#This Row],[HH disponível]]</f>
        <v>0.85964912280701777</v>
      </c>
      <c r="AD909" s="37" t="str">
        <f>LEFT(MIP[[#This Row],[Equipe]], SEARCH("/",MIP[[#This Row],[Equipe]],1)-1)</f>
        <v xml:space="preserve">EDILTON </v>
      </c>
      <c r="AE909" s="37" t="str">
        <f>RIGHT(MIP[[#This Row],[Equipe]], LEN(MIP[[#This Row],[Equipe]])-SEARCH("/",MIP[[#This Row],[Equipe]],1))</f>
        <v xml:space="preserve"> GECIVALDO</v>
      </c>
      <c r="AF909" s="29">
        <f>COUNTIFS('[1]Tempo parado'!H:H,"&gt;="&amp;MIP[[#This Row],[S.B Sitrack]],'[1]Tempo parado'!I:I,"&lt;="&amp;MIP[[#This Row],[C.B Sitrack]],'[1]Tempo parado'!B:B,MIP[[#This Row],[Placa]])</f>
        <v>0</v>
      </c>
      <c r="AG909" s="36"/>
      <c r="AH909" s="35"/>
      <c r="AI909" s="34"/>
      <c r="AJ909" s="34"/>
      <c r="AK90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90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909" s="32">
        <f>SUMIFS('[1]Tempo parado'!J:J,'[1]Tempo parado'!H:H,"&gt;="&amp;MIP[[#This Row],[S.B Sitrack]],'[1]Tempo parado'!I:I,"&lt;="&amp;MIP[[#This Row],[C.B Sitrack]],'[1]Tempo parado'!B:B,MIP[[#This Row],[Placa]])</f>
        <v>0</v>
      </c>
      <c r="AN909" s="31" t="str">
        <f>IFERROR(MIP[[#This Row],[Tempo parado]]/(MIP[[#This Row],[C.B Sitrack]]-MIP[[#This Row],[S.B Sitrack]]),"")</f>
        <v/>
      </c>
      <c r="AO909" s="30"/>
      <c r="AP909" s="29">
        <f>IF(AND(MIP[Exc]=0,MIP[Previsto / Realizado]="Realizado"),MIP[Sem],0)</f>
        <v>52</v>
      </c>
      <c r="AQ909" s="29">
        <f>IF(AND(MIP[Exc]=0,MIP[Previsto / Realizado]="Realizado",ISBLANK(MIP[[#This Row],[S.B Sitrack]])=FALSE,ISBLANK(MIP[[#This Row],[C.B Sitrack]])=FALSE),MIP[Sem],0)</f>
        <v>0</v>
      </c>
    </row>
    <row r="910" spans="2:43" x14ac:dyDescent="0.25">
      <c r="B910" s="29">
        <f>WEEKNUM(MIP[[#This Row],[Data]])</f>
        <v>52</v>
      </c>
      <c r="C910" s="45">
        <v>43096</v>
      </c>
      <c r="D910" s="45"/>
      <c r="E910" s="35" t="s">
        <v>10</v>
      </c>
      <c r="F910" s="35" t="s">
        <v>5</v>
      </c>
      <c r="G910" s="35"/>
      <c r="H910" s="44"/>
      <c r="I910" s="44">
        <v>2</v>
      </c>
      <c r="J910" s="44">
        <v>2</v>
      </c>
      <c r="K910" s="44">
        <v>1</v>
      </c>
      <c r="L910" s="44">
        <v>0</v>
      </c>
      <c r="M910" s="43">
        <v>0.25</v>
      </c>
      <c r="N910" s="43">
        <v>0.2638888888888889</v>
      </c>
      <c r="O910" s="43">
        <v>0.62986111111111109</v>
      </c>
      <c r="P910" s="43">
        <v>0.65833333333333333</v>
      </c>
      <c r="Q910" s="39"/>
      <c r="R910" s="42"/>
      <c r="S910" s="29">
        <f>MIP[[#This Row],[PT-1]]+MIP[[#This Row],[PT-2]]*2+MIP[[#This Row],[PT-3]]*3+MIP[[#This Row],[PT &gt; 3 Pontos]]</f>
        <v>9</v>
      </c>
      <c r="T91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4.2361111111111127E-2</v>
      </c>
      <c r="U910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4.2361111111111127E-2</v>
      </c>
      <c r="V910" s="41">
        <f>MIP[[#This Row],[Eficiência]]</f>
        <v>0.61874030195822871</v>
      </c>
      <c r="W910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910" s="39">
        <f>IF(MIP[[#This Row],[P.S]]-MIP[[#This Row],[P.E]]&lt;0,1+MIP[[#This Row],[P.S]]-MIP[[#This Row],[P.E]]-1/24,MIP[[#This Row],[P.S]]-MIP[[#This Row],[P.E]]-1/24)</f>
        <v>0.36666666666666664</v>
      </c>
      <c r="Y910" s="39">
        <f>MIP[[#This Row],[PT-1]]*$S$3+MIP[[#This Row],[PT-2]]*$T$3+MIP[[#This Row],[PT-3]]*$U$3+MIP[[#This Row],[PT &gt; 3 Pontos]]*$V$3</f>
        <v>0.20066091737117553</v>
      </c>
      <c r="Z910" s="39">
        <f>MIP[[#This Row],[HH disponível]]-MIP[[#This Row],[HH AC TOT]]</f>
        <v>0.32430555555555551</v>
      </c>
      <c r="AA910" s="38">
        <f>MIP[[#This Row],[HH Produtivo
Total]]/MIP[[#This Row],[HH Trabalhado]]</f>
        <v>0.61874030195822871</v>
      </c>
      <c r="AB910" s="38">
        <f>MIP[[#This Row],[HH Produtivo
Total]]/MIP[[#This Row],[HH disponível]]</f>
        <v>0.54725704737593328</v>
      </c>
      <c r="AC910" s="38">
        <f>MIP[[#This Row],[HH Trabalhado]]/MIP[[#This Row],[HH disponível]]</f>
        <v>0.88446969696969691</v>
      </c>
      <c r="AD910" s="37" t="str">
        <f>LEFT(MIP[[#This Row],[Equipe]], SEARCH("/",MIP[[#This Row],[Equipe]],1)-1)</f>
        <v xml:space="preserve">JOILSON </v>
      </c>
      <c r="AE910" s="37" t="str">
        <f>RIGHT(MIP[[#This Row],[Equipe]], LEN(MIP[[#This Row],[Equipe]])-SEARCH("/",MIP[[#This Row],[Equipe]],1))</f>
        <v xml:space="preserve"> VALDEI</v>
      </c>
      <c r="AF910" s="29">
        <f>COUNTIFS('[1]Tempo parado'!H:H,"&gt;="&amp;MIP[[#This Row],[S.B Sitrack]],'[1]Tempo parado'!I:I,"&lt;="&amp;MIP[[#This Row],[C.B Sitrack]],'[1]Tempo parado'!B:B,MIP[[#This Row],[Placa]])</f>
        <v>0</v>
      </c>
      <c r="AG910" s="36"/>
      <c r="AH910" s="35"/>
      <c r="AI910" s="34"/>
      <c r="AJ910" s="34"/>
      <c r="AK91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91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910" s="32">
        <f>SUMIFS('[1]Tempo parado'!J:J,'[1]Tempo parado'!H:H,"&gt;="&amp;MIP[[#This Row],[S.B Sitrack]],'[1]Tempo parado'!I:I,"&lt;="&amp;MIP[[#This Row],[C.B Sitrack]],'[1]Tempo parado'!B:B,MIP[[#This Row],[Placa]])</f>
        <v>0</v>
      </c>
      <c r="AN910" s="31" t="str">
        <f>IFERROR(MIP[[#This Row],[Tempo parado]]/(MIP[[#This Row],[C.B Sitrack]]-MIP[[#This Row],[S.B Sitrack]]),"")</f>
        <v/>
      </c>
      <c r="AO910" s="30"/>
      <c r="AP910" s="29">
        <f>IF(AND(MIP[Exc]=0,MIP[Previsto / Realizado]="Realizado"),MIP[Sem],0)</f>
        <v>0</v>
      </c>
      <c r="AQ910" s="29">
        <f>IF(AND(MIP[Exc]=0,MIP[Previsto / Realizado]="Realizado",ISBLANK(MIP[[#This Row],[S.B Sitrack]])=FALSE,ISBLANK(MIP[[#This Row],[C.B Sitrack]])=FALSE),MIP[Sem],0)</f>
        <v>0</v>
      </c>
    </row>
    <row r="911" spans="2:43" x14ac:dyDescent="0.25">
      <c r="B911" s="29">
        <f>WEEKNUM(MIP[[#This Row],[Data]])</f>
        <v>52</v>
      </c>
      <c r="C911" s="45" t="s">
        <v>15</v>
      </c>
      <c r="D911" s="45"/>
      <c r="E911" s="35" t="s">
        <v>10</v>
      </c>
      <c r="F911" s="35" t="s">
        <v>2</v>
      </c>
      <c r="G911" s="35" t="s">
        <v>1</v>
      </c>
      <c r="H911" s="44"/>
      <c r="I911" s="44">
        <v>4</v>
      </c>
      <c r="J911" s="44">
        <v>2</v>
      </c>
      <c r="K911" s="44">
        <v>0</v>
      </c>
      <c r="L911" s="44">
        <v>4</v>
      </c>
      <c r="M911" s="43">
        <v>0.24652777777777779</v>
      </c>
      <c r="N911" s="43">
        <v>0.2722222222222222</v>
      </c>
      <c r="O911" s="43">
        <v>0.62222222222222223</v>
      </c>
      <c r="P911" s="43">
        <v>0.66388888888888886</v>
      </c>
      <c r="Q911" s="39"/>
      <c r="R911" s="42" t="s">
        <v>17</v>
      </c>
      <c r="S911" s="29">
        <f>MIP[[#This Row],[PT-1]]+MIP[[#This Row],[PT-2]]*2+MIP[[#This Row],[PT-3]]*3+MIP[[#This Row],[PT &gt; 3 Pontos]]</f>
        <v>12</v>
      </c>
      <c r="T91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6.7361111111111038E-2</v>
      </c>
      <c r="U911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6.7361111111111038E-2</v>
      </c>
      <c r="V911" s="41">
        <f>MIP[[#This Row],[Eficiência]]</f>
        <v>0.87215022994008473</v>
      </c>
      <c r="W911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911" s="39">
        <f>IF(MIP[[#This Row],[P.S]]-MIP[[#This Row],[P.E]]&lt;0,1+MIP[[#This Row],[P.S]]-MIP[[#This Row],[P.E]]-1/24,MIP[[#This Row],[P.S]]-MIP[[#This Row],[P.E]]-1/24)</f>
        <v>0.37569444444444439</v>
      </c>
      <c r="Y911" s="39">
        <f>MIP[[#This Row],[PT-1]]*$S$3+MIP[[#This Row],[PT-2]]*$T$3+MIP[[#This Row],[PT-3]]*$U$3+MIP[[#This Row],[PT &gt; 3 Pontos]]*$V$3</f>
        <v>0.26891298756485948</v>
      </c>
      <c r="Z911" s="39">
        <f>MIP[[#This Row],[HH disponível]]-MIP[[#This Row],[HH AC TOT]]</f>
        <v>0.30833333333333335</v>
      </c>
      <c r="AA911" s="38">
        <f>MIP[[#This Row],[HH Produtivo
Total]]/MIP[[#This Row],[HH Trabalhado]]</f>
        <v>0.87215022994008473</v>
      </c>
      <c r="AB911" s="38">
        <f>MIP[[#This Row],[HH Produtivo
Total]]/MIP[[#This Row],[HH disponível]]</f>
        <v>0.7157757894517518</v>
      </c>
      <c r="AC911" s="38">
        <f>MIP[[#This Row],[HH Trabalhado]]/MIP[[#This Row],[HH disponível]]</f>
        <v>0.82070240295748631</v>
      </c>
      <c r="AD911" s="37" t="str">
        <f>LEFT(MIP[[#This Row],[Equipe]], SEARCH("/",MIP[[#This Row],[Equipe]],1)-1)</f>
        <v xml:space="preserve">JOILSON </v>
      </c>
      <c r="AE911" s="37" t="str">
        <f>RIGHT(MIP[[#This Row],[Equipe]], LEN(MIP[[#This Row],[Equipe]])-SEARCH("/",MIP[[#This Row],[Equipe]],1))</f>
        <v xml:space="preserve"> VALDEI</v>
      </c>
      <c r="AF911" s="29">
        <f>COUNTIFS('[1]Tempo parado'!H:H,"&gt;="&amp;MIP[[#This Row],[S.B Sitrack]],'[1]Tempo parado'!I:I,"&lt;="&amp;MIP[[#This Row],[C.B Sitrack]],'[1]Tempo parado'!B:B,MIP[[#This Row],[Placa]])</f>
        <v>0</v>
      </c>
      <c r="AG911" s="36"/>
      <c r="AH911" s="35"/>
      <c r="AI911" s="34"/>
      <c r="AJ911" s="34"/>
      <c r="AK91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91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911" s="32">
        <f>SUMIFS('[1]Tempo parado'!J:J,'[1]Tempo parado'!H:H,"&gt;="&amp;MIP[[#This Row],[S.B Sitrack]],'[1]Tempo parado'!I:I,"&lt;="&amp;MIP[[#This Row],[C.B Sitrack]],'[1]Tempo parado'!B:B,MIP[[#This Row],[Placa]])</f>
        <v>0</v>
      </c>
      <c r="AN911" s="31" t="str">
        <f>IFERROR(MIP[[#This Row],[Tempo parado]]/(MIP[[#This Row],[C.B Sitrack]]-MIP[[#This Row],[S.B Sitrack]]),"")</f>
        <v/>
      </c>
      <c r="AO911" s="30"/>
      <c r="AP911" s="29">
        <f>IF(AND(MIP[Exc]=0,MIP[Previsto / Realizado]="Realizado"),MIP[Sem],0)</f>
        <v>52</v>
      </c>
      <c r="AQ911" s="29">
        <f>IF(AND(MIP[Exc]=0,MIP[Previsto / Realizado]="Realizado",ISBLANK(MIP[[#This Row],[S.B Sitrack]])=FALSE,ISBLANK(MIP[[#This Row],[C.B Sitrack]])=FALSE),MIP[Sem],0)</f>
        <v>0</v>
      </c>
    </row>
    <row r="912" spans="2:43" x14ac:dyDescent="0.25">
      <c r="B912" s="29">
        <f>WEEKNUM(MIP[[#This Row],[Data]])</f>
        <v>52</v>
      </c>
      <c r="C912" s="45" t="s">
        <v>15</v>
      </c>
      <c r="D912" s="45"/>
      <c r="E912" s="35" t="s">
        <v>3</v>
      </c>
      <c r="F912" s="35" t="s">
        <v>5</v>
      </c>
      <c r="G912" s="35"/>
      <c r="H912" s="44"/>
      <c r="I912" s="44">
        <v>2</v>
      </c>
      <c r="J912" s="44">
        <v>2</v>
      </c>
      <c r="K912" s="44">
        <v>1</v>
      </c>
      <c r="L912" s="44">
        <v>0</v>
      </c>
      <c r="M912" s="43">
        <v>0.625</v>
      </c>
      <c r="N912" s="43">
        <v>0.63750000000000007</v>
      </c>
      <c r="O912" s="43">
        <v>4.8611111111111112E-3</v>
      </c>
      <c r="P912" s="43">
        <v>3.3333333333333333E-2</v>
      </c>
      <c r="Q912" s="39"/>
      <c r="R912" s="42" t="s">
        <v>4</v>
      </c>
      <c r="S912" s="29">
        <f>MIP[[#This Row],[PT-1]]+MIP[[#This Row],[PT-2]]*2+MIP[[#This Row],[PT-3]]*3+MIP[[#This Row],[PT &gt; 3 Pontos]]</f>
        <v>9</v>
      </c>
      <c r="T91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4.0972222222222299E-2</v>
      </c>
      <c r="U912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4.0972222222222299E-2</v>
      </c>
      <c r="V912" s="41">
        <f>MIP[[#This Row],[Eficiência]]</f>
        <v>0.61610175056395045</v>
      </c>
      <c r="W912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912" s="39">
        <f>IF(MIP[[#This Row],[P.S]]-MIP[[#This Row],[P.E]]&lt;0,1+MIP[[#This Row],[P.S]]-MIP[[#This Row],[P.E]]-1/24,MIP[[#This Row],[P.S]]-MIP[[#This Row],[P.E]]-1/24)</f>
        <v>0.36666666666666675</v>
      </c>
      <c r="Y912" s="39">
        <f>MIP[[#This Row],[PT-1]]*$S$3+MIP[[#This Row],[PT-2]]*$T$3+MIP[[#This Row],[PT-3]]*$U$3+MIP[[#This Row],[PT &gt; 3 Pontos]]*$V$3</f>
        <v>0.20066091737117553</v>
      </c>
      <c r="Z912" s="39">
        <f>MIP[[#This Row],[HH disponível]]-MIP[[#This Row],[HH AC TOT]]</f>
        <v>0.32569444444444445</v>
      </c>
      <c r="AA912" s="38">
        <f>MIP[[#This Row],[HH Produtivo
Total]]/MIP[[#This Row],[HH Trabalhado]]</f>
        <v>0.61610175056395045</v>
      </c>
      <c r="AB912" s="38">
        <f>MIP[[#This Row],[HH Produtivo
Total]]/MIP[[#This Row],[HH disponível]]</f>
        <v>0.54725704737593317</v>
      </c>
      <c r="AC912" s="38">
        <f>MIP[[#This Row],[HH Trabalhado]]/MIP[[#This Row],[HH disponível]]</f>
        <v>0.88825757575757558</v>
      </c>
      <c r="AD912" s="37" t="str">
        <f>LEFT(MIP[[#This Row],[Equipe]], SEARCH("/",MIP[[#This Row],[Equipe]],1)-1)</f>
        <v xml:space="preserve">EDILTON </v>
      </c>
      <c r="AE912" s="37" t="str">
        <f>RIGHT(MIP[[#This Row],[Equipe]], LEN(MIP[[#This Row],[Equipe]])-SEARCH("/",MIP[[#This Row],[Equipe]],1))</f>
        <v xml:space="preserve"> GECIVALDO</v>
      </c>
      <c r="AF912" s="29">
        <f>COUNTIFS('[1]Tempo parado'!H:H,"&gt;="&amp;MIP[[#This Row],[S.B Sitrack]],'[1]Tempo parado'!I:I,"&lt;="&amp;MIP[[#This Row],[C.B Sitrack]],'[1]Tempo parado'!B:B,MIP[[#This Row],[Placa]])</f>
        <v>0</v>
      </c>
      <c r="AG912" s="36"/>
      <c r="AH912" s="35"/>
      <c r="AI912" s="34"/>
      <c r="AJ912" s="34"/>
      <c r="AK91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91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912" s="32">
        <f>SUMIFS('[1]Tempo parado'!J:J,'[1]Tempo parado'!H:H,"&gt;="&amp;MIP[[#This Row],[S.B Sitrack]],'[1]Tempo parado'!I:I,"&lt;="&amp;MIP[[#This Row],[C.B Sitrack]],'[1]Tempo parado'!B:B,MIP[[#This Row],[Placa]])</f>
        <v>0</v>
      </c>
      <c r="AN912" s="31" t="str">
        <f>IFERROR(MIP[[#This Row],[Tempo parado]]/(MIP[[#This Row],[C.B Sitrack]]-MIP[[#This Row],[S.B Sitrack]]),"")</f>
        <v/>
      </c>
      <c r="AO912" s="30"/>
      <c r="AP912" s="29">
        <f>IF(AND(MIP[Exc]=0,MIP[Previsto / Realizado]="Realizado"),MIP[Sem],0)</f>
        <v>0</v>
      </c>
      <c r="AQ912" s="29">
        <f>IF(AND(MIP[Exc]=0,MIP[Previsto / Realizado]="Realizado",ISBLANK(MIP[[#This Row],[S.B Sitrack]])=FALSE,ISBLANK(MIP[[#This Row],[C.B Sitrack]])=FALSE),MIP[Sem],0)</f>
        <v>0</v>
      </c>
    </row>
    <row r="913" spans="2:43" x14ac:dyDescent="0.25">
      <c r="B913" s="29">
        <f>WEEKNUM(MIP[[#This Row],[Data]])</f>
        <v>52</v>
      </c>
      <c r="C913" s="45" t="s">
        <v>15</v>
      </c>
      <c r="D913" s="45"/>
      <c r="E913" s="35" t="s">
        <v>3</v>
      </c>
      <c r="F913" s="35" t="s">
        <v>2</v>
      </c>
      <c r="G913" s="35" t="s">
        <v>1</v>
      </c>
      <c r="H913" s="44"/>
      <c r="I913" s="44">
        <v>3</v>
      </c>
      <c r="J913" s="44">
        <v>3</v>
      </c>
      <c r="K913" s="44">
        <v>1</v>
      </c>
      <c r="L913" s="44">
        <v>4</v>
      </c>
      <c r="M913" s="43">
        <v>0.62708333333333333</v>
      </c>
      <c r="N913" s="43">
        <v>0.66111111111111109</v>
      </c>
      <c r="O913" s="43">
        <v>3.6111111111111115E-2</v>
      </c>
      <c r="P913" s="43">
        <v>4.1666666666666664E-2</v>
      </c>
      <c r="Q913" s="39"/>
      <c r="R913" s="42" t="s">
        <v>16</v>
      </c>
      <c r="S913" s="29">
        <f>MIP[[#This Row],[PT-1]]+MIP[[#This Row],[PT-2]]*2+MIP[[#This Row],[PT-3]]*3+MIP[[#This Row],[PT &gt; 3 Pontos]]</f>
        <v>16</v>
      </c>
      <c r="T91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3.9583333333333304E-2</v>
      </c>
      <c r="U913" s="39">
        <f>IF(MIP[[#This Row],[P.S]]-MIP[[#This Row],[U.P]]&gt;=0,MIP[[#This Row],[P.S]]-MIP[[#This Row],[U.P]]+MIP[[#This Row],[S.B]]-MIP[[#This Row],[P.E]],1+MIP[[#This Row],[P.S]]-MIP[[#This Row],[U.P]]+MIP[[#This Row],[S.B]]-MIP[[#This Row],[P.E]])</f>
        <v>3.9583333333333304E-2</v>
      </c>
      <c r="V913" s="41">
        <f>MIP[[#This Row],[Eficiência]]</f>
        <v>1.0517627398684917</v>
      </c>
      <c r="W913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913" s="39">
        <f>IF(MIP[[#This Row],[P.S]]-MIP[[#This Row],[P.E]]&lt;0,1+MIP[[#This Row],[P.S]]-MIP[[#This Row],[P.E]]-1/24,MIP[[#This Row],[P.S]]-MIP[[#This Row],[P.E]]-1/24)</f>
        <v>0.37291666666666673</v>
      </c>
      <c r="Y913" s="39">
        <f>MIP[[#This Row],[PT-1]]*$S$3+MIP[[#This Row],[PT-2]]*$T$3+MIP[[#This Row],[PT-3]]*$U$3+MIP[[#This Row],[PT &gt; 3 Pontos]]*$V$3</f>
        <v>0.35058757995616396</v>
      </c>
      <c r="Z913" s="39">
        <f>MIP[[#This Row],[HH disponível]]-MIP[[#This Row],[HH AC TOT]]</f>
        <v>0.33333333333333343</v>
      </c>
      <c r="AA913" s="38">
        <f>MIP[[#This Row],[HH Produtivo
Total]]/MIP[[#This Row],[HH Trabalhado]]</f>
        <v>1.0517627398684917</v>
      </c>
      <c r="AB913" s="38">
        <f>MIP[[#This Row],[HH Produtivo
Total]]/MIP[[#This Row],[HH disponível]]</f>
        <v>0.94012311943552329</v>
      </c>
      <c r="AC913" s="38">
        <f>MIP[[#This Row],[HH Trabalhado]]/MIP[[#This Row],[HH disponível]]</f>
        <v>0.89385474860335201</v>
      </c>
      <c r="AD913" s="37" t="str">
        <f>LEFT(MIP[[#This Row],[Equipe]], SEARCH("/",MIP[[#This Row],[Equipe]],1)-1)</f>
        <v xml:space="preserve">EDILTON </v>
      </c>
      <c r="AE913" s="37" t="str">
        <f>RIGHT(MIP[[#This Row],[Equipe]], LEN(MIP[[#This Row],[Equipe]])-SEARCH("/",MIP[[#This Row],[Equipe]],1))</f>
        <v xml:space="preserve"> GECIVALDO</v>
      </c>
      <c r="AF913" s="29">
        <f>COUNTIFS('[1]Tempo parado'!H:H,"&gt;="&amp;MIP[[#This Row],[S.B Sitrack]],'[1]Tempo parado'!I:I,"&lt;="&amp;MIP[[#This Row],[C.B Sitrack]],'[1]Tempo parado'!B:B,MIP[[#This Row],[Placa]])</f>
        <v>0</v>
      </c>
      <c r="AG913" s="36"/>
      <c r="AH913" s="35"/>
      <c r="AI913" s="34"/>
      <c r="AJ913" s="34"/>
      <c r="AK91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91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913" s="32">
        <f>SUMIFS('[1]Tempo parado'!J:J,'[1]Tempo parado'!H:H,"&gt;="&amp;MIP[[#This Row],[S.B Sitrack]],'[1]Tempo parado'!I:I,"&lt;="&amp;MIP[[#This Row],[C.B Sitrack]],'[1]Tempo parado'!B:B,MIP[[#This Row],[Placa]])</f>
        <v>0</v>
      </c>
      <c r="AN913" s="31" t="str">
        <f>IFERROR(MIP[[#This Row],[Tempo parado]]/(MIP[[#This Row],[C.B Sitrack]]-MIP[[#This Row],[S.B Sitrack]]),"")</f>
        <v/>
      </c>
      <c r="AO913" s="30"/>
      <c r="AP913" s="29">
        <f>IF(AND(MIP[Exc]=0,MIP[Previsto / Realizado]="Realizado"),MIP[Sem],0)</f>
        <v>52</v>
      </c>
      <c r="AQ913" s="29">
        <f>IF(AND(MIP[Exc]=0,MIP[Previsto / Realizado]="Realizado",ISBLANK(MIP[[#This Row],[S.B Sitrack]])=FALSE,ISBLANK(MIP[[#This Row],[C.B Sitrack]])=FALSE),MIP[Sem],0)</f>
        <v>0</v>
      </c>
    </row>
    <row r="914" spans="2:43" x14ac:dyDescent="0.25">
      <c r="B914" s="29">
        <f>WEEKNUM(MIP[[#This Row],[Data]])</f>
        <v>52</v>
      </c>
      <c r="C914" s="45" t="s">
        <v>15</v>
      </c>
      <c r="D914" s="45"/>
      <c r="E914" s="35" t="s">
        <v>7</v>
      </c>
      <c r="F914" s="35" t="s">
        <v>5</v>
      </c>
      <c r="G914" s="35"/>
      <c r="H914" s="44"/>
      <c r="I914" s="44">
        <v>0</v>
      </c>
      <c r="J914" s="44">
        <v>0</v>
      </c>
      <c r="K914" s="44">
        <v>0</v>
      </c>
      <c r="L914" s="44">
        <v>5</v>
      </c>
      <c r="M914" s="43">
        <v>0.625</v>
      </c>
      <c r="N914" s="43">
        <v>0.63750000000000007</v>
      </c>
      <c r="O914" s="43">
        <v>4.8611111111111112E-3</v>
      </c>
      <c r="P914" s="43">
        <v>3.3333333333333333E-2</v>
      </c>
      <c r="Q914" s="39"/>
      <c r="R914" s="42" t="s">
        <v>4</v>
      </c>
      <c r="S914" s="29">
        <f>MIP[[#This Row],[PT-1]]+MIP[[#This Row],[PT-2]]*2+MIP[[#This Row],[PT-3]]*3+MIP[[#This Row],[PT &gt; 3 Pontos]]</f>
        <v>5</v>
      </c>
      <c r="T91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4.0972222222222299E-2</v>
      </c>
      <c r="U914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4.0972222222222299E-2</v>
      </c>
      <c r="V914" s="41">
        <f>MIP[[#This Row],[Eficiência]]</f>
        <v>0.31084366384090606</v>
      </c>
      <c r="W914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914" s="39">
        <f>IF(MIP[[#This Row],[P.S]]-MIP[[#This Row],[P.E]]&lt;0,1+MIP[[#This Row],[P.S]]-MIP[[#This Row],[P.E]]-1/24,MIP[[#This Row],[P.S]]-MIP[[#This Row],[P.E]]-1/24)</f>
        <v>0.36666666666666675</v>
      </c>
      <c r="Y914" s="39">
        <f>MIP[[#This Row],[PT-1]]*$S$3+MIP[[#This Row],[PT-2]]*$T$3+MIP[[#This Row],[PT-3]]*$U$3+MIP[[#This Row],[PT &gt; 3 Pontos]]*$V$3</f>
        <v>0.10124005440373954</v>
      </c>
      <c r="Z914" s="39">
        <f>MIP[[#This Row],[HH disponível]]-MIP[[#This Row],[HH AC TOT]]</f>
        <v>0.32569444444444445</v>
      </c>
      <c r="AA914" s="38">
        <f>MIP[[#This Row],[HH Produtivo
Total]]/MIP[[#This Row],[HH Trabalhado]]</f>
        <v>0.31084366384090606</v>
      </c>
      <c r="AB914" s="38">
        <f>MIP[[#This Row],[HH Produtivo
Total]]/MIP[[#This Row],[HH disponível]]</f>
        <v>0.27610923928292597</v>
      </c>
      <c r="AC914" s="38">
        <f>MIP[[#This Row],[HH Trabalhado]]/MIP[[#This Row],[HH disponível]]</f>
        <v>0.88825757575757558</v>
      </c>
      <c r="AD914" s="37" t="str">
        <f>LEFT(MIP[[#This Row],[Equipe]], SEARCH("/",MIP[[#This Row],[Equipe]],1)-1)</f>
        <v xml:space="preserve">ANDERSON </v>
      </c>
      <c r="AE914" s="37" t="str">
        <f>RIGHT(MIP[[#This Row],[Equipe]], LEN(MIP[[#This Row],[Equipe]])-SEARCH("/",MIP[[#This Row],[Equipe]],1))</f>
        <v xml:space="preserve"> MARCO</v>
      </c>
      <c r="AF914" s="29">
        <f>COUNTIFS('[1]Tempo parado'!H:H,"&gt;="&amp;MIP[[#This Row],[S.B Sitrack]],'[1]Tempo parado'!I:I,"&lt;="&amp;MIP[[#This Row],[C.B Sitrack]],'[1]Tempo parado'!B:B,MIP[[#This Row],[Placa]])</f>
        <v>0</v>
      </c>
      <c r="AG914" s="36"/>
      <c r="AH914" s="35"/>
      <c r="AI914" s="34"/>
      <c r="AJ914" s="34"/>
      <c r="AK91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91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914" s="32">
        <f>SUMIFS('[1]Tempo parado'!J:J,'[1]Tempo parado'!H:H,"&gt;="&amp;MIP[[#This Row],[S.B Sitrack]],'[1]Tempo parado'!I:I,"&lt;="&amp;MIP[[#This Row],[C.B Sitrack]],'[1]Tempo parado'!B:B,MIP[[#This Row],[Placa]])</f>
        <v>0</v>
      </c>
      <c r="AN914" s="31" t="str">
        <f>IFERROR(MIP[[#This Row],[Tempo parado]]/(MIP[[#This Row],[C.B Sitrack]]-MIP[[#This Row],[S.B Sitrack]]),"")</f>
        <v/>
      </c>
      <c r="AO914" s="30"/>
      <c r="AP914" s="29">
        <f>IF(AND(MIP[Exc]=0,MIP[Previsto / Realizado]="Realizado"),MIP[Sem],0)</f>
        <v>0</v>
      </c>
      <c r="AQ914" s="29">
        <f>IF(AND(MIP[Exc]=0,MIP[Previsto / Realizado]="Realizado",ISBLANK(MIP[[#This Row],[S.B Sitrack]])=FALSE,ISBLANK(MIP[[#This Row],[C.B Sitrack]])=FALSE),MIP[Sem],0)</f>
        <v>0</v>
      </c>
    </row>
    <row r="915" spans="2:43" x14ac:dyDescent="0.25">
      <c r="B915" s="29">
        <f>WEEKNUM(MIP[[#This Row],[Data]])</f>
        <v>52</v>
      </c>
      <c r="C915" s="45" t="s">
        <v>15</v>
      </c>
      <c r="D915" s="45"/>
      <c r="E915" s="35" t="s">
        <v>7</v>
      </c>
      <c r="F915" s="35" t="s">
        <v>2</v>
      </c>
      <c r="G915" s="35" t="s">
        <v>6</v>
      </c>
      <c r="H915" s="44"/>
      <c r="I915" s="44">
        <v>1</v>
      </c>
      <c r="J915" s="44">
        <v>0</v>
      </c>
      <c r="K915" s="44">
        <v>0</v>
      </c>
      <c r="L915" s="44">
        <v>12</v>
      </c>
      <c r="M915" s="43">
        <v>0.62708333333333333</v>
      </c>
      <c r="N915" s="43">
        <v>0.66388888888888886</v>
      </c>
      <c r="O915" s="43">
        <v>1.7361111111111112E-2</v>
      </c>
      <c r="P915" s="43">
        <v>3.3333333333333333E-2</v>
      </c>
      <c r="Q915" s="39"/>
      <c r="R915" s="42" t="s">
        <v>14</v>
      </c>
      <c r="S915" s="29">
        <f>MIP[[#This Row],[PT-1]]+MIP[[#This Row],[PT-2]]*2+MIP[[#This Row],[PT-3]]*3+MIP[[#This Row],[PT &gt; 3 Pontos]]</f>
        <v>13</v>
      </c>
      <c r="T915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5.2777777777777701E-2</v>
      </c>
      <c r="U915" s="39">
        <f>IF(MIP[[#This Row],[P.S]]-MIP[[#This Row],[U.P]]&gt;=0,MIP[[#This Row],[P.S]]-MIP[[#This Row],[U.P]]+MIP[[#This Row],[S.B]]-MIP[[#This Row],[P.E]],1+MIP[[#This Row],[P.S]]-MIP[[#This Row],[U.P]]+MIP[[#This Row],[S.B]]-MIP[[#This Row],[P.E]])</f>
        <v>5.2777777777777701E-2</v>
      </c>
      <c r="V915" s="41">
        <f>MIP[[#This Row],[Eficiência]]</f>
        <v>0.85951638369753502</v>
      </c>
      <c r="W915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915" s="39">
        <f>IF(MIP[[#This Row],[P.S]]-MIP[[#This Row],[P.E]]&lt;0,1+MIP[[#This Row],[P.S]]-MIP[[#This Row],[P.E]]-1/24,MIP[[#This Row],[P.S]]-MIP[[#This Row],[P.E]]-1/24)</f>
        <v>0.36458333333333343</v>
      </c>
      <c r="Y915" s="39">
        <f>MIP[[#This Row],[PT-1]]*$S$3+MIP[[#This Row],[PT-2]]*$T$3+MIP[[#This Row],[PT-3]]*$U$3+MIP[[#This Row],[PT &gt; 3 Pontos]]*$V$3</f>
        <v>0.2680019835279121</v>
      </c>
      <c r="Z915" s="39">
        <f>MIP[[#This Row],[HH disponível]]-MIP[[#This Row],[HH AC TOT]]</f>
        <v>0.31180555555555572</v>
      </c>
      <c r="AA915" s="38">
        <f>MIP[[#This Row],[HH Produtivo
Total]]/MIP[[#This Row],[HH Trabalhado]]</f>
        <v>0.85951638369753502</v>
      </c>
      <c r="AB915" s="38">
        <f>MIP[[#This Row],[HH Produtivo
Total]]/MIP[[#This Row],[HH disponível]]</f>
        <v>0.73509115481941589</v>
      </c>
      <c r="AC915" s="38">
        <f>MIP[[#This Row],[HH Trabalhado]]/MIP[[#This Row],[HH disponível]]</f>
        <v>0.85523809523809546</v>
      </c>
      <c r="AD915" s="37" t="str">
        <f>LEFT(MIP[[#This Row],[Equipe]], SEARCH("/",MIP[[#This Row],[Equipe]],1)-1)</f>
        <v xml:space="preserve">ANDERSON </v>
      </c>
      <c r="AE915" s="37" t="str">
        <f>RIGHT(MIP[[#This Row],[Equipe]], LEN(MIP[[#This Row],[Equipe]])-SEARCH("/",MIP[[#This Row],[Equipe]],1))</f>
        <v xml:space="preserve"> MARCO</v>
      </c>
      <c r="AF915" s="29">
        <f>COUNTIFS('[1]Tempo parado'!H:H,"&gt;="&amp;MIP[[#This Row],[S.B Sitrack]],'[1]Tempo parado'!I:I,"&lt;="&amp;MIP[[#This Row],[C.B Sitrack]],'[1]Tempo parado'!B:B,MIP[[#This Row],[Placa]])</f>
        <v>0</v>
      </c>
      <c r="AG915" s="36"/>
      <c r="AH915" s="35"/>
      <c r="AI915" s="34"/>
      <c r="AJ915" s="34"/>
      <c r="AK915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915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915" s="32">
        <f>SUMIFS('[1]Tempo parado'!J:J,'[1]Tempo parado'!H:H,"&gt;="&amp;MIP[[#This Row],[S.B Sitrack]],'[1]Tempo parado'!I:I,"&lt;="&amp;MIP[[#This Row],[C.B Sitrack]],'[1]Tempo parado'!B:B,MIP[[#This Row],[Placa]])</f>
        <v>0</v>
      </c>
      <c r="AN915" s="31" t="str">
        <f>IFERROR(MIP[[#This Row],[Tempo parado]]/(MIP[[#This Row],[C.B Sitrack]]-MIP[[#This Row],[S.B Sitrack]]),"")</f>
        <v/>
      </c>
      <c r="AO915" s="30"/>
      <c r="AP915" s="29">
        <f>IF(AND(MIP[Exc]=0,MIP[Previsto / Realizado]="Realizado"),MIP[Sem],0)</f>
        <v>52</v>
      </c>
      <c r="AQ915" s="29">
        <f>IF(AND(MIP[Exc]=0,MIP[Previsto / Realizado]="Realizado",ISBLANK(MIP[[#This Row],[S.B Sitrack]])=FALSE,ISBLANK(MIP[[#This Row],[C.B Sitrack]])=FALSE),MIP[Sem],0)</f>
        <v>0</v>
      </c>
    </row>
    <row r="916" spans="2:43" x14ac:dyDescent="0.25">
      <c r="B916" s="29">
        <f>WEEKNUM(MIP[[#This Row],[Data]])</f>
        <v>52</v>
      </c>
      <c r="C916" s="45" t="s">
        <v>12</v>
      </c>
      <c r="D916" s="45"/>
      <c r="E916" s="35" t="s">
        <v>10</v>
      </c>
      <c r="F916" s="35" t="s">
        <v>5</v>
      </c>
      <c r="G916" s="35"/>
      <c r="H916" s="44"/>
      <c r="I916" s="44">
        <v>3</v>
      </c>
      <c r="J916" s="44">
        <v>0</v>
      </c>
      <c r="K916" s="44">
        <v>3</v>
      </c>
      <c r="L916" s="44">
        <v>0</v>
      </c>
      <c r="M916" s="43">
        <v>0.25</v>
      </c>
      <c r="N916" s="43">
        <v>0.2638888888888889</v>
      </c>
      <c r="O916" s="43">
        <v>0.62986111111111109</v>
      </c>
      <c r="P916" s="43">
        <v>0.65833333333333333</v>
      </c>
      <c r="Q916" s="39"/>
      <c r="R916" s="42" t="s">
        <v>13</v>
      </c>
      <c r="S916" s="29">
        <f>MIP[[#This Row],[PT-1]]+MIP[[#This Row],[PT-2]]*2+MIP[[#This Row],[PT-3]]*3+MIP[[#This Row],[PT &gt; 3 Pontos]]</f>
        <v>12</v>
      </c>
      <c r="T916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4.2361111111111127E-2</v>
      </c>
      <c r="U916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4.2361111111111127E-2</v>
      </c>
      <c r="V916" s="41">
        <f>MIP[[#This Row],[Eficiência]]</f>
        <v>0.81235918443347943</v>
      </c>
      <c r="W916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916" s="39">
        <f>IF(MIP[[#This Row],[P.S]]-MIP[[#This Row],[P.E]]&lt;0,1+MIP[[#This Row],[P.S]]-MIP[[#This Row],[P.E]]-1/24,MIP[[#This Row],[P.S]]-MIP[[#This Row],[P.E]]-1/24)</f>
        <v>0.36666666666666664</v>
      </c>
      <c r="Y916" s="39">
        <f>MIP[[#This Row],[PT-1]]*$S$3+MIP[[#This Row],[PT-2]]*$T$3+MIP[[#This Row],[PT-3]]*$U$3+MIP[[#This Row],[PT &gt; 3 Pontos]]*$V$3</f>
        <v>0.26345259661835752</v>
      </c>
      <c r="Z916" s="39">
        <f>MIP[[#This Row],[HH disponível]]-MIP[[#This Row],[HH AC TOT]]</f>
        <v>0.32430555555555551</v>
      </c>
      <c r="AA916" s="38">
        <f>MIP[[#This Row],[HH Produtivo
Total]]/MIP[[#This Row],[HH Trabalhado]]</f>
        <v>0.81235918443347943</v>
      </c>
      <c r="AB916" s="38">
        <f>MIP[[#This Row],[HH Produtivo
Total]]/MIP[[#This Row],[HH disponível]]</f>
        <v>0.71850708168642963</v>
      </c>
      <c r="AC916" s="38">
        <f>MIP[[#This Row],[HH Trabalhado]]/MIP[[#This Row],[HH disponível]]</f>
        <v>0.88446969696969691</v>
      </c>
      <c r="AD916" s="37" t="str">
        <f>LEFT(MIP[[#This Row],[Equipe]], SEARCH("/",MIP[[#This Row],[Equipe]],1)-1)</f>
        <v xml:space="preserve">JOILSON </v>
      </c>
      <c r="AE916" s="37" t="str">
        <f>RIGHT(MIP[[#This Row],[Equipe]], LEN(MIP[[#This Row],[Equipe]])-SEARCH("/",MIP[[#This Row],[Equipe]],1))</f>
        <v xml:space="preserve"> VALDEI</v>
      </c>
      <c r="AF916" s="29">
        <f>COUNTIFS('[1]Tempo parado'!H:H,"&gt;="&amp;MIP[[#This Row],[S.B Sitrack]],'[1]Tempo parado'!I:I,"&lt;="&amp;MIP[[#This Row],[C.B Sitrack]],'[1]Tempo parado'!B:B,MIP[[#This Row],[Placa]])</f>
        <v>0</v>
      </c>
      <c r="AG916" s="36"/>
      <c r="AH916" s="35"/>
      <c r="AI916" s="34"/>
      <c r="AJ916" s="34"/>
      <c r="AK916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916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916" s="32">
        <f>SUMIFS('[1]Tempo parado'!J:J,'[1]Tempo parado'!H:H,"&gt;="&amp;MIP[[#This Row],[S.B Sitrack]],'[1]Tempo parado'!I:I,"&lt;="&amp;MIP[[#This Row],[C.B Sitrack]],'[1]Tempo parado'!B:B,MIP[[#This Row],[Placa]])</f>
        <v>0</v>
      </c>
      <c r="AN916" s="31" t="str">
        <f>IFERROR(MIP[[#This Row],[Tempo parado]]/(MIP[[#This Row],[C.B Sitrack]]-MIP[[#This Row],[S.B Sitrack]]),"")</f>
        <v/>
      </c>
      <c r="AO916" s="30"/>
      <c r="AP916" s="29">
        <f>IF(AND(MIP[Exc]=0,MIP[Previsto / Realizado]="Realizado"),MIP[Sem],0)</f>
        <v>0</v>
      </c>
      <c r="AQ916" s="29">
        <f>IF(AND(MIP[Exc]=0,MIP[Previsto / Realizado]="Realizado",ISBLANK(MIP[[#This Row],[S.B Sitrack]])=FALSE,ISBLANK(MIP[[#This Row],[C.B Sitrack]])=FALSE),MIP[Sem],0)</f>
        <v>0</v>
      </c>
    </row>
    <row r="917" spans="2:43" x14ac:dyDescent="0.25">
      <c r="B917" s="29">
        <f>WEEKNUM(MIP[[#This Row],[Data]])</f>
        <v>52</v>
      </c>
      <c r="C917" s="45" t="s">
        <v>12</v>
      </c>
      <c r="D917" s="45"/>
      <c r="E917" s="35" t="s">
        <v>10</v>
      </c>
      <c r="F917" s="35" t="s">
        <v>2</v>
      </c>
      <c r="G917" s="35" t="s">
        <v>1</v>
      </c>
      <c r="H917" s="44"/>
      <c r="I917" s="44">
        <v>6</v>
      </c>
      <c r="J917" s="44">
        <v>1</v>
      </c>
      <c r="K917" s="44">
        <v>1</v>
      </c>
      <c r="L917" s="44">
        <v>0</v>
      </c>
      <c r="M917" s="43">
        <v>0.24652777777777779</v>
      </c>
      <c r="N917" s="43">
        <v>0.27083333333333331</v>
      </c>
      <c r="O917" s="43">
        <v>0.59652777777777777</v>
      </c>
      <c r="P917" s="43">
        <v>0.67638888888888893</v>
      </c>
      <c r="Q917" s="39"/>
      <c r="R917" s="42" t="s">
        <v>9</v>
      </c>
      <c r="S917" s="29">
        <f>MIP[[#This Row],[PT-1]]+MIP[[#This Row],[PT-2]]*2+MIP[[#This Row],[PT-3]]*3+MIP[[#This Row],[PT &gt; 3 Pontos]]</f>
        <v>11</v>
      </c>
      <c r="T917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0.10416666666666669</v>
      </c>
      <c r="U917" s="39">
        <f>IF(MIP[[#This Row],[P.S]]-MIP[[#This Row],[U.P]]&gt;=0,MIP[[#This Row],[P.S]]-MIP[[#This Row],[U.P]]+MIP[[#This Row],[S.B]]-MIP[[#This Row],[P.E]],1+MIP[[#This Row],[P.S]]-MIP[[#This Row],[U.P]]+MIP[[#This Row],[S.B]]-MIP[[#This Row],[P.E]])</f>
        <v>0.10416666666666669</v>
      </c>
      <c r="V917" s="41">
        <f>MIP[[#This Row],[Eficiência]]</f>
        <v>0.90433254491336212</v>
      </c>
      <c r="W917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917" s="39">
        <f>IF(MIP[[#This Row],[P.S]]-MIP[[#This Row],[P.E]]&lt;0,1+MIP[[#This Row],[P.S]]-MIP[[#This Row],[P.E]]-1/24,MIP[[#This Row],[P.S]]-MIP[[#This Row],[P.E]]-1/24)</f>
        <v>0.38819444444444445</v>
      </c>
      <c r="Y917" s="39">
        <f>MIP[[#This Row],[PT-1]]*$S$3+MIP[[#This Row],[PT-2]]*$T$3+MIP[[#This Row],[PT-3]]*$U$3+MIP[[#This Row],[PT &gt; 3 Pontos]]*$V$3</f>
        <v>0.25685556310386465</v>
      </c>
      <c r="Z917" s="39">
        <f>MIP[[#This Row],[HH disponível]]-MIP[[#This Row],[HH AC TOT]]</f>
        <v>0.28402777777777777</v>
      </c>
      <c r="AA917" s="38">
        <f>MIP[[#This Row],[HH Produtivo
Total]]/MIP[[#This Row],[HH Trabalhado]]</f>
        <v>0.90433254491336212</v>
      </c>
      <c r="AB917" s="38">
        <f>MIP[[#This Row],[HH Produtivo
Total]]/MIP[[#This Row],[HH disponível]]</f>
        <v>0.66166728241424877</v>
      </c>
      <c r="AC917" s="38">
        <f>MIP[[#This Row],[HH Trabalhado]]/MIP[[#This Row],[HH disponível]]</f>
        <v>0.73166368515205715</v>
      </c>
      <c r="AD917" s="37" t="str">
        <f>LEFT(MIP[[#This Row],[Equipe]], SEARCH("/",MIP[[#This Row],[Equipe]],1)-1)</f>
        <v xml:space="preserve">JOILSON </v>
      </c>
      <c r="AE917" s="37" t="str">
        <f>RIGHT(MIP[[#This Row],[Equipe]], LEN(MIP[[#This Row],[Equipe]])-SEARCH("/",MIP[[#This Row],[Equipe]],1))</f>
        <v xml:space="preserve"> VALDEI</v>
      </c>
      <c r="AF917" s="29">
        <f>COUNTIFS('[1]Tempo parado'!H:H,"&gt;="&amp;MIP[[#This Row],[S.B Sitrack]],'[1]Tempo parado'!I:I,"&lt;="&amp;MIP[[#This Row],[C.B Sitrack]],'[1]Tempo parado'!B:B,MIP[[#This Row],[Placa]])</f>
        <v>0</v>
      </c>
      <c r="AG917" s="36"/>
      <c r="AH917" s="35"/>
      <c r="AI917" s="34"/>
      <c r="AJ917" s="34"/>
      <c r="AK917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917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917" s="32">
        <f>SUMIFS('[1]Tempo parado'!J:J,'[1]Tempo parado'!H:H,"&gt;="&amp;MIP[[#This Row],[S.B Sitrack]],'[1]Tempo parado'!I:I,"&lt;="&amp;MIP[[#This Row],[C.B Sitrack]],'[1]Tempo parado'!B:B,MIP[[#This Row],[Placa]])</f>
        <v>0</v>
      </c>
      <c r="AN917" s="31" t="str">
        <f>IFERROR(MIP[[#This Row],[Tempo parado]]/(MIP[[#This Row],[C.B Sitrack]]-MIP[[#This Row],[S.B Sitrack]]),"")</f>
        <v/>
      </c>
      <c r="AO917" s="30"/>
      <c r="AP917" s="29">
        <f>IF(AND(MIP[Exc]=0,MIP[Previsto / Realizado]="Realizado"),MIP[Sem],0)</f>
        <v>52</v>
      </c>
      <c r="AQ917" s="29">
        <f>IF(AND(MIP[Exc]=0,MIP[Previsto / Realizado]="Realizado",ISBLANK(MIP[[#This Row],[S.B Sitrack]])=FALSE,ISBLANK(MIP[[#This Row],[C.B Sitrack]])=FALSE),MIP[Sem],0)</f>
        <v>0</v>
      </c>
    </row>
    <row r="918" spans="2:43" x14ac:dyDescent="0.25">
      <c r="B918" s="29">
        <f>WEEKNUM(MIP[[#This Row],[Data]])</f>
        <v>52</v>
      </c>
      <c r="C918" s="45">
        <v>43097</v>
      </c>
      <c r="D918" s="45"/>
      <c r="E918" s="35" t="s">
        <v>3</v>
      </c>
      <c r="F918" s="35" t="s">
        <v>5</v>
      </c>
      <c r="G918" s="35"/>
      <c r="H918" s="44"/>
      <c r="I918" s="44">
        <v>1</v>
      </c>
      <c r="J918" s="44">
        <v>1</v>
      </c>
      <c r="K918" s="44">
        <v>1</v>
      </c>
      <c r="L918" s="44">
        <v>0</v>
      </c>
      <c r="M918" s="43">
        <v>0.625</v>
      </c>
      <c r="N918" s="43">
        <v>0.6381944444444444</v>
      </c>
      <c r="O918" s="43">
        <v>5.5555555555555558E-3</v>
      </c>
      <c r="P918" s="43">
        <v>3.3333333333333333E-2</v>
      </c>
      <c r="Q918" s="39"/>
      <c r="R918" s="42" t="s">
        <v>4</v>
      </c>
      <c r="S918" s="29">
        <f>MIP[[#This Row],[PT-1]]+MIP[[#This Row],[PT-2]]*2+MIP[[#This Row],[PT-3]]*3+MIP[[#This Row],[PT &gt; 3 Pontos]]</f>
        <v>6</v>
      </c>
      <c r="T918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4.0972222222222188E-2</v>
      </c>
      <c r="U918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4.0972222222222188E-2</v>
      </c>
      <c r="V918" s="41">
        <f>MIP[[#This Row],[Eficiência]]</f>
        <v>0.40444748308148687</v>
      </c>
      <c r="W918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918" s="39">
        <f>IF(MIP[[#This Row],[P.S]]-MIP[[#This Row],[P.E]]&lt;0,1+MIP[[#This Row],[P.S]]-MIP[[#This Row],[P.E]]-1/24,MIP[[#This Row],[P.S]]-MIP[[#This Row],[P.E]]-1/24)</f>
        <v>0.36666666666666675</v>
      </c>
      <c r="Y918" s="39">
        <f>MIP[[#This Row],[PT-1]]*$S$3+MIP[[#This Row],[PT-2]]*$T$3+MIP[[#This Row],[PT-3]]*$U$3+MIP[[#This Row],[PT &gt; 3 Pontos]]*$V$3</f>
        <v>0.13172629830917876</v>
      </c>
      <c r="Z918" s="39">
        <f>MIP[[#This Row],[HH disponível]]-MIP[[#This Row],[HH AC TOT]]</f>
        <v>0.32569444444444456</v>
      </c>
      <c r="AA918" s="38">
        <f>MIP[[#This Row],[HH Produtivo
Total]]/MIP[[#This Row],[HH Trabalhado]]</f>
        <v>0.40444748308148687</v>
      </c>
      <c r="AB918" s="38">
        <f>MIP[[#This Row],[HH Produtivo
Total]]/MIP[[#This Row],[HH disponível]]</f>
        <v>0.3592535408432147</v>
      </c>
      <c r="AC918" s="38">
        <f>MIP[[#This Row],[HH Trabalhado]]/MIP[[#This Row],[HH disponível]]</f>
        <v>0.88825757575757591</v>
      </c>
      <c r="AD918" s="37" t="str">
        <f>LEFT(MIP[[#This Row],[Equipe]], SEARCH("/",MIP[[#This Row],[Equipe]],1)-1)</f>
        <v xml:space="preserve">EDILTON </v>
      </c>
      <c r="AE918" s="37" t="str">
        <f>RIGHT(MIP[[#This Row],[Equipe]], LEN(MIP[[#This Row],[Equipe]])-SEARCH("/",MIP[[#This Row],[Equipe]],1))</f>
        <v xml:space="preserve"> GECIVALDO</v>
      </c>
      <c r="AF918" s="29">
        <f>COUNTIFS('[1]Tempo parado'!H:H,"&gt;="&amp;MIP[[#This Row],[S.B Sitrack]],'[1]Tempo parado'!I:I,"&lt;="&amp;MIP[[#This Row],[C.B Sitrack]],'[1]Tempo parado'!B:B,MIP[[#This Row],[Placa]])</f>
        <v>0</v>
      </c>
      <c r="AG918" s="36"/>
      <c r="AH918" s="35"/>
      <c r="AI918" s="34"/>
      <c r="AJ918" s="34"/>
      <c r="AK918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918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918" s="32">
        <f>SUMIFS('[1]Tempo parado'!J:J,'[1]Tempo parado'!H:H,"&gt;="&amp;MIP[[#This Row],[S.B Sitrack]],'[1]Tempo parado'!I:I,"&lt;="&amp;MIP[[#This Row],[C.B Sitrack]],'[1]Tempo parado'!B:B,MIP[[#This Row],[Placa]])</f>
        <v>0</v>
      </c>
      <c r="AN918" s="31" t="str">
        <f>IFERROR(MIP[[#This Row],[Tempo parado]]/(MIP[[#This Row],[C.B Sitrack]]-MIP[[#This Row],[S.B Sitrack]]),"")</f>
        <v/>
      </c>
      <c r="AO918" s="30"/>
      <c r="AP918" s="29">
        <f>IF(AND(MIP[Exc]=0,MIP[Previsto / Realizado]="Realizado"),MIP[Sem],0)</f>
        <v>0</v>
      </c>
      <c r="AQ918" s="29">
        <f>IF(AND(MIP[Exc]=0,MIP[Previsto / Realizado]="Realizado",ISBLANK(MIP[[#This Row],[S.B Sitrack]])=FALSE,ISBLANK(MIP[[#This Row],[C.B Sitrack]])=FALSE),MIP[Sem],0)</f>
        <v>0</v>
      </c>
    </row>
    <row r="919" spans="2:43" x14ac:dyDescent="0.25">
      <c r="B919" s="29">
        <f>WEEKNUM(MIP[[#This Row],[Data]])</f>
        <v>52</v>
      </c>
      <c r="C919" s="45" t="s">
        <v>12</v>
      </c>
      <c r="D919" s="45"/>
      <c r="E919" s="35" t="s">
        <v>3</v>
      </c>
      <c r="F919" s="35" t="s">
        <v>2</v>
      </c>
      <c r="G919" s="35" t="s">
        <v>1</v>
      </c>
      <c r="H919" s="44"/>
      <c r="I919" s="44">
        <v>4</v>
      </c>
      <c r="J919" s="44">
        <v>2</v>
      </c>
      <c r="K919" s="44">
        <v>1</v>
      </c>
      <c r="L919" s="44">
        <v>6</v>
      </c>
      <c r="M919" s="43">
        <v>0.625</v>
      </c>
      <c r="N919" s="43">
        <v>0.6875</v>
      </c>
      <c r="O919" s="43">
        <v>2.8472222222222222E-2</v>
      </c>
      <c r="P919" s="43">
        <v>3.5416666666666666E-2</v>
      </c>
      <c r="Q919" s="39"/>
      <c r="R919" s="42" t="s">
        <v>11</v>
      </c>
      <c r="S919" s="29">
        <f>MIP[[#This Row],[PT-1]]+MIP[[#This Row],[PT-2]]*2+MIP[[#This Row],[PT-3]]*3+MIP[[#This Row],[PT &gt; 3 Pontos]]</f>
        <v>17</v>
      </c>
      <c r="T919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6.944444444444442E-2</v>
      </c>
      <c r="U919" s="39">
        <f>IF(MIP[[#This Row],[P.S]]-MIP[[#This Row],[U.P]]&gt;=0,MIP[[#This Row],[P.S]]-MIP[[#This Row],[U.P]]+MIP[[#This Row],[S.B]]-MIP[[#This Row],[P.E]],1+MIP[[#This Row],[P.S]]-MIP[[#This Row],[U.P]]+MIP[[#This Row],[S.B]]-MIP[[#This Row],[P.E]])</f>
        <v>6.944444444444442E-2</v>
      </c>
      <c r="V919" s="41">
        <f>MIP[[#This Row],[Eficiência]]</f>
        <v>1.2435475441900088</v>
      </c>
      <c r="W919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919" s="39">
        <f>IF(MIP[[#This Row],[P.S]]-MIP[[#This Row],[P.E]]&lt;0,1+MIP[[#This Row],[P.S]]-MIP[[#This Row],[P.E]]-1/24,MIP[[#This Row],[P.S]]-MIP[[#This Row],[P.E]]-1/24)</f>
        <v>0.36874999999999997</v>
      </c>
      <c r="Y919" s="39">
        <f>MIP[[#This Row],[PT-1]]*$S$3+MIP[[#This Row],[PT-2]]*$T$3+MIP[[#This Row],[PT-3]]*$U$3+MIP[[#This Row],[PT &gt; 3 Pontos]]*$V$3</f>
        <v>0.37220068857353733</v>
      </c>
      <c r="Z919" s="39">
        <f>MIP[[#This Row],[HH disponível]]-MIP[[#This Row],[HH AC TOT]]</f>
        <v>0.29930555555555555</v>
      </c>
      <c r="AA919" s="38">
        <f>MIP[[#This Row],[HH Produtivo
Total]]/MIP[[#This Row],[HH Trabalhado]]</f>
        <v>1.2435475441900088</v>
      </c>
      <c r="AB919" s="38">
        <f>MIP[[#This Row],[HH Produtivo
Total]]/MIP[[#This Row],[HH disponível]]</f>
        <v>1.0093577995214573</v>
      </c>
      <c r="AC919" s="38">
        <f>MIP[[#This Row],[HH Trabalhado]]/MIP[[#This Row],[HH disponível]]</f>
        <v>0.81167608286252357</v>
      </c>
      <c r="AD919" s="37" t="str">
        <f>LEFT(MIP[[#This Row],[Equipe]], SEARCH("/",MIP[[#This Row],[Equipe]],1)-1)</f>
        <v xml:space="preserve">EDILTON </v>
      </c>
      <c r="AE919" s="37" t="str">
        <f>RIGHT(MIP[[#This Row],[Equipe]], LEN(MIP[[#This Row],[Equipe]])-SEARCH("/",MIP[[#This Row],[Equipe]],1))</f>
        <v xml:space="preserve"> GECIVALDO</v>
      </c>
      <c r="AF919" s="29">
        <f>COUNTIFS('[1]Tempo parado'!H:H,"&gt;="&amp;MIP[[#This Row],[S.B Sitrack]],'[1]Tempo parado'!I:I,"&lt;="&amp;MIP[[#This Row],[C.B Sitrack]],'[1]Tempo parado'!B:B,MIP[[#This Row],[Placa]])</f>
        <v>0</v>
      </c>
      <c r="AG919" s="36"/>
      <c r="AH919" s="35"/>
      <c r="AI919" s="34"/>
      <c r="AJ919" s="34"/>
      <c r="AK919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919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919" s="32">
        <f>SUMIFS('[1]Tempo parado'!J:J,'[1]Tempo parado'!H:H,"&gt;="&amp;MIP[[#This Row],[S.B Sitrack]],'[1]Tempo parado'!I:I,"&lt;="&amp;MIP[[#This Row],[C.B Sitrack]],'[1]Tempo parado'!B:B,MIP[[#This Row],[Placa]])</f>
        <v>0</v>
      </c>
      <c r="AN919" s="31" t="str">
        <f>IFERROR(MIP[[#This Row],[Tempo parado]]/(MIP[[#This Row],[C.B Sitrack]]-MIP[[#This Row],[S.B Sitrack]]),"")</f>
        <v/>
      </c>
      <c r="AO919" s="30"/>
      <c r="AP919" s="29">
        <f>IF(AND(MIP[Exc]=0,MIP[Previsto / Realizado]="Realizado"),MIP[Sem],0)</f>
        <v>52</v>
      </c>
      <c r="AQ919" s="29">
        <f>IF(AND(MIP[Exc]=0,MIP[Previsto / Realizado]="Realizado",ISBLANK(MIP[[#This Row],[S.B Sitrack]])=FALSE,ISBLANK(MIP[[#This Row],[C.B Sitrack]])=FALSE),MIP[Sem],0)</f>
        <v>0</v>
      </c>
    </row>
    <row r="920" spans="2:43" x14ac:dyDescent="0.25">
      <c r="B920" s="29">
        <f>WEEKNUM(MIP[[#This Row],[Data]])</f>
        <v>52</v>
      </c>
      <c r="C920" s="45" t="s">
        <v>8</v>
      </c>
      <c r="D920" s="45"/>
      <c r="E920" s="35" t="s">
        <v>10</v>
      </c>
      <c r="F920" s="35" t="s">
        <v>5</v>
      </c>
      <c r="G920" s="35"/>
      <c r="H920" s="44"/>
      <c r="I920" s="44">
        <v>2</v>
      </c>
      <c r="J920" s="44">
        <v>0</v>
      </c>
      <c r="K920" s="44">
        <v>0</v>
      </c>
      <c r="L920" s="44">
        <v>6</v>
      </c>
      <c r="M920" s="43">
        <v>0.25</v>
      </c>
      <c r="N920" s="43">
        <v>0.2638888888888889</v>
      </c>
      <c r="O920" s="43">
        <v>0.62986111111111109</v>
      </c>
      <c r="P920" s="43">
        <v>0.65833333333333333</v>
      </c>
      <c r="Q920" s="39"/>
      <c r="R920" s="42" t="s">
        <v>4</v>
      </c>
      <c r="S920" s="29">
        <f>MIP[[#This Row],[PT-1]]+MIP[[#This Row],[PT-2]]*2+MIP[[#This Row],[PT-3]]*3+MIP[[#This Row],[PT &gt; 3 Pontos]]</f>
        <v>8</v>
      </c>
      <c r="T920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4.2361111111111127E-2</v>
      </c>
      <c r="U920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4.2361111111111127E-2</v>
      </c>
      <c r="V920" s="41">
        <f>MIP[[#This Row],[Eficiência]]</f>
        <v>0.5289449047781607</v>
      </c>
      <c r="W920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920" s="39">
        <f>IF(MIP[[#This Row],[P.S]]-MIP[[#This Row],[P.E]]&lt;0,1+MIP[[#This Row],[P.S]]-MIP[[#This Row],[P.E]]-1/24,MIP[[#This Row],[P.S]]-MIP[[#This Row],[P.E]]-1/24)</f>
        <v>0.36666666666666664</v>
      </c>
      <c r="Y920" s="39">
        <f>MIP[[#This Row],[PT-1]]*$S$3+MIP[[#This Row],[PT-2]]*$T$3+MIP[[#This Row],[PT-3]]*$U$3+MIP[[#This Row],[PT &gt; 3 Pontos]]*$V$3</f>
        <v>0.1715397712023618</v>
      </c>
      <c r="Z920" s="39">
        <f>MIP[[#This Row],[HH disponível]]-MIP[[#This Row],[HH AC TOT]]</f>
        <v>0.32430555555555551</v>
      </c>
      <c r="AA920" s="38">
        <f>MIP[[#This Row],[HH Produtivo
Total]]/MIP[[#This Row],[HH Trabalhado]]</f>
        <v>0.5289449047781607</v>
      </c>
      <c r="AB920" s="38">
        <f>MIP[[#This Row],[HH Produtivo
Total]]/MIP[[#This Row],[HH disponível]]</f>
        <v>0.46783573964280495</v>
      </c>
      <c r="AC920" s="38">
        <f>MIP[[#This Row],[HH Trabalhado]]/MIP[[#This Row],[HH disponível]]</f>
        <v>0.88446969696969691</v>
      </c>
      <c r="AD920" s="37" t="str">
        <f>LEFT(MIP[[#This Row],[Equipe]], SEARCH("/",MIP[[#This Row],[Equipe]],1)-1)</f>
        <v xml:space="preserve">JOILSON </v>
      </c>
      <c r="AE920" s="37" t="str">
        <f>RIGHT(MIP[[#This Row],[Equipe]], LEN(MIP[[#This Row],[Equipe]])-SEARCH("/",MIP[[#This Row],[Equipe]],1))</f>
        <v xml:space="preserve"> VALDEI</v>
      </c>
      <c r="AF920" s="29">
        <f>COUNTIFS('[1]Tempo parado'!H:H,"&gt;="&amp;MIP[[#This Row],[S.B Sitrack]],'[1]Tempo parado'!I:I,"&lt;="&amp;MIP[[#This Row],[C.B Sitrack]],'[1]Tempo parado'!B:B,MIP[[#This Row],[Placa]])</f>
        <v>0</v>
      </c>
      <c r="AG920" s="36"/>
      <c r="AH920" s="35"/>
      <c r="AI920" s="34"/>
      <c r="AJ920" s="34"/>
      <c r="AK920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920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920" s="32">
        <f>SUMIFS('[1]Tempo parado'!J:J,'[1]Tempo parado'!H:H,"&gt;="&amp;MIP[[#This Row],[S.B Sitrack]],'[1]Tempo parado'!I:I,"&lt;="&amp;MIP[[#This Row],[C.B Sitrack]],'[1]Tempo parado'!B:B,MIP[[#This Row],[Placa]])</f>
        <v>0</v>
      </c>
      <c r="AN920" s="31" t="str">
        <f>IFERROR(MIP[[#This Row],[Tempo parado]]/(MIP[[#This Row],[C.B Sitrack]]-MIP[[#This Row],[S.B Sitrack]]),"")</f>
        <v/>
      </c>
      <c r="AO920" s="30"/>
      <c r="AP920" s="29">
        <f>IF(AND(MIP[Exc]=0,MIP[Previsto / Realizado]="Realizado"),MIP[Sem],0)</f>
        <v>0</v>
      </c>
      <c r="AQ920" s="29">
        <f>IF(AND(MIP[Exc]=0,MIP[Previsto / Realizado]="Realizado",ISBLANK(MIP[[#This Row],[S.B Sitrack]])=FALSE,ISBLANK(MIP[[#This Row],[C.B Sitrack]])=FALSE),MIP[Sem],0)</f>
        <v>0</v>
      </c>
    </row>
    <row r="921" spans="2:43" x14ac:dyDescent="0.25">
      <c r="B921" s="29">
        <f>WEEKNUM(MIP[[#This Row],[Data]])</f>
        <v>52</v>
      </c>
      <c r="C921" s="45" t="s">
        <v>8</v>
      </c>
      <c r="D921" s="45"/>
      <c r="E921" s="35" t="s">
        <v>10</v>
      </c>
      <c r="F921" s="35" t="s">
        <v>2</v>
      </c>
      <c r="G921" s="35" t="s">
        <v>1</v>
      </c>
      <c r="H921" s="44"/>
      <c r="I921" s="44">
        <v>5</v>
      </c>
      <c r="J921" s="44">
        <v>1</v>
      </c>
      <c r="K921" s="44">
        <v>0</v>
      </c>
      <c r="L921" s="44">
        <v>5</v>
      </c>
      <c r="M921" s="43">
        <v>0.24722222222222223</v>
      </c>
      <c r="N921" s="43">
        <v>0.28125</v>
      </c>
      <c r="O921" s="43">
        <v>0.59861111111111109</v>
      </c>
      <c r="P921" s="43">
        <v>0.65</v>
      </c>
      <c r="Q921" s="39"/>
      <c r="R921" s="42" t="s">
        <v>9</v>
      </c>
      <c r="S921" s="29">
        <f>MIP[[#This Row],[PT-1]]+MIP[[#This Row],[PT-2]]*2+MIP[[#This Row],[PT-3]]*3+MIP[[#This Row],[PT &gt; 3 Pontos]]</f>
        <v>12</v>
      </c>
      <c r="T921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8.5416666666666696E-2</v>
      </c>
      <c r="U921" s="39">
        <f>IF(MIP[[#This Row],[P.S]]-MIP[[#This Row],[U.P]]&gt;=0,MIP[[#This Row],[P.S]]-MIP[[#This Row],[U.P]]+MIP[[#This Row],[S.B]]-MIP[[#This Row],[P.E]],1+MIP[[#This Row],[P.S]]-MIP[[#This Row],[U.P]]+MIP[[#This Row],[S.B]]-MIP[[#This Row],[P.E]])</f>
        <v>8.5416666666666696E-2</v>
      </c>
      <c r="V921" s="41">
        <f>MIP[[#This Row],[Eficiência]]</f>
        <v>0.98035376028750243</v>
      </c>
      <c r="W921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921" s="39">
        <f>IF(MIP[[#This Row],[P.S]]-MIP[[#This Row],[P.E]]&lt;0,1+MIP[[#This Row],[P.S]]-MIP[[#This Row],[P.E]]-1/24,MIP[[#This Row],[P.S]]-MIP[[#This Row],[P.E]]-1/24)</f>
        <v>0.3611111111111111</v>
      </c>
      <c r="Y921" s="39">
        <f>MIP[[#This Row],[PT-1]]*$S$3+MIP[[#This Row],[PT-2]]*$T$3+MIP[[#This Row],[PT-3]]*$U$3+MIP[[#This Row],[PT &gt; 3 Pontos]]*$V$3</f>
        <v>0.270278085301485</v>
      </c>
      <c r="Z921" s="39">
        <f>MIP[[#This Row],[HH disponível]]-MIP[[#This Row],[HH AC TOT]]</f>
        <v>0.27569444444444441</v>
      </c>
      <c r="AA921" s="38">
        <f>MIP[[#This Row],[HH Produtivo
Total]]/MIP[[#This Row],[HH Trabalhado]]</f>
        <v>0.98035376028750243</v>
      </c>
      <c r="AB921" s="38">
        <f>MIP[[#This Row],[HH Produtivo
Total]]/MIP[[#This Row],[HH disponível]]</f>
        <v>0.74846239006565074</v>
      </c>
      <c r="AC921" s="38">
        <f>MIP[[#This Row],[HH Trabalhado]]/MIP[[#This Row],[HH disponível]]</f>
        <v>0.76346153846153841</v>
      </c>
      <c r="AD921" s="37" t="str">
        <f>LEFT(MIP[[#This Row],[Equipe]], SEARCH("/",MIP[[#This Row],[Equipe]],1)-1)</f>
        <v xml:space="preserve">JOILSON </v>
      </c>
      <c r="AE921" s="37" t="str">
        <f>RIGHT(MIP[[#This Row],[Equipe]], LEN(MIP[[#This Row],[Equipe]])-SEARCH("/",MIP[[#This Row],[Equipe]],1))</f>
        <v xml:space="preserve"> VALDEI</v>
      </c>
      <c r="AF921" s="29">
        <f>COUNTIFS('[1]Tempo parado'!H:H,"&gt;="&amp;MIP[[#This Row],[S.B Sitrack]],'[1]Tempo parado'!I:I,"&lt;="&amp;MIP[[#This Row],[C.B Sitrack]],'[1]Tempo parado'!B:B,MIP[[#This Row],[Placa]])</f>
        <v>0</v>
      </c>
      <c r="AG921" s="36"/>
      <c r="AH921" s="35"/>
      <c r="AI921" s="34"/>
      <c r="AJ921" s="34"/>
      <c r="AK921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921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921" s="32">
        <f>SUMIFS('[1]Tempo parado'!J:J,'[1]Tempo parado'!H:H,"&gt;="&amp;MIP[[#This Row],[S.B Sitrack]],'[1]Tempo parado'!I:I,"&lt;="&amp;MIP[[#This Row],[C.B Sitrack]],'[1]Tempo parado'!B:B,MIP[[#This Row],[Placa]])</f>
        <v>0</v>
      </c>
      <c r="AN921" s="31" t="str">
        <f>IFERROR(MIP[[#This Row],[Tempo parado]]/(MIP[[#This Row],[C.B Sitrack]]-MIP[[#This Row],[S.B Sitrack]]),"")</f>
        <v/>
      </c>
      <c r="AO921" s="30"/>
      <c r="AP921" s="29">
        <f>IF(AND(MIP[Exc]=0,MIP[Previsto / Realizado]="Realizado"),MIP[Sem],0)</f>
        <v>52</v>
      </c>
      <c r="AQ921" s="29">
        <f>IF(AND(MIP[Exc]=0,MIP[Previsto / Realizado]="Realizado",ISBLANK(MIP[[#This Row],[S.B Sitrack]])=FALSE,ISBLANK(MIP[[#This Row],[C.B Sitrack]])=FALSE),MIP[Sem],0)</f>
        <v>0</v>
      </c>
    </row>
    <row r="922" spans="2:43" x14ac:dyDescent="0.25">
      <c r="B922" s="29">
        <f>WEEKNUM(MIP[[#This Row],[Data]])</f>
        <v>52</v>
      </c>
      <c r="C922" s="45">
        <v>43098</v>
      </c>
      <c r="D922" s="45"/>
      <c r="E922" s="35" t="s">
        <v>7</v>
      </c>
      <c r="F922" s="35" t="s">
        <v>5</v>
      </c>
      <c r="G922" s="35"/>
      <c r="H922" s="44"/>
      <c r="I922" s="44">
        <v>5</v>
      </c>
      <c r="J922" s="44">
        <v>3</v>
      </c>
      <c r="K922" s="44">
        <v>0</v>
      </c>
      <c r="L922" s="44">
        <v>0</v>
      </c>
      <c r="M922" s="43">
        <v>0.625</v>
      </c>
      <c r="N922" s="43">
        <v>0.6381944444444444</v>
      </c>
      <c r="O922" s="43">
        <v>5.5555555555555558E-3</v>
      </c>
      <c r="P922" s="43">
        <v>3.3333333333333333E-2</v>
      </c>
      <c r="Q922" s="39"/>
      <c r="R922" s="42" t="s">
        <v>4</v>
      </c>
      <c r="S922" s="29">
        <f>MIP[[#This Row],[PT-1]]+MIP[[#This Row],[PT-2]]*2+MIP[[#This Row],[PT-3]]*3+MIP[[#This Row],[PT &gt; 3 Pontos]]</f>
        <v>11</v>
      </c>
      <c r="T922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4.0972222222222188E-2</v>
      </c>
      <c r="U922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4.0972222222222188E-2</v>
      </c>
      <c r="V922" s="41">
        <f>MIP[[#This Row],[Eficiência]]</f>
        <v>0.78863968202465873</v>
      </c>
      <c r="W922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922" s="39">
        <f>IF(MIP[[#This Row],[P.S]]-MIP[[#This Row],[P.E]]&lt;0,1+MIP[[#This Row],[P.S]]-MIP[[#This Row],[P.E]]-1/24,MIP[[#This Row],[P.S]]-MIP[[#This Row],[P.E]]-1/24)</f>
        <v>0.36666666666666675</v>
      </c>
      <c r="Y922" s="39">
        <f>MIP[[#This Row],[PT-1]]*$S$3+MIP[[#This Row],[PT-2]]*$T$3+MIP[[#This Row],[PT-3]]*$U$3+MIP[[#This Row],[PT &gt; 3 Pontos]]*$V$3</f>
        <v>0.25685556310386465</v>
      </c>
      <c r="Z922" s="39">
        <f>MIP[[#This Row],[HH disponível]]-MIP[[#This Row],[HH AC TOT]]</f>
        <v>0.32569444444444456</v>
      </c>
      <c r="AA922" s="38">
        <f>MIP[[#This Row],[HH Produtivo
Total]]/MIP[[#This Row],[HH Trabalhado]]</f>
        <v>0.78863968202465873</v>
      </c>
      <c r="AB922" s="38">
        <f>MIP[[#This Row],[HH Produtivo
Total]]/MIP[[#This Row],[HH disponível]]</f>
        <v>0.70051517210144887</v>
      </c>
      <c r="AC922" s="38">
        <f>MIP[[#This Row],[HH Trabalhado]]/MIP[[#This Row],[HH disponível]]</f>
        <v>0.88825757575757591</v>
      </c>
      <c r="AD922" s="37" t="str">
        <f>LEFT(MIP[[#This Row],[Equipe]], SEARCH("/",MIP[[#This Row],[Equipe]],1)-1)</f>
        <v xml:space="preserve">ANDERSON </v>
      </c>
      <c r="AE922" s="37" t="str">
        <f>RIGHT(MIP[[#This Row],[Equipe]], LEN(MIP[[#This Row],[Equipe]])-SEARCH("/",MIP[[#This Row],[Equipe]],1))</f>
        <v xml:space="preserve"> MARCO</v>
      </c>
      <c r="AF922" s="29">
        <f>COUNTIFS('[1]Tempo parado'!H:H,"&gt;="&amp;MIP[[#This Row],[S.B Sitrack]],'[1]Tempo parado'!I:I,"&lt;="&amp;MIP[[#This Row],[C.B Sitrack]],'[1]Tempo parado'!B:B,MIP[[#This Row],[Placa]])</f>
        <v>0</v>
      </c>
      <c r="AG922" s="36"/>
      <c r="AH922" s="35"/>
      <c r="AI922" s="34"/>
      <c r="AJ922" s="34"/>
      <c r="AK922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922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922" s="32">
        <f>SUMIFS('[1]Tempo parado'!J:J,'[1]Tempo parado'!H:H,"&gt;="&amp;MIP[[#This Row],[S.B Sitrack]],'[1]Tempo parado'!I:I,"&lt;="&amp;MIP[[#This Row],[C.B Sitrack]],'[1]Tempo parado'!B:B,MIP[[#This Row],[Placa]])</f>
        <v>0</v>
      </c>
      <c r="AN922" s="31" t="str">
        <f>IFERROR(MIP[[#This Row],[Tempo parado]]/(MIP[[#This Row],[C.B Sitrack]]-MIP[[#This Row],[S.B Sitrack]]),"")</f>
        <v/>
      </c>
      <c r="AO922" s="30"/>
      <c r="AP922" s="29">
        <f>IF(AND(MIP[Exc]=0,MIP[Previsto / Realizado]="Realizado"),MIP[Sem],0)</f>
        <v>0</v>
      </c>
      <c r="AQ922" s="29">
        <f>IF(AND(MIP[Exc]=0,MIP[Previsto / Realizado]="Realizado",ISBLANK(MIP[[#This Row],[S.B Sitrack]])=FALSE,ISBLANK(MIP[[#This Row],[C.B Sitrack]])=FALSE),MIP[Sem],0)</f>
        <v>0</v>
      </c>
    </row>
    <row r="923" spans="2:43" x14ac:dyDescent="0.25">
      <c r="B923" s="29">
        <f>WEEKNUM(MIP[[#This Row],[Data]])</f>
        <v>52</v>
      </c>
      <c r="C923" s="45" t="s">
        <v>8</v>
      </c>
      <c r="D923" s="45"/>
      <c r="E923" s="35" t="s">
        <v>7</v>
      </c>
      <c r="F923" s="35" t="s">
        <v>2</v>
      </c>
      <c r="G923" s="35" t="s">
        <v>6</v>
      </c>
      <c r="H923" s="44"/>
      <c r="I923" s="44">
        <v>7</v>
      </c>
      <c r="J923" s="44">
        <v>3</v>
      </c>
      <c r="K923" s="44">
        <v>0</v>
      </c>
      <c r="L923" s="44">
        <v>0</v>
      </c>
      <c r="M923" s="43">
        <v>0.62708333333333333</v>
      </c>
      <c r="N923" s="43">
        <v>0.67708333333333337</v>
      </c>
      <c r="O923" s="43">
        <v>5.5555555555555558E-3</v>
      </c>
      <c r="P923" s="43">
        <v>3.4027777777777775E-2</v>
      </c>
      <c r="Q923" s="39"/>
      <c r="R923" s="42" t="s">
        <v>0</v>
      </c>
      <c r="S923" s="29">
        <f>MIP[[#This Row],[PT-1]]+MIP[[#This Row],[PT-2]]*2+MIP[[#This Row],[PT-3]]*3+MIP[[#This Row],[PT &gt; 3 Pontos]]</f>
        <v>13</v>
      </c>
      <c r="T923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7.8472222222222276E-2</v>
      </c>
      <c r="U923" s="39">
        <f>IF(MIP[[#This Row],[P.S]]-MIP[[#This Row],[U.P]]&gt;=0,MIP[[#This Row],[P.S]]-MIP[[#This Row],[U.P]]+MIP[[#This Row],[S.B]]-MIP[[#This Row],[P.E]],1+MIP[[#This Row],[P.S]]-MIP[[#This Row],[U.P]]+MIP[[#This Row],[S.B]]-MIP[[#This Row],[P.E]])</f>
        <v>7.8472222222222276E-2</v>
      </c>
      <c r="V923" s="41">
        <f>MIP[[#This Row],[Eficiência]]</f>
        <v>1.0700882987682914</v>
      </c>
      <c r="W923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923" s="39">
        <f>IF(MIP[[#This Row],[P.S]]-MIP[[#This Row],[P.E]]&lt;0,1+MIP[[#This Row],[P.S]]-MIP[[#This Row],[P.E]]-1/24,MIP[[#This Row],[P.S]]-MIP[[#This Row],[P.E]]-1/24)</f>
        <v>0.36527777777777776</v>
      </c>
      <c r="Y923" s="39">
        <f>MIP[[#This Row],[PT-1]]*$S$3+MIP[[#This Row],[PT-2]]*$T$3+MIP[[#This Row],[PT-3]]*$U$3+MIP[[#This Row],[PT &gt; 3 Pontos]]*$V$3</f>
        <v>0.30690726902173904</v>
      </c>
      <c r="Z923" s="39">
        <f>MIP[[#This Row],[HH disponível]]-MIP[[#This Row],[HH AC TOT]]</f>
        <v>0.28680555555555548</v>
      </c>
      <c r="AA923" s="38">
        <f>MIP[[#This Row],[HH Produtivo
Total]]/MIP[[#This Row],[HH Trabalhado]]</f>
        <v>1.0700882987682914</v>
      </c>
      <c r="AB923" s="38">
        <f>MIP[[#This Row],[HH Produtivo
Total]]/MIP[[#This Row],[HH disponível]]</f>
        <v>0.84020240948917158</v>
      </c>
      <c r="AC923" s="38">
        <f>MIP[[#This Row],[HH Trabalhado]]/MIP[[#This Row],[HH disponível]]</f>
        <v>0.78517110266159684</v>
      </c>
      <c r="AD923" s="37" t="str">
        <f>LEFT(MIP[[#This Row],[Equipe]], SEARCH("/",MIP[[#This Row],[Equipe]],1)-1)</f>
        <v xml:space="preserve">ANDERSON </v>
      </c>
      <c r="AE923" s="37" t="str">
        <f>RIGHT(MIP[[#This Row],[Equipe]], LEN(MIP[[#This Row],[Equipe]])-SEARCH("/",MIP[[#This Row],[Equipe]],1))</f>
        <v xml:space="preserve"> MARCO</v>
      </c>
      <c r="AF923" s="29">
        <f>COUNTIFS('[1]Tempo parado'!H:H,"&gt;="&amp;MIP[[#This Row],[S.B Sitrack]],'[1]Tempo parado'!I:I,"&lt;="&amp;MIP[[#This Row],[C.B Sitrack]],'[1]Tempo parado'!B:B,MIP[[#This Row],[Placa]])</f>
        <v>0</v>
      </c>
      <c r="AG923" s="36"/>
      <c r="AH923" s="35"/>
      <c r="AI923" s="34"/>
      <c r="AJ923" s="34"/>
      <c r="AK923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923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923" s="32">
        <f>SUMIFS('[1]Tempo parado'!J:J,'[1]Tempo parado'!H:H,"&gt;="&amp;MIP[[#This Row],[S.B Sitrack]],'[1]Tempo parado'!I:I,"&lt;="&amp;MIP[[#This Row],[C.B Sitrack]],'[1]Tempo parado'!B:B,MIP[[#This Row],[Placa]])</f>
        <v>0</v>
      </c>
      <c r="AN923" s="31" t="str">
        <f>IFERROR(MIP[[#This Row],[Tempo parado]]/(MIP[[#This Row],[C.B Sitrack]]-MIP[[#This Row],[S.B Sitrack]]),"")</f>
        <v/>
      </c>
      <c r="AO923" s="30"/>
      <c r="AP923" s="29">
        <f>IF(AND(MIP[Exc]=0,MIP[Previsto / Realizado]="Realizado"),MIP[Sem],0)</f>
        <v>52</v>
      </c>
      <c r="AQ923" s="29">
        <f>IF(AND(MIP[Exc]=0,MIP[Previsto / Realizado]="Realizado",ISBLANK(MIP[[#This Row],[S.B Sitrack]])=FALSE,ISBLANK(MIP[[#This Row],[C.B Sitrack]])=FALSE),MIP[Sem],0)</f>
        <v>0</v>
      </c>
    </row>
    <row r="924" spans="2:43" x14ac:dyDescent="0.25">
      <c r="B924" s="29">
        <f>WEEKNUM(MIP[[#This Row],[Data]])</f>
        <v>1</v>
      </c>
      <c r="C924" s="45">
        <v>43101</v>
      </c>
      <c r="D924" s="45"/>
      <c r="E924" s="35" t="s">
        <v>3</v>
      </c>
      <c r="F924" s="35" t="s">
        <v>5</v>
      </c>
      <c r="G924" s="35"/>
      <c r="H924" s="44"/>
      <c r="I924" s="44">
        <v>3</v>
      </c>
      <c r="J924" s="44">
        <v>1</v>
      </c>
      <c r="K924" s="44">
        <v>1</v>
      </c>
      <c r="L924" s="44">
        <v>0</v>
      </c>
      <c r="M924" s="43">
        <v>0.625</v>
      </c>
      <c r="N924" s="43">
        <v>0.6381944444444444</v>
      </c>
      <c r="O924" s="43">
        <v>5.5555555555555558E-3</v>
      </c>
      <c r="P924" s="43">
        <v>3.3333333333333333E-2</v>
      </c>
      <c r="Q924" s="39"/>
      <c r="R924" s="42" t="s">
        <v>4</v>
      </c>
      <c r="S924" s="29">
        <f>MIP[[#This Row],[PT-1]]+MIP[[#This Row],[PT-2]]*2+MIP[[#This Row],[PT-3]]*3+MIP[[#This Row],[PT &gt; 3 Pontos]]</f>
        <v>8</v>
      </c>
      <c r="T924" s="39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4.0972222222222188E-2</v>
      </c>
      <c r="U924" s="39">
        <f>IF(MIP[[#This Row],[P.S]]-MIP[[#This Row],[U.P]]&gt;=0,MIP[[#This Row],[P.S]]-MIP[[#This Row],[U.P]]+MIP[[#This Row],[S.B]]-MIP[[#This Row],[P.E]],1+MIP[[#This Row],[P.S]]-MIP[[#This Row],[U.P]]+MIP[[#This Row],[S.B]]-MIP[[#This Row],[P.E]])</f>
        <v>4.0972222222222188E-2</v>
      </c>
      <c r="V924" s="41">
        <f>MIP[[#This Row],[Eficiência]]</f>
        <v>0.55812436265875565</v>
      </c>
      <c r="W924" s="40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924" s="39">
        <f>IF(MIP[[#This Row],[P.S]]-MIP[[#This Row],[P.E]]&lt;0,1+MIP[[#This Row],[P.S]]-MIP[[#This Row],[P.E]]-1/24,MIP[[#This Row],[P.S]]-MIP[[#This Row],[P.E]]-1/24)</f>
        <v>0.36666666666666675</v>
      </c>
      <c r="Y924" s="39">
        <f>MIP[[#This Row],[PT-1]]*$S$3+MIP[[#This Row],[PT-2]]*$T$3+MIP[[#This Row],[PT-3]]*$U$3+MIP[[#This Row],[PT &gt; 3 Pontos]]*$V$3</f>
        <v>0.18177800422705312</v>
      </c>
      <c r="Z924" s="39">
        <f>MIP[[#This Row],[HH disponível]]-MIP[[#This Row],[HH AC TOT]]</f>
        <v>0.32569444444444456</v>
      </c>
      <c r="AA924" s="38">
        <f>MIP[[#This Row],[HH Produtivo
Total]]/MIP[[#This Row],[HH Trabalhado]]</f>
        <v>0.55812436265875565</v>
      </c>
      <c r="AB924" s="38">
        <f>MIP[[#This Row],[HH Produtivo
Total]]/MIP[[#This Row],[HH disponível]]</f>
        <v>0.49575819334650839</v>
      </c>
      <c r="AC924" s="38">
        <f>MIP[[#This Row],[HH Trabalhado]]/MIP[[#This Row],[HH disponível]]</f>
        <v>0.88825757575757591</v>
      </c>
      <c r="AD924" s="37" t="str">
        <f>LEFT(MIP[[#This Row],[Equipe]], SEARCH("/",MIP[[#This Row],[Equipe]],1)-1)</f>
        <v xml:space="preserve">EDILTON </v>
      </c>
      <c r="AE924" s="37" t="str">
        <f>RIGHT(MIP[[#This Row],[Equipe]], LEN(MIP[[#This Row],[Equipe]])-SEARCH("/",MIP[[#This Row],[Equipe]],1))</f>
        <v xml:space="preserve"> GECIVALDO</v>
      </c>
      <c r="AF924" s="29">
        <f>COUNTIFS('[1]Tempo parado'!H:H,"&gt;="&amp;MIP[[#This Row],[S.B Sitrack]],'[1]Tempo parado'!I:I,"&lt;="&amp;MIP[[#This Row],[C.B Sitrack]],'[1]Tempo parado'!B:B,MIP[[#This Row],[Placa]])</f>
        <v>0</v>
      </c>
      <c r="AG924" s="36"/>
      <c r="AH924" s="35"/>
      <c r="AI924" s="34"/>
      <c r="AJ924" s="34"/>
      <c r="AK924" s="32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924" s="33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924" s="32">
        <f>SUMIFS('[1]Tempo parado'!J:J,'[1]Tempo parado'!H:H,"&gt;="&amp;MIP[[#This Row],[S.B Sitrack]],'[1]Tempo parado'!I:I,"&lt;="&amp;MIP[[#This Row],[C.B Sitrack]],'[1]Tempo parado'!B:B,MIP[[#This Row],[Placa]])</f>
        <v>0</v>
      </c>
      <c r="AN924" s="31" t="str">
        <f>IFERROR(MIP[[#This Row],[Tempo parado]]/(MIP[[#This Row],[C.B Sitrack]]-MIP[[#This Row],[S.B Sitrack]]),"")</f>
        <v/>
      </c>
      <c r="AO924" s="30"/>
      <c r="AP924" s="29">
        <f>IF(AND(MIP[Exc]=0,MIP[Previsto / Realizado]="Realizado"),MIP[Sem],0)</f>
        <v>0</v>
      </c>
      <c r="AQ924" s="29">
        <f>IF(AND(MIP[Exc]=0,MIP[Previsto / Realizado]="Realizado",ISBLANK(MIP[[#This Row],[S.B Sitrack]])=FALSE,ISBLANK(MIP[[#This Row],[C.B Sitrack]])=FALSE),MIP[Sem],0)</f>
        <v>0</v>
      </c>
    </row>
    <row r="925" spans="2:43" x14ac:dyDescent="0.25">
      <c r="B925" s="12">
        <f>WEEKNUM(MIP[[#This Row],[Data]])</f>
        <v>1</v>
      </c>
      <c r="C925" s="28">
        <v>42736</v>
      </c>
      <c r="D925" s="28"/>
      <c r="E925" s="18" t="s">
        <v>3</v>
      </c>
      <c r="F925" s="18" t="s">
        <v>2</v>
      </c>
      <c r="G925" s="18" t="s">
        <v>1</v>
      </c>
      <c r="H925" s="27"/>
      <c r="I925" s="27">
        <v>5</v>
      </c>
      <c r="J925" s="27">
        <v>1</v>
      </c>
      <c r="K925" s="27">
        <v>1</v>
      </c>
      <c r="L925" s="27">
        <v>0</v>
      </c>
      <c r="M925" s="26">
        <v>0.62986111111111109</v>
      </c>
      <c r="N925" s="26">
        <v>0.67291666666666661</v>
      </c>
      <c r="O925" s="26">
        <v>0.91666666666666663</v>
      </c>
      <c r="P925" s="26">
        <v>0.95000000000000007</v>
      </c>
      <c r="Q925" s="22"/>
      <c r="R925" s="25" t="s">
        <v>0</v>
      </c>
      <c r="S925" s="12">
        <f>MIP[[#This Row],[PT-1]]+MIP[[#This Row],[PT-2]]*2+MIP[[#This Row],[PT-3]]*3+MIP[[#This Row],[PT &gt; 3 Pontos]]</f>
        <v>10</v>
      </c>
      <c r="T925" s="22">
        <f>IF(MIP[[#This Row],[P.S]]-MIP[[#This Row],[U.P]]&gt;=0,MIP[[#This Row],[P.S]]-MIP[[#This Row],[U.P]]+MIP[[#This Row],[S.B]]-MIP[[#This Row],[P.E]],1+MIP[[#This Row],[P.S]]-MIP[[#This Row],[U.P]]+MIP[[#This Row],[S.B]]-MIP[[#This Row],[P.E]])+MIP[[#This Row],[HH AC extra]]</f>
        <v>7.6388888888888951E-2</v>
      </c>
      <c r="U925" s="22">
        <f>IF(MIP[[#This Row],[P.S]]-MIP[[#This Row],[U.P]]&gt;=0,MIP[[#This Row],[P.S]]-MIP[[#This Row],[U.P]]+MIP[[#This Row],[S.B]]-MIP[[#This Row],[P.E]],1+MIP[[#This Row],[P.S]]-MIP[[#This Row],[U.P]]+MIP[[#This Row],[S.B]]-MIP[[#This Row],[P.E]])</f>
        <v>7.6388888888888951E-2</v>
      </c>
      <c r="V925" s="24">
        <f>MIP[[#This Row],[Eficiência]]</f>
        <v>1.1471985656656203</v>
      </c>
      <c r="W925" s="23">
        <f>SUMIFS([1]!Excecoes[Coluna1],[1]!Excecoes[Dia],MIP[[#This Row],[Data]],[1]!Excecoes[Equipe],MIP[[#This Row],[Equipe]],[1]!Excecoes[Previsto /
Realizado],MIP[[#This Row],[Previsto / Realizado]])+IF(MIP[[#This Row],[HH AC TOT]]&gt;0.5,1,0)+IF(AND(OR(ISBLANK(MIP[[#This Row],[P.E]]),ISBLANK(MIP[[#This Row],[S.B]]),ISBLANK(MIP[[#This Row],[U.P]]),ISBLANK(MIP[[#This Row],[P.S]])),ISTEXT(MIP[[#This Row],[Equipe]])),1,IF(MIP[[#This Row],[P.E]]&gt;MIP[[#This Row],[S.B]],1,0)+IF([1]Excessões!$H$6="Ativadas",IF(MIP[[#This Row],[HH AC TOT]]&lt;0.0083,1,0)+IF(OR(MIP[[#This Row],[Eficiência]]&gt;2,MIP[[#This Row],[Eficiência]]&lt;0.3),1,0),0))</f>
        <v>0</v>
      </c>
      <c r="X925" s="22">
        <f>IF(MIP[[#This Row],[P.S]]-MIP[[#This Row],[P.E]]&lt;0,1+MIP[[#This Row],[P.S]]-MIP[[#This Row],[P.E]]-1/24,MIP[[#This Row],[P.S]]-MIP[[#This Row],[P.E]]-1/24)</f>
        <v>0.27847222222222229</v>
      </c>
      <c r="Y925" s="22">
        <f>MIP[[#This Row],[PT-1]]*$S$3+MIP[[#This Row],[PT-2]]*$T$3+MIP[[#This Row],[PT-3]]*$U$3+MIP[[#This Row],[PT &gt; 3 Pontos]]*$V$3</f>
        <v>0.23182971014492745</v>
      </c>
      <c r="Z925" s="22">
        <f>MIP[[#This Row],[HH disponível]]-MIP[[#This Row],[HH AC TOT]]</f>
        <v>0.20208333333333334</v>
      </c>
      <c r="AA925" s="21">
        <f>MIP[[#This Row],[HH Produtivo
Total]]/MIP[[#This Row],[HH Trabalhado]]</f>
        <v>1.1471985656656203</v>
      </c>
      <c r="AB925" s="21">
        <f>MIP[[#This Row],[HH Produtivo
Total]]/MIP[[#This Row],[HH disponível]]</f>
        <v>0.83250569229101112</v>
      </c>
      <c r="AC925" s="21">
        <f>MIP[[#This Row],[HH Trabalhado]]/MIP[[#This Row],[HH disponível]]</f>
        <v>0.72568578553615948</v>
      </c>
      <c r="AD925" s="20" t="str">
        <f>LEFT(MIP[[#This Row],[Equipe]], SEARCH("/",MIP[[#This Row],[Equipe]],1)-1)</f>
        <v xml:space="preserve">EDILTON </v>
      </c>
      <c r="AE925" s="20" t="str">
        <f>RIGHT(MIP[[#This Row],[Equipe]], LEN(MIP[[#This Row],[Equipe]])-SEARCH("/",MIP[[#This Row],[Equipe]],1))</f>
        <v xml:space="preserve"> GECIVALDO</v>
      </c>
      <c r="AF925" s="12">
        <f>COUNTIFS('[1]Tempo parado'!H:H,"&gt;="&amp;MIP[[#This Row],[S.B Sitrack]],'[1]Tempo parado'!I:I,"&lt;="&amp;MIP[[#This Row],[C.B Sitrack]],'[1]Tempo parado'!B:B,MIP[[#This Row],[Placa]])</f>
        <v>0</v>
      </c>
      <c r="AG925" s="19"/>
      <c r="AH925" s="18"/>
      <c r="AI925" s="17"/>
      <c r="AJ925" s="17"/>
      <c r="AK925" s="15" t="str">
        <f>IF(OR(MIP[[#This Row],[S.B Sitrack]]="",MIP[[#This Row],[C.B Sitrack]]=""),"-",IF(TIME(HOUR(MIP[[#This Row],[C.B Sitrack]]),MINUTE(MIP[[#This Row],[C.B Sitrack]]),SECOND(HOUR(MIP[[#This Row],[C.B Sitrack]])))-(MIP[[#This Row],[U.P]]-TRUNC(MIP[[#This Row],[U.P]],0))&lt;0,(TIME(HOUR(MIP[[#This Row],[C.B Sitrack]]),MINUTE(MIP[[#This Row],[C.B Sitrack]]),SECOND(HOUR(MIP[[#This Row],[C.B Sitrack]])))-(MIP[[#This Row],[U.P]]-TRUNC(MIP[[#This Row],[U.P]],0)))*(-1),TIME(HOUR(MIP[[#This Row],[C.B Sitrack]]),MINUTE(MIP[[#This Row],[C.B Sitrack]]),SECOND(HOUR(MIP[[#This Row],[C.B Sitrack]])))-(MIP[[#This Row],[U.P]]-TRUNC(MIP[[#This Row],[U.P]],0)))+IF(TIME(HOUR(MIP[[#This Row],[S.B Sitrack]]),MINUTE(MIP[[#This Row],[S.B Sitrack]]),SECOND(HOUR(MIP[[#This Row],[S.B Sitrack]])))-(MIP[[#This Row],[S.B]]-TRUNC(MIP[[#This Row],[S.B]],0))&lt;0,(TIME(HOUR(MIP[[#This Row],[S.B Sitrack]]),MINUTE(MIP[[#This Row],[S.B Sitrack]]),SECOND(HOUR(MIP[[#This Row],[S.B Sitrack]])))-(MIP[[#This Row],[S.B]]-TRUNC(MIP[[#This Row],[S.B]],0)))*(-1),TIME(HOUR(MIP[[#This Row],[S.B Sitrack]]),MINUTE(MIP[[#This Row],[S.B Sitrack]]),SECOND(HOUR(MIP[[#This Row],[S.B Sitrack]])))-(MIP[[#This Row],[S.B]]-TRUNC(MIP[[#This Row],[S.B]],0))))</f>
        <v>-</v>
      </c>
      <c r="AL925" s="16">
        <f>SUMIFS([1]!Tempoviagem[DISTANCIA (KM)],[1]!Tempoviagem[DATA INICIO],"&gt;="&amp;MIP[[#This Row],[S.B Sitrack]],[1]!Tempoviagem[DATA FIM],"&lt;="&amp;MIP[[#This Row],[C.B Sitrack]],[1]!Tempoviagem[PLACA],MIP[[#This Row],[Placa]],[1]!Tempoviagem[DISTANCIA (KM)],"&gt;0",[1]!Tempoviagem[VELOCIDADE MÉDIA (KM/H)],"&lt;150")</f>
        <v>0</v>
      </c>
      <c r="AM925" s="15">
        <f>SUMIFS('[1]Tempo parado'!J:J,'[1]Tempo parado'!H:H,"&gt;="&amp;MIP[[#This Row],[S.B Sitrack]],'[1]Tempo parado'!I:I,"&lt;="&amp;MIP[[#This Row],[C.B Sitrack]],'[1]Tempo parado'!B:B,MIP[[#This Row],[Placa]])</f>
        <v>0</v>
      </c>
      <c r="AN925" s="14" t="str">
        <f>IFERROR(MIP[[#This Row],[Tempo parado]]/(MIP[[#This Row],[C.B Sitrack]]-MIP[[#This Row],[S.B Sitrack]]),"")</f>
        <v/>
      </c>
      <c r="AO925" s="13"/>
      <c r="AP925" s="12">
        <f>IF(AND(MIP[Exc]=0,MIP[Previsto / Realizado]="Realizado"),MIP[Sem],0)</f>
        <v>1</v>
      </c>
      <c r="AQ925" s="12">
        <f>IF(AND(MIP[Exc]=0,MIP[Previsto / Realizado]="Realizado",ISBLANK(MIP[[#This Row],[S.B Sitrack]])=FALSE,ISBLANK(MIP[[#This Row],[C.B Sitrack]])=FALSE),MIP[Sem],0)</f>
        <v>0</v>
      </c>
    </row>
  </sheetData>
  <autoFilter ref="A1:A3" xr:uid="{9EFE0895-F324-4330-96FC-2E9EF8727C97}"/>
  <mergeCells count="6">
    <mergeCell ref="AA5:AC5"/>
    <mergeCell ref="S1:V1"/>
    <mergeCell ref="A1:R2"/>
    <mergeCell ref="A3:R3"/>
    <mergeCell ref="I5:L5"/>
    <mergeCell ref="M5:Q5"/>
  </mergeCells>
  <conditionalFormatting sqref="B7:AQ925">
    <cfRule type="expression" dxfId="50" priority="1">
      <formula>$F7="Previsto"</formula>
    </cfRule>
  </conditionalFormatting>
  <conditionalFormatting sqref="E7:E925">
    <cfRule type="expression" dxfId="49" priority="2">
      <formula>$W7&gt;0</formula>
    </cfRule>
  </conditionalFormatting>
  <dataValidations count="2">
    <dataValidation type="list" allowBlank="1" showInputMessage="1" showErrorMessage="1" sqref="F7:F925" xr:uid="{00000000-0002-0000-0200-000001000000}">
      <formula1>#REF!</formula1>
    </dataValidation>
    <dataValidation type="list" allowBlank="1" showInputMessage="1" showErrorMessage="1" sqref="D5" xr:uid="{00000000-0002-0000-0200-000000000000}">
      <formula1>"Ativado,Desativado"</formula1>
    </dataValidation>
  </dataValidations>
  <hyperlinks>
    <hyperlink ref="E805" r:id="rId1" display="http://www.google.com/maps/dir/?api=1&amp;origin=-12.896186,-38.329723&amp;waypoints=-12.876697,-38.352566%7C-12.865928,-38.355956%7C-12.868591,-38.33836%7C-12.878584,-38.334269%7C-12.900824,-38.346558%7C-12.886427,-38.353018%7C-12.891859,-38.327201%7C-12.898757,-38.327667%7C-12.900237,-38.308862%7C-12.890356,-38.303998%7C-12.885273,-38.293436%7C-12.87869,-38.301358%7C-12.897382,-38.325316&amp;destination=-12.891855,-38.327094" xr:uid="{00000000-0004-0000-0200-000000000000}"/>
    <hyperlink ref="E791" r:id="rId2" display="http://www.google.com/maps/dir/?api=1&amp;origin=-12.889597,-38.326594&amp;waypoints=-12.838752,-38.349935%7C-12.908897,-38.304001%7C-12.891527,-38.328795%7C-12.870247,-38.339278%7C-12.842388,-38.35586%7C-12.866364,-38.305421&amp;destination=-12.891859,-38.327269" xr:uid="{00000000-0004-0000-0200-000001000000}"/>
    <hyperlink ref="E793" r:id="rId3" display="http://www.google.com/maps/dir/?api=1&amp;origin=-12.894821,-38.328504&amp;waypoints=-12.898018,-38.325114%7C-12.88862,-38.307955%7C-12.896074,-38.294895%7C-12.882693,-38.287501%7C-12.879063,-38.284788%7C-12.878176,-38.321633%7C-12.879382,-38.332672%7C-12.899259,-38.327044%7C-12.875338,-38.339603&amp;destination=-12.891878,-38.32709" xr:uid="{00000000-0004-0000-0200-000002000000}"/>
    <hyperlink ref="E795" r:id="rId4" display="http://www.google.com/maps/dir/?api=1&amp;origin=-12.889521,-38.330843&amp;waypoints=-12.888889,-38.337388%7C-12.891369,-38.294176%7C-12.879734,-38.298311%7C-12.843324,-38.356404%7C-12.886344,-38.345388%7C-12.897953,-38.350212%7C-12.893712,-38.303354%7C-12.878112,-38.332062%7C-12.897224,-38.324794&amp;destination=-12.891837,-38.327097" xr:uid="{00000000-0004-0000-0200-000003000000}"/>
    <hyperlink ref="E797" r:id="rId5" display="http://www.google.com/maps/dir/?api=1&amp;origin=-12.894356,-38.328065&amp;waypoints=-12.897085,-38.325224%7C-12.865474,-38.307881%7C-12.898974,-38.327234%7C-12.896569,-38.324835%7C-12.875713,-38.340783%7C-12.836915,-38.336042%7C-12.880569,-38.330779&amp;destination=-12.891829,-38.327093" xr:uid="{00000000-0004-0000-0200-000004000000}"/>
    <hyperlink ref="E799" r:id="rId6" display="http://www.google.com/maps/dir/?api=1&amp;origin=-12.896538,-38.332824&amp;waypoints=-12.89561,-38.347623%7C-12.887021,-38.290708%7C-12.876608,-38.291125%7C-12.883396,-38.287441%7C-12.8998,-38.296716%7C-12.899515,-38.323684%7C-12.89548,-38.323409%7C-12.8623,-38.291001&amp;destination=-12.891804,-38.327086" xr:uid="{00000000-0004-0000-0200-000005000000}"/>
    <hyperlink ref="E801" r:id="rId7" display="http://www.google.com/maps/dir/?api=1&amp;origin=-12.895483,-38.329079&amp;waypoints=-12.894043,-38.356227%7C-12.865278,-38.307719%7C-12.882631,-38.289522%7C-12.882456,-38.289068%7C-12.876192,-38.318258%7C-12.881113,-38.331902%7C-12.881952,-38.340722%7C-12.897404,-38.324914&amp;destination=-12.891832,-38.327134" xr:uid="{00000000-0004-0000-0200-000006000000}"/>
    <hyperlink ref="E803" r:id="rId8" display="http://www.google.com/maps/dir/?api=1&amp;origin=-12.894481,-38.328202&amp;waypoints=-12.898342,-38.325232%7C-12.890809,-38.320164%7C-12.892415,-38.31995%7C-12.89828,-38.311777%7C-12.891877,-38.327222%7C-12.90079,-38.341018%7C-12.89689,-38.342712%7C-12.871445,-38.353992%7C-12.886046,-38.345059%7C-12.899261,-38.3272%7C-12.901692,-38.316907%7C-12.860061,-38.298224&amp;destination=-12.891801,-38.327236" xr:uid="{00000000-0004-0000-0200-000007000000}"/>
    <hyperlink ref="E807" r:id="rId9" display="http://www.google.com/maps/dir/?api=1&amp;origin=-12.896608,-38.330037&amp;waypoints=-12.897184,-38.33003%7C-12.894762,-38.293441%7C-12.891228,-38.301845%7C-12.893271,-38.305756%7C-12.880943,-38.306764%7C-12.882278,-38.282126%7C-12.877826,-38.285051%7C-12.883055,-38.320984%7C-12.839523,-38.35429%7C-12.841997,-38.334758&amp;destination=-12.891842,-38.327103" xr:uid="{00000000-0004-0000-0200-000008000000}"/>
    <hyperlink ref="E809" r:id="rId10" display="http://www.google.com/maps/dir/?api=1&amp;origin=-12.896524,-38.332856&amp;waypoints=-12.897109,-38.3424%7C-12.896585,-38.32478%7C-12.870339,-38.320168%7C-12.837883,-38.337345%7C-12.880629,-38.331668%7C-12.878174,-38.332328%7C-12.889882,-38.351229%7C-12.890283,-38.313436%7C-12.89558,-38.323467&amp;destination=-12.891808,-38.327199" xr:uid="{00000000-0004-0000-0200-000009000000}"/>
    <hyperlink ref="E789" r:id="rId11" display="http://www.google.com/maps/dir/?api=1&amp;origin=-12.890122,-38.330209&amp;waypoints=-12.878861,-38.285087%7C-12.880843,-38.290371%7C-12.88874,-38.288272%7C-12.886785,-38.303013%7C-12.896906,-38.318738%7C-12.87521,-38.337683%7C-12.893877,-38.340905%7C-12.877679,-38.33289%7C-12.89592,-38.347846&amp;destination=-12.891861,-38.327194" xr:uid="{00000000-0004-0000-0200-00000A000000}"/>
    <hyperlink ref="E817" r:id="rId12" display="http://www.google.com/maps/dir/?api=1&amp;origin=-12.8942,-38.327931&amp;waypoints=-12.882997,-38.283165%7C-12.838155,-38.356178%7C-12.877479,-38.324318%7C-12.888142,-38.334516%7C-12.896102,-38.34381%7C-12.895665,-38.347754%7C-12.894069,-38.356198&amp;destination=-12.891823,-38.327084" xr:uid="{00000000-0004-0000-0200-00000B000000}"/>
    <hyperlink ref="AO799" display="http://www.google.com/maps/dir/?api=1&amp;origin=-12.896538,-38.332824&amp;waypoints=-12.89561,-38.347623%7C-12.887021,-38.290708%7C-12.876608,-38.291125%7C-12.883396,-38.287441%7C-12.8998,-38.296716%7C-12.899515,-38.323684%7C-12.89548,-38.323409%7C-12.8623,-38.2" xr:uid="{00000000-0004-0000-0200-00000C000000}"/>
    <hyperlink ref="E783" r:id="rId13" display="http://www.google.com/maps/dir/?api=1&amp;origin=-12.889978,-38.327006&amp;waypoints=-12.856733,-38.354395%7C-12.863787,-38.294222%7C-12.858545,-38.294199%7C-12.869864,-38.338376%7C-12.88249,-38.333441%7C-12.897319,-38.325312&amp;destination=-12.89175,-38.327184" xr:uid="{00000000-0004-0000-0200-00000D000000}"/>
    <hyperlink ref="AO783" r:id="rId14" xr:uid="{00000000-0004-0000-0200-00000E000000}"/>
    <hyperlink ref="E733" r:id="rId15" display="http://www.google.com/maps/dir/?api=1&amp;origin=-12.889776,-38.325542&amp;waypoints=-12.842239,-38.334227%7C-12.877553,-38.326026%7C-12.884051,-38.33888%7C-12.879913,-38.352153%7C-12.886335,-38.352381%7C-12.860259,-38.297318%7C-12.862296,-38.290964%7C-12.885983,-38.310996%7C-12.905355,-38.302465%7C-12.897298,-38.325266&amp;destination=-12.89182,-38.327239" xr:uid="{00000000-0004-0000-0200-00000F000000}"/>
    <hyperlink ref="E747" r:id="rId16" display="http://www.google.com/maps/dir/?api=1&amp;origin=-12.895696,-38.332212&amp;waypoints=-12.873331,-38.343708%7C-12.86778,-38.299486%7C-12.879836,-38.332108%7C-12.877217,-38.329879%7C-12.894822,-38.317418%7C-12.897447,-38.324942%7C-12.877567,-38.281654&amp;destination=-12.89185,-38.327107" xr:uid="{00000000-0004-0000-0200-000010000000}"/>
    <hyperlink ref="E813" r:id="rId17" display="http://www.google.com/maps/dir/?api=1&amp;origin=-12.889743,-38.325572&amp;waypoints=-12.869924,-38.339055%7C-12.856535,-38.340858%7C-12.849749,-38.338106%7C-12.854642,-38.359217%7C-12.88656,-38.312448%7C-12.899262,-38.327351%7C-12.883358,-38.339343%7C-12.89556,-38.323448%7C-12.886257,-38.337358%7C-12.883875,-38.342693&amp;destination=-12.891837,-38.327092" xr:uid="{00000000-0004-0000-0200-000011000000}"/>
    <hyperlink ref="E827" r:id="rId18" display="http://www.google.com/maps/dir/?api=1&amp;origin=-12.896384,-38.329847&amp;waypoints=-12.893414,-38.320266%7C-12.859975,-38.327684%7C-12.849733,-38.338081%7C-12.881286,-38.33429%7C-12.889708,-38.325642%7C-12.885134,-38.355481%7C-12.878472,-38.352773%7C-12.895566,-38.323616&amp;destination=-12.891864,-38.327135" xr:uid="{00000000-0004-0000-0200-000012000000}"/>
    <hyperlink ref="E829" r:id="rId19" display="http://www.google.com/maps/dir/?api=1&amp;origin=-12.893209,-38.327099&amp;waypoin&amp;destination=-12.891895,-38.327066" xr:uid="{00000000-0004-0000-0200-000013000000}"/>
    <hyperlink ref="E875" r:id="rId20" display="http://www.google.com/maps/dir/?api=1&amp;origin=-12.889936,-38.330384&amp;waypoints=-12.877079,-38.348716%7C-12.898287,-38.338377%7C-12.897502,-38.329514%7C-12.881215,-38.331876%7C-12.839069,-38.329782%7C-12.834444,-38.331492%7C-12.89704,-38.32467&amp;destination=-12.891851,-38.327112" xr:uid="{00000000-0004-0000-0200-000014000000}"/>
    <hyperlink ref="E881" r:id="rId21" display="http://www.google.com/maps/dir/?api=1&amp;origin=-12.889459,-38.32646&amp;waypoints=-12.881122,-38.296332%7C-12.88115,-38.304056%7C-12.871603,-38.357745%7C-12.841062,-38.334224%7C-12.899032,-38.351278%7C-12.887372,-38.354253%7C-12.881909,-38.328099%7C-12.895429,-38.347297%7C-12.867724,-38.29744%7C-12.89716,-38.324762&amp;destination=-12.891808,-38.327121" xr:uid="{00000000-0004-0000-0200-000015000000}"/>
    <hyperlink ref="E883" r:id="rId22" display="http://www.google.com/maps/dir/?api=1&amp;origin=-12.886654,-38.3237&amp;waypoints=-12.869533,-38.301296%7C-12.86739,-38.30042%7C-12.896698,-38.324919%7C-12.896008,-38.321181%7C-12.891815,-38.31036%7C-12.885674,-38.306436%7C-12.895612,-38.294984%7C-12.864611,-38.29634%7C-12.889887,-38.321718&amp;destination=-12.891818,-38.327128" xr:uid="{00000000-0004-0000-0200-000016000000}"/>
    <hyperlink ref="E887" r:id="rId23" display="http://www.google.com/maps/dir/?api=1&amp;origin=-12.893955,-38.327725&amp;waypoints=-12.898078,-38.325128%7C-12.898197,-38.3394%7C-12.901327,-38.341427%7C-12.897162,-38.345571%7C-12.900242,-38.343938%7C-12.887032,-38.353276%7C-12.887558,-38.344177%7C-12.899137,-38.327813%7C-12.880897,-38.324028%7C-12.856075,-38.361473&amp;destination=-12.891807,-38.327084" xr:uid="{00000000-0004-0000-0200-000017000000}"/>
    <hyperlink ref="E891" r:id="rId24" display="http://www.google.com/maps/dir/?api=1&amp;origin=-12.889727,-38.325163&amp;waypoints=-12.885045,-38.33483%7C-12.890894,-38.335272%7C-12.837828,-38.348808%7C-12.887569,-38.352018%7C-12.899113,-38.35127%7C-12.901721,-38.310045%7C-12.895492,-38.323553&amp;destination=-12.89189,-38.327125" xr:uid="{00000000-0004-0000-0200-000018000000}"/>
  </hyperlinks>
  <pageMargins left="0.7" right="0.7" top="0.75" bottom="0.75" header="0.3" footer="0.3"/>
  <pageSetup paperSize="9" scale="22" orientation="portrait" r:id="rId25"/>
  <drawing r:id="rId26"/>
  <legacyDrawing r:id="rId27"/>
  <tableParts count="2">
    <tablePart r:id="rId28"/>
    <tablePart r:id="rId29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" id="{B2B0ACE0-F5EE-4F24-9C65-FA3D49BFA3A3}">
            <x14:iconSet iconSet="4TrafficLights" showValue="0" custom="1">
              <x14:cfvo type="percent">
                <xm:f>0</xm:f>
              </x14:cfvo>
              <x14:cfvo type="num">
                <xm:f>0.6</xm:f>
              </x14:cfvo>
              <x14:cfvo type="num">
                <xm:f>0.8</xm:f>
              </x14:cfvo>
              <x14:cfvo type="num">
                <xm:f>1.2</xm:f>
              </x14:cfvo>
              <x14:cfIcon iconSet="3TrafficLights1" iconId="0"/>
              <x14:cfIcon iconSet="3TrafficLights1" iconId="1"/>
              <x14:cfIcon iconSet="3TrafficLights1" iconId="2"/>
              <x14:cfIcon iconSet="3Symbols2" iconId="1"/>
            </x14:iconSet>
          </x14:cfRule>
          <xm:sqref>V7:V925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F352F-357E-4F6F-9F60-9E88D1C05DC2}">
  <dimension ref="A1:AP920"/>
  <sheetViews>
    <sheetView tabSelected="1" topLeftCell="A72" workbookViewId="0">
      <selection activeCell="K77" sqref="K77"/>
    </sheetView>
  </sheetViews>
  <sheetFormatPr defaultRowHeight="15" x14ac:dyDescent="0.25"/>
  <cols>
    <col min="2" max="2" width="11.85546875" bestFit="1" customWidth="1"/>
    <col min="23" max="23" width="15.5703125" bestFit="1" customWidth="1"/>
    <col min="25" max="25" width="13" bestFit="1" customWidth="1"/>
  </cols>
  <sheetData>
    <row r="1" spans="1:42" ht="63" x14ac:dyDescent="0.25">
      <c r="A1" s="107" t="s">
        <v>519</v>
      </c>
      <c r="B1" s="106" t="s">
        <v>518</v>
      </c>
      <c r="C1" s="105" t="s">
        <v>517</v>
      </c>
      <c r="D1" s="102" t="s">
        <v>516</v>
      </c>
      <c r="E1" s="102" t="s">
        <v>515</v>
      </c>
      <c r="F1" s="102" t="s">
        <v>514</v>
      </c>
      <c r="G1" s="102" t="s">
        <v>513</v>
      </c>
      <c r="H1" s="102" t="s">
        <v>512</v>
      </c>
      <c r="I1" s="102" t="s">
        <v>511</v>
      </c>
      <c r="J1" s="102" t="s">
        <v>510</v>
      </c>
      <c r="K1" s="102" t="s">
        <v>509</v>
      </c>
      <c r="L1" s="104" t="s">
        <v>508</v>
      </c>
      <c r="M1" s="104" t="s">
        <v>507</v>
      </c>
      <c r="N1" s="104" t="s">
        <v>506</v>
      </c>
      <c r="O1" s="104" t="s">
        <v>505</v>
      </c>
      <c r="P1" s="103" t="s">
        <v>504</v>
      </c>
      <c r="Q1" s="102" t="s">
        <v>503</v>
      </c>
      <c r="R1" s="101" t="s">
        <v>502</v>
      </c>
      <c r="S1" s="99" t="s">
        <v>501</v>
      </c>
      <c r="T1" s="99" t="s">
        <v>500</v>
      </c>
      <c r="U1" s="99" t="s">
        <v>499</v>
      </c>
      <c r="V1" s="99" t="s">
        <v>498</v>
      </c>
      <c r="W1" s="99" t="s">
        <v>497</v>
      </c>
      <c r="X1" s="99" t="s">
        <v>496</v>
      </c>
      <c r="Y1" s="99" t="s">
        <v>495</v>
      </c>
      <c r="Z1" s="100" t="s">
        <v>494</v>
      </c>
      <c r="AA1" s="100" t="s">
        <v>493</v>
      </c>
      <c r="AB1" s="100" t="s">
        <v>492</v>
      </c>
      <c r="AC1" s="91" t="s">
        <v>491</v>
      </c>
      <c r="AD1" s="91" t="s">
        <v>490</v>
      </c>
      <c r="AE1" s="99" t="s">
        <v>489</v>
      </c>
      <c r="AF1" s="98" t="s">
        <v>488</v>
      </c>
      <c r="AG1" s="97" t="s">
        <v>487</v>
      </c>
      <c r="AH1" s="96" t="s">
        <v>486</v>
      </c>
      <c r="AI1" s="95" t="s">
        <v>485</v>
      </c>
      <c r="AJ1" s="93" t="s">
        <v>484</v>
      </c>
      <c r="AK1" s="94" t="s">
        <v>483</v>
      </c>
      <c r="AL1" s="93" t="s">
        <v>482</v>
      </c>
      <c r="AM1" s="92" t="s">
        <v>481</v>
      </c>
      <c r="AN1" s="91" t="s">
        <v>480</v>
      </c>
      <c r="AO1" s="91" t="s">
        <v>479</v>
      </c>
      <c r="AP1" s="91" t="s">
        <v>478</v>
      </c>
    </row>
    <row r="2" spans="1:42" ht="63" x14ac:dyDescent="0.25">
      <c r="A2" s="44">
        <f>WEEKNUM(MIP_4[[#This Row],[Data]])</f>
        <v>19</v>
      </c>
      <c r="B2" s="45">
        <v>42863</v>
      </c>
      <c r="C2" s="45"/>
      <c r="D2" s="83" t="s">
        <v>463</v>
      </c>
      <c r="E2" s="35" t="s">
        <v>5</v>
      </c>
      <c r="F2" s="83"/>
      <c r="G2" s="44">
        <v>2</v>
      </c>
      <c r="H2" s="44">
        <v>8</v>
      </c>
      <c r="I2" s="44">
        <v>2</v>
      </c>
      <c r="J2" s="44">
        <v>0</v>
      </c>
      <c r="K2" s="44">
        <v>0</v>
      </c>
      <c r="L2" s="43">
        <v>0.625</v>
      </c>
      <c r="M2" s="43">
        <v>0.64583333333333337</v>
      </c>
      <c r="N2" s="43">
        <f>18/24/60</f>
        <v>1.2500000000000001E-2</v>
      </c>
      <c r="O2" s="43">
        <f>48/24/60</f>
        <v>3.3333333333333333E-2</v>
      </c>
      <c r="P2" s="39"/>
      <c r="Q2" s="42"/>
      <c r="R2" s="44">
        <f>MIP_4[[#This Row],[PT-1]]+MIP_4[[#This Row],[PT-2]]*2+MIP_4[[#This Row],[PT-3]]*3+MIP_4[[#This Row],[PT &gt; 3 Pontos]]</f>
        <v>12</v>
      </c>
      <c r="S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4.1666666666666741E-2</v>
      </c>
      <c r="T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4.1666666666666741E-2</v>
      </c>
      <c r="U2" s="41">
        <f ca="1">MIP_4[[#This Row],[Eficiência]]</f>
        <v>0.88622878731574339</v>
      </c>
      <c r="V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" s="39">
        <f>IF(MIP_4[[#This Row],[P.S]]-MIP_4[[#This Row],[P.E]]&lt;0,1+MIP_4[[#This Row],[P.S]]-MIP_4[[#This Row],[P.E]]-1/24,MIP_4[[#This Row],[P.S]]-MIP_4[[#This Row],[P.E]]-1/24)</f>
        <v>0.36666666666666675</v>
      </c>
      <c r="X2" s="39">
        <f ca="1">MIP_4[[#This Row],[PT-1]]*$S$3+MIP_4[[#This Row],[PT-2]]*$T$3+MIP_4[[#This Row],[PT-3]]*$U$3+MIP_4[[#This Row],[PT &gt; 3 Pontos]]*$V$3</f>
        <v>0.2880243558776166</v>
      </c>
      <c r="Y2" s="39">
        <f>MIP_4[[#This Row],[HH disponível]]-MIP_4[[#This Row],[HH AC TOT]]</f>
        <v>0.32500000000000001</v>
      </c>
      <c r="Z2" s="38">
        <f ca="1">MIP_4[[#This Row],[HH Produtivo
Total]]/MIP_4[[#This Row],[HH Trabalhado]]</f>
        <v>0.88622878731574339</v>
      </c>
      <c r="AA2" s="38">
        <f ca="1">MIP_4[[#This Row],[HH Produtivo
Total]]/MIP_4[[#This Row],[HH disponível]]</f>
        <v>0.78552097057531778</v>
      </c>
      <c r="AB2" s="38">
        <f>MIP_4[[#This Row],[HH Trabalhado]]/MIP_4[[#This Row],[HH disponível]]</f>
        <v>0.88636363636363624</v>
      </c>
      <c r="AC2" s="37" t="str">
        <f>LEFT(MIP_4[[#This Row],[Equipe]], SEARCH("/",MIP_4[[#This Row],[Equipe]],1)-1)</f>
        <v xml:space="preserve">EDILTON </v>
      </c>
      <c r="AD2" s="37" t="str">
        <f>RIGHT(MIP_4[[#This Row],[Equipe]], LEN(MIP_4[[#This Row],[Equipe]])-SEARCH("/",MIP_4[[#This Row],[Equipe]],1))</f>
        <v xml:space="preserve"> CLAUDINEY</v>
      </c>
      <c r="AE2" s="44">
        <f>COUNTIFS('[1]Tempo parado'!G:G,"&gt;="&amp;MIP_4[[#This Row],[S.B Sitrack]],'[1]Tempo parado'!H:H,"&lt;="&amp;MIP_4[[#This Row],[C.B Sitrack]],'[1]Tempo parado'!A:A,MIP_4[[#This Row],[Placa]])</f>
        <v>0</v>
      </c>
      <c r="AF2" s="36"/>
      <c r="AG2" s="35"/>
      <c r="AH2" s="34"/>
      <c r="AI2" s="34"/>
      <c r="AJ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" s="32" t="str">
        <f>IFERROR(MIP_4[[#This Row],[Tempo parado]]/(MIP_4[[#This Row],[C.B Sitrack]]-MIP_4[[#This Row],[S.B Sitrack]]),"")</f>
        <v/>
      </c>
      <c r="AN2" s="89"/>
      <c r="AO2" s="44">
        <f>IF(AND(MIP_4[Exc]=0,MIP_4[Previsto / Realizado]="Realizado"),MIP_4[Sem],0)</f>
        <v>0</v>
      </c>
      <c r="AP2" s="88">
        <f>IF(AND(MIP_4[Exc]=0,MIP_4[Previsto / Realizado]="Realizado",ISBLANK(MIP_4[[#This Row],[S.B Sitrack]])=FALSE,ISBLANK(MIP_4[[#This Row],[C.B Sitrack]])=FALSE),MIP_4[Sem],0)</f>
        <v>0</v>
      </c>
    </row>
    <row r="3" spans="1:42" ht="63" x14ac:dyDescent="0.25">
      <c r="A3" s="44">
        <f>WEEKNUM(MIP_4[[#This Row],[Data]])</f>
        <v>19</v>
      </c>
      <c r="B3" s="45">
        <v>42863</v>
      </c>
      <c r="C3" s="45"/>
      <c r="D3" s="83" t="s">
        <v>463</v>
      </c>
      <c r="E3" s="35" t="s">
        <v>2</v>
      </c>
      <c r="F3" s="83"/>
      <c r="G3" s="44">
        <v>2</v>
      </c>
      <c r="H3" s="44">
        <v>8</v>
      </c>
      <c r="I3" s="44">
        <v>1</v>
      </c>
      <c r="J3" s="44">
        <v>0</v>
      </c>
      <c r="K3" s="44">
        <v>0</v>
      </c>
      <c r="L3" s="43">
        <v>0.625</v>
      </c>
      <c r="M3" s="43">
        <v>0.70000000000000007</v>
      </c>
      <c r="N3" s="43">
        <f>1</f>
        <v>1</v>
      </c>
      <c r="O3" s="43">
        <f>1/24/60*48</f>
        <v>3.3333333333333326E-2</v>
      </c>
      <c r="P3" s="39"/>
      <c r="Q3" s="42" t="s">
        <v>477</v>
      </c>
      <c r="R3" s="44">
        <f>MIP_4[[#This Row],[PT-1]]+MIP_4[[#This Row],[PT-2]]*2+MIP_4[[#This Row],[PT-3]]*3+MIP_4[[#This Row],[PT &gt; 3 Pontos]]</f>
        <v>10</v>
      </c>
      <c r="S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0.10833333333333328</v>
      </c>
      <c r="T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0.10833333333333328</v>
      </c>
      <c r="U3" s="41">
        <f ca="1">MIP_4[[#This Row],[Eficiência]]</f>
        <v>0.94496357332086622</v>
      </c>
      <c r="V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" s="39">
        <f>IF(MIP_4[[#This Row],[P.S]]-MIP_4[[#This Row],[P.E]]&lt;0,1+MIP_4[[#This Row],[P.S]]-MIP_4[[#This Row],[P.E]]-1/24,MIP_4[[#This Row],[P.S]]-MIP_4[[#This Row],[P.E]]-1/24)</f>
        <v>0.36666666666666653</v>
      </c>
      <c r="X3" s="39">
        <f ca="1">MIP_4[[#This Row],[PT-1]]*$S$3+MIP_4[[#This Row],[PT-2]]*$T$3+MIP_4[[#This Row],[PT-3]]*$U$3+MIP_4[[#This Row],[PT &gt; 3 Pontos]]*$V$3</f>
        <v>0.24411558977455702</v>
      </c>
      <c r="Y3" s="39">
        <f>MIP_4[[#This Row],[HH disponível]]-MIP_4[[#This Row],[HH AC TOT]]</f>
        <v>0.25833333333333325</v>
      </c>
      <c r="Z3" s="38">
        <f ca="1">MIP_4[[#This Row],[HH Produtivo
Total]]/MIP_4[[#This Row],[HH Trabalhado]]</f>
        <v>0.94496357332086622</v>
      </c>
      <c r="AA3" s="38">
        <f ca="1">MIP_4[[#This Row],[HH Produtivo
Total]]/MIP_4[[#This Row],[HH disponível]]</f>
        <v>0.66576979029424666</v>
      </c>
      <c r="AB3" s="38">
        <f>MIP_4[[#This Row],[HH Trabalhado]]/MIP_4[[#This Row],[HH disponível]]</f>
        <v>0.70454545454545459</v>
      </c>
      <c r="AC3" s="37" t="str">
        <f>LEFT(MIP_4[[#This Row],[Equipe]], SEARCH("/",MIP_4[[#This Row],[Equipe]],1)-1)</f>
        <v xml:space="preserve">EDILTON </v>
      </c>
      <c r="AD3" s="37" t="str">
        <f>RIGHT(MIP_4[[#This Row],[Equipe]], LEN(MIP_4[[#This Row],[Equipe]])-SEARCH("/",MIP_4[[#This Row],[Equipe]],1))</f>
        <v xml:space="preserve"> CLAUDINEY</v>
      </c>
      <c r="AE3" s="44">
        <f>COUNTIFS('[1]Tempo parado'!G:G,"&gt;="&amp;MIP_4[[#This Row],[S.B Sitrack]],'[1]Tempo parado'!H:H,"&lt;="&amp;MIP_4[[#This Row],[C.B Sitrack]],'[1]Tempo parado'!A:A,MIP_4[[#This Row],[Placa]])</f>
        <v>0</v>
      </c>
      <c r="AF3" s="36"/>
      <c r="AG3" s="35"/>
      <c r="AH3" s="34"/>
      <c r="AI3" s="34"/>
      <c r="AJ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" s="32" t="str">
        <f>IFERROR(MIP_4[[#This Row],[Tempo parado]]/(MIP_4[[#This Row],[C.B Sitrack]]-MIP_4[[#This Row],[S.B Sitrack]]),"")</f>
        <v/>
      </c>
      <c r="AN3" s="30"/>
      <c r="AO3" s="44">
        <f>IF(AND(MIP_4[Exc]=0,MIP_4[Previsto / Realizado]="Realizado"),MIP_4[Sem],0)</f>
        <v>19</v>
      </c>
      <c r="AP3" s="29">
        <f>IF(AND(MIP_4[Exc]=0,MIP_4[Previsto / Realizado]="Realizado",ISBLANK(MIP_4[[#This Row],[S.B Sitrack]])=FALSE,ISBLANK(MIP_4[[#This Row],[C.B Sitrack]])=FALSE),MIP_4[Sem],0)</f>
        <v>0</v>
      </c>
    </row>
    <row r="4" spans="1:42" ht="63" x14ac:dyDescent="0.25">
      <c r="A4" s="44">
        <f>WEEKNUM(MIP_4[[#This Row],[Data]])</f>
        <v>19</v>
      </c>
      <c r="B4" s="45">
        <v>42863</v>
      </c>
      <c r="C4" s="45"/>
      <c r="D4" s="83" t="s">
        <v>439</v>
      </c>
      <c r="E4" s="35" t="s">
        <v>5</v>
      </c>
      <c r="F4" s="83"/>
      <c r="G4" s="44">
        <v>2</v>
      </c>
      <c r="H4" s="44">
        <v>8</v>
      </c>
      <c r="I4" s="44">
        <v>2</v>
      </c>
      <c r="J4" s="44">
        <v>1</v>
      </c>
      <c r="K4" s="44">
        <v>0</v>
      </c>
      <c r="L4" s="43">
        <v>0.625</v>
      </c>
      <c r="M4" s="43">
        <v>0.64583333333333337</v>
      </c>
      <c r="N4" s="43">
        <f>18/24/60</f>
        <v>1.2500000000000001E-2</v>
      </c>
      <c r="O4" s="43">
        <f>48/24/60</f>
        <v>3.3333333333333333E-2</v>
      </c>
      <c r="P4" s="39"/>
      <c r="Q4" s="42"/>
      <c r="R4" s="44">
        <f>MIP_4[[#This Row],[PT-1]]+MIP_4[[#This Row],[PT-2]]*2+MIP_4[[#This Row],[PT-3]]*3+MIP_4[[#This Row],[PT &gt; 3 Pontos]]</f>
        <v>15</v>
      </c>
      <c r="S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4.1666666666666741E-2</v>
      </c>
      <c r="T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4.1666666666666741E-2</v>
      </c>
      <c r="U4" s="41">
        <f ca="1">MIP_4[[#This Row],[Eficiência]]</f>
        <v>1.0794339542301494</v>
      </c>
      <c r="V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" s="39">
        <f>IF(MIP_4[[#This Row],[P.S]]-MIP_4[[#This Row],[P.E]]&lt;0,1+MIP_4[[#This Row],[P.S]]-MIP_4[[#This Row],[P.E]]-1/24,MIP_4[[#This Row],[P.S]]-MIP_4[[#This Row],[P.E]]-1/24)</f>
        <v>0.36666666666666675</v>
      </c>
      <c r="X4" s="39">
        <f ca="1">MIP_4[[#This Row],[PT-1]]*$S$3+MIP_4[[#This Row],[PT-2]]*$T$3+MIP_4[[#This Row],[PT-3]]*$U$3+MIP_4[[#This Row],[PT &gt; 3 Pontos]]*$V$3</f>
        <v>0.35081603512479859</v>
      </c>
      <c r="Y4" s="39">
        <f>MIP_4[[#This Row],[HH disponível]]-MIP_4[[#This Row],[HH AC TOT]]</f>
        <v>0.32500000000000001</v>
      </c>
      <c r="Z4" s="38">
        <f ca="1">MIP_4[[#This Row],[HH Produtivo
Total]]/MIP_4[[#This Row],[HH Trabalhado]]</f>
        <v>1.0794339542301494</v>
      </c>
      <c r="AA4" s="38">
        <f ca="1">MIP_4[[#This Row],[HH Produtivo
Total]]/MIP_4[[#This Row],[HH disponível]]</f>
        <v>0.95677100488581412</v>
      </c>
      <c r="AB4" s="38">
        <f>MIP_4[[#This Row],[HH Trabalhado]]/MIP_4[[#This Row],[HH disponível]]</f>
        <v>0.88636363636363624</v>
      </c>
      <c r="AC4" s="37" t="str">
        <f>LEFT(MIP_4[[#This Row],[Equipe]], SEARCH("/",MIP_4[[#This Row],[Equipe]],1)-1)</f>
        <v xml:space="preserve">ADEMÁRIO </v>
      </c>
      <c r="AD4" s="37" t="str">
        <f>RIGHT(MIP_4[[#This Row],[Equipe]], LEN(MIP_4[[#This Row],[Equipe]])-SEARCH("/",MIP_4[[#This Row],[Equipe]],1))</f>
        <v xml:space="preserve"> ANDERSON</v>
      </c>
      <c r="AE4" s="44">
        <f>COUNTIFS('[1]Tempo parado'!G:G,"&gt;="&amp;MIP_4[[#This Row],[S.B Sitrack]],'[1]Tempo parado'!H:H,"&lt;="&amp;MIP_4[[#This Row],[C.B Sitrack]],'[1]Tempo parado'!A:A,MIP_4[[#This Row],[Placa]])</f>
        <v>0</v>
      </c>
      <c r="AF4" s="36"/>
      <c r="AG4" s="35"/>
      <c r="AH4" s="34"/>
      <c r="AI4" s="34"/>
      <c r="AJ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" s="32" t="str">
        <f>IFERROR(MIP_4[[#This Row],[Tempo parado]]/(MIP_4[[#This Row],[C.B Sitrack]]-MIP_4[[#This Row],[S.B Sitrack]]),"")</f>
        <v/>
      </c>
      <c r="AN4" s="30"/>
      <c r="AO4" s="44">
        <f>IF(AND(MIP_4[Exc]=0,MIP_4[Previsto / Realizado]="Realizado"),MIP_4[Sem],0)</f>
        <v>0</v>
      </c>
      <c r="AP4" s="29">
        <f>IF(AND(MIP_4[Exc]=0,MIP_4[Previsto / Realizado]="Realizado",ISBLANK(MIP_4[[#This Row],[S.B Sitrack]])=FALSE,ISBLANK(MIP_4[[#This Row],[C.B Sitrack]])=FALSE),MIP_4[Sem],0)</f>
        <v>0</v>
      </c>
    </row>
    <row r="5" spans="1:42" ht="63" x14ac:dyDescent="0.25">
      <c r="A5" s="44">
        <f>WEEKNUM(MIP_4[[#This Row],[Data]])</f>
        <v>19</v>
      </c>
      <c r="B5" s="45">
        <v>42863</v>
      </c>
      <c r="C5" s="45"/>
      <c r="D5" s="83" t="s">
        <v>439</v>
      </c>
      <c r="E5" s="35" t="s">
        <v>2</v>
      </c>
      <c r="F5" s="83"/>
      <c r="G5" s="44">
        <v>2</v>
      </c>
      <c r="H5" s="44">
        <v>8</v>
      </c>
      <c r="I5" s="44">
        <v>2</v>
      </c>
      <c r="J5" s="44">
        <v>0</v>
      </c>
      <c r="K5" s="44">
        <v>0</v>
      </c>
      <c r="L5" s="43">
        <v>0.625</v>
      </c>
      <c r="M5" s="43">
        <v>0.70000000000000007</v>
      </c>
      <c r="N5" s="43">
        <v>0.98749999999999993</v>
      </c>
      <c r="O5" s="43">
        <f>48/24/60</f>
        <v>3.3333333333333333E-2</v>
      </c>
      <c r="P5" s="39"/>
      <c r="Q5" s="42" t="s">
        <v>477</v>
      </c>
      <c r="R5" s="44">
        <f>MIP_4[[#This Row],[PT-1]]+MIP_4[[#This Row],[PT-2]]*2+MIP_4[[#This Row],[PT-3]]*3+MIP_4[[#This Row],[PT &gt; 3 Pontos]]</f>
        <v>12</v>
      </c>
      <c r="S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0.12083333333333357</v>
      </c>
      <c r="T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0.12083333333333357</v>
      </c>
      <c r="U5" s="41">
        <f ca="1">MIP_4[[#This Row],[Eficiência]]</f>
        <v>1.1716244984852209</v>
      </c>
      <c r="V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" s="39">
        <f>IF(MIP_4[[#This Row],[P.S]]-MIP_4[[#This Row],[P.E]]&lt;0,1+MIP_4[[#This Row],[P.S]]-MIP_4[[#This Row],[P.E]]-1/24,MIP_4[[#This Row],[P.S]]-MIP_4[[#This Row],[P.E]]-1/24)</f>
        <v>0.36666666666666675</v>
      </c>
      <c r="X5" s="39">
        <f ca="1">MIP_4[[#This Row],[PT-1]]*$S$3+MIP_4[[#This Row],[PT-2]]*$T$3+MIP_4[[#This Row],[PT-3]]*$U$3+MIP_4[[#This Row],[PT &gt; 3 Pontos]]*$V$3</f>
        <v>0.2880243558776166</v>
      </c>
      <c r="Y5" s="39">
        <f>MIP_4[[#This Row],[HH disponível]]-MIP_4[[#This Row],[HH AC TOT]]</f>
        <v>0.24583333333333318</v>
      </c>
      <c r="Z5" s="38">
        <f ca="1">MIP_4[[#This Row],[HH Produtivo
Total]]/MIP_4[[#This Row],[HH Trabalhado]]</f>
        <v>1.1716244984852209</v>
      </c>
      <c r="AA5" s="38">
        <f ca="1">MIP_4[[#This Row],[HH Produtivo
Total]]/MIP_4[[#This Row],[HH disponível]]</f>
        <v>0.78552097057531778</v>
      </c>
      <c r="AB5" s="38">
        <f>MIP_4[[#This Row],[HH Trabalhado]]/MIP_4[[#This Row],[HH disponível]]</f>
        <v>0.67045454545454486</v>
      </c>
      <c r="AC5" s="37" t="str">
        <f>LEFT(MIP_4[[#This Row],[Equipe]], SEARCH("/",MIP_4[[#This Row],[Equipe]],1)-1)</f>
        <v xml:space="preserve">ADEMÁRIO </v>
      </c>
      <c r="AD5" s="37" t="str">
        <f>RIGHT(MIP_4[[#This Row],[Equipe]], LEN(MIP_4[[#This Row],[Equipe]])-SEARCH("/",MIP_4[[#This Row],[Equipe]],1))</f>
        <v xml:space="preserve"> ANDERSON</v>
      </c>
      <c r="AE5" s="44">
        <f>COUNTIFS('[1]Tempo parado'!G:G,"&gt;="&amp;MIP_4[[#This Row],[S.B Sitrack]],'[1]Tempo parado'!H:H,"&lt;="&amp;MIP_4[[#This Row],[C.B Sitrack]],'[1]Tempo parado'!A:A,MIP_4[[#This Row],[Placa]])</f>
        <v>0</v>
      </c>
      <c r="AF5" s="36"/>
      <c r="AG5" s="35"/>
      <c r="AH5" s="34"/>
      <c r="AI5" s="34"/>
      <c r="AJ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" s="32" t="str">
        <f>IFERROR(MIP_4[[#This Row],[Tempo parado]]/(MIP_4[[#This Row],[C.B Sitrack]]-MIP_4[[#This Row],[S.B Sitrack]]),"")</f>
        <v/>
      </c>
      <c r="AN5" s="30"/>
      <c r="AO5" s="44">
        <f>IF(AND(MIP_4[Exc]=0,MIP_4[Previsto / Realizado]="Realizado"),MIP_4[Sem],0)</f>
        <v>19</v>
      </c>
      <c r="AP5" s="29">
        <f>IF(AND(MIP_4[Exc]=0,MIP_4[Previsto / Realizado]="Realizado",ISBLANK(MIP_4[[#This Row],[S.B Sitrack]])=FALSE,ISBLANK(MIP_4[[#This Row],[C.B Sitrack]])=FALSE),MIP_4[Sem],0)</f>
        <v>0</v>
      </c>
    </row>
    <row r="6" spans="1:42" ht="15.75" x14ac:dyDescent="0.25">
      <c r="A6" s="44">
        <f>WEEKNUM(MIP_4[[#This Row],[Data]])</f>
        <v>19</v>
      </c>
      <c r="B6" s="45">
        <v>42864</v>
      </c>
      <c r="C6" s="45"/>
      <c r="D6" s="35" t="s">
        <v>10</v>
      </c>
      <c r="E6" s="35" t="s">
        <v>5</v>
      </c>
      <c r="F6" s="35"/>
      <c r="G6" s="44">
        <v>2</v>
      </c>
      <c r="H6" s="44">
        <v>7</v>
      </c>
      <c r="I6" s="44">
        <v>4</v>
      </c>
      <c r="J6" s="44">
        <v>0</v>
      </c>
      <c r="K6" s="44">
        <v>0</v>
      </c>
      <c r="L6" s="43">
        <v>0.25</v>
      </c>
      <c r="M6" s="43">
        <v>0.27083333333333331</v>
      </c>
      <c r="N6" s="43">
        <v>0.63750000000000007</v>
      </c>
      <c r="O6" s="43">
        <v>0.65833333333333333</v>
      </c>
      <c r="P6" s="39"/>
      <c r="Q6" s="42"/>
      <c r="R6" s="44">
        <f>MIP_4[[#This Row],[PT-1]]+MIP_4[[#This Row],[PT-2]]*2+MIP_4[[#This Row],[PT-3]]*3+MIP_4[[#This Row],[PT &gt; 3 Pontos]]</f>
        <v>15</v>
      </c>
      <c r="S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6" s="41">
        <f ca="1">MIP_4[[#This Row],[Eficiência]]</f>
        <v>1.0794339542301494</v>
      </c>
      <c r="V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" s="39">
        <f>IF(MIP_4[[#This Row],[P.S]]-MIP_4[[#This Row],[P.E]]&lt;0,1+MIP_4[[#This Row],[P.S]]-MIP_4[[#This Row],[P.E]]-1/24,MIP_4[[#This Row],[P.S]]-MIP_4[[#This Row],[P.E]]-1/24)</f>
        <v>0.36666666666666664</v>
      </c>
      <c r="X6" s="39">
        <f ca="1">MIP_4[[#This Row],[PT-1]]*$S$3+MIP_4[[#This Row],[PT-2]]*$T$3+MIP_4[[#This Row],[PT-3]]*$U$3+MIP_4[[#This Row],[PT &gt; 3 Pontos]]*$V$3</f>
        <v>0.35081603512479864</v>
      </c>
      <c r="Y6" s="39">
        <f>MIP_4[[#This Row],[HH disponível]]-MIP_4[[#This Row],[HH AC TOT]]</f>
        <v>0.32500000000000007</v>
      </c>
      <c r="Z6" s="38">
        <f ca="1">MIP_4[[#This Row],[HH Produtivo
Total]]/MIP_4[[#This Row],[HH Trabalhado]]</f>
        <v>1.0794339542301494</v>
      </c>
      <c r="AA6" s="38">
        <f ca="1">MIP_4[[#This Row],[HH Produtivo
Total]]/MIP_4[[#This Row],[HH disponível]]</f>
        <v>0.95677100488581457</v>
      </c>
      <c r="AB6" s="38">
        <f>MIP_4[[#This Row],[HH Trabalhado]]/MIP_4[[#This Row],[HH disponível]]</f>
        <v>0.88636363636363658</v>
      </c>
      <c r="AC6" s="37" t="str">
        <f>LEFT(MIP_4[[#This Row],[Equipe]], SEARCH("/",MIP_4[[#This Row],[Equipe]],1)-1)</f>
        <v xml:space="preserve">JOILSON </v>
      </c>
      <c r="AD6" s="37" t="str">
        <f>RIGHT(MIP_4[[#This Row],[Equipe]], LEN(MIP_4[[#This Row],[Equipe]])-SEARCH("/",MIP_4[[#This Row],[Equipe]],1))</f>
        <v xml:space="preserve"> VALDEI</v>
      </c>
      <c r="AE6" s="44">
        <f>COUNTIFS('[1]Tempo parado'!G:G,"&gt;="&amp;MIP_4[[#This Row],[S.B Sitrack]],'[1]Tempo parado'!H:H,"&lt;="&amp;MIP_4[[#This Row],[C.B Sitrack]],'[1]Tempo parado'!A:A,MIP_4[[#This Row],[Placa]])</f>
        <v>0</v>
      </c>
      <c r="AF6" s="36"/>
      <c r="AG6" s="35"/>
      <c r="AH6" s="34"/>
      <c r="AI6" s="34"/>
      <c r="AJ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" s="32" t="str">
        <f>IFERROR(MIP_4[[#This Row],[Tempo parado]]/(MIP_4[[#This Row],[C.B Sitrack]]-MIP_4[[#This Row],[S.B Sitrack]]),"")</f>
        <v/>
      </c>
      <c r="AN6" s="30"/>
      <c r="AO6" s="44">
        <f>IF(AND(MIP_4[Exc]=0,MIP_4[Previsto / Realizado]="Realizado"),MIP_4[Sem],0)</f>
        <v>0</v>
      </c>
      <c r="AP6" s="29">
        <f>IF(AND(MIP_4[Exc]=0,MIP_4[Previsto / Realizado]="Realizado",ISBLANK(MIP_4[[#This Row],[S.B Sitrack]])=FALSE,ISBLANK(MIP_4[[#This Row],[C.B Sitrack]])=FALSE),MIP_4[Sem],0)</f>
        <v>0</v>
      </c>
    </row>
    <row r="7" spans="1:42" ht="15.75" x14ac:dyDescent="0.25">
      <c r="A7" s="44">
        <f>WEEKNUM(MIP_4[[#This Row],[Data]])</f>
        <v>19</v>
      </c>
      <c r="B7" s="45">
        <v>42864</v>
      </c>
      <c r="C7" s="45"/>
      <c r="D7" s="35" t="s">
        <v>10</v>
      </c>
      <c r="E7" s="35" t="s">
        <v>2</v>
      </c>
      <c r="F7" s="35"/>
      <c r="G7" s="44">
        <v>2</v>
      </c>
      <c r="H7" s="44">
        <v>6</v>
      </c>
      <c r="I7" s="44">
        <v>1</v>
      </c>
      <c r="J7" s="44">
        <v>0</v>
      </c>
      <c r="K7" s="44">
        <v>0</v>
      </c>
      <c r="L7" s="43">
        <v>0.25763888888888892</v>
      </c>
      <c r="M7" s="43">
        <v>0.2986111111111111</v>
      </c>
      <c r="N7" s="43">
        <v>0.60625000000000007</v>
      </c>
      <c r="O7" s="43">
        <v>0.6777777777777777</v>
      </c>
      <c r="P7" s="39"/>
      <c r="Q7" s="42" t="s">
        <v>476</v>
      </c>
      <c r="R7" s="44">
        <f>MIP_4[[#This Row],[PT-1]]+MIP_4[[#This Row],[PT-2]]*2+MIP_4[[#This Row],[PT-3]]*3+MIP_4[[#This Row],[PT &gt; 3 Pontos]]</f>
        <v>8</v>
      </c>
      <c r="S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0.11249999999999982</v>
      </c>
      <c r="T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0.11249999999999982</v>
      </c>
      <c r="U7" s="41">
        <f ca="1">MIP_4[[#This Row],[Eficiência]]</f>
        <v>0.72963966776402867</v>
      </c>
      <c r="V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" s="39">
        <f>IF(MIP_4[[#This Row],[P.S]]-MIP_4[[#This Row],[P.E]]&lt;0,1+MIP_4[[#This Row],[P.S]]-MIP_4[[#This Row],[P.E]]-1/24,MIP_4[[#This Row],[P.S]]-MIP_4[[#This Row],[P.E]]-1/24)</f>
        <v>0.3784722222222221</v>
      </c>
      <c r="X7" s="39">
        <f ca="1">MIP_4[[#This Row],[PT-1]]*$S$3+MIP_4[[#This Row],[PT-2]]*$T$3+MIP_4[[#This Row],[PT-3]]*$U$3+MIP_4[[#This Row],[PT &gt; 3 Pontos]]*$V$3</f>
        <v>0.19406388385668266</v>
      </c>
      <c r="Y7" s="39">
        <f>MIP_4[[#This Row],[HH disponível]]-MIP_4[[#This Row],[HH AC TOT]]</f>
        <v>0.26597222222222228</v>
      </c>
      <c r="Z7" s="38">
        <f ca="1">MIP_4[[#This Row],[HH Produtivo
Total]]/MIP_4[[#This Row],[HH Trabalhado]]</f>
        <v>0.72963966776402867</v>
      </c>
      <c r="AA7" s="38">
        <f ca="1">MIP_4[[#This Row],[HH Produtivo
Total]]/MIP_4[[#This Row],[HH disponível]]</f>
        <v>0.51275595000664798</v>
      </c>
      <c r="AB7" s="38">
        <f>MIP_4[[#This Row],[HH Trabalhado]]/MIP_4[[#This Row],[HH disponível]]</f>
        <v>0.70275229357798208</v>
      </c>
      <c r="AC7" s="37" t="str">
        <f>LEFT(MIP_4[[#This Row],[Equipe]], SEARCH("/",MIP_4[[#This Row],[Equipe]],1)-1)</f>
        <v xml:space="preserve">JOILSON </v>
      </c>
      <c r="AD7" s="37" t="str">
        <f>RIGHT(MIP_4[[#This Row],[Equipe]], LEN(MIP_4[[#This Row],[Equipe]])-SEARCH("/",MIP_4[[#This Row],[Equipe]],1))</f>
        <v xml:space="preserve"> VALDEI</v>
      </c>
      <c r="AE7" s="44">
        <f>COUNTIFS('[1]Tempo parado'!G:G,"&gt;="&amp;MIP_4[[#This Row],[S.B Sitrack]],'[1]Tempo parado'!H:H,"&lt;="&amp;MIP_4[[#This Row],[C.B Sitrack]],'[1]Tempo parado'!A:A,MIP_4[[#This Row],[Placa]])</f>
        <v>0</v>
      </c>
      <c r="AF7" s="36"/>
      <c r="AG7" s="35"/>
      <c r="AH7" s="34"/>
      <c r="AI7" s="34"/>
      <c r="AJ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" s="32" t="str">
        <f>IFERROR(MIP_4[[#This Row],[Tempo parado]]/(MIP_4[[#This Row],[C.B Sitrack]]-MIP_4[[#This Row],[S.B Sitrack]]),"")</f>
        <v/>
      </c>
      <c r="AN7" s="30"/>
      <c r="AO7" s="44">
        <f>IF(AND(MIP_4[Exc]=0,MIP_4[Previsto / Realizado]="Realizado"),MIP_4[Sem],0)</f>
        <v>19</v>
      </c>
      <c r="AP7" s="29">
        <f>IF(AND(MIP_4[Exc]=0,MIP_4[Previsto / Realizado]="Realizado",ISBLANK(MIP_4[[#This Row],[S.B Sitrack]])=FALSE,ISBLANK(MIP_4[[#This Row],[C.B Sitrack]])=FALSE),MIP_4[Sem],0)</f>
        <v>0</v>
      </c>
    </row>
    <row r="8" spans="1:42" ht="63" x14ac:dyDescent="0.25">
      <c r="A8" s="44">
        <f>WEEKNUM(MIP_4[[#This Row],[Data]])</f>
        <v>19</v>
      </c>
      <c r="B8" s="45">
        <v>42864</v>
      </c>
      <c r="C8" s="45"/>
      <c r="D8" s="83" t="s">
        <v>439</v>
      </c>
      <c r="E8" s="35" t="s">
        <v>5</v>
      </c>
      <c r="F8" s="83"/>
      <c r="G8" s="44">
        <v>2</v>
      </c>
      <c r="H8" s="44">
        <v>4</v>
      </c>
      <c r="I8" s="44">
        <v>2</v>
      </c>
      <c r="J8" s="44">
        <v>2</v>
      </c>
      <c r="K8" s="44">
        <v>0</v>
      </c>
      <c r="L8" s="43">
        <v>0.625</v>
      </c>
      <c r="M8" s="43">
        <v>0.64583333333333337</v>
      </c>
      <c r="N8" s="43">
        <f>18/24/60</f>
        <v>1.2500000000000001E-2</v>
      </c>
      <c r="O8" s="43">
        <f>48/24/60</f>
        <v>3.3333333333333333E-2</v>
      </c>
      <c r="P8" s="39"/>
      <c r="Q8" s="42"/>
      <c r="R8" s="44">
        <f>MIP_4[[#This Row],[PT-1]]+MIP_4[[#This Row],[PT-2]]*2+MIP_4[[#This Row],[PT-3]]*3+MIP_4[[#This Row],[PT &gt; 3 Pontos]]</f>
        <v>14</v>
      </c>
      <c r="S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4.1666666666666741E-2</v>
      </c>
      <c r="T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4.1666666666666741E-2</v>
      </c>
      <c r="U8" s="41">
        <f ca="1">MIP_4[[#This Row],[Eficiência]]</f>
        <v>0.9646286231884057</v>
      </c>
      <c r="V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" s="39">
        <f>IF(MIP_4[[#This Row],[P.S]]-MIP_4[[#This Row],[P.E]]&lt;0,1+MIP_4[[#This Row],[P.S]]-MIP_4[[#This Row],[P.E]]-1/24,MIP_4[[#This Row],[P.S]]-MIP_4[[#This Row],[P.E]]-1/24)</f>
        <v>0.36666666666666675</v>
      </c>
      <c r="X8" s="39">
        <f ca="1">MIP_4[[#This Row],[PT-1]]*$S$3+MIP_4[[#This Row],[PT-2]]*$T$3+MIP_4[[#This Row],[PT-3]]*$U$3+MIP_4[[#This Row],[PT &gt; 3 Pontos]]*$V$3</f>
        <v>0.31350430253623185</v>
      </c>
      <c r="Y8" s="39">
        <f>MIP_4[[#This Row],[HH disponível]]-MIP_4[[#This Row],[HH AC TOT]]</f>
        <v>0.32500000000000001</v>
      </c>
      <c r="Z8" s="38">
        <f ca="1">MIP_4[[#This Row],[HH Produtivo
Total]]/MIP_4[[#This Row],[HH Trabalhado]]</f>
        <v>0.9646286231884057</v>
      </c>
      <c r="AA8" s="38">
        <f ca="1">MIP_4[[#This Row],[HH Produtivo
Total]]/MIP_4[[#This Row],[HH disponível]]</f>
        <v>0.85501173418972298</v>
      </c>
      <c r="AB8" s="38">
        <f>MIP_4[[#This Row],[HH Trabalhado]]/MIP_4[[#This Row],[HH disponível]]</f>
        <v>0.88636363636363624</v>
      </c>
      <c r="AC8" s="37" t="str">
        <f>LEFT(MIP_4[[#This Row],[Equipe]], SEARCH("/",MIP_4[[#This Row],[Equipe]],1)-1)</f>
        <v xml:space="preserve">ADEMÁRIO </v>
      </c>
      <c r="AD8" s="37" t="str">
        <f>RIGHT(MIP_4[[#This Row],[Equipe]], LEN(MIP_4[[#This Row],[Equipe]])-SEARCH("/",MIP_4[[#This Row],[Equipe]],1))</f>
        <v xml:space="preserve"> ANDERSON</v>
      </c>
      <c r="AE8" s="44">
        <f>COUNTIFS('[1]Tempo parado'!G:G,"&gt;="&amp;MIP_4[[#This Row],[S.B Sitrack]],'[1]Tempo parado'!H:H,"&lt;="&amp;MIP_4[[#This Row],[C.B Sitrack]],'[1]Tempo parado'!A:A,MIP_4[[#This Row],[Placa]])</f>
        <v>0</v>
      </c>
      <c r="AF8" s="36"/>
      <c r="AG8" s="35"/>
      <c r="AH8" s="34"/>
      <c r="AI8" s="34"/>
      <c r="AJ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" s="32" t="str">
        <f>IFERROR(MIP_4[[#This Row],[Tempo parado]]/(MIP_4[[#This Row],[C.B Sitrack]]-MIP_4[[#This Row],[S.B Sitrack]]),"")</f>
        <v/>
      </c>
      <c r="AN8" s="30"/>
      <c r="AO8" s="44">
        <f>IF(AND(MIP_4[Exc]=0,MIP_4[Previsto / Realizado]="Realizado"),MIP_4[Sem],0)</f>
        <v>0</v>
      </c>
      <c r="AP8" s="29">
        <f>IF(AND(MIP_4[Exc]=0,MIP_4[Previsto / Realizado]="Realizado",ISBLANK(MIP_4[[#This Row],[S.B Sitrack]])=FALSE,ISBLANK(MIP_4[[#This Row],[C.B Sitrack]])=FALSE),MIP_4[Sem],0)</f>
        <v>0</v>
      </c>
    </row>
    <row r="9" spans="1:42" ht="63" x14ac:dyDescent="0.25">
      <c r="A9" s="44">
        <f>WEEKNUM(MIP_4[[#This Row],[Data]])</f>
        <v>19</v>
      </c>
      <c r="B9" s="45">
        <v>42864</v>
      </c>
      <c r="C9" s="45"/>
      <c r="D9" s="83" t="s">
        <v>439</v>
      </c>
      <c r="E9" s="35" t="s">
        <v>2</v>
      </c>
      <c r="F9" s="83"/>
      <c r="G9" s="44">
        <v>2</v>
      </c>
      <c r="H9" s="44">
        <v>4</v>
      </c>
      <c r="I9" s="44">
        <v>2</v>
      </c>
      <c r="J9" s="44">
        <v>2</v>
      </c>
      <c r="K9" s="44">
        <v>0</v>
      </c>
      <c r="L9" s="43">
        <v>0.65277777777777779</v>
      </c>
      <c r="M9" s="43">
        <v>0.68125000000000002</v>
      </c>
      <c r="N9" s="43">
        <f>25/24/60</f>
        <v>1.7361111111111112E-2</v>
      </c>
      <c r="O9" s="43">
        <f>53/24/60</f>
        <v>3.6805555555555557E-2</v>
      </c>
      <c r="P9" s="39"/>
      <c r="Q9" s="42"/>
      <c r="R9" s="44">
        <f>MIP_4[[#This Row],[PT-1]]+MIP_4[[#This Row],[PT-2]]*2+MIP_4[[#This Row],[PT-3]]*3+MIP_4[[#This Row],[PT &gt; 3 Pontos]]</f>
        <v>14</v>
      </c>
      <c r="S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4.7916666666666718E-2</v>
      </c>
      <c r="T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4.7916666666666718E-2</v>
      </c>
      <c r="U9" s="41">
        <f ca="1">MIP_4[[#This Row],[Eficiência]]</f>
        <v>1.0647315935192783</v>
      </c>
      <c r="V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9" s="39">
        <f>IF(MIP_4[[#This Row],[P.S]]-MIP_4[[#This Row],[P.E]]&lt;0,1+MIP_4[[#This Row],[P.S]]-MIP_4[[#This Row],[P.E]]-1/24,MIP_4[[#This Row],[P.S]]-MIP_4[[#This Row],[P.E]]-1/24)</f>
        <v>0.34236111111111106</v>
      </c>
      <c r="X9" s="39">
        <f ca="1">MIP_4[[#This Row],[PT-1]]*$S$3+MIP_4[[#This Row],[PT-2]]*$T$3+MIP_4[[#This Row],[PT-3]]*$U$3+MIP_4[[#This Row],[PT &gt; 3 Pontos]]*$V$3</f>
        <v>0.31350430253623185</v>
      </c>
      <c r="Y9" s="39">
        <f>MIP_4[[#This Row],[HH disponível]]-MIP_4[[#This Row],[HH AC TOT]]</f>
        <v>0.29444444444444434</v>
      </c>
      <c r="Z9" s="38">
        <f ca="1">MIP_4[[#This Row],[HH Produtivo
Total]]/MIP_4[[#This Row],[HH Trabalhado]]</f>
        <v>1.0647315935192783</v>
      </c>
      <c r="AA9" s="38">
        <f ca="1">MIP_4[[#This Row],[HH Produtivo
Total]]/MIP_4[[#This Row],[HH disponível]]</f>
        <v>0.91571236440603232</v>
      </c>
      <c r="AB9" s="38">
        <f>MIP_4[[#This Row],[HH Trabalhado]]/MIP_4[[#This Row],[HH disponível]]</f>
        <v>0.86004056795131834</v>
      </c>
      <c r="AC9" s="37" t="str">
        <f>LEFT(MIP_4[[#This Row],[Equipe]], SEARCH("/",MIP_4[[#This Row],[Equipe]],1)-1)</f>
        <v xml:space="preserve">ADEMÁRIO </v>
      </c>
      <c r="AD9" s="37" t="str">
        <f>RIGHT(MIP_4[[#This Row],[Equipe]], LEN(MIP_4[[#This Row],[Equipe]])-SEARCH("/",MIP_4[[#This Row],[Equipe]],1))</f>
        <v xml:space="preserve"> ANDERSON</v>
      </c>
      <c r="AE9" s="44">
        <f>COUNTIFS('[1]Tempo parado'!G:G,"&gt;="&amp;MIP_4[[#This Row],[S.B Sitrack]],'[1]Tempo parado'!H:H,"&lt;="&amp;MIP_4[[#This Row],[C.B Sitrack]],'[1]Tempo parado'!A:A,MIP_4[[#This Row],[Placa]])</f>
        <v>0</v>
      </c>
      <c r="AF9" s="36"/>
      <c r="AG9" s="35"/>
      <c r="AH9" s="34"/>
      <c r="AI9" s="34"/>
      <c r="AJ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9" s="32" t="str">
        <f>IFERROR(MIP_4[[#This Row],[Tempo parado]]/(MIP_4[[#This Row],[C.B Sitrack]]-MIP_4[[#This Row],[S.B Sitrack]]),"")</f>
        <v/>
      </c>
      <c r="AN9" s="30"/>
      <c r="AO9" s="44">
        <f>IF(AND(MIP_4[Exc]=0,MIP_4[Previsto / Realizado]="Realizado"),MIP_4[Sem],0)</f>
        <v>19</v>
      </c>
      <c r="AP9" s="29">
        <f>IF(AND(MIP_4[Exc]=0,MIP_4[Previsto / Realizado]="Realizado",ISBLANK(MIP_4[[#This Row],[S.B Sitrack]])=FALSE,ISBLANK(MIP_4[[#This Row],[C.B Sitrack]])=FALSE),MIP_4[Sem],0)</f>
        <v>0</v>
      </c>
    </row>
    <row r="10" spans="1:42" ht="15.75" x14ac:dyDescent="0.25">
      <c r="A10" s="44">
        <f>WEEKNUM(MIP_4[[#This Row],[Data]])</f>
        <v>19</v>
      </c>
      <c r="B10" s="45">
        <v>42865</v>
      </c>
      <c r="C10" s="45"/>
      <c r="D10" s="35" t="s">
        <v>10</v>
      </c>
      <c r="E10" s="35" t="s">
        <v>5</v>
      </c>
      <c r="F10" s="35"/>
      <c r="G10" s="44">
        <v>2</v>
      </c>
      <c r="H10" s="44">
        <v>6</v>
      </c>
      <c r="I10" s="44">
        <v>3</v>
      </c>
      <c r="J10" s="44">
        <v>1</v>
      </c>
      <c r="K10" s="44">
        <v>0</v>
      </c>
      <c r="L10" s="43">
        <v>0.25</v>
      </c>
      <c r="M10" s="43">
        <v>0.27083333333333331</v>
      </c>
      <c r="N10" s="43">
        <v>0.63750000000000007</v>
      </c>
      <c r="O10" s="43">
        <v>0.65833333333333333</v>
      </c>
      <c r="P10" s="39"/>
      <c r="Q10" s="42"/>
      <c r="R10" s="44">
        <f>MIP_4[[#This Row],[PT-1]]+MIP_4[[#This Row],[PT-2]]*2+MIP_4[[#This Row],[PT-3]]*3+MIP_4[[#This Row],[PT &gt; 3 Pontos]]</f>
        <v>15</v>
      </c>
      <c r="S1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1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10" s="41">
        <f ca="1">MIP_4[[#This Row],[Eficiência]]</f>
        <v>1.0605326009537961</v>
      </c>
      <c r="V1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0" s="39">
        <f>IF(MIP_4[[#This Row],[P.S]]-MIP_4[[#This Row],[P.E]]&lt;0,1+MIP_4[[#This Row],[P.S]]-MIP_4[[#This Row],[P.E]]-1/24,MIP_4[[#This Row],[P.S]]-MIP_4[[#This Row],[P.E]]-1/24)</f>
        <v>0.36666666666666664</v>
      </c>
      <c r="X10" s="39">
        <f ca="1">MIP_4[[#This Row],[PT-1]]*$S$3+MIP_4[[#This Row],[PT-2]]*$T$3+MIP_4[[#This Row],[PT-3]]*$U$3+MIP_4[[#This Row],[PT &gt; 3 Pontos]]*$V$3</f>
        <v>0.3446730953099838</v>
      </c>
      <c r="Y10" s="39">
        <f>MIP_4[[#This Row],[HH disponível]]-MIP_4[[#This Row],[HH AC TOT]]</f>
        <v>0.32500000000000007</v>
      </c>
      <c r="Z10" s="38">
        <f ca="1">MIP_4[[#This Row],[HH Produtivo
Total]]/MIP_4[[#This Row],[HH Trabalhado]]</f>
        <v>1.0605326009537961</v>
      </c>
      <c r="AA10" s="38">
        <f ca="1">MIP_4[[#This Row],[HH Produtivo
Total]]/MIP_4[[#This Row],[HH disponível]]</f>
        <v>0.94001753266359223</v>
      </c>
      <c r="AB10" s="38">
        <f>MIP_4[[#This Row],[HH Trabalhado]]/MIP_4[[#This Row],[HH disponível]]</f>
        <v>0.88636363636363658</v>
      </c>
      <c r="AC10" s="37" t="str">
        <f>LEFT(MIP_4[[#This Row],[Equipe]], SEARCH("/",MIP_4[[#This Row],[Equipe]],1)-1)</f>
        <v xml:space="preserve">JOILSON </v>
      </c>
      <c r="AD10" s="37" t="str">
        <f>RIGHT(MIP_4[[#This Row],[Equipe]], LEN(MIP_4[[#This Row],[Equipe]])-SEARCH("/",MIP_4[[#This Row],[Equipe]],1))</f>
        <v xml:space="preserve"> VALDEI</v>
      </c>
      <c r="AE10" s="44">
        <f>COUNTIFS('[1]Tempo parado'!G:G,"&gt;="&amp;MIP_4[[#This Row],[S.B Sitrack]],'[1]Tempo parado'!H:H,"&lt;="&amp;MIP_4[[#This Row],[C.B Sitrack]],'[1]Tempo parado'!A:A,MIP_4[[#This Row],[Placa]])</f>
        <v>0</v>
      </c>
      <c r="AF10" s="36"/>
      <c r="AG10" s="35"/>
      <c r="AH10" s="34"/>
      <c r="AI10" s="34"/>
      <c r="AJ1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0" s="32" t="str">
        <f>IFERROR(MIP_4[[#This Row],[Tempo parado]]/(MIP_4[[#This Row],[C.B Sitrack]]-MIP_4[[#This Row],[S.B Sitrack]]),"")</f>
        <v/>
      </c>
      <c r="AN10" s="30"/>
      <c r="AO10" s="44">
        <f>IF(AND(MIP_4[Exc]=0,MIP_4[Previsto / Realizado]="Realizado"),MIP_4[Sem],0)</f>
        <v>0</v>
      </c>
      <c r="AP10" s="29">
        <f>IF(AND(MIP_4[Exc]=0,MIP_4[Previsto / Realizado]="Realizado",ISBLANK(MIP_4[[#This Row],[S.B Sitrack]])=FALSE,ISBLANK(MIP_4[[#This Row],[C.B Sitrack]])=FALSE),MIP_4[Sem],0)</f>
        <v>0</v>
      </c>
    </row>
    <row r="11" spans="1:42" ht="15.75" x14ac:dyDescent="0.25">
      <c r="A11" s="44">
        <f>WEEKNUM(MIP_4[[#This Row],[Data]])</f>
        <v>19</v>
      </c>
      <c r="B11" s="45">
        <v>42865</v>
      </c>
      <c r="C11" s="45"/>
      <c r="D11" s="35" t="s">
        <v>10</v>
      </c>
      <c r="E11" s="35" t="s">
        <v>2</v>
      </c>
      <c r="F11" s="35"/>
      <c r="G11" s="44">
        <v>2</v>
      </c>
      <c r="H11" s="44">
        <v>4</v>
      </c>
      <c r="I11" s="44">
        <v>2</v>
      </c>
      <c r="J11" s="44">
        <v>1</v>
      </c>
      <c r="K11" s="44">
        <v>0</v>
      </c>
      <c r="L11" s="43">
        <v>0.25</v>
      </c>
      <c r="M11" s="43">
        <v>0.28055555555555556</v>
      </c>
      <c r="N11" s="43">
        <v>0.53194444444444444</v>
      </c>
      <c r="O11" s="43">
        <v>0.65833333333333333</v>
      </c>
      <c r="P11" s="39"/>
      <c r="Q11" s="42" t="s">
        <v>475</v>
      </c>
      <c r="R11" s="44">
        <f>MIP_4[[#This Row],[PT-1]]+MIP_4[[#This Row],[PT-2]]*2+MIP_4[[#This Row],[PT-3]]*3+MIP_4[[#This Row],[PT &gt; 3 Pontos]]</f>
        <v>11</v>
      </c>
      <c r="S1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0.15694444444444444</v>
      </c>
      <c r="T1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0.15694444444444444</v>
      </c>
      <c r="U11" s="41">
        <f ca="1">MIP_4[[#This Row],[Eficiência]]</f>
        <v>1.1954509189941451</v>
      </c>
      <c r="V1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1" s="39">
        <f>IF(MIP_4[[#This Row],[P.S]]-MIP_4[[#This Row],[P.E]]&lt;0,1+MIP_4[[#This Row],[P.S]]-MIP_4[[#This Row],[P.E]]-1/24,MIP_4[[#This Row],[P.S]]-MIP_4[[#This Row],[P.E]]-1/24)</f>
        <v>0.36666666666666664</v>
      </c>
      <c r="X11" s="39">
        <f ca="1">MIP_4[[#This Row],[PT-1]]*$S$3+MIP_4[[#This Row],[PT-2]]*$T$3+MIP_4[[#This Row],[PT-3]]*$U$3+MIP_4[[#This Row],[PT &gt; 3 Pontos]]*$V$3</f>
        <v>0.25071262328904986</v>
      </c>
      <c r="Y11" s="39">
        <f>MIP_4[[#This Row],[HH disponível]]-MIP_4[[#This Row],[HH AC TOT]]</f>
        <v>0.2097222222222222</v>
      </c>
      <c r="Z11" s="38">
        <f ca="1">MIP_4[[#This Row],[HH Produtivo
Total]]/MIP_4[[#This Row],[HH Trabalhado]]</f>
        <v>1.1954509189941451</v>
      </c>
      <c r="AA11" s="38">
        <f ca="1">MIP_4[[#This Row],[HH Produtivo
Total]]/MIP_4[[#This Row],[HH disponível]]</f>
        <v>0.68376169987922697</v>
      </c>
      <c r="AB11" s="38">
        <f>MIP_4[[#This Row],[HH Trabalhado]]/MIP_4[[#This Row],[HH disponível]]</f>
        <v>0.57196969696969691</v>
      </c>
      <c r="AC11" s="37" t="str">
        <f>LEFT(MIP_4[[#This Row],[Equipe]], SEARCH("/",MIP_4[[#This Row],[Equipe]],1)-1)</f>
        <v xml:space="preserve">JOILSON </v>
      </c>
      <c r="AD11" s="37" t="str">
        <f>RIGHT(MIP_4[[#This Row],[Equipe]], LEN(MIP_4[[#This Row],[Equipe]])-SEARCH("/",MIP_4[[#This Row],[Equipe]],1))</f>
        <v xml:space="preserve"> VALDEI</v>
      </c>
      <c r="AE11" s="44">
        <f>COUNTIFS('[1]Tempo parado'!G:G,"&gt;="&amp;MIP_4[[#This Row],[S.B Sitrack]],'[1]Tempo parado'!H:H,"&lt;="&amp;MIP_4[[#This Row],[C.B Sitrack]],'[1]Tempo parado'!A:A,MIP_4[[#This Row],[Placa]])</f>
        <v>0</v>
      </c>
      <c r="AF11" s="36"/>
      <c r="AG11" s="35"/>
      <c r="AH11" s="34"/>
      <c r="AI11" s="34"/>
      <c r="AJ1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1" s="32" t="str">
        <f>IFERROR(MIP_4[[#This Row],[Tempo parado]]/(MIP_4[[#This Row],[C.B Sitrack]]-MIP_4[[#This Row],[S.B Sitrack]]),"")</f>
        <v/>
      </c>
      <c r="AN11" s="30"/>
      <c r="AO11" s="44">
        <f>IF(AND(MIP_4[Exc]=0,MIP_4[Previsto / Realizado]="Realizado"),MIP_4[Sem],0)</f>
        <v>19</v>
      </c>
      <c r="AP11" s="29">
        <f>IF(AND(MIP_4[Exc]=0,MIP_4[Previsto / Realizado]="Realizado",ISBLANK(MIP_4[[#This Row],[S.B Sitrack]])=FALSE,ISBLANK(MIP_4[[#This Row],[C.B Sitrack]])=FALSE),MIP_4[Sem],0)</f>
        <v>0</v>
      </c>
    </row>
    <row r="12" spans="1:42" ht="63" x14ac:dyDescent="0.25">
      <c r="A12" s="44">
        <f>WEEKNUM(MIP_4[[#This Row],[Data]])</f>
        <v>19</v>
      </c>
      <c r="B12" s="45">
        <v>42865</v>
      </c>
      <c r="C12" s="45"/>
      <c r="D12" s="83" t="s">
        <v>439</v>
      </c>
      <c r="E12" s="35" t="s">
        <v>5</v>
      </c>
      <c r="F12" s="83"/>
      <c r="G12" s="44">
        <v>2</v>
      </c>
      <c r="H12" s="44">
        <v>6</v>
      </c>
      <c r="I12" s="44">
        <v>4</v>
      </c>
      <c r="J12" s="44">
        <v>0</v>
      </c>
      <c r="K12" s="44">
        <v>0</v>
      </c>
      <c r="L12" s="43">
        <v>0.625</v>
      </c>
      <c r="M12" s="43">
        <v>0.64583333333333337</v>
      </c>
      <c r="N12" s="43">
        <f>1+18/24/60</f>
        <v>1.0125</v>
      </c>
      <c r="O12" s="43">
        <f>1+48/24/60</f>
        <v>1.0333333333333334</v>
      </c>
      <c r="P12" s="39"/>
      <c r="Q12" s="42"/>
      <c r="R12" s="44">
        <f>MIP_4[[#This Row],[PT-1]]+MIP_4[[#This Row],[PT-2]]*2+MIP_4[[#This Row],[PT-3]]*3+MIP_4[[#This Row],[PT &gt; 3 Pontos]]</f>
        <v>14</v>
      </c>
      <c r="S1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1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12" s="41">
        <f ca="1">MIP_4[[#This Row],[Eficiência]]</f>
        <v>1.0024313297411123</v>
      </c>
      <c r="V1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2" s="39">
        <f>IF(MIP_4[[#This Row],[P.S]]-MIP_4[[#This Row],[P.E]]&lt;0,1+MIP_4[[#This Row],[P.S]]-MIP_4[[#This Row],[P.E]]-1/24,MIP_4[[#This Row],[P.S]]-MIP_4[[#This Row],[P.E]]-1/24)</f>
        <v>0.36666666666666675</v>
      </c>
      <c r="X12" s="39">
        <f ca="1">MIP_4[[#This Row],[PT-1]]*$S$3+MIP_4[[#This Row],[PT-2]]*$T$3+MIP_4[[#This Row],[PT-3]]*$U$3+MIP_4[[#This Row],[PT &gt; 3 Pontos]]*$V$3</f>
        <v>0.32579018216586142</v>
      </c>
      <c r="Y12" s="39">
        <f>MIP_4[[#This Row],[HH disponível]]-MIP_4[[#This Row],[HH AC TOT]]</f>
        <v>0.3249999999999999</v>
      </c>
      <c r="Z12" s="38">
        <f ca="1">MIP_4[[#This Row],[HH Produtivo
Total]]/MIP_4[[#This Row],[HH Trabalhado]]</f>
        <v>1.0024313297411123</v>
      </c>
      <c r="AA12" s="38">
        <f ca="1">MIP_4[[#This Row],[HH Produtivo
Total]]/MIP_4[[#This Row],[HH disponível]]</f>
        <v>0.88851867863416734</v>
      </c>
      <c r="AB12" s="38">
        <f>MIP_4[[#This Row],[HH Trabalhado]]/MIP_4[[#This Row],[HH disponível]]</f>
        <v>0.88636363636363591</v>
      </c>
      <c r="AC12" s="37" t="str">
        <f>LEFT(MIP_4[[#This Row],[Equipe]], SEARCH("/",MIP_4[[#This Row],[Equipe]],1)-1)</f>
        <v xml:space="preserve">ADEMÁRIO </v>
      </c>
      <c r="AD12" s="37" t="str">
        <f>RIGHT(MIP_4[[#This Row],[Equipe]], LEN(MIP_4[[#This Row],[Equipe]])-SEARCH("/",MIP_4[[#This Row],[Equipe]],1))</f>
        <v xml:space="preserve"> ANDERSON</v>
      </c>
      <c r="AE12" s="44">
        <f>COUNTIFS('[1]Tempo parado'!G:G,"&gt;="&amp;MIP_4[[#This Row],[S.B Sitrack]],'[1]Tempo parado'!H:H,"&lt;="&amp;MIP_4[[#This Row],[C.B Sitrack]],'[1]Tempo parado'!A:A,MIP_4[[#This Row],[Placa]])</f>
        <v>0</v>
      </c>
      <c r="AF12" s="36"/>
      <c r="AG12" s="35"/>
      <c r="AH12" s="34"/>
      <c r="AI12" s="34"/>
      <c r="AJ1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2" s="32" t="str">
        <f>IFERROR(MIP_4[[#This Row],[Tempo parado]]/(MIP_4[[#This Row],[C.B Sitrack]]-MIP_4[[#This Row],[S.B Sitrack]]),"")</f>
        <v/>
      </c>
      <c r="AN12" s="30"/>
      <c r="AO12" s="44">
        <f>IF(AND(MIP_4[Exc]=0,MIP_4[Previsto / Realizado]="Realizado"),MIP_4[Sem],0)</f>
        <v>0</v>
      </c>
      <c r="AP12" s="29">
        <f>IF(AND(MIP_4[Exc]=0,MIP_4[Previsto / Realizado]="Realizado",ISBLANK(MIP_4[[#This Row],[S.B Sitrack]])=FALSE,ISBLANK(MIP_4[[#This Row],[C.B Sitrack]])=FALSE),MIP_4[Sem],0)</f>
        <v>0</v>
      </c>
    </row>
    <row r="13" spans="1:42" ht="63" x14ac:dyDescent="0.25">
      <c r="A13" s="44">
        <f>WEEKNUM(MIP_4[[#This Row],[Data]])</f>
        <v>19</v>
      </c>
      <c r="B13" s="45">
        <v>42865</v>
      </c>
      <c r="C13" s="45"/>
      <c r="D13" s="83" t="s">
        <v>439</v>
      </c>
      <c r="E13" s="35" t="s">
        <v>2</v>
      </c>
      <c r="F13" s="83"/>
      <c r="G13" s="44">
        <v>2</v>
      </c>
      <c r="H13" s="44">
        <v>5</v>
      </c>
      <c r="I13" s="44">
        <v>4</v>
      </c>
      <c r="J13" s="44">
        <v>0</v>
      </c>
      <c r="K13" s="44">
        <v>0</v>
      </c>
      <c r="L13" s="43">
        <v>0.61736111111111114</v>
      </c>
      <c r="M13" s="43">
        <v>0.66666666666666663</v>
      </c>
      <c r="N13" s="43">
        <f>1+35/24/60</f>
        <v>1.0243055555555556</v>
      </c>
      <c r="O13" s="43">
        <f>1+54/24/60</f>
        <v>1.0375000000000001</v>
      </c>
      <c r="P13" s="39"/>
      <c r="Q13" s="42"/>
      <c r="R13" s="44">
        <f>MIP_4[[#This Row],[PT-1]]+MIP_4[[#This Row],[PT-2]]*2+MIP_4[[#This Row],[PT-3]]*3+MIP_4[[#This Row],[PT &gt; 3 Pontos]]</f>
        <v>13</v>
      </c>
      <c r="S1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6.25E-2</v>
      </c>
      <c r="T1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6.25E-2</v>
      </c>
      <c r="U13" s="41">
        <f ca="1">MIP_4[[#This Row],[Eficiência]]</f>
        <v>0.95186952540213354</v>
      </c>
      <c r="V1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3" s="39">
        <f>IF(MIP_4[[#This Row],[P.S]]-MIP_4[[#This Row],[P.E]]&lt;0,1+MIP_4[[#This Row],[P.S]]-MIP_4[[#This Row],[P.E]]-1/24,MIP_4[[#This Row],[P.S]]-MIP_4[[#This Row],[P.E]]-1/24)</f>
        <v>0.37847222222222227</v>
      </c>
      <c r="X13" s="39">
        <f ca="1">MIP_4[[#This Row],[PT-1]]*$S$3+MIP_4[[#This Row],[PT-2]]*$T$3+MIP_4[[#This Row],[PT-3]]*$U$3+MIP_4[[#This Row],[PT &gt; 3 Pontos]]*$V$3</f>
        <v>0.3007643292069242</v>
      </c>
      <c r="Y13" s="39">
        <f>MIP_4[[#This Row],[HH disponível]]-MIP_4[[#This Row],[HH AC TOT]]</f>
        <v>0.31597222222222227</v>
      </c>
      <c r="Z13" s="38">
        <f ca="1">MIP_4[[#This Row],[HH Produtivo
Total]]/MIP_4[[#This Row],[HH Trabalhado]]</f>
        <v>0.95186952540213354</v>
      </c>
      <c r="AA13" s="38">
        <f ca="1">MIP_4[[#This Row],[HH Produtivo
Total]]/MIP_4[[#This Row],[HH disponível]]</f>
        <v>0.79468006249168954</v>
      </c>
      <c r="AB13" s="38">
        <f>MIP_4[[#This Row],[HH Trabalhado]]/MIP_4[[#This Row],[HH disponível]]</f>
        <v>0.83486238532110091</v>
      </c>
      <c r="AC13" s="37" t="str">
        <f>LEFT(MIP_4[[#This Row],[Equipe]], SEARCH("/",MIP_4[[#This Row],[Equipe]],1)-1)</f>
        <v xml:space="preserve">ADEMÁRIO </v>
      </c>
      <c r="AD13" s="37" t="str">
        <f>RIGHT(MIP_4[[#This Row],[Equipe]], LEN(MIP_4[[#This Row],[Equipe]])-SEARCH("/",MIP_4[[#This Row],[Equipe]],1))</f>
        <v xml:space="preserve"> ANDERSON</v>
      </c>
      <c r="AE13" s="44">
        <f>COUNTIFS('[1]Tempo parado'!G:G,"&gt;="&amp;MIP_4[[#This Row],[S.B Sitrack]],'[1]Tempo parado'!H:H,"&lt;="&amp;MIP_4[[#This Row],[C.B Sitrack]],'[1]Tempo parado'!A:A,MIP_4[[#This Row],[Placa]])</f>
        <v>0</v>
      </c>
      <c r="AF13" s="36"/>
      <c r="AG13" s="35"/>
      <c r="AH13" s="34"/>
      <c r="AI13" s="34"/>
      <c r="AJ1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3" s="32" t="str">
        <f>IFERROR(MIP_4[[#This Row],[Tempo parado]]/(MIP_4[[#This Row],[C.B Sitrack]]-MIP_4[[#This Row],[S.B Sitrack]]),"")</f>
        <v/>
      </c>
      <c r="AN13" s="30"/>
      <c r="AO13" s="44">
        <f>IF(AND(MIP_4[Exc]=0,MIP_4[Previsto / Realizado]="Realizado"),MIP_4[Sem],0)</f>
        <v>19</v>
      </c>
      <c r="AP13" s="29">
        <f>IF(AND(MIP_4[Exc]=0,MIP_4[Previsto / Realizado]="Realizado",ISBLANK(MIP_4[[#This Row],[S.B Sitrack]])=FALSE,ISBLANK(MIP_4[[#This Row],[C.B Sitrack]])=FALSE),MIP_4[Sem],0)</f>
        <v>0</v>
      </c>
    </row>
    <row r="14" spans="1:42" ht="63" x14ac:dyDescent="0.25">
      <c r="A14" s="44">
        <f>WEEKNUM(MIP_4[[#This Row],[Data]])</f>
        <v>19</v>
      </c>
      <c r="B14" s="45">
        <v>42866</v>
      </c>
      <c r="C14" s="45"/>
      <c r="D14" s="83" t="s">
        <v>463</v>
      </c>
      <c r="E14" s="35" t="s">
        <v>5</v>
      </c>
      <c r="F14" s="83"/>
      <c r="G14" s="44">
        <v>2</v>
      </c>
      <c r="H14" s="44">
        <v>8</v>
      </c>
      <c r="I14" s="44">
        <v>2</v>
      </c>
      <c r="J14" s="44">
        <v>1</v>
      </c>
      <c r="K14" s="44">
        <v>0</v>
      </c>
      <c r="L14" s="43">
        <v>0.625</v>
      </c>
      <c r="M14" s="43">
        <v>0.64583333333333337</v>
      </c>
      <c r="N14" s="43">
        <f>1+18/24/60</f>
        <v>1.0125</v>
      </c>
      <c r="O14" s="43">
        <f>1+48/24/60</f>
        <v>1.0333333333333334</v>
      </c>
      <c r="P14" s="39"/>
      <c r="Q14" s="42"/>
      <c r="R14" s="44">
        <f>MIP_4[[#This Row],[PT-1]]+MIP_4[[#This Row],[PT-2]]*2+MIP_4[[#This Row],[PT-3]]*3+MIP_4[[#This Row],[PT &gt; 3 Pontos]]</f>
        <v>15</v>
      </c>
      <c r="S1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1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14" s="41">
        <f ca="1">MIP_4[[#This Row],[Eficiência]]</f>
        <v>1.0794339542301499</v>
      </c>
      <c r="V1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4" s="39">
        <f>IF(MIP_4[[#This Row],[P.S]]-MIP_4[[#This Row],[P.E]]&lt;0,1+MIP_4[[#This Row],[P.S]]-MIP_4[[#This Row],[P.E]]-1/24,MIP_4[[#This Row],[P.S]]-MIP_4[[#This Row],[P.E]]-1/24)</f>
        <v>0.36666666666666675</v>
      </c>
      <c r="X14" s="39">
        <f ca="1">MIP_4[[#This Row],[PT-1]]*$S$3+MIP_4[[#This Row],[PT-2]]*$T$3+MIP_4[[#This Row],[PT-3]]*$U$3+MIP_4[[#This Row],[PT &gt; 3 Pontos]]*$V$3</f>
        <v>0.35081603512479859</v>
      </c>
      <c r="Y14" s="39">
        <f>MIP_4[[#This Row],[HH disponível]]-MIP_4[[#This Row],[HH AC TOT]]</f>
        <v>0.3249999999999999</v>
      </c>
      <c r="Z14" s="38">
        <f ca="1">MIP_4[[#This Row],[HH Produtivo
Total]]/MIP_4[[#This Row],[HH Trabalhado]]</f>
        <v>1.0794339542301499</v>
      </c>
      <c r="AA14" s="38">
        <f ca="1">MIP_4[[#This Row],[HH Produtivo
Total]]/MIP_4[[#This Row],[HH disponível]]</f>
        <v>0.95677100488581412</v>
      </c>
      <c r="AB14" s="38">
        <f>MIP_4[[#This Row],[HH Trabalhado]]/MIP_4[[#This Row],[HH disponível]]</f>
        <v>0.88636363636363591</v>
      </c>
      <c r="AC14" s="37" t="str">
        <f>LEFT(MIP_4[[#This Row],[Equipe]], SEARCH("/",MIP_4[[#This Row],[Equipe]],1)-1)</f>
        <v xml:space="preserve">EDILTON </v>
      </c>
      <c r="AD14" s="37" t="str">
        <f>RIGHT(MIP_4[[#This Row],[Equipe]], LEN(MIP_4[[#This Row],[Equipe]])-SEARCH("/",MIP_4[[#This Row],[Equipe]],1))</f>
        <v xml:space="preserve"> CLAUDINEY</v>
      </c>
      <c r="AE14" s="44">
        <f>COUNTIFS('[1]Tempo parado'!G:G,"&gt;="&amp;MIP_4[[#This Row],[S.B Sitrack]],'[1]Tempo parado'!H:H,"&lt;="&amp;MIP_4[[#This Row],[C.B Sitrack]],'[1]Tempo parado'!A:A,MIP_4[[#This Row],[Placa]])</f>
        <v>0</v>
      </c>
      <c r="AF14" s="36"/>
      <c r="AG14" s="35"/>
      <c r="AH14" s="34"/>
      <c r="AI14" s="34"/>
      <c r="AJ1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4" s="32" t="str">
        <f>IFERROR(MIP_4[[#This Row],[Tempo parado]]/(MIP_4[[#This Row],[C.B Sitrack]]-MIP_4[[#This Row],[S.B Sitrack]]),"")</f>
        <v/>
      </c>
      <c r="AN14" s="30"/>
      <c r="AO14" s="44">
        <f>IF(AND(MIP_4[Exc]=0,MIP_4[Previsto / Realizado]="Realizado"),MIP_4[Sem],0)</f>
        <v>0</v>
      </c>
      <c r="AP14" s="29">
        <f>IF(AND(MIP_4[Exc]=0,MIP_4[Previsto / Realizado]="Realizado",ISBLANK(MIP_4[[#This Row],[S.B Sitrack]])=FALSE,ISBLANK(MIP_4[[#This Row],[C.B Sitrack]])=FALSE),MIP_4[Sem],0)</f>
        <v>0</v>
      </c>
    </row>
    <row r="15" spans="1:42" ht="63" x14ac:dyDescent="0.25">
      <c r="A15" s="44">
        <f>WEEKNUM(MIP_4[[#This Row],[Data]])</f>
        <v>19</v>
      </c>
      <c r="B15" s="45">
        <v>42866</v>
      </c>
      <c r="C15" s="45"/>
      <c r="D15" s="83" t="s">
        <v>463</v>
      </c>
      <c r="E15" s="35" t="s">
        <v>2</v>
      </c>
      <c r="F15" s="83"/>
      <c r="G15" s="44">
        <v>2</v>
      </c>
      <c r="H15" s="44">
        <v>7</v>
      </c>
      <c r="I15" s="44">
        <v>2</v>
      </c>
      <c r="J15" s="44">
        <v>0</v>
      </c>
      <c r="K15" s="44">
        <v>0</v>
      </c>
      <c r="L15" s="43">
        <v>0.62569444444444444</v>
      </c>
      <c r="M15" s="43">
        <v>0.67569444444444438</v>
      </c>
      <c r="N15" s="43">
        <f>30/24/60</f>
        <v>2.0833333333333332E-2</v>
      </c>
      <c r="O15" s="43">
        <f>1/24</f>
        <v>4.1666666666666664E-2</v>
      </c>
      <c r="P15" s="39"/>
      <c r="Q15" s="42" t="s">
        <v>474</v>
      </c>
      <c r="R15" s="44">
        <f>MIP_4[[#This Row],[PT-1]]+MIP_4[[#This Row],[PT-2]]*2+MIP_4[[#This Row],[PT-3]]*3+MIP_4[[#This Row],[PT &gt; 3 Pontos]]</f>
        <v>11</v>
      </c>
      <c r="S1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7.0833333333333304E-2</v>
      </c>
      <c r="T1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7.0833333333333304E-2</v>
      </c>
      <c r="U15" s="41">
        <f ca="1">MIP_4[[#This Row],[Eficiência]]</f>
        <v>0.86663122243226154</v>
      </c>
      <c r="V1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5" s="39">
        <f>IF(MIP_4[[#This Row],[P.S]]-MIP_4[[#This Row],[P.E]]&lt;0,1+MIP_4[[#This Row],[P.S]]-MIP_4[[#This Row],[P.E]]-1/24,MIP_4[[#This Row],[P.S]]-MIP_4[[#This Row],[P.E]]-1/24)</f>
        <v>0.37430555555555561</v>
      </c>
      <c r="X15" s="39">
        <f ca="1">MIP_4[[#This Row],[PT-1]]*$S$3+MIP_4[[#This Row],[PT-2]]*$T$3+MIP_4[[#This Row],[PT-3]]*$U$3+MIP_4[[#This Row],[PT &gt; 3 Pontos]]*$V$3</f>
        <v>0.26299850291867943</v>
      </c>
      <c r="Y15" s="39">
        <f>MIP_4[[#This Row],[HH disponível]]-MIP_4[[#This Row],[HH AC TOT]]</f>
        <v>0.30347222222222231</v>
      </c>
      <c r="Z15" s="38">
        <f ca="1">MIP_4[[#This Row],[HH Produtivo
Total]]/MIP_4[[#This Row],[HH Trabalhado]]</f>
        <v>0.86663122243226154</v>
      </c>
      <c r="AA15" s="38">
        <f ca="1">MIP_4[[#This Row],[HH Produtivo
Total]]/MIP_4[[#This Row],[HH disponível]]</f>
        <v>0.70263050872522881</v>
      </c>
      <c r="AB15" s="38">
        <f>MIP_4[[#This Row],[HH Trabalhado]]/MIP_4[[#This Row],[HH disponível]]</f>
        <v>0.81076066790352519</v>
      </c>
      <c r="AC15" s="37" t="str">
        <f>LEFT(MIP_4[[#This Row],[Equipe]], SEARCH("/",MIP_4[[#This Row],[Equipe]],1)-1)</f>
        <v xml:space="preserve">EDILTON </v>
      </c>
      <c r="AD15" s="37" t="str">
        <f>RIGHT(MIP_4[[#This Row],[Equipe]], LEN(MIP_4[[#This Row],[Equipe]])-SEARCH("/",MIP_4[[#This Row],[Equipe]],1))</f>
        <v xml:space="preserve"> CLAUDINEY</v>
      </c>
      <c r="AE15" s="44">
        <f>COUNTIFS('[1]Tempo parado'!G:G,"&gt;="&amp;MIP_4[[#This Row],[S.B Sitrack]],'[1]Tempo parado'!H:H,"&lt;="&amp;MIP_4[[#This Row],[C.B Sitrack]],'[1]Tempo parado'!A:A,MIP_4[[#This Row],[Placa]])</f>
        <v>0</v>
      </c>
      <c r="AF15" s="36"/>
      <c r="AG15" s="35"/>
      <c r="AH15" s="34"/>
      <c r="AI15" s="34"/>
      <c r="AJ1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5" s="32" t="str">
        <f>IFERROR(MIP_4[[#This Row],[Tempo parado]]/(MIP_4[[#This Row],[C.B Sitrack]]-MIP_4[[#This Row],[S.B Sitrack]]),"")</f>
        <v/>
      </c>
      <c r="AN15" s="30"/>
      <c r="AO15" s="44">
        <f>IF(AND(MIP_4[Exc]=0,MIP_4[Previsto / Realizado]="Realizado"),MIP_4[Sem],0)</f>
        <v>19</v>
      </c>
      <c r="AP15" s="29">
        <f>IF(AND(MIP_4[Exc]=0,MIP_4[Previsto / Realizado]="Realizado",ISBLANK(MIP_4[[#This Row],[S.B Sitrack]])=FALSE,ISBLANK(MIP_4[[#This Row],[C.B Sitrack]])=FALSE),MIP_4[Sem],0)</f>
        <v>0</v>
      </c>
    </row>
    <row r="16" spans="1:42" ht="63" x14ac:dyDescent="0.25">
      <c r="A16" s="44">
        <f>WEEKNUM(MIP_4[[#This Row],[Data]])</f>
        <v>19</v>
      </c>
      <c r="B16" s="45">
        <v>42867</v>
      </c>
      <c r="C16" s="45"/>
      <c r="D16" s="83" t="s">
        <v>463</v>
      </c>
      <c r="E16" s="35" t="s">
        <v>5</v>
      </c>
      <c r="F16" s="83"/>
      <c r="G16" s="44">
        <v>2</v>
      </c>
      <c r="H16" s="44">
        <v>6</v>
      </c>
      <c r="I16" s="44">
        <v>4</v>
      </c>
      <c r="J16" s="44">
        <v>0</v>
      </c>
      <c r="K16" s="44">
        <v>0</v>
      </c>
      <c r="L16" s="43">
        <v>0.625</v>
      </c>
      <c r="M16" s="43">
        <v>0.64583333333333337</v>
      </c>
      <c r="N16" s="43">
        <f>1+18/24/60</f>
        <v>1.0125</v>
      </c>
      <c r="O16" s="43">
        <f>1+48/24/60</f>
        <v>1.0333333333333334</v>
      </c>
      <c r="P16" s="39"/>
      <c r="Q16" s="42"/>
      <c r="R16" s="44">
        <f>MIP_4[[#This Row],[PT-1]]+MIP_4[[#This Row],[PT-2]]*2+MIP_4[[#This Row],[PT-3]]*3+MIP_4[[#This Row],[PT &gt; 3 Pontos]]</f>
        <v>14</v>
      </c>
      <c r="S1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1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16" s="41">
        <f ca="1">MIP_4[[#This Row],[Eficiência]]</f>
        <v>1.0024313297411123</v>
      </c>
      <c r="V1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6" s="39">
        <f>IF(MIP_4[[#This Row],[P.S]]-MIP_4[[#This Row],[P.E]]&lt;0,1+MIP_4[[#This Row],[P.S]]-MIP_4[[#This Row],[P.E]]-1/24,MIP_4[[#This Row],[P.S]]-MIP_4[[#This Row],[P.E]]-1/24)</f>
        <v>0.36666666666666675</v>
      </c>
      <c r="X16" s="39">
        <f ca="1">MIP_4[[#This Row],[PT-1]]*$S$3+MIP_4[[#This Row],[PT-2]]*$T$3+MIP_4[[#This Row],[PT-3]]*$U$3+MIP_4[[#This Row],[PT &gt; 3 Pontos]]*$V$3</f>
        <v>0.32579018216586142</v>
      </c>
      <c r="Y16" s="39">
        <f>MIP_4[[#This Row],[HH disponível]]-MIP_4[[#This Row],[HH AC TOT]]</f>
        <v>0.3249999999999999</v>
      </c>
      <c r="Z16" s="38">
        <f ca="1">MIP_4[[#This Row],[HH Produtivo
Total]]/MIP_4[[#This Row],[HH Trabalhado]]</f>
        <v>1.0024313297411123</v>
      </c>
      <c r="AA16" s="38">
        <f ca="1">MIP_4[[#This Row],[HH Produtivo
Total]]/MIP_4[[#This Row],[HH disponível]]</f>
        <v>0.88851867863416734</v>
      </c>
      <c r="AB16" s="38">
        <f>MIP_4[[#This Row],[HH Trabalhado]]/MIP_4[[#This Row],[HH disponível]]</f>
        <v>0.88636363636363591</v>
      </c>
      <c r="AC16" s="37" t="str">
        <f>LEFT(MIP_4[[#This Row],[Equipe]], SEARCH("/",MIP_4[[#This Row],[Equipe]],1)-1)</f>
        <v xml:space="preserve">EDILTON </v>
      </c>
      <c r="AD16" s="37" t="str">
        <f>RIGHT(MIP_4[[#This Row],[Equipe]], LEN(MIP_4[[#This Row],[Equipe]])-SEARCH("/",MIP_4[[#This Row],[Equipe]],1))</f>
        <v xml:space="preserve"> CLAUDINEY</v>
      </c>
      <c r="AE16" s="44">
        <f>COUNTIFS('[1]Tempo parado'!G:G,"&gt;="&amp;MIP_4[[#This Row],[S.B Sitrack]],'[1]Tempo parado'!H:H,"&lt;="&amp;MIP_4[[#This Row],[C.B Sitrack]],'[1]Tempo parado'!A:A,MIP_4[[#This Row],[Placa]])</f>
        <v>0</v>
      </c>
      <c r="AF16" s="36"/>
      <c r="AG16" s="35"/>
      <c r="AH16" s="34"/>
      <c r="AI16" s="34"/>
      <c r="AJ1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6" s="32" t="str">
        <f>IFERROR(MIP_4[[#This Row],[Tempo parado]]/(MIP_4[[#This Row],[C.B Sitrack]]-MIP_4[[#This Row],[S.B Sitrack]]),"")</f>
        <v/>
      </c>
      <c r="AN16" s="30"/>
      <c r="AO16" s="44">
        <f>IF(AND(MIP_4[Exc]=0,MIP_4[Previsto / Realizado]="Realizado"),MIP_4[Sem],0)</f>
        <v>0</v>
      </c>
      <c r="AP16" s="29">
        <f>IF(AND(MIP_4[Exc]=0,MIP_4[Previsto / Realizado]="Realizado",ISBLANK(MIP_4[[#This Row],[S.B Sitrack]])=FALSE,ISBLANK(MIP_4[[#This Row],[C.B Sitrack]])=FALSE),MIP_4[Sem],0)</f>
        <v>0</v>
      </c>
    </row>
    <row r="17" spans="1:42" ht="63" x14ac:dyDescent="0.25">
      <c r="A17" s="44">
        <f>WEEKNUM(MIP_4[[#This Row],[Data]])</f>
        <v>19</v>
      </c>
      <c r="B17" s="45">
        <v>42867</v>
      </c>
      <c r="C17" s="45"/>
      <c r="D17" s="83" t="s">
        <v>463</v>
      </c>
      <c r="E17" s="35" t="s">
        <v>2</v>
      </c>
      <c r="F17" s="83"/>
      <c r="G17" s="44">
        <v>2</v>
      </c>
      <c r="H17" s="44">
        <v>5</v>
      </c>
      <c r="I17" s="44">
        <v>2</v>
      </c>
      <c r="J17" s="44">
        <v>0</v>
      </c>
      <c r="K17" s="44">
        <v>0</v>
      </c>
      <c r="L17" s="43">
        <v>0.62569444444444444</v>
      </c>
      <c r="M17" s="43">
        <v>0.66319444444444442</v>
      </c>
      <c r="N17" s="43">
        <f>1+20/24/60</f>
        <v>1.0138888888888888</v>
      </c>
      <c r="O17" s="43">
        <f>1+56/24/60</f>
        <v>1.038888888888889</v>
      </c>
      <c r="P17" s="39"/>
      <c r="Q17" s="42" t="s">
        <v>473</v>
      </c>
      <c r="R17" s="44">
        <f>MIP_4[[#This Row],[PT-1]]+MIP_4[[#This Row],[PT-2]]*2+MIP_4[[#This Row],[PT-3]]*3+MIP_4[[#This Row],[PT &gt; 3 Pontos]]</f>
        <v>9</v>
      </c>
      <c r="S1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6.2500000000000111E-2</v>
      </c>
      <c r="T1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6.2500000000000111E-2</v>
      </c>
      <c r="U17" s="41">
        <f ca="1">MIP_4[[#This Row],[Eficiência]]</f>
        <v>0.68908626445204335</v>
      </c>
      <c r="V1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7" s="39">
        <f>IF(MIP_4[[#This Row],[P.S]]-MIP_4[[#This Row],[P.E]]&lt;0,1+MIP_4[[#This Row],[P.S]]-MIP_4[[#This Row],[P.E]]-1/24,MIP_4[[#This Row],[P.S]]-MIP_4[[#This Row],[P.E]]-1/24)</f>
        <v>0.37152777777777785</v>
      </c>
      <c r="X17" s="39">
        <f ca="1">MIP_4[[#This Row],[PT-1]]*$S$3+MIP_4[[#This Row],[PT-2]]*$T$3+MIP_4[[#This Row],[PT-3]]*$U$3+MIP_4[[#This Row],[PT &gt; 3 Pontos]]*$V$3</f>
        <v>0.21294679700080504</v>
      </c>
      <c r="Y17" s="39">
        <f>MIP_4[[#This Row],[HH disponível]]-MIP_4[[#This Row],[HH AC TOT]]</f>
        <v>0.30902777777777773</v>
      </c>
      <c r="Z17" s="38">
        <f ca="1">MIP_4[[#This Row],[HH Produtivo
Total]]/MIP_4[[#This Row],[HH Trabalhado]]</f>
        <v>0.68908626445204335</v>
      </c>
      <c r="AA17" s="38">
        <f ca="1">MIP_4[[#This Row],[HH Produtivo
Total]]/MIP_4[[#This Row],[HH disponível]]</f>
        <v>0.57316521061898917</v>
      </c>
      <c r="AB17" s="38">
        <f>MIP_4[[#This Row],[HH Trabalhado]]/MIP_4[[#This Row],[HH disponível]]</f>
        <v>0.8317757009345792</v>
      </c>
      <c r="AC17" s="37" t="str">
        <f>LEFT(MIP_4[[#This Row],[Equipe]], SEARCH("/",MIP_4[[#This Row],[Equipe]],1)-1)</f>
        <v xml:space="preserve">EDILTON </v>
      </c>
      <c r="AD17" s="37" t="str">
        <f>RIGHT(MIP_4[[#This Row],[Equipe]], LEN(MIP_4[[#This Row],[Equipe]])-SEARCH("/",MIP_4[[#This Row],[Equipe]],1))</f>
        <v xml:space="preserve"> CLAUDINEY</v>
      </c>
      <c r="AE17" s="44">
        <f>COUNTIFS('[1]Tempo parado'!G:G,"&gt;="&amp;MIP_4[[#This Row],[S.B Sitrack]],'[1]Tempo parado'!H:H,"&lt;="&amp;MIP_4[[#This Row],[C.B Sitrack]],'[1]Tempo parado'!A:A,MIP_4[[#This Row],[Placa]])</f>
        <v>0</v>
      </c>
      <c r="AF17" s="36"/>
      <c r="AG17" s="35"/>
      <c r="AH17" s="34"/>
      <c r="AI17" s="34"/>
      <c r="AJ1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7" s="32" t="str">
        <f>IFERROR(MIP_4[[#This Row],[Tempo parado]]/(MIP_4[[#This Row],[C.B Sitrack]]-MIP_4[[#This Row],[S.B Sitrack]]),"")</f>
        <v/>
      </c>
      <c r="AN17" s="30"/>
      <c r="AO17" s="44">
        <f>IF(AND(MIP_4[Exc]=0,MIP_4[Previsto / Realizado]="Realizado"),MIP_4[Sem],0)</f>
        <v>19</v>
      </c>
      <c r="AP17" s="29">
        <f>IF(AND(MIP_4[Exc]=0,MIP_4[Previsto / Realizado]="Realizado",ISBLANK(MIP_4[[#This Row],[S.B Sitrack]])=FALSE,ISBLANK(MIP_4[[#This Row],[C.B Sitrack]])=FALSE),MIP_4[Sem],0)</f>
        <v>0</v>
      </c>
    </row>
    <row r="18" spans="1:42" ht="15.75" x14ac:dyDescent="0.25">
      <c r="A18" s="44">
        <f>WEEKNUM(MIP_4[[#This Row],[Data]])</f>
        <v>19</v>
      </c>
      <c r="B18" s="45">
        <v>42868</v>
      </c>
      <c r="C18" s="45"/>
      <c r="D18" s="35" t="s">
        <v>10</v>
      </c>
      <c r="E18" s="35" t="s">
        <v>5</v>
      </c>
      <c r="F18" s="35"/>
      <c r="G18" s="44">
        <v>2</v>
      </c>
      <c r="H18" s="44">
        <v>7</v>
      </c>
      <c r="I18" s="44">
        <v>2</v>
      </c>
      <c r="J18" s="44">
        <v>1</v>
      </c>
      <c r="K18" s="44">
        <v>5</v>
      </c>
      <c r="L18" s="43">
        <v>0.25</v>
      </c>
      <c r="M18" s="43">
        <v>0.27083333333333331</v>
      </c>
      <c r="N18" s="43">
        <v>0.63750000000000007</v>
      </c>
      <c r="O18" s="43">
        <v>0.65833333333333333</v>
      </c>
      <c r="P18" s="39"/>
      <c r="Q18" s="42"/>
      <c r="R18" s="44">
        <f>MIP_4[[#This Row],[PT-1]]+MIP_4[[#This Row],[PT-2]]*2+MIP_4[[#This Row],[PT-3]]*3+MIP_4[[#This Row],[PT &gt; 3 Pontos]]</f>
        <v>19</v>
      </c>
      <c r="S1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1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18" s="41">
        <f ca="1">MIP_4[[#This Row],[Eficiência]]</f>
        <v>1.3139391894449257</v>
      </c>
      <c r="V1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8" s="39">
        <f>IF(MIP_4[[#This Row],[P.S]]-MIP_4[[#This Row],[P.E]]&lt;0,1+MIP_4[[#This Row],[P.S]]-MIP_4[[#This Row],[P.E]]-1/24,MIP_4[[#This Row],[P.S]]-MIP_4[[#This Row],[P.E]]-1/24)</f>
        <v>0.36666666666666664</v>
      </c>
      <c r="X18" s="39">
        <f ca="1">MIP_4[[#This Row],[PT-1]]*$S$3+MIP_4[[#This Row],[PT-2]]*$T$3+MIP_4[[#This Row],[PT-3]]*$U$3+MIP_4[[#This Row],[PT &gt; 3 Pontos]]*$V$3</f>
        <v>0.42703023656960093</v>
      </c>
      <c r="Y18" s="39">
        <f>MIP_4[[#This Row],[HH disponível]]-MIP_4[[#This Row],[HH AC TOT]]</f>
        <v>0.32500000000000007</v>
      </c>
      <c r="Z18" s="38">
        <f ca="1">MIP_4[[#This Row],[HH Produtivo
Total]]/MIP_4[[#This Row],[HH Trabalhado]]</f>
        <v>1.3139391894449257</v>
      </c>
      <c r="AA18" s="38">
        <f ca="1">MIP_4[[#This Row],[HH Produtivo
Total]]/MIP_4[[#This Row],[HH disponível]]</f>
        <v>1.1646279179170935</v>
      </c>
      <c r="AB18" s="38">
        <f>MIP_4[[#This Row],[HH Trabalhado]]/MIP_4[[#This Row],[HH disponível]]</f>
        <v>0.88636363636363658</v>
      </c>
      <c r="AC18" s="37" t="str">
        <f>LEFT(MIP_4[[#This Row],[Equipe]], SEARCH("/",MIP_4[[#This Row],[Equipe]],1)-1)</f>
        <v xml:space="preserve">JOILSON </v>
      </c>
      <c r="AD18" s="37" t="str">
        <f>RIGHT(MIP_4[[#This Row],[Equipe]], LEN(MIP_4[[#This Row],[Equipe]])-SEARCH("/",MIP_4[[#This Row],[Equipe]],1))</f>
        <v xml:space="preserve"> VALDEI</v>
      </c>
      <c r="AE18" s="44">
        <f>COUNTIFS('[1]Tempo parado'!G:G,"&gt;="&amp;MIP_4[[#This Row],[S.B Sitrack]],'[1]Tempo parado'!H:H,"&lt;="&amp;MIP_4[[#This Row],[C.B Sitrack]],'[1]Tempo parado'!A:A,MIP_4[[#This Row],[Placa]])</f>
        <v>0</v>
      </c>
      <c r="AF18" s="36"/>
      <c r="AG18" s="35"/>
      <c r="AH18" s="34"/>
      <c r="AI18" s="34"/>
      <c r="AJ1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8" s="32" t="str">
        <f>IFERROR(MIP_4[[#This Row],[Tempo parado]]/(MIP_4[[#This Row],[C.B Sitrack]]-MIP_4[[#This Row],[S.B Sitrack]]),"")</f>
        <v/>
      </c>
      <c r="AN18" s="30"/>
      <c r="AO18" s="44">
        <f>IF(AND(MIP_4[Exc]=0,MIP_4[Previsto / Realizado]="Realizado"),MIP_4[Sem],0)</f>
        <v>0</v>
      </c>
      <c r="AP18" s="29">
        <f>IF(AND(MIP_4[Exc]=0,MIP_4[Previsto / Realizado]="Realizado",ISBLANK(MIP_4[[#This Row],[S.B Sitrack]])=FALSE,ISBLANK(MIP_4[[#This Row],[C.B Sitrack]])=FALSE),MIP_4[Sem],0)</f>
        <v>0</v>
      </c>
    </row>
    <row r="19" spans="1:42" ht="15.75" x14ac:dyDescent="0.25">
      <c r="A19" s="44">
        <f>WEEKNUM(MIP_4[[#This Row],[Data]])</f>
        <v>19</v>
      </c>
      <c r="B19" s="45">
        <v>42868</v>
      </c>
      <c r="C19" s="45"/>
      <c r="D19" s="35" t="s">
        <v>10</v>
      </c>
      <c r="E19" s="35" t="s">
        <v>2</v>
      </c>
      <c r="F19" s="35"/>
      <c r="G19" s="44">
        <v>2</v>
      </c>
      <c r="H19" s="44">
        <v>6</v>
      </c>
      <c r="I19" s="44">
        <v>1</v>
      </c>
      <c r="J19" s="44">
        <v>1</v>
      </c>
      <c r="K19" s="44">
        <v>0</v>
      </c>
      <c r="L19" s="43">
        <v>0.25</v>
      </c>
      <c r="M19" s="43">
        <v>0.28541666666666665</v>
      </c>
      <c r="N19" s="43">
        <v>0.63888888888888895</v>
      </c>
      <c r="O19" s="43">
        <v>0.65833333333333333</v>
      </c>
      <c r="P19" s="39"/>
      <c r="Q19" s="42" t="s">
        <v>472</v>
      </c>
      <c r="R19" s="44">
        <f>MIP_4[[#This Row],[PT-1]]+MIP_4[[#This Row],[PT-2]]*2+MIP_4[[#This Row],[PT-3]]*3+MIP_4[[#This Row],[PT &gt; 3 Pontos]]</f>
        <v>11</v>
      </c>
      <c r="S1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5.4861111111111027E-2</v>
      </c>
      <c r="T1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5.4861111111111027E-2</v>
      </c>
      <c r="U19" s="41">
        <f ca="1">MIP_4[[#This Row],[Eficiência]]</f>
        <v>0.82376839837319604</v>
      </c>
      <c r="V1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9" s="39">
        <f>IF(MIP_4[[#This Row],[P.S]]-MIP_4[[#This Row],[P.E]]&lt;0,1+MIP_4[[#This Row],[P.S]]-MIP_4[[#This Row],[P.E]]-1/24,MIP_4[[#This Row],[P.S]]-MIP_4[[#This Row],[P.E]]-1/24)</f>
        <v>0.36666666666666664</v>
      </c>
      <c r="X19" s="39">
        <f ca="1">MIP_4[[#This Row],[PT-1]]*$S$3+MIP_4[[#This Row],[PT-2]]*$T$3+MIP_4[[#This Row],[PT-3]]*$U$3+MIP_4[[#This Row],[PT &gt; 3 Pontos]]*$V$3</f>
        <v>0.25685556310386465</v>
      </c>
      <c r="Y19" s="39">
        <f>MIP_4[[#This Row],[HH disponível]]-MIP_4[[#This Row],[HH AC TOT]]</f>
        <v>0.31180555555555561</v>
      </c>
      <c r="Z19" s="38">
        <f ca="1">MIP_4[[#This Row],[HH Produtivo
Total]]/MIP_4[[#This Row],[HH Trabalhado]]</f>
        <v>0.82376839837319604</v>
      </c>
      <c r="AA19" s="38">
        <f ca="1">MIP_4[[#This Row],[HH Produtivo
Total]]/MIP_4[[#This Row],[HH disponível]]</f>
        <v>0.70051517210144909</v>
      </c>
      <c r="AB19" s="38">
        <f>MIP_4[[#This Row],[HH Trabalhado]]/MIP_4[[#This Row],[HH disponível]]</f>
        <v>0.85037878787878807</v>
      </c>
      <c r="AC19" s="37" t="str">
        <f>LEFT(MIP_4[[#This Row],[Equipe]], SEARCH("/",MIP_4[[#This Row],[Equipe]],1)-1)</f>
        <v xml:space="preserve">JOILSON </v>
      </c>
      <c r="AD19" s="37" t="str">
        <f>RIGHT(MIP_4[[#This Row],[Equipe]], LEN(MIP_4[[#This Row],[Equipe]])-SEARCH("/",MIP_4[[#This Row],[Equipe]],1))</f>
        <v xml:space="preserve"> VALDEI</v>
      </c>
      <c r="AE19" s="44">
        <f>COUNTIFS('[1]Tempo parado'!G:G,"&gt;="&amp;MIP_4[[#This Row],[S.B Sitrack]],'[1]Tempo parado'!H:H,"&lt;="&amp;MIP_4[[#This Row],[C.B Sitrack]],'[1]Tempo parado'!A:A,MIP_4[[#This Row],[Placa]])</f>
        <v>0</v>
      </c>
      <c r="AF19" s="36"/>
      <c r="AG19" s="35"/>
      <c r="AH19" s="34"/>
      <c r="AI19" s="34"/>
      <c r="AJ1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9" s="32" t="str">
        <f>IFERROR(MIP_4[[#This Row],[Tempo parado]]/(MIP_4[[#This Row],[C.B Sitrack]]-MIP_4[[#This Row],[S.B Sitrack]]),"")</f>
        <v/>
      </c>
      <c r="AN19" s="30"/>
      <c r="AO19" s="44">
        <f>IF(AND(MIP_4[Exc]=0,MIP_4[Previsto / Realizado]="Realizado"),MIP_4[Sem],0)</f>
        <v>19</v>
      </c>
      <c r="AP19" s="29">
        <f>IF(AND(MIP_4[Exc]=0,MIP_4[Previsto / Realizado]="Realizado",ISBLANK(MIP_4[[#This Row],[S.B Sitrack]])=FALSE,ISBLANK(MIP_4[[#This Row],[C.B Sitrack]])=FALSE),MIP_4[Sem],0)</f>
        <v>0</v>
      </c>
    </row>
    <row r="20" spans="1:42" ht="15.75" x14ac:dyDescent="0.25">
      <c r="A20" s="44">
        <f>WEEKNUM(MIP_4[[#This Row],[Data]])</f>
        <v>20</v>
      </c>
      <c r="B20" s="45">
        <v>42869</v>
      </c>
      <c r="C20" s="45"/>
      <c r="D20" s="35" t="s">
        <v>10</v>
      </c>
      <c r="E20" s="35" t="s">
        <v>5</v>
      </c>
      <c r="F20" s="35"/>
      <c r="G20" s="44">
        <v>2</v>
      </c>
      <c r="H20" s="44">
        <v>4</v>
      </c>
      <c r="I20" s="44">
        <v>4</v>
      </c>
      <c r="J20" s="44">
        <v>1</v>
      </c>
      <c r="K20" s="44">
        <v>0</v>
      </c>
      <c r="L20" s="43">
        <v>0.25</v>
      </c>
      <c r="M20" s="43">
        <v>0.27083333333333331</v>
      </c>
      <c r="N20" s="43">
        <v>0.63750000000000007</v>
      </c>
      <c r="O20" s="43">
        <v>0.65833333333333333</v>
      </c>
      <c r="P20" s="39"/>
      <c r="Q20" s="42"/>
      <c r="R20" s="44">
        <f>MIP_4[[#This Row],[PT-1]]+MIP_4[[#This Row],[PT-2]]*2+MIP_4[[#This Row],[PT-3]]*3+MIP_4[[#This Row],[PT &gt; 3 Pontos]]</f>
        <v>15</v>
      </c>
      <c r="S2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2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20" s="41">
        <f ca="1">MIP_4[[#This Row],[Eficiência]]</f>
        <v>1.0416312476774432</v>
      </c>
      <c r="V2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0" s="39">
        <f>IF(MIP_4[[#This Row],[P.S]]-MIP_4[[#This Row],[P.E]]&lt;0,1+MIP_4[[#This Row],[P.S]]-MIP_4[[#This Row],[P.E]]-1/24,MIP_4[[#This Row],[P.S]]-MIP_4[[#This Row],[P.E]]-1/24)</f>
        <v>0.36666666666666664</v>
      </c>
      <c r="X20" s="39">
        <f ca="1">MIP_4[[#This Row],[PT-1]]*$S$3+MIP_4[[#This Row],[PT-2]]*$T$3+MIP_4[[#This Row],[PT-3]]*$U$3+MIP_4[[#This Row],[PT &gt; 3 Pontos]]*$V$3</f>
        <v>0.33853015549516907</v>
      </c>
      <c r="Y20" s="39">
        <f>MIP_4[[#This Row],[HH disponível]]-MIP_4[[#This Row],[HH AC TOT]]</f>
        <v>0.32500000000000007</v>
      </c>
      <c r="Z20" s="38">
        <f ca="1">MIP_4[[#This Row],[HH Produtivo
Total]]/MIP_4[[#This Row],[HH Trabalhado]]</f>
        <v>1.0416312476774432</v>
      </c>
      <c r="AA20" s="38">
        <f ca="1">MIP_4[[#This Row],[HH Produtivo
Total]]/MIP_4[[#This Row],[HH disponível]]</f>
        <v>0.92326406044137022</v>
      </c>
      <c r="AB20" s="38">
        <f>MIP_4[[#This Row],[HH Trabalhado]]/MIP_4[[#This Row],[HH disponível]]</f>
        <v>0.88636363636363658</v>
      </c>
      <c r="AC20" s="37" t="str">
        <f>LEFT(MIP_4[[#This Row],[Equipe]], SEARCH("/",MIP_4[[#This Row],[Equipe]],1)-1)</f>
        <v xml:space="preserve">JOILSON </v>
      </c>
      <c r="AD20" s="37" t="str">
        <f>RIGHT(MIP_4[[#This Row],[Equipe]], LEN(MIP_4[[#This Row],[Equipe]])-SEARCH("/",MIP_4[[#This Row],[Equipe]],1))</f>
        <v xml:space="preserve"> VALDEI</v>
      </c>
      <c r="AE20" s="44">
        <f>COUNTIFS('[1]Tempo parado'!G:G,"&gt;="&amp;MIP_4[[#This Row],[S.B Sitrack]],'[1]Tempo parado'!H:H,"&lt;="&amp;MIP_4[[#This Row],[C.B Sitrack]],'[1]Tempo parado'!A:A,MIP_4[[#This Row],[Placa]])</f>
        <v>0</v>
      </c>
      <c r="AF20" s="36"/>
      <c r="AG20" s="35"/>
      <c r="AH20" s="34"/>
      <c r="AI20" s="34"/>
      <c r="AJ2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0" s="32" t="str">
        <f>IFERROR(MIP_4[[#This Row],[Tempo parado]]/(MIP_4[[#This Row],[C.B Sitrack]]-MIP_4[[#This Row],[S.B Sitrack]]),"")</f>
        <v/>
      </c>
      <c r="AN20" s="30"/>
      <c r="AO20" s="44">
        <f>IF(AND(MIP_4[Exc]=0,MIP_4[Previsto / Realizado]="Realizado"),MIP_4[Sem],0)</f>
        <v>0</v>
      </c>
      <c r="AP20" s="29">
        <f>IF(AND(MIP_4[Exc]=0,MIP_4[Previsto / Realizado]="Realizado",ISBLANK(MIP_4[[#This Row],[S.B Sitrack]])=FALSE,ISBLANK(MIP_4[[#This Row],[C.B Sitrack]])=FALSE),MIP_4[Sem],0)</f>
        <v>0</v>
      </c>
    </row>
    <row r="21" spans="1:42" ht="15.75" x14ac:dyDescent="0.25">
      <c r="A21" s="44">
        <f>WEEKNUM(MIP_4[[#This Row],[Data]])</f>
        <v>20</v>
      </c>
      <c r="B21" s="45">
        <v>42869</v>
      </c>
      <c r="C21" s="45"/>
      <c r="D21" s="35" t="s">
        <v>10</v>
      </c>
      <c r="E21" s="35" t="s">
        <v>2</v>
      </c>
      <c r="F21" s="35"/>
      <c r="G21" s="44">
        <v>2</v>
      </c>
      <c r="H21" s="44">
        <v>2</v>
      </c>
      <c r="I21" s="44">
        <v>4</v>
      </c>
      <c r="J21" s="44">
        <v>0</v>
      </c>
      <c r="K21" s="44">
        <v>0</v>
      </c>
      <c r="L21" s="43">
        <v>0.25</v>
      </c>
      <c r="M21" s="43">
        <v>0.28472222222222221</v>
      </c>
      <c r="N21" s="43">
        <v>0.64166666666666672</v>
      </c>
      <c r="O21" s="43">
        <v>0.65833333333333333</v>
      </c>
      <c r="P21" s="39"/>
      <c r="Q21" s="42" t="s">
        <v>472</v>
      </c>
      <c r="R21" s="44">
        <f>MIP_4[[#This Row],[PT-1]]+MIP_4[[#This Row],[PT-2]]*2+MIP_4[[#This Row],[PT-3]]*3+MIP_4[[#This Row],[PT &gt; 3 Pontos]]</f>
        <v>10</v>
      </c>
      <c r="S2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5.1388888888888817E-2</v>
      </c>
      <c r="T2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5.1388888888888817E-2</v>
      </c>
      <c r="U21" s="41">
        <f ca="1">MIP_4[[#This Row],[Eficiência]]</f>
        <v>0.71583469003383748</v>
      </c>
      <c r="V2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1" s="39">
        <f>IF(MIP_4[[#This Row],[P.S]]-MIP_4[[#This Row],[P.E]]&lt;0,1+MIP_4[[#This Row],[P.S]]-MIP_4[[#This Row],[P.E]]-1/24,MIP_4[[#This Row],[P.S]]-MIP_4[[#This Row],[P.E]]-1/24)</f>
        <v>0.36666666666666664</v>
      </c>
      <c r="X21" s="39">
        <f ca="1">MIP_4[[#This Row],[PT-1]]*$S$3+MIP_4[[#This Row],[PT-2]]*$T$3+MIP_4[[#This Row],[PT-3]]*$U$3+MIP_4[[#This Row],[PT &gt; 3 Pontos]]*$V$3</f>
        <v>0.2256867703301127</v>
      </c>
      <c r="Y21" s="39">
        <f>MIP_4[[#This Row],[HH disponível]]-MIP_4[[#This Row],[HH AC TOT]]</f>
        <v>0.31527777777777782</v>
      </c>
      <c r="Z21" s="38">
        <f ca="1">MIP_4[[#This Row],[HH Produtivo
Total]]/MIP_4[[#This Row],[HH Trabalhado]]</f>
        <v>0.71583469003383748</v>
      </c>
      <c r="AA21" s="38">
        <f ca="1">MIP_4[[#This Row],[HH Produtivo
Total]]/MIP_4[[#This Row],[HH disponível]]</f>
        <v>0.61550937362758007</v>
      </c>
      <c r="AB21" s="38">
        <f>MIP_4[[#This Row],[HH Trabalhado]]/MIP_4[[#This Row],[HH disponível]]</f>
        <v>0.85984848484848508</v>
      </c>
      <c r="AC21" s="37" t="str">
        <f>LEFT(MIP_4[[#This Row],[Equipe]], SEARCH("/",MIP_4[[#This Row],[Equipe]],1)-1)</f>
        <v xml:space="preserve">JOILSON </v>
      </c>
      <c r="AD21" s="37" t="str">
        <f>RIGHT(MIP_4[[#This Row],[Equipe]], LEN(MIP_4[[#This Row],[Equipe]])-SEARCH("/",MIP_4[[#This Row],[Equipe]],1))</f>
        <v xml:space="preserve"> VALDEI</v>
      </c>
      <c r="AE21" s="44">
        <f>COUNTIFS('[1]Tempo parado'!G:G,"&gt;="&amp;MIP_4[[#This Row],[S.B Sitrack]],'[1]Tempo parado'!H:H,"&lt;="&amp;MIP_4[[#This Row],[C.B Sitrack]],'[1]Tempo parado'!A:A,MIP_4[[#This Row],[Placa]])</f>
        <v>0</v>
      </c>
      <c r="AF21" s="36"/>
      <c r="AG21" s="35"/>
      <c r="AH21" s="34"/>
      <c r="AI21" s="34"/>
      <c r="AJ2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1" s="32" t="str">
        <f>IFERROR(MIP_4[[#This Row],[Tempo parado]]/(MIP_4[[#This Row],[C.B Sitrack]]-MIP_4[[#This Row],[S.B Sitrack]]),"")</f>
        <v/>
      </c>
      <c r="AN21" s="30"/>
      <c r="AO21" s="44">
        <f>IF(AND(MIP_4[Exc]=0,MIP_4[Previsto / Realizado]="Realizado"),MIP_4[Sem],0)</f>
        <v>20</v>
      </c>
      <c r="AP21" s="29">
        <f>IF(AND(MIP_4[Exc]=0,MIP_4[Previsto / Realizado]="Realizado",ISBLANK(MIP_4[[#This Row],[S.B Sitrack]])=FALSE,ISBLANK(MIP_4[[#This Row],[C.B Sitrack]])=FALSE),MIP_4[Sem],0)</f>
        <v>0</v>
      </c>
    </row>
    <row r="22" spans="1:42" ht="15.75" x14ac:dyDescent="0.25">
      <c r="A22" s="44">
        <f>WEEKNUM(MIP_4[[#This Row],[Data]])</f>
        <v>20</v>
      </c>
      <c r="B22" s="45">
        <v>42869</v>
      </c>
      <c r="C22" s="45"/>
      <c r="D22" s="35" t="s">
        <v>471</v>
      </c>
      <c r="E22" s="35" t="s">
        <v>5</v>
      </c>
      <c r="F22" s="35"/>
      <c r="G22" s="44">
        <v>2</v>
      </c>
      <c r="H22" s="44">
        <v>4</v>
      </c>
      <c r="I22" s="44">
        <v>4</v>
      </c>
      <c r="J22" s="44">
        <v>1</v>
      </c>
      <c r="K22" s="44">
        <v>0</v>
      </c>
      <c r="L22" s="43">
        <v>0.625</v>
      </c>
      <c r="M22" s="43">
        <v>0.64583333333333337</v>
      </c>
      <c r="N22" s="43">
        <f>1+18/24/60</f>
        <v>1.0125</v>
      </c>
      <c r="O22" s="43">
        <f>1+48/24/60</f>
        <v>1.0333333333333334</v>
      </c>
      <c r="P22" s="39"/>
      <c r="Q22" s="42"/>
      <c r="R22" s="44">
        <f>MIP_4[[#This Row],[PT-1]]+MIP_4[[#This Row],[PT-2]]*2+MIP_4[[#This Row],[PT-3]]*3+MIP_4[[#This Row],[PT &gt; 3 Pontos]]</f>
        <v>15</v>
      </c>
      <c r="S2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2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22" s="41">
        <f ca="1">MIP_4[[#This Row],[Eficiência]]</f>
        <v>1.0416312476774436</v>
      </c>
      <c r="V2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2" s="39">
        <f>IF(MIP_4[[#This Row],[P.S]]-MIP_4[[#This Row],[P.E]]&lt;0,1+MIP_4[[#This Row],[P.S]]-MIP_4[[#This Row],[P.E]]-1/24,MIP_4[[#This Row],[P.S]]-MIP_4[[#This Row],[P.E]]-1/24)</f>
        <v>0.36666666666666675</v>
      </c>
      <c r="X22" s="39">
        <f ca="1">MIP_4[[#This Row],[PT-1]]*$S$3+MIP_4[[#This Row],[PT-2]]*$T$3+MIP_4[[#This Row],[PT-3]]*$U$3+MIP_4[[#This Row],[PT &gt; 3 Pontos]]*$V$3</f>
        <v>0.33853015549516907</v>
      </c>
      <c r="Y22" s="39">
        <f>MIP_4[[#This Row],[HH disponível]]-MIP_4[[#This Row],[HH AC TOT]]</f>
        <v>0.3249999999999999</v>
      </c>
      <c r="Z22" s="38">
        <f ca="1">MIP_4[[#This Row],[HH Produtivo
Total]]/MIP_4[[#This Row],[HH Trabalhado]]</f>
        <v>1.0416312476774436</v>
      </c>
      <c r="AA22" s="38">
        <f ca="1">MIP_4[[#This Row],[HH Produtivo
Total]]/MIP_4[[#This Row],[HH disponível]]</f>
        <v>0.92326406044136999</v>
      </c>
      <c r="AB22" s="38">
        <f>MIP_4[[#This Row],[HH Trabalhado]]/MIP_4[[#This Row],[HH disponível]]</f>
        <v>0.88636363636363591</v>
      </c>
      <c r="AC22" s="37" t="str">
        <f>LEFT(MIP_4[[#This Row],[Equipe]], SEARCH("/",MIP_4[[#This Row],[Equipe]],1)-1)</f>
        <v xml:space="preserve">ANDERSON </v>
      </c>
      <c r="AD22" s="37" t="str">
        <f>RIGHT(MIP_4[[#This Row],[Equipe]], LEN(MIP_4[[#This Row],[Equipe]])-SEARCH("/",MIP_4[[#This Row],[Equipe]],1))</f>
        <v xml:space="preserve"> CLAUDINEY</v>
      </c>
      <c r="AE22" s="44">
        <f>COUNTIFS('[1]Tempo parado'!G:G,"&gt;="&amp;MIP_4[[#This Row],[S.B Sitrack]],'[1]Tempo parado'!H:H,"&lt;="&amp;MIP_4[[#This Row],[C.B Sitrack]],'[1]Tempo parado'!A:A,MIP_4[[#This Row],[Placa]])</f>
        <v>0</v>
      </c>
      <c r="AF22" s="36"/>
      <c r="AG22" s="35"/>
      <c r="AH22" s="34"/>
      <c r="AI22" s="34"/>
      <c r="AJ2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2" s="32" t="str">
        <f>IFERROR(MIP_4[[#This Row],[Tempo parado]]/(MIP_4[[#This Row],[C.B Sitrack]]-MIP_4[[#This Row],[S.B Sitrack]]),"")</f>
        <v/>
      </c>
      <c r="AN22" s="30"/>
      <c r="AO22" s="44">
        <f>IF(AND(MIP_4[Exc]=0,MIP_4[Previsto / Realizado]="Realizado"),MIP_4[Sem],0)</f>
        <v>0</v>
      </c>
      <c r="AP22" s="29">
        <f>IF(AND(MIP_4[Exc]=0,MIP_4[Previsto / Realizado]="Realizado",ISBLANK(MIP_4[[#This Row],[S.B Sitrack]])=FALSE,ISBLANK(MIP_4[[#This Row],[C.B Sitrack]])=FALSE),MIP_4[Sem],0)</f>
        <v>0</v>
      </c>
    </row>
    <row r="23" spans="1:42" ht="15.75" x14ac:dyDescent="0.25">
      <c r="A23" s="44">
        <f>WEEKNUM(MIP_4[[#This Row],[Data]])</f>
        <v>20</v>
      </c>
      <c r="B23" s="45">
        <v>42869</v>
      </c>
      <c r="C23" s="45"/>
      <c r="D23" s="35" t="s">
        <v>471</v>
      </c>
      <c r="E23" s="35" t="s">
        <v>2</v>
      </c>
      <c r="F23" s="35"/>
      <c r="G23" s="44">
        <v>2</v>
      </c>
      <c r="H23" s="44">
        <v>1</v>
      </c>
      <c r="I23" s="44">
        <v>4</v>
      </c>
      <c r="J23" s="44">
        <v>0</v>
      </c>
      <c r="K23" s="44">
        <v>0</v>
      </c>
      <c r="L23" s="43">
        <v>0.64583333333333337</v>
      </c>
      <c r="M23" s="43">
        <v>0.66666666666666663</v>
      </c>
      <c r="N23" s="43">
        <f>1+6/24/60</f>
        <v>1.0041666666666667</v>
      </c>
      <c r="O23" s="43">
        <f>1+48/24/60</f>
        <v>1.0333333333333334</v>
      </c>
      <c r="P23" s="39"/>
      <c r="Q23" s="42" t="s">
        <v>470</v>
      </c>
      <c r="R23" s="44">
        <f>MIP_4[[#This Row],[PT-1]]+MIP_4[[#This Row],[PT-2]]*2+MIP_4[[#This Row],[PT-3]]*3+MIP_4[[#This Row],[PT &gt; 3 Pontos]]</f>
        <v>9</v>
      </c>
      <c r="S2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5.0000000000000044E-2</v>
      </c>
      <c r="T2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5.0000000000000044E-2</v>
      </c>
      <c r="U23" s="41">
        <f ca="1">MIP_4[[#This Row],[Eficiência]]</f>
        <v>0.6782904249166497</v>
      </c>
      <c r="V2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3" s="39">
        <f>IF(MIP_4[[#This Row],[P.S]]-MIP_4[[#This Row],[P.E]]&lt;0,1+MIP_4[[#This Row],[P.S]]-MIP_4[[#This Row],[P.E]]-1/24,MIP_4[[#This Row],[P.S]]-MIP_4[[#This Row],[P.E]]-1/24)</f>
        <v>0.34583333333333338</v>
      </c>
      <c r="X23" s="39">
        <f ca="1">MIP_4[[#This Row],[PT-1]]*$S$3+MIP_4[[#This Row],[PT-2]]*$T$3+MIP_4[[#This Row],[PT-3]]*$U$3+MIP_4[[#This Row],[PT &gt; 3 Pontos]]*$V$3</f>
        <v>0.20066091737117553</v>
      </c>
      <c r="Y23" s="39">
        <f>MIP_4[[#This Row],[HH disponível]]-MIP_4[[#This Row],[HH AC TOT]]</f>
        <v>0.29583333333333334</v>
      </c>
      <c r="Z23" s="38">
        <f ca="1">MIP_4[[#This Row],[HH Produtivo
Total]]/MIP_4[[#This Row],[HH Trabalhado]]</f>
        <v>0.6782904249166497</v>
      </c>
      <c r="AA23" s="38">
        <f ca="1">MIP_4[[#This Row],[HH Produtivo
Total]]/MIP_4[[#This Row],[HH disponível]]</f>
        <v>0.58022433938653162</v>
      </c>
      <c r="AB23" s="38">
        <f>MIP_4[[#This Row],[HH Trabalhado]]/MIP_4[[#This Row],[HH disponível]]</f>
        <v>0.85542168674698782</v>
      </c>
      <c r="AC23" s="37" t="str">
        <f>LEFT(MIP_4[[#This Row],[Equipe]], SEARCH("/",MIP_4[[#This Row],[Equipe]],1)-1)</f>
        <v xml:space="preserve">ANDERSON </v>
      </c>
      <c r="AD23" s="37" t="str">
        <f>RIGHT(MIP_4[[#This Row],[Equipe]], LEN(MIP_4[[#This Row],[Equipe]])-SEARCH("/",MIP_4[[#This Row],[Equipe]],1))</f>
        <v xml:space="preserve"> CLAUDINEY</v>
      </c>
      <c r="AE23" s="44">
        <f>COUNTIFS('[1]Tempo parado'!G:G,"&gt;="&amp;MIP_4[[#This Row],[S.B Sitrack]],'[1]Tempo parado'!H:H,"&lt;="&amp;MIP_4[[#This Row],[C.B Sitrack]],'[1]Tempo parado'!A:A,MIP_4[[#This Row],[Placa]])</f>
        <v>0</v>
      </c>
      <c r="AF23" s="36"/>
      <c r="AG23" s="35"/>
      <c r="AH23" s="34"/>
      <c r="AI23" s="34"/>
      <c r="AJ2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3" s="32" t="str">
        <f>IFERROR(MIP_4[[#This Row],[Tempo parado]]/(MIP_4[[#This Row],[C.B Sitrack]]-MIP_4[[#This Row],[S.B Sitrack]]),"")</f>
        <v/>
      </c>
      <c r="AN23" s="30"/>
      <c r="AO23" s="44">
        <f>IF(AND(MIP_4[Exc]=0,MIP_4[Previsto / Realizado]="Realizado"),MIP_4[Sem],0)</f>
        <v>20</v>
      </c>
      <c r="AP23" s="29">
        <f>IF(AND(MIP_4[Exc]=0,MIP_4[Previsto / Realizado]="Realizado",ISBLANK(MIP_4[[#This Row],[S.B Sitrack]])=FALSE,ISBLANK(MIP_4[[#This Row],[C.B Sitrack]])=FALSE),MIP_4[Sem],0)</f>
        <v>0</v>
      </c>
    </row>
    <row r="24" spans="1:42" ht="15.75" x14ac:dyDescent="0.25">
      <c r="A24" s="44">
        <f>WEEKNUM(MIP_4[[#This Row],[Data]])</f>
        <v>20</v>
      </c>
      <c r="B24" s="45">
        <v>42871</v>
      </c>
      <c r="C24" s="45"/>
      <c r="D24" s="35" t="s">
        <v>460</v>
      </c>
      <c r="E24" s="35" t="s">
        <v>5</v>
      </c>
      <c r="F24" s="35"/>
      <c r="G24" s="44">
        <v>2</v>
      </c>
      <c r="H24" s="44">
        <v>4</v>
      </c>
      <c r="I24" s="44">
        <v>1</v>
      </c>
      <c r="J24" s="44">
        <v>0</v>
      </c>
      <c r="K24" s="44">
        <v>15</v>
      </c>
      <c r="L24" s="43">
        <v>0.25</v>
      </c>
      <c r="M24" s="43">
        <v>0.27083333333333331</v>
      </c>
      <c r="N24" s="43">
        <v>0.63750000000000007</v>
      </c>
      <c r="O24" s="43">
        <v>0.65833333333333333</v>
      </c>
      <c r="P24" s="39"/>
      <c r="Q24" s="42"/>
      <c r="R24" s="44">
        <f>MIP_4[[#This Row],[PT-1]]+MIP_4[[#This Row],[PT-2]]*2+MIP_4[[#This Row],[PT-3]]*3+MIP_4[[#This Row],[PT &gt; 3 Pontos]]</f>
        <v>21</v>
      </c>
      <c r="S2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2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24" s="41">
        <f ca="1">MIP_4[[#This Row],[Eficiência]]</f>
        <v>1.3776379727693133</v>
      </c>
      <c r="V2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4" s="39">
        <f>IF(MIP_4[[#This Row],[P.S]]-MIP_4[[#This Row],[P.E]]&lt;0,1+MIP_4[[#This Row],[P.S]]-MIP_4[[#This Row],[P.E]]-1/24,MIP_4[[#This Row],[P.S]]-MIP_4[[#This Row],[P.E]]-1/24)</f>
        <v>0.36666666666666664</v>
      </c>
      <c r="X24" s="39">
        <f ca="1">MIP_4[[#This Row],[PT-1]]*$S$3+MIP_4[[#This Row],[PT-2]]*$T$3+MIP_4[[#This Row],[PT-3]]*$U$3+MIP_4[[#This Row],[PT &gt; 3 Pontos]]*$V$3</f>
        <v>0.44773234115002691</v>
      </c>
      <c r="Y24" s="39">
        <f>MIP_4[[#This Row],[HH disponível]]-MIP_4[[#This Row],[HH AC TOT]]</f>
        <v>0.32500000000000007</v>
      </c>
      <c r="Z24" s="38">
        <f ca="1">MIP_4[[#This Row],[HH Produtivo
Total]]/MIP_4[[#This Row],[HH Trabalhado]]</f>
        <v>1.3776379727693133</v>
      </c>
      <c r="AA24" s="38">
        <f ca="1">MIP_4[[#This Row],[HH Produtivo
Total]]/MIP_4[[#This Row],[HH disponível]]</f>
        <v>1.2210882031364372</v>
      </c>
      <c r="AB24" s="38">
        <f>MIP_4[[#This Row],[HH Trabalhado]]/MIP_4[[#This Row],[HH disponível]]</f>
        <v>0.88636363636363658</v>
      </c>
      <c r="AC24" s="37" t="str">
        <f>LEFT(MIP_4[[#This Row],[Equipe]], SEARCH("/",MIP_4[[#This Row],[Equipe]],1)-1)</f>
        <v xml:space="preserve">Joilson </v>
      </c>
      <c r="AD24" s="37" t="str">
        <f>RIGHT(MIP_4[[#This Row],[Equipe]], LEN(MIP_4[[#This Row],[Equipe]])-SEARCH("/",MIP_4[[#This Row],[Equipe]],1))</f>
        <v xml:space="preserve"> Diego</v>
      </c>
      <c r="AE24" s="44">
        <f>COUNTIFS('[1]Tempo parado'!G:G,"&gt;="&amp;MIP_4[[#This Row],[S.B Sitrack]],'[1]Tempo parado'!H:H,"&lt;="&amp;MIP_4[[#This Row],[C.B Sitrack]],'[1]Tempo parado'!A:A,MIP_4[[#This Row],[Placa]])</f>
        <v>0</v>
      </c>
      <c r="AF24" s="36"/>
      <c r="AG24" s="35"/>
      <c r="AH24" s="34"/>
      <c r="AI24" s="34"/>
      <c r="AJ2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4" s="32" t="str">
        <f>IFERROR(MIP_4[[#This Row],[Tempo parado]]/(MIP_4[[#This Row],[C.B Sitrack]]-MIP_4[[#This Row],[S.B Sitrack]]),"")</f>
        <v/>
      </c>
      <c r="AN24" s="30"/>
      <c r="AO24" s="44">
        <f>IF(AND(MIP_4[Exc]=0,MIP_4[Previsto / Realizado]="Realizado"),MIP_4[Sem],0)</f>
        <v>0</v>
      </c>
      <c r="AP24" s="29">
        <f>IF(AND(MIP_4[Exc]=0,MIP_4[Previsto / Realizado]="Realizado",ISBLANK(MIP_4[[#This Row],[S.B Sitrack]])=FALSE,ISBLANK(MIP_4[[#This Row],[C.B Sitrack]])=FALSE),MIP_4[Sem],0)</f>
        <v>0</v>
      </c>
    </row>
    <row r="25" spans="1:42" ht="15.75" x14ac:dyDescent="0.25">
      <c r="A25" s="44">
        <f>WEEKNUM(MIP_4[[#This Row],[Data]])</f>
        <v>20</v>
      </c>
      <c r="B25" s="45">
        <v>42871</v>
      </c>
      <c r="C25" s="45"/>
      <c r="D25" s="35" t="s">
        <v>460</v>
      </c>
      <c r="E25" s="35" t="s">
        <v>2</v>
      </c>
      <c r="F25" s="35"/>
      <c r="G25" s="44">
        <v>2</v>
      </c>
      <c r="H25" s="44">
        <v>4</v>
      </c>
      <c r="I25" s="44">
        <v>1</v>
      </c>
      <c r="J25" s="44">
        <v>0</v>
      </c>
      <c r="K25" s="44">
        <v>7</v>
      </c>
      <c r="L25" s="43">
        <v>0.24861111111111112</v>
      </c>
      <c r="M25" s="43">
        <v>0.27083333333333331</v>
      </c>
      <c r="N25" s="43">
        <v>0.62847222222222221</v>
      </c>
      <c r="O25" s="82">
        <v>0.66249999999999998</v>
      </c>
      <c r="P25" s="39"/>
      <c r="Q25" s="42" t="s">
        <v>469</v>
      </c>
      <c r="R25" s="44">
        <f>MIP_4[[#This Row],[PT-1]]+MIP_4[[#This Row],[PT-2]]*2+MIP_4[[#This Row],[PT-3]]*3+MIP_4[[#This Row],[PT &gt; 3 Pontos]]</f>
        <v>13</v>
      </c>
      <c r="S2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5.6249999999999967E-2</v>
      </c>
      <c r="T2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5.6249999999999967E-2</v>
      </c>
      <c r="U25" s="41">
        <f ca="1">MIP_4[[#This Row],[Eficiência]]</f>
        <v>0.90434612287873173</v>
      </c>
      <c r="V2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5" s="39">
        <f>IF(MIP_4[[#This Row],[P.S]]-MIP_4[[#This Row],[P.E]]&lt;0,1+MIP_4[[#This Row],[P.S]]-MIP_4[[#This Row],[P.E]]-1/24,MIP_4[[#This Row],[P.S]]-MIP_4[[#This Row],[P.E]]-1/24)</f>
        <v>0.37222222222222218</v>
      </c>
      <c r="X25" s="39">
        <f ca="1">MIP_4[[#This Row],[PT-1]]*$S$3+MIP_4[[#This Row],[PT-2]]*$T$3+MIP_4[[#This Row],[PT-3]]*$U$3+MIP_4[[#This Row],[PT &gt; 3 Pontos]]*$V$3</f>
        <v>0.2857482541040437</v>
      </c>
      <c r="Y25" s="39">
        <f>MIP_4[[#This Row],[HH disponível]]-MIP_4[[#This Row],[HH AC TOT]]</f>
        <v>0.31597222222222221</v>
      </c>
      <c r="Z25" s="38">
        <f ca="1">MIP_4[[#This Row],[HH Produtivo
Total]]/MIP_4[[#This Row],[HH Trabalhado]]</f>
        <v>0.90434612287873173</v>
      </c>
      <c r="AA25" s="38">
        <f ca="1">MIP_4[[#This Row],[HH Produtivo
Total]]/MIP_4[[#This Row],[HH disponível]]</f>
        <v>0.76768187669743093</v>
      </c>
      <c r="AB25" s="38">
        <f>MIP_4[[#This Row],[HH Trabalhado]]/MIP_4[[#This Row],[HH disponível]]</f>
        <v>0.84888059701492546</v>
      </c>
      <c r="AC25" s="37" t="str">
        <f>LEFT(MIP_4[[#This Row],[Equipe]], SEARCH("/",MIP_4[[#This Row],[Equipe]],1)-1)</f>
        <v xml:space="preserve">Joilson </v>
      </c>
      <c r="AD25" s="37" t="str">
        <f>RIGHT(MIP_4[[#This Row],[Equipe]], LEN(MIP_4[[#This Row],[Equipe]])-SEARCH("/",MIP_4[[#This Row],[Equipe]],1))</f>
        <v xml:space="preserve"> Diego</v>
      </c>
      <c r="AE25" s="44">
        <f>COUNTIFS('[1]Tempo parado'!G:G,"&gt;="&amp;MIP_4[[#This Row],[S.B Sitrack]],'[1]Tempo parado'!H:H,"&lt;="&amp;MIP_4[[#This Row],[C.B Sitrack]],'[1]Tempo parado'!A:A,MIP_4[[#This Row],[Placa]])</f>
        <v>0</v>
      </c>
      <c r="AF25" s="36"/>
      <c r="AG25" s="35"/>
      <c r="AH25" s="34"/>
      <c r="AI25" s="34"/>
      <c r="AJ2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5" s="32" t="str">
        <f>IFERROR(MIP_4[[#This Row],[Tempo parado]]/(MIP_4[[#This Row],[C.B Sitrack]]-MIP_4[[#This Row],[S.B Sitrack]]),"")</f>
        <v/>
      </c>
      <c r="AN25" s="30"/>
      <c r="AO25" s="44">
        <f>IF(AND(MIP_4[Exc]=0,MIP_4[Previsto / Realizado]="Realizado"),MIP_4[Sem],0)</f>
        <v>20</v>
      </c>
      <c r="AP25" s="29">
        <f>IF(AND(MIP_4[Exc]=0,MIP_4[Previsto / Realizado]="Realizado",ISBLANK(MIP_4[[#This Row],[S.B Sitrack]])=FALSE,ISBLANK(MIP_4[[#This Row],[C.B Sitrack]])=FALSE),MIP_4[Sem],0)</f>
        <v>0</v>
      </c>
    </row>
    <row r="26" spans="1:42" ht="63" x14ac:dyDescent="0.25">
      <c r="A26" s="44">
        <f>WEEKNUM(MIP_4[[#This Row],[Data]])</f>
        <v>20</v>
      </c>
      <c r="B26" s="45">
        <v>42871</v>
      </c>
      <c r="C26" s="45"/>
      <c r="D26" s="83" t="s">
        <v>463</v>
      </c>
      <c r="E26" s="35" t="s">
        <v>5</v>
      </c>
      <c r="F26" s="83"/>
      <c r="G26" s="44">
        <v>2</v>
      </c>
      <c r="H26" s="44">
        <v>8</v>
      </c>
      <c r="I26" s="44">
        <v>2</v>
      </c>
      <c r="J26" s="44">
        <v>1</v>
      </c>
      <c r="K26" s="44">
        <v>0</v>
      </c>
      <c r="L26" s="43">
        <v>0.625</v>
      </c>
      <c r="M26" s="43">
        <v>0.64583333333333337</v>
      </c>
      <c r="N26" s="43">
        <f>1+18/24/60</f>
        <v>1.0125</v>
      </c>
      <c r="O26" s="43">
        <f>1+48/24/60</f>
        <v>1.0333333333333334</v>
      </c>
      <c r="P26" s="39"/>
      <c r="Q26" s="42"/>
      <c r="R26" s="44">
        <f>MIP_4[[#This Row],[PT-1]]+MIP_4[[#This Row],[PT-2]]*2+MIP_4[[#This Row],[PT-3]]*3+MIP_4[[#This Row],[PT &gt; 3 Pontos]]</f>
        <v>15</v>
      </c>
      <c r="S2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2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26" s="41">
        <f ca="1">MIP_4[[#This Row],[Eficiência]]</f>
        <v>1.0794339542301499</v>
      </c>
      <c r="V2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6" s="39">
        <f>IF(MIP_4[[#This Row],[P.S]]-MIP_4[[#This Row],[P.E]]&lt;0,1+MIP_4[[#This Row],[P.S]]-MIP_4[[#This Row],[P.E]]-1/24,MIP_4[[#This Row],[P.S]]-MIP_4[[#This Row],[P.E]]-1/24)</f>
        <v>0.36666666666666675</v>
      </c>
      <c r="X26" s="39">
        <f ca="1">MIP_4[[#This Row],[PT-1]]*$S$3+MIP_4[[#This Row],[PT-2]]*$T$3+MIP_4[[#This Row],[PT-3]]*$U$3+MIP_4[[#This Row],[PT &gt; 3 Pontos]]*$V$3</f>
        <v>0.35081603512479859</v>
      </c>
      <c r="Y26" s="39">
        <f>MIP_4[[#This Row],[HH disponível]]-MIP_4[[#This Row],[HH AC TOT]]</f>
        <v>0.3249999999999999</v>
      </c>
      <c r="Z26" s="38">
        <f ca="1">MIP_4[[#This Row],[HH Produtivo
Total]]/MIP_4[[#This Row],[HH Trabalhado]]</f>
        <v>1.0794339542301499</v>
      </c>
      <c r="AA26" s="38">
        <f ca="1">MIP_4[[#This Row],[HH Produtivo
Total]]/MIP_4[[#This Row],[HH disponível]]</f>
        <v>0.95677100488581412</v>
      </c>
      <c r="AB26" s="38">
        <f>MIP_4[[#This Row],[HH Trabalhado]]/MIP_4[[#This Row],[HH disponível]]</f>
        <v>0.88636363636363591</v>
      </c>
      <c r="AC26" s="37" t="str">
        <f>LEFT(MIP_4[[#This Row],[Equipe]], SEARCH("/",MIP_4[[#This Row],[Equipe]],1)-1)</f>
        <v xml:space="preserve">EDILTON </v>
      </c>
      <c r="AD26" s="37" t="str">
        <f>RIGHT(MIP_4[[#This Row],[Equipe]], LEN(MIP_4[[#This Row],[Equipe]])-SEARCH("/",MIP_4[[#This Row],[Equipe]],1))</f>
        <v xml:space="preserve"> CLAUDINEY</v>
      </c>
      <c r="AE26" s="44">
        <f>COUNTIFS('[1]Tempo parado'!G:G,"&gt;="&amp;MIP_4[[#This Row],[S.B Sitrack]],'[1]Tempo parado'!H:H,"&lt;="&amp;MIP_4[[#This Row],[C.B Sitrack]],'[1]Tempo parado'!A:A,MIP_4[[#This Row],[Placa]])</f>
        <v>0</v>
      </c>
      <c r="AF26" s="36"/>
      <c r="AG26" s="35"/>
      <c r="AH26" s="34"/>
      <c r="AI26" s="34"/>
      <c r="AJ2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6" s="32" t="str">
        <f>IFERROR(MIP_4[[#This Row],[Tempo parado]]/(MIP_4[[#This Row],[C.B Sitrack]]-MIP_4[[#This Row],[S.B Sitrack]]),"")</f>
        <v/>
      </c>
      <c r="AN26" s="30"/>
      <c r="AO26" s="44">
        <f>IF(AND(MIP_4[Exc]=0,MIP_4[Previsto / Realizado]="Realizado"),MIP_4[Sem],0)</f>
        <v>0</v>
      </c>
      <c r="AP26" s="29">
        <f>IF(AND(MIP_4[Exc]=0,MIP_4[Previsto / Realizado]="Realizado",ISBLANK(MIP_4[[#This Row],[S.B Sitrack]])=FALSE,ISBLANK(MIP_4[[#This Row],[C.B Sitrack]])=FALSE),MIP_4[Sem],0)</f>
        <v>0</v>
      </c>
    </row>
    <row r="27" spans="1:42" ht="63" x14ac:dyDescent="0.25">
      <c r="A27" s="44">
        <f>WEEKNUM(MIP_4[[#This Row],[Data]])</f>
        <v>20</v>
      </c>
      <c r="B27" s="45">
        <v>42871</v>
      </c>
      <c r="C27" s="45"/>
      <c r="D27" s="83" t="s">
        <v>463</v>
      </c>
      <c r="E27" s="35" t="s">
        <v>2</v>
      </c>
      <c r="F27" s="83"/>
      <c r="G27" s="44">
        <v>2</v>
      </c>
      <c r="H27" s="44">
        <v>5</v>
      </c>
      <c r="I27" s="44">
        <v>1</v>
      </c>
      <c r="J27" s="44">
        <v>0</v>
      </c>
      <c r="K27" s="44">
        <v>5</v>
      </c>
      <c r="L27" s="43">
        <v>0.625</v>
      </c>
      <c r="M27" s="43">
        <v>0.66666666666666663</v>
      </c>
      <c r="N27" s="43">
        <f>1+33/24/60</f>
        <v>1.0229166666666667</v>
      </c>
      <c r="O27" s="43">
        <f>1+48/24/60</f>
        <v>1.0333333333333334</v>
      </c>
      <c r="P27" s="39"/>
      <c r="Q27" s="42" t="s">
        <v>468</v>
      </c>
      <c r="R27" s="44">
        <f>MIP_4[[#This Row],[PT-1]]+MIP_4[[#This Row],[PT-2]]*2+MIP_4[[#This Row],[PT-3]]*3+MIP_4[[#This Row],[PT &gt; 3 Pontos]]</f>
        <v>12</v>
      </c>
      <c r="S2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5.208333333333337E-2</v>
      </c>
      <c r="T2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5.208333333333337E-2</v>
      </c>
      <c r="U27" s="41">
        <f ca="1">MIP_4[[#This Row],[Eficiência]]</f>
        <v>0.85916212546167403</v>
      </c>
      <c r="V2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7" s="39">
        <f>IF(MIP_4[[#This Row],[P.S]]-MIP_4[[#This Row],[P.E]]&lt;0,1+MIP_4[[#This Row],[P.S]]-MIP_4[[#This Row],[P.E]]-1/24,MIP_4[[#This Row],[P.S]]-MIP_4[[#This Row],[P.E]]-1/24)</f>
        <v>0.36666666666666675</v>
      </c>
      <c r="X27" s="39">
        <f ca="1">MIP_4[[#This Row],[PT-1]]*$S$3+MIP_4[[#This Row],[PT-2]]*$T$3+MIP_4[[#This Row],[PT-3]]*$U$3+MIP_4[[#This Row],[PT &gt; 3 Pontos]]*$V$3</f>
        <v>0.270278085301485</v>
      </c>
      <c r="Y27" s="39">
        <f>MIP_4[[#This Row],[HH disponível]]-MIP_4[[#This Row],[HH AC TOT]]</f>
        <v>0.31458333333333338</v>
      </c>
      <c r="Z27" s="38">
        <f ca="1">MIP_4[[#This Row],[HH Produtivo
Total]]/MIP_4[[#This Row],[HH Trabalhado]]</f>
        <v>0.85916212546167403</v>
      </c>
      <c r="AA27" s="38">
        <f ca="1">MIP_4[[#This Row],[HH Produtivo
Total]]/MIP_4[[#This Row],[HH disponível]]</f>
        <v>0.7371220508222317</v>
      </c>
      <c r="AB27" s="38">
        <f>MIP_4[[#This Row],[HH Trabalhado]]/MIP_4[[#This Row],[HH disponível]]</f>
        <v>0.85795454545454541</v>
      </c>
      <c r="AC27" s="37" t="str">
        <f>LEFT(MIP_4[[#This Row],[Equipe]], SEARCH("/",MIP_4[[#This Row],[Equipe]],1)-1)</f>
        <v xml:space="preserve">EDILTON </v>
      </c>
      <c r="AD27" s="37" t="str">
        <f>RIGHT(MIP_4[[#This Row],[Equipe]], LEN(MIP_4[[#This Row],[Equipe]])-SEARCH("/",MIP_4[[#This Row],[Equipe]],1))</f>
        <v xml:space="preserve"> CLAUDINEY</v>
      </c>
      <c r="AE27" s="44">
        <f>COUNTIFS('[1]Tempo parado'!G:G,"&gt;="&amp;MIP_4[[#This Row],[S.B Sitrack]],'[1]Tempo parado'!H:H,"&lt;="&amp;MIP_4[[#This Row],[C.B Sitrack]],'[1]Tempo parado'!A:A,MIP_4[[#This Row],[Placa]])</f>
        <v>0</v>
      </c>
      <c r="AF27" s="36"/>
      <c r="AG27" s="35"/>
      <c r="AH27" s="34"/>
      <c r="AI27" s="34"/>
      <c r="AJ2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7" s="32" t="str">
        <f>IFERROR(MIP_4[[#This Row],[Tempo parado]]/(MIP_4[[#This Row],[C.B Sitrack]]-MIP_4[[#This Row],[S.B Sitrack]]),"")</f>
        <v/>
      </c>
      <c r="AN27" s="30"/>
      <c r="AO27" s="44">
        <f>IF(AND(MIP_4[Exc]=0,MIP_4[Previsto / Realizado]="Realizado"),MIP_4[Sem],0)</f>
        <v>20</v>
      </c>
      <c r="AP27" s="29">
        <f>IF(AND(MIP_4[Exc]=0,MIP_4[Previsto / Realizado]="Realizado",ISBLANK(MIP_4[[#This Row],[S.B Sitrack]])=FALSE,ISBLANK(MIP_4[[#This Row],[C.B Sitrack]])=FALSE),MIP_4[Sem],0)</f>
        <v>0</v>
      </c>
    </row>
    <row r="28" spans="1:42" ht="15.75" x14ac:dyDescent="0.25">
      <c r="A28" s="44">
        <f>WEEKNUM(MIP_4[[#This Row],[Data]])</f>
        <v>20</v>
      </c>
      <c r="B28" s="45">
        <v>42872</v>
      </c>
      <c r="C28" s="45"/>
      <c r="D28" s="35" t="s">
        <v>460</v>
      </c>
      <c r="E28" s="35" t="s">
        <v>5</v>
      </c>
      <c r="F28" s="35"/>
      <c r="G28" s="44">
        <v>2</v>
      </c>
      <c r="H28" s="44">
        <v>8</v>
      </c>
      <c r="I28" s="44">
        <v>3</v>
      </c>
      <c r="J28" s="44">
        <v>2</v>
      </c>
      <c r="K28" s="44">
        <v>0</v>
      </c>
      <c r="L28" s="43">
        <v>0.25</v>
      </c>
      <c r="M28" s="43">
        <v>0.27083333333333331</v>
      </c>
      <c r="N28" s="43">
        <v>0.63750000000000007</v>
      </c>
      <c r="O28" s="43">
        <v>0.65833333333333333</v>
      </c>
      <c r="P28" s="39"/>
      <c r="Q28" s="42"/>
      <c r="R28" s="44">
        <f>MIP_4[[#This Row],[PT-1]]+MIP_4[[#This Row],[PT-2]]*2+MIP_4[[#This Row],[PT-3]]*3+MIP_4[[#This Row],[PT &gt; 3 Pontos]]</f>
        <v>20</v>
      </c>
      <c r="S2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2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28" s="41">
        <f ca="1">MIP_4[[#This Row],[Eficiência]]</f>
        <v>1.4077430168462772</v>
      </c>
      <c r="V2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8" s="39">
        <f>IF(MIP_4[[#This Row],[P.S]]-MIP_4[[#This Row],[P.E]]&lt;0,1+MIP_4[[#This Row],[P.S]]-MIP_4[[#This Row],[P.E]]-1/24,MIP_4[[#This Row],[P.S]]-MIP_4[[#This Row],[P.E]]-1/24)</f>
        <v>0.36666666666666664</v>
      </c>
      <c r="X28" s="39">
        <f ca="1">MIP_4[[#This Row],[PT-1]]*$S$3+MIP_4[[#This Row],[PT-2]]*$T$3+MIP_4[[#This Row],[PT-3]]*$U$3+MIP_4[[#This Row],[PT &gt; 3 Pontos]]*$V$3</f>
        <v>0.45751648047504018</v>
      </c>
      <c r="Y28" s="39">
        <f>MIP_4[[#This Row],[HH disponível]]-MIP_4[[#This Row],[HH AC TOT]]</f>
        <v>0.32500000000000007</v>
      </c>
      <c r="Z28" s="38">
        <f ca="1">MIP_4[[#This Row],[HH Produtivo
Total]]/MIP_4[[#This Row],[HH Trabalhado]]</f>
        <v>1.4077430168462772</v>
      </c>
      <c r="AA28" s="38">
        <f ca="1">MIP_4[[#This Row],[HH Produtivo
Total]]/MIP_4[[#This Row],[HH disponível]]</f>
        <v>1.2477722194773824</v>
      </c>
      <c r="AB28" s="38">
        <f>MIP_4[[#This Row],[HH Trabalhado]]/MIP_4[[#This Row],[HH disponível]]</f>
        <v>0.88636363636363658</v>
      </c>
      <c r="AC28" s="37" t="str">
        <f>LEFT(MIP_4[[#This Row],[Equipe]], SEARCH("/",MIP_4[[#This Row],[Equipe]],1)-1)</f>
        <v xml:space="preserve">Joilson </v>
      </c>
      <c r="AD28" s="37" t="str">
        <f>RIGHT(MIP_4[[#This Row],[Equipe]], LEN(MIP_4[[#This Row],[Equipe]])-SEARCH("/",MIP_4[[#This Row],[Equipe]],1))</f>
        <v xml:space="preserve"> Diego</v>
      </c>
      <c r="AE28" s="44">
        <f>COUNTIFS('[1]Tempo parado'!G:G,"&gt;="&amp;MIP_4[[#This Row],[S.B Sitrack]],'[1]Tempo parado'!H:H,"&lt;="&amp;MIP_4[[#This Row],[C.B Sitrack]],'[1]Tempo parado'!A:A,MIP_4[[#This Row],[Placa]])</f>
        <v>0</v>
      </c>
      <c r="AF28" s="36"/>
      <c r="AG28" s="35"/>
      <c r="AH28" s="34"/>
      <c r="AI28" s="34"/>
      <c r="AJ2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8" s="32" t="str">
        <f>IFERROR(MIP_4[[#This Row],[Tempo parado]]/(MIP_4[[#This Row],[C.B Sitrack]]-MIP_4[[#This Row],[S.B Sitrack]]),"")</f>
        <v/>
      </c>
      <c r="AN28" s="30"/>
      <c r="AO28" s="44">
        <f>IF(AND(MIP_4[Exc]=0,MIP_4[Previsto / Realizado]="Realizado"),MIP_4[Sem],0)</f>
        <v>0</v>
      </c>
      <c r="AP28" s="29">
        <f>IF(AND(MIP_4[Exc]=0,MIP_4[Previsto / Realizado]="Realizado",ISBLANK(MIP_4[[#This Row],[S.B Sitrack]])=FALSE,ISBLANK(MIP_4[[#This Row],[C.B Sitrack]])=FALSE),MIP_4[Sem],0)</f>
        <v>0</v>
      </c>
    </row>
    <row r="29" spans="1:42" ht="15.75" x14ac:dyDescent="0.25">
      <c r="A29" s="44">
        <f>WEEKNUM(MIP_4[[#This Row],[Data]])</f>
        <v>20</v>
      </c>
      <c r="B29" s="45">
        <v>42872</v>
      </c>
      <c r="C29" s="45"/>
      <c r="D29" s="35" t="s">
        <v>460</v>
      </c>
      <c r="E29" s="35" t="s">
        <v>2</v>
      </c>
      <c r="F29" s="35"/>
      <c r="G29" s="44">
        <v>2</v>
      </c>
      <c r="H29" s="44">
        <v>7</v>
      </c>
      <c r="I29" s="44">
        <v>3</v>
      </c>
      <c r="J29" s="44">
        <v>1</v>
      </c>
      <c r="K29" s="44">
        <v>0</v>
      </c>
      <c r="L29" s="43">
        <v>0.24722222222222223</v>
      </c>
      <c r="M29" s="43">
        <v>0.27083333333333331</v>
      </c>
      <c r="N29" s="43">
        <v>0.64236111111111105</v>
      </c>
      <c r="O29" s="43">
        <v>0.66111111111111109</v>
      </c>
      <c r="P29" s="39"/>
      <c r="Q29" s="42" t="s">
        <v>467</v>
      </c>
      <c r="R29" s="44">
        <f>MIP_4[[#This Row],[PT-1]]+MIP_4[[#This Row],[PT-2]]*2+MIP_4[[#This Row],[PT-3]]*3+MIP_4[[#This Row],[PT &gt; 3 Pontos]]</f>
        <v>16</v>
      </c>
      <c r="S2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4.2361111111111127E-2</v>
      </c>
      <c r="T2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4.2361111111111127E-2</v>
      </c>
      <c r="U29" s="41">
        <f ca="1">MIP_4[[#This Row],[Eficiência]]</f>
        <v>1.1207715484363081</v>
      </c>
      <c r="V2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9" s="39">
        <f>IF(MIP_4[[#This Row],[P.S]]-MIP_4[[#This Row],[P.E]]&lt;0,1+MIP_4[[#This Row],[P.S]]-MIP_4[[#This Row],[P.E]]-1/24,MIP_4[[#This Row],[P.S]]-MIP_4[[#This Row],[P.E]]-1/24)</f>
        <v>0.37222222222222218</v>
      </c>
      <c r="X29" s="39">
        <f ca="1">MIP_4[[#This Row],[PT-1]]*$S$3+MIP_4[[#This Row],[PT-2]]*$T$3+MIP_4[[#This Row],[PT-3]]*$U$3+MIP_4[[#This Row],[PT &gt; 3 Pontos]]*$V$3</f>
        <v>0.36969894826892102</v>
      </c>
      <c r="Y29" s="39">
        <f>MIP_4[[#This Row],[HH disponível]]-MIP_4[[#This Row],[HH AC TOT]]</f>
        <v>0.32986111111111105</v>
      </c>
      <c r="Z29" s="38">
        <f ca="1">MIP_4[[#This Row],[HH Produtivo
Total]]/MIP_4[[#This Row],[HH Trabalhado]]</f>
        <v>1.1207715484363081</v>
      </c>
      <c r="AA29" s="38">
        <f ca="1">MIP_4[[#This Row],[HH Produtivo
Total]]/MIP_4[[#This Row],[HH disponível]]</f>
        <v>0.99322105505083269</v>
      </c>
      <c r="AB29" s="38">
        <f>MIP_4[[#This Row],[HH Trabalhado]]/MIP_4[[#This Row],[HH disponível]]</f>
        <v>0.88619402985074625</v>
      </c>
      <c r="AC29" s="37" t="str">
        <f>LEFT(MIP_4[[#This Row],[Equipe]], SEARCH("/",MIP_4[[#This Row],[Equipe]],1)-1)</f>
        <v xml:space="preserve">Joilson </v>
      </c>
      <c r="AD29" s="37" t="str">
        <f>RIGHT(MIP_4[[#This Row],[Equipe]], LEN(MIP_4[[#This Row],[Equipe]])-SEARCH("/",MIP_4[[#This Row],[Equipe]],1))</f>
        <v xml:space="preserve"> Diego</v>
      </c>
      <c r="AE29" s="44">
        <f>COUNTIFS('[1]Tempo parado'!G:G,"&gt;="&amp;MIP_4[[#This Row],[S.B Sitrack]],'[1]Tempo parado'!H:H,"&lt;="&amp;MIP_4[[#This Row],[C.B Sitrack]],'[1]Tempo parado'!A:A,MIP_4[[#This Row],[Placa]])</f>
        <v>0</v>
      </c>
      <c r="AF29" s="36"/>
      <c r="AG29" s="35"/>
      <c r="AH29" s="34"/>
      <c r="AI29" s="34"/>
      <c r="AJ2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9" s="32" t="str">
        <f>IFERROR(MIP_4[[#This Row],[Tempo parado]]/(MIP_4[[#This Row],[C.B Sitrack]]-MIP_4[[#This Row],[S.B Sitrack]]),"")</f>
        <v/>
      </c>
      <c r="AN29" s="30"/>
      <c r="AO29" s="44">
        <f>IF(AND(MIP_4[Exc]=0,MIP_4[Previsto / Realizado]="Realizado"),MIP_4[Sem],0)</f>
        <v>20</v>
      </c>
      <c r="AP29" s="29">
        <f>IF(AND(MIP_4[Exc]=0,MIP_4[Previsto / Realizado]="Realizado",ISBLANK(MIP_4[[#This Row],[S.B Sitrack]])=FALSE,ISBLANK(MIP_4[[#This Row],[C.B Sitrack]])=FALSE),MIP_4[Sem],0)</f>
        <v>0</v>
      </c>
    </row>
    <row r="30" spans="1:42" ht="63" x14ac:dyDescent="0.25">
      <c r="A30" s="44">
        <f>WEEKNUM(MIP_4[[#This Row],[Data]])</f>
        <v>20</v>
      </c>
      <c r="B30" s="45">
        <v>42871</v>
      </c>
      <c r="C30" s="45"/>
      <c r="D30" s="83" t="s">
        <v>439</v>
      </c>
      <c r="E30" s="35" t="s">
        <v>5</v>
      </c>
      <c r="F30" s="83"/>
      <c r="G30" s="44">
        <v>2</v>
      </c>
      <c r="H30" s="44">
        <v>0</v>
      </c>
      <c r="I30" s="44">
        <v>0</v>
      </c>
      <c r="J30" s="44">
        <v>0</v>
      </c>
      <c r="K30" s="44">
        <v>21</v>
      </c>
      <c r="L30" s="43">
        <v>0.625</v>
      </c>
      <c r="M30" s="43">
        <v>0.64583333333333337</v>
      </c>
      <c r="N30" s="43">
        <f>1+18/24/60</f>
        <v>1.0125</v>
      </c>
      <c r="O30" s="43">
        <f>1+48/24/60</f>
        <v>1.0333333333333334</v>
      </c>
      <c r="P30" s="39"/>
      <c r="Q30" s="42"/>
      <c r="R30" s="44">
        <f>MIP_4[[#This Row],[PT-1]]+MIP_4[[#This Row],[PT-2]]*2+MIP_4[[#This Row],[PT-3]]*3+MIP_4[[#This Row],[PT &gt; 3 Pontos]]</f>
        <v>21</v>
      </c>
      <c r="S3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3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30" s="41">
        <f ca="1">MIP_4[[#This Row],[Eficiência]]</f>
        <v>1.3083330107560192</v>
      </c>
      <c r="V3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0" s="39">
        <f>IF(MIP_4[[#This Row],[P.S]]-MIP_4[[#This Row],[P.E]]&lt;0,1+MIP_4[[#This Row],[P.S]]-MIP_4[[#This Row],[P.E]]-1/24,MIP_4[[#This Row],[P.S]]-MIP_4[[#This Row],[P.E]]-1/24)</f>
        <v>0.36666666666666675</v>
      </c>
      <c r="X30" s="39">
        <f ca="1">MIP_4[[#This Row],[PT-1]]*$S$3+MIP_4[[#This Row],[PT-2]]*$T$3+MIP_4[[#This Row],[PT-3]]*$U$3+MIP_4[[#This Row],[PT &gt; 3 Pontos]]*$V$3</f>
        <v>0.42520822849570611</v>
      </c>
      <c r="Y30" s="39">
        <f>MIP_4[[#This Row],[HH disponível]]-MIP_4[[#This Row],[HH AC TOT]]</f>
        <v>0.3249999999999999</v>
      </c>
      <c r="Z30" s="38">
        <f ca="1">MIP_4[[#This Row],[HH Produtivo
Total]]/MIP_4[[#This Row],[HH Trabalhado]]</f>
        <v>1.3083330107560192</v>
      </c>
      <c r="AA30" s="38">
        <f ca="1">MIP_4[[#This Row],[HH Produtivo
Total]]/MIP_4[[#This Row],[HH disponível]]</f>
        <v>1.1596588049882892</v>
      </c>
      <c r="AB30" s="38">
        <f>MIP_4[[#This Row],[HH Trabalhado]]/MIP_4[[#This Row],[HH disponível]]</f>
        <v>0.88636363636363591</v>
      </c>
      <c r="AC30" s="37" t="str">
        <f>LEFT(MIP_4[[#This Row],[Equipe]], SEARCH("/",MIP_4[[#This Row],[Equipe]],1)-1)</f>
        <v xml:space="preserve">ADEMÁRIO </v>
      </c>
      <c r="AD30" s="37" t="str">
        <f>RIGHT(MIP_4[[#This Row],[Equipe]], LEN(MIP_4[[#This Row],[Equipe]])-SEARCH("/",MIP_4[[#This Row],[Equipe]],1))</f>
        <v xml:space="preserve"> ANDERSON</v>
      </c>
      <c r="AE30" s="44">
        <f>COUNTIFS('[1]Tempo parado'!G:G,"&gt;="&amp;MIP_4[[#This Row],[S.B Sitrack]],'[1]Tempo parado'!H:H,"&lt;="&amp;MIP_4[[#This Row],[C.B Sitrack]],'[1]Tempo parado'!A:A,MIP_4[[#This Row],[Placa]])</f>
        <v>0</v>
      </c>
      <c r="AF30" s="36"/>
      <c r="AG30" s="35"/>
      <c r="AH30" s="34"/>
      <c r="AI30" s="34"/>
      <c r="AJ3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0" s="32" t="str">
        <f>IFERROR(MIP_4[[#This Row],[Tempo parado]]/(MIP_4[[#This Row],[C.B Sitrack]]-MIP_4[[#This Row],[S.B Sitrack]]),"")</f>
        <v/>
      </c>
      <c r="AN30" s="30"/>
      <c r="AO30" s="44">
        <f>IF(AND(MIP_4[Exc]=0,MIP_4[Previsto / Realizado]="Realizado"),MIP_4[Sem],0)</f>
        <v>0</v>
      </c>
      <c r="AP30" s="29">
        <f>IF(AND(MIP_4[Exc]=0,MIP_4[Previsto / Realizado]="Realizado",ISBLANK(MIP_4[[#This Row],[S.B Sitrack]])=FALSE,ISBLANK(MIP_4[[#This Row],[C.B Sitrack]])=FALSE),MIP_4[Sem],0)</f>
        <v>0</v>
      </c>
    </row>
    <row r="31" spans="1:42" ht="63" x14ac:dyDescent="0.25">
      <c r="A31" s="44">
        <f>WEEKNUM(MIP_4[[#This Row],[Data]])</f>
        <v>20</v>
      </c>
      <c r="B31" s="45">
        <v>42871</v>
      </c>
      <c r="C31" s="45"/>
      <c r="D31" s="83" t="s">
        <v>439</v>
      </c>
      <c r="E31" s="35" t="s">
        <v>2</v>
      </c>
      <c r="F31" s="83"/>
      <c r="G31" s="44">
        <v>2</v>
      </c>
      <c r="H31" s="44">
        <v>0</v>
      </c>
      <c r="I31" s="44">
        <v>0</v>
      </c>
      <c r="J31" s="44">
        <v>0</v>
      </c>
      <c r="K31" s="44">
        <v>21</v>
      </c>
      <c r="L31" s="43">
        <v>0.625</v>
      </c>
      <c r="M31" s="43">
        <v>0.67013888888888884</v>
      </c>
      <c r="N31" s="43">
        <f>1+31/24/60</f>
        <v>1.0215277777777778</v>
      </c>
      <c r="O31" s="43">
        <f>1+48/24/60</f>
        <v>1.0333333333333334</v>
      </c>
      <c r="P31" s="39"/>
      <c r="Q31" s="42"/>
      <c r="R31" s="44">
        <f>MIP_4[[#This Row],[PT-1]]+MIP_4[[#This Row],[PT-2]]*2+MIP_4[[#This Row],[PT-3]]*3+MIP_4[[#This Row],[PT &gt; 3 Pontos]]</f>
        <v>21</v>
      </c>
      <c r="S3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5.6944444444444464E-2</v>
      </c>
      <c r="T3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5.6944444444444464E-2</v>
      </c>
      <c r="U31" s="41">
        <f ca="1">MIP_4[[#This Row],[Eficiência]]</f>
        <v>1.3728696166677503</v>
      </c>
      <c r="V3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1" s="39">
        <f>IF(MIP_4[[#This Row],[P.S]]-MIP_4[[#This Row],[P.E]]&lt;0,1+MIP_4[[#This Row],[P.S]]-MIP_4[[#This Row],[P.E]]-1/24,MIP_4[[#This Row],[P.S]]-MIP_4[[#This Row],[P.E]]-1/24)</f>
        <v>0.36666666666666675</v>
      </c>
      <c r="X31" s="39">
        <f ca="1">MIP_4[[#This Row],[PT-1]]*$S$3+MIP_4[[#This Row],[PT-2]]*$T$3+MIP_4[[#This Row],[PT-3]]*$U$3+MIP_4[[#This Row],[PT &gt; 3 Pontos]]*$V$3</f>
        <v>0.42520822849570611</v>
      </c>
      <c r="Y31" s="39">
        <f>MIP_4[[#This Row],[HH disponível]]-MIP_4[[#This Row],[HH AC TOT]]</f>
        <v>0.30972222222222229</v>
      </c>
      <c r="Z31" s="38">
        <f ca="1">MIP_4[[#This Row],[HH Produtivo
Total]]/MIP_4[[#This Row],[HH Trabalhado]]</f>
        <v>1.3728696166677503</v>
      </c>
      <c r="AA31" s="38">
        <f ca="1">MIP_4[[#This Row],[HH Produtivo
Total]]/MIP_4[[#This Row],[HH disponível]]</f>
        <v>1.1596588049882892</v>
      </c>
      <c r="AB31" s="38">
        <f>MIP_4[[#This Row],[HH Trabalhado]]/MIP_4[[#This Row],[HH disponível]]</f>
        <v>0.84469696969696972</v>
      </c>
      <c r="AC31" s="37" t="str">
        <f>LEFT(MIP_4[[#This Row],[Equipe]], SEARCH("/",MIP_4[[#This Row],[Equipe]],1)-1)</f>
        <v xml:space="preserve">ADEMÁRIO </v>
      </c>
      <c r="AD31" s="37" t="str">
        <f>RIGHT(MIP_4[[#This Row],[Equipe]], LEN(MIP_4[[#This Row],[Equipe]])-SEARCH("/",MIP_4[[#This Row],[Equipe]],1))</f>
        <v xml:space="preserve"> ANDERSON</v>
      </c>
      <c r="AE31" s="44">
        <f>COUNTIFS('[1]Tempo parado'!G:G,"&gt;="&amp;MIP_4[[#This Row],[S.B Sitrack]],'[1]Tempo parado'!H:H,"&lt;="&amp;MIP_4[[#This Row],[C.B Sitrack]],'[1]Tempo parado'!A:A,MIP_4[[#This Row],[Placa]])</f>
        <v>0</v>
      </c>
      <c r="AF31" s="36"/>
      <c r="AG31" s="35"/>
      <c r="AH31" s="34"/>
      <c r="AI31" s="34"/>
      <c r="AJ3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1" s="32" t="str">
        <f>IFERROR(MIP_4[[#This Row],[Tempo parado]]/(MIP_4[[#This Row],[C.B Sitrack]]-MIP_4[[#This Row],[S.B Sitrack]]),"")</f>
        <v/>
      </c>
      <c r="AN31" s="30"/>
      <c r="AO31" s="44">
        <f>IF(AND(MIP_4[Exc]=0,MIP_4[Previsto / Realizado]="Realizado"),MIP_4[Sem],0)</f>
        <v>20</v>
      </c>
      <c r="AP31" s="29">
        <f>IF(AND(MIP_4[Exc]=0,MIP_4[Previsto / Realizado]="Realizado",ISBLANK(MIP_4[[#This Row],[S.B Sitrack]])=FALSE,ISBLANK(MIP_4[[#This Row],[C.B Sitrack]])=FALSE),MIP_4[Sem],0)</f>
        <v>0</v>
      </c>
    </row>
    <row r="32" spans="1:42" ht="63" x14ac:dyDescent="0.25">
      <c r="A32" s="44">
        <f>WEEKNUM(MIP_4[[#This Row],[Data]])</f>
        <v>20</v>
      </c>
      <c r="B32" s="45">
        <v>42872</v>
      </c>
      <c r="C32" s="45"/>
      <c r="D32" s="83" t="s">
        <v>463</v>
      </c>
      <c r="E32" s="35" t="s">
        <v>5</v>
      </c>
      <c r="F32" s="83"/>
      <c r="G32" s="44">
        <v>2</v>
      </c>
      <c r="H32" s="44">
        <v>10</v>
      </c>
      <c r="I32" s="44">
        <v>1</v>
      </c>
      <c r="J32" s="44">
        <v>0</v>
      </c>
      <c r="K32" s="44">
        <v>0</v>
      </c>
      <c r="L32" s="43">
        <v>0.625</v>
      </c>
      <c r="M32" s="43">
        <v>0.64583333333333337</v>
      </c>
      <c r="N32" s="43">
        <f>1+18/24/60</f>
        <v>1.0125</v>
      </c>
      <c r="O32" s="43">
        <f>1+48/24/60</f>
        <v>1.0333333333333334</v>
      </c>
      <c r="P32" s="39"/>
      <c r="Q32" s="42"/>
      <c r="R32" s="44">
        <f>MIP_4[[#This Row],[PT-1]]+MIP_4[[#This Row],[PT-2]]*2+MIP_4[[#This Row],[PT-3]]*3+MIP_4[[#This Row],[PT &gt; 3 Pontos]]</f>
        <v>12</v>
      </c>
      <c r="S3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3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32" s="41">
        <f ca="1">MIP_4[[#This Row],[Eficiência]]</f>
        <v>0.90513014059209684</v>
      </c>
      <c r="V3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2" s="39">
        <f>IF(MIP_4[[#This Row],[P.S]]-MIP_4[[#This Row],[P.E]]&lt;0,1+MIP_4[[#This Row],[P.S]]-MIP_4[[#This Row],[P.E]]-1/24,MIP_4[[#This Row],[P.S]]-MIP_4[[#This Row],[P.E]]-1/24)</f>
        <v>0.36666666666666675</v>
      </c>
      <c r="X32" s="39">
        <f ca="1">MIP_4[[#This Row],[PT-1]]*$S$3+MIP_4[[#This Row],[PT-2]]*$T$3+MIP_4[[#This Row],[PT-3]]*$U$3+MIP_4[[#This Row],[PT &gt; 3 Pontos]]*$V$3</f>
        <v>0.29416729569243139</v>
      </c>
      <c r="Y32" s="39">
        <f>MIP_4[[#This Row],[HH disponível]]-MIP_4[[#This Row],[HH AC TOT]]</f>
        <v>0.3249999999999999</v>
      </c>
      <c r="Z32" s="38">
        <f ca="1">MIP_4[[#This Row],[HH Produtivo
Total]]/MIP_4[[#This Row],[HH Trabalhado]]</f>
        <v>0.90513014059209684</v>
      </c>
      <c r="AA32" s="38">
        <f ca="1">MIP_4[[#This Row],[HH Produtivo
Total]]/MIP_4[[#This Row],[HH disponível]]</f>
        <v>0.80227444279754001</v>
      </c>
      <c r="AB32" s="38">
        <f>MIP_4[[#This Row],[HH Trabalhado]]/MIP_4[[#This Row],[HH disponível]]</f>
        <v>0.88636363636363591</v>
      </c>
      <c r="AC32" s="37" t="str">
        <f>LEFT(MIP_4[[#This Row],[Equipe]], SEARCH("/",MIP_4[[#This Row],[Equipe]],1)-1)</f>
        <v xml:space="preserve">EDILTON </v>
      </c>
      <c r="AD32" s="37" t="str">
        <f>RIGHT(MIP_4[[#This Row],[Equipe]], LEN(MIP_4[[#This Row],[Equipe]])-SEARCH("/",MIP_4[[#This Row],[Equipe]],1))</f>
        <v xml:space="preserve"> CLAUDINEY</v>
      </c>
      <c r="AE32" s="44">
        <f>COUNTIFS('[1]Tempo parado'!G:G,"&gt;="&amp;MIP_4[[#This Row],[S.B Sitrack]],'[1]Tempo parado'!H:H,"&lt;="&amp;MIP_4[[#This Row],[C.B Sitrack]],'[1]Tempo parado'!A:A,MIP_4[[#This Row],[Placa]])</f>
        <v>0</v>
      </c>
      <c r="AF32" s="36"/>
      <c r="AG32" s="35"/>
      <c r="AH32" s="34"/>
      <c r="AI32" s="34"/>
      <c r="AJ3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2" s="32" t="str">
        <f>IFERROR(MIP_4[[#This Row],[Tempo parado]]/(MIP_4[[#This Row],[C.B Sitrack]]-MIP_4[[#This Row],[S.B Sitrack]]),"")</f>
        <v/>
      </c>
      <c r="AN32" s="30"/>
      <c r="AO32" s="44">
        <f>IF(AND(MIP_4[Exc]=0,MIP_4[Previsto / Realizado]="Realizado"),MIP_4[Sem],0)</f>
        <v>0</v>
      </c>
      <c r="AP32" s="29">
        <f>IF(AND(MIP_4[Exc]=0,MIP_4[Previsto / Realizado]="Realizado",ISBLANK(MIP_4[[#This Row],[S.B Sitrack]])=FALSE,ISBLANK(MIP_4[[#This Row],[C.B Sitrack]])=FALSE),MIP_4[Sem],0)</f>
        <v>0</v>
      </c>
    </row>
    <row r="33" spans="1:42" ht="63" x14ac:dyDescent="0.25">
      <c r="A33" s="44">
        <f>WEEKNUM(MIP_4[[#This Row],[Data]])</f>
        <v>20</v>
      </c>
      <c r="B33" s="45">
        <v>42872</v>
      </c>
      <c r="C33" s="45"/>
      <c r="D33" s="83" t="s">
        <v>463</v>
      </c>
      <c r="E33" s="35" t="s">
        <v>2</v>
      </c>
      <c r="F33" s="83"/>
      <c r="G33" s="44">
        <v>2</v>
      </c>
      <c r="H33" s="44">
        <v>7</v>
      </c>
      <c r="I33" s="44">
        <v>2</v>
      </c>
      <c r="J33" s="44">
        <v>0</v>
      </c>
      <c r="K33" s="44">
        <v>0</v>
      </c>
      <c r="L33" s="43">
        <v>0.62152777777777779</v>
      </c>
      <c r="M33" s="43">
        <v>0.68541666666666667</v>
      </c>
      <c r="N33" s="43">
        <f>1+20/24/60</f>
        <v>1.0138888888888888</v>
      </c>
      <c r="O33" s="43">
        <f>1+50/24/60</f>
        <v>1.0347222222222223</v>
      </c>
      <c r="P33" s="39"/>
      <c r="Q33" s="42" t="s">
        <v>466</v>
      </c>
      <c r="R33" s="44">
        <f>MIP_4[[#This Row],[PT-1]]+MIP_4[[#This Row],[PT-2]]*2+MIP_4[[#This Row],[PT-3]]*3+MIP_4[[#This Row],[PT &gt; 3 Pontos]]</f>
        <v>11</v>
      </c>
      <c r="S3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8.4722222222222365E-2</v>
      </c>
      <c r="T3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8.4722222222222365E-2</v>
      </c>
      <c r="U33" s="41">
        <f ca="1">MIP_4[[#This Row],[Eficiência]]</f>
        <v>0.91699235884479047</v>
      </c>
      <c r="V3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3" s="39">
        <f>IF(MIP_4[[#This Row],[P.S]]-MIP_4[[#This Row],[P.E]]&lt;0,1+MIP_4[[#This Row],[P.S]]-MIP_4[[#This Row],[P.E]]-1/24,MIP_4[[#This Row],[P.S]]-MIP_4[[#This Row],[P.E]]-1/24)</f>
        <v>0.37152777777777785</v>
      </c>
      <c r="X33" s="39">
        <f ca="1">MIP_4[[#This Row],[PT-1]]*$S$3+MIP_4[[#This Row],[PT-2]]*$T$3+MIP_4[[#This Row],[PT-3]]*$U$3+MIP_4[[#This Row],[PT &gt; 3 Pontos]]*$V$3</f>
        <v>0.26299850291867943</v>
      </c>
      <c r="Y33" s="39">
        <f>MIP_4[[#This Row],[HH disponível]]-MIP_4[[#This Row],[HH AC TOT]]</f>
        <v>0.28680555555555548</v>
      </c>
      <c r="Z33" s="38">
        <f ca="1">MIP_4[[#This Row],[HH Produtivo
Total]]/MIP_4[[#This Row],[HH Trabalhado]]</f>
        <v>0.91699235884479047</v>
      </c>
      <c r="AA33" s="38">
        <f ca="1">MIP_4[[#This Row],[HH Produtivo
Total]]/MIP_4[[#This Row],[HH disponível]]</f>
        <v>0.7078838209399968</v>
      </c>
      <c r="AB33" s="38">
        <f>MIP_4[[#This Row],[HH Trabalhado]]/MIP_4[[#This Row],[HH disponível]]</f>
        <v>0.77196261682242961</v>
      </c>
      <c r="AC33" s="37" t="str">
        <f>LEFT(MIP_4[[#This Row],[Equipe]], SEARCH("/",MIP_4[[#This Row],[Equipe]],1)-1)</f>
        <v xml:space="preserve">EDILTON </v>
      </c>
      <c r="AD33" s="37" t="str">
        <f>RIGHT(MIP_4[[#This Row],[Equipe]], LEN(MIP_4[[#This Row],[Equipe]])-SEARCH("/",MIP_4[[#This Row],[Equipe]],1))</f>
        <v xml:space="preserve"> CLAUDINEY</v>
      </c>
      <c r="AE33" s="44">
        <f>COUNTIFS('[1]Tempo parado'!G:G,"&gt;="&amp;MIP_4[[#This Row],[S.B Sitrack]],'[1]Tempo parado'!H:H,"&lt;="&amp;MIP_4[[#This Row],[C.B Sitrack]],'[1]Tempo parado'!A:A,MIP_4[[#This Row],[Placa]])</f>
        <v>0</v>
      </c>
      <c r="AF33" s="36"/>
      <c r="AG33" s="35"/>
      <c r="AH33" s="34"/>
      <c r="AI33" s="34"/>
      <c r="AJ3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3" s="32" t="str">
        <f>IFERROR(MIP_4[[#This Row],[Tempo parado]]/(MIP_4[[#This Row],[C.B Sitrack]]-MIP_4[[#This Row],[S.B Sitrack]]),"")</f>
        <v/>
      </c>
      <c r="AN33" s="30"/>
      <c r="AO33" s="44">
        <f>IF(AND(MIP_4[Exc]=0,MIP_4[Previsto / Realizado]="Realizado"),MIP_4[Sem],0)</f>
        <v>20</v>
      </c>
      <c r="AP33" s="29">
        <f>IF(AND(MIP_4[Exc]=0,MIP_4[Previsto / Realizado]="Realizado",ISBLANK(MIP_4[[#This Row],[S.B Sitrack]])=FALSE,ISBLANK(MIP_4[[#This Row],[C.B Sitrack]])=FALSE),MIP_4[Sem],0)</f>
        <v>0</v>
      </c>
    </row>
    <row r="34" spans="1:42" ht="63" x14ac:dyDescent="0.25">
      <c r="A34" s="44">
        <f>WEEKNUM(MIP_4[[#This Row],[Data]])</f>
        <v>20</v>
      </c>
      <c r="B34" s="45">
        <v>42872</v>
      </c>
      <c r="C34" s="45"/>
      <c r="D34" s="83" t="s">
        <v>439</v>
      </c>
      <c r="E34" s="35" t="s">
        <v>5</v>
      </c>
      <c r="F34" s="83"/>
      <c r="G34" s="44">
        <v>2</v>
      </c>
      <c r="H34" s="44">
        <v>2</v>
      </c>
      <c r="I34" s="44">
        <v>1</v>
      </c>
      <c r="J34" s="44">
        <v>1</v>
      </c>
      <c r="K34" s="44">
        <v>8</v>
      </c>
      <c r="L34" s="43">
        <v>0.625</v>
      </c>
      <c r="M34" s="43">
        <v>0.64583333333333337</v>
      </c>
      <c r="N34" s="43">
        <f>1+18/24/60</f>
        <v>1.0125</v>
      </c>
      <c r="O34" s="43">
        <f>1+48/24/60</f>
        <v>1.0333333333333334</v>
      </c>
      <c r="P34" s="39"/>
      <c r="Q34" s="42"/>
      <c r="R34" s="44">
        <f>MIP_4[[#This Row],[PT-1]]+MIP_4[[#This Row],[PT-2]]*2+MIP_4[[#This Row],[PT-3]]*3+MIP_4[[#This Row],[PT &gt; 3 Pontos]]</f>
        <v>15</v>
      </c>
      <c r="S3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3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34" s="41">
        <f ca="1">MIP_4[[#This Row],[Eficiência]]</f>
        <v>0.98072688712030553</v>
      </c>
      <c r="V3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4" s="39">
        <f>IF(MIP_4[[#This Row],[P.S]]-MIP_4[[#This Row],[P.E]]&lt;0,1+MIP_4[[#This Row],[P.S]]-MIP_4[[#This Row],[P.E]]-1/24,MIP_4[[#This Row],[P.S]]-MIP_4[[#This Row],[P.E]]-1/24)</f>
        <v>0.36666666666666675</v>
      </c>
      <c r="X34" s="39">
        <f ca="1">MIP_4[[#This Row],[PT-1]]*$S$3+MIP_4[[#This Row],[PT-2]]*$T$3+MIP_4[[#This Row],[PT-3]]*$U$3+MIP_4[[#This Row],[PT &gt; 3 Pontos]]*$V$3</f>
        <v>0.3187362383140992</v>
      </c>
      <c r="Y34" s="39">
        <f>MIP_4[[#This Row],[HH disponível]]-MIP_4[[#This Row],[HH AC TOT]]</f>
        <v>0.3249999999999999</v>
      </c>
      <c r="Z34" s="38">
        <f ca="1">MIP_4[[#This Row],[HH Produtivo
Total]]/MIP_4[[#This Row],[HH Trabalhado]]</f>
        <v>0.98072688712030553</v>
      </c>
      <c r="AA34" s="38">
        <f ca="1">MIP_4[[#This Row],[HH Produtivo
Total]]/MIP_4[[#This Row],[HH disponível]]</f>
        <v>0.86928064994754306</v>
      </c>
      <c r="AB34" s="38">
        <f>MIP_4[[#This Row],[HH Trabalhado]]/MIP_4[[#This Row],[HH disponível]]</f>
        <v>0.88636363636363591</v>
      </c>
      <c r="AC34" s="37" t="str">
        <f>LEFT(MIP_4[[#This Row],[Equipe]], SEARCH("/",MIP_4[[#This Row],[Equipe]],1)-1)</f>
        <v xml:space="preserve">ADEMÁRIO </v>
      </c>
      <c r="AD34" s="37" t="str">
        <f>RIGHT(MIP_4[[#This Row],[Equipe]], LEN(MIP_4[[#This Row],[Equipe]])-SEARCH("/",MIP_4[[#This Row],[Equipe]],1))</f>
        <v xml:space="preserve"> ANDERSON</v>
      </c>
      <c r="AE34" s="44">
        <f>COUNTIFS('[1]Tempo parado'!G:G,"&gt;="&amp;MIP_4[[#This Row],[S.B Sitrack]],'[1]Tempo parado'!H:H,"&lt;="&amp;MIP_4[[#This Row],[C.B Sitrack]],'[1]Tempo parado'!A:A,MIP_4[[#This Row],[Placa]])</f>
        <v>0</v>
      </c>
      <c r="AF34" s="36"/>
      <c r="AG34" s="35"/>
      <c r="AH34" s="34"/>
      <c r="AI34" s="34"/>
      <c r="AJ3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4" s="32" t="str">
        <f>IFERROR(MIP_4[[#This Row],[Tempo parado]]/(MIP_4[[#This Row],[C.B Sitrack]]-MIP_4[[#This Row],[S.B Sitrack]]),"")</f>
        <v/>
      </c>
      <c r="AN34" s="30"/>
      <c r="AO34" s="44">
        <f>IF(AND(MIP_4[Exc]=0,MIP_4[Previsto / Realizado]="Realizado"),MIP_4[Sem],0)</f>
        <v>0</v>
      </c>
      <c r="AP34" s="29">
        <f>IF(AND(MIP_4[Exc]=0,MIP_4[Previsto / Realizado]="Realizado",ISBLANK(MIP_4[[#This Row],[S.B Sitrack]])=FALSE,ISBLANK(MIP_4[[#This Row],[C.B Sitrack]])=FALSE),MIP_4[Sem],0)</f>
        <v>0</v>
      </c>
    </row>
    <row r="35" spans="1:42" ht="63" x14ac:dyDescent="0.25">
      <c r="A35" s="44">
        <f>WEEKNUM(MIP_4[[#This Row],[Data]])</f>
        <v>20</v>
      </c>
      <c r="B35" s="45">
        <v>42872</v>
      </c>
      <c r="C35" s="45"/>
      <c r="D35" s="83" t="s">
        <v>439</v>
      </c>
      <c r="E35" s="35" t="s">
        <v>2</v>
      </c>
      <c r="F35" s="83"/>
      <c r="G35" s="44">
        <v>2</v>
      </c>
      <c r="H35" s="44">
        <v>1</v>
      </c>
      <c r="I35" s="44">
        <v>1</v>
      </c>
      <c r="J35" s="44">
        <v>1</v>
      </c>
      <c r="K35" s="44">
        <v>8</v>
      </c>
      <c r="L35" s="43">
        <v>0.64097222222222217</v>
      </c>
      <c r="M35" s="43">
        <v>0.66180555555555554</v>
      </c>
      <c r="N35" s="43">
        <f>1+27/24/60</f>
        <v>1.01875</v>
      </c>
      <c r="O35" s="43">
        <f>1+50/24/60</f>
        <v>1.0347222222222223</v>
      </c>
      <c r="P35" s="39"/>
      <c r="Q35" s="42" t="s">
        <v>465</v>
      </c>
      <c r="R35" s="44">
        <f>MIP_4[[#This Row],[PT-1]]+MIP_4[[#This Row],[PT-2]]*2+MIP_4[[#This Row],[PT-3]]*3+MIP_4[[#This Row],[PT &gt; 3 Pontos]]</f>
        <v>14</v>
      </c>
      <c r="S3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3.6805555555555647E-2</v>
      </c>
      <c r="T3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3.6805555555555647E-2</v>
      </c>
      <c r="U35" s="41">
        <f ca="1">MIP_4[[#This Row],[Eficiência]]</f>
        <v>0.93159241169919216</v>
      </c>
      <c r="V3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5" s="39">
        <f>IF(MIP_4[[#This Row],[P.S]]-MIP_4[[#This Row],[P.E]]&lt;0,1+MIP_4[[#This Row],[P.S]]-MIP_4[[#This Row],[P.E]]-1/24,MIP_4[[#This Row],[P.S]]-MIP_4[[#This Row],[P.E]]-1/24)</f>
        <v>0.35208333333333347</v>
      </c>
      <c r="X35" s="39">
        <f ca="1">MIP_4[[#This Row],[PT-1]]*$S$3+MIP_4[[#This Row],[PT-2]]*$T$3+MIP_4[[#This Row],[PT-3]]*$U$3+MIP_4[[#This Row],[PT &gt; 3 Pontos]]*$V$3</f>
        <v>0.29371038535516203</v>
      </c>
      <c r="Y35" s="39">
        <f>MIP_4[[#This Row],[HH disponível]]-MIP_4[[#This Row],[HH AC TOT]]</f>
        <v>0.31527777777777782</v>
      </c>
      <c r="Z35" s="38">
        <f ca="1">MIP_4[[#This Row],[HH Produtivo
Total]]/MIP_4[[#This Row],[HH Trabalhado]]</f>
        <v>0.93159241169919216</v>
      </c>
      <c r="AA35" s="38">
        <f ca="1">MIP_4[[#This Row],[HH Produtivo
Total]]/MIP_4[[#This Row],[HH disponível]]</f>
        <v>0.83420701165963151</v>
      </c>
      <c r="AB35" s="38">
        <f>MIP_4[[#This Row],[HH Trabalhado]]/MIP_4[[#This Row],[HH disponível]]</f>
        <v>0.89546351084812603</v>
      </c>
      <c r="AC35" s="37" t="str">
        <f>LEFT(MIP_4[[#This Row],[Equipe]], SEARCH("/",MIP_4[[#This Row],[Equipe]],1)-1)</f>
        <v xml:space="preserve">ADEMÁRIO </v>
      </c>
      <c r="AD35" s="37" t="str">
        <f>RIGHT(MIP_4[[#This Row],[Equipe]], LEN(MIP_4[[#This Row],[Equipe]])-SEARCH("/",MIP_4[[#This Row],[Equipe]],1))</f>
        <v xml:space="preserve"> ANDERSON</v>
      </c>
      <c r="AE35" s="44">
        <f>COUNTIFS('[1]Tempo parado'!G:G,"&gt;="&amp;MIP_4[[#This Row],[S.B Sitrack]],'[1]Tempo parado'!H:H,"&lt;="&amp;MIP_4[[#This Row],[C.B Sitrack]],'[1]Tempo parado'!A:A,MIP_4[[#This Row],[Placa]])</f>
        <v>0</v>
      </c>
      <c r="AF35" s="36"/>
      <c r="AG35" s="35"/>
      <c r="AH35" s="34"/>
      <c r="AI35" s="34"/>
      <c r="AJ3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5" s="32" t="str">
        <f>IFERROR(MIP_4[[#This Row],[Tempo parado]]/(MIP_4[[#This Row],[C.B Sitrack]]-MIP_4[[#This Row],[S.B Sitrack]]),"")</f>
        <v/>
      </c>
      <c r="AN35" s="30"/>
      <c r="AO35" s="44">
        <f>IF(AND(MIP_4[Exc]=0,MIP_4[Previsto / Realizado]="Realizado"),MIP_4[Sem],0)</f>
        <v>20</v>
      </c>
      <c r="AP35" s="29">
        <f>IF(AND(MIP_4[Exc]=0,MIP_4[Previsto / Realizado]="Realizado",ISBLANK(MIP_4[[#This Row],[S.B Sitrack]])=FALSE,ISBLANK(MIP_4[[#This Row],[C.B Sitrack]])=FALSE),MIP_4[Sem],0)</f>
        <v>0</v>
      </c>
    </row>
    <row r="36" spans="1:42" ht="15.75" x14ac:dyDescent="0.25">
      <c r="A36" s="44">
        <f>WEEKNUM(MIP_4[[#This Row],[Data]])</f>
        <v>20</v>
      </c>
      <c r="B36" s="45">
        <v>42873</v>
      </c>
      <c r="C36" s="45"/>
      <c r="D36" s="35" t="s">
        <v>460</v>
      </c>
      <c r="E36" s="35" t="s">
        <v>5</v>
      </c>
      <c r="F36" s="35"/>
      <c r="G36" s="44">
        <v>2</v>
      </c>
      <c r="H36" s="44">
        <v>5</v>
      </c>
      <c r="I36" s="44">
        <v>2</v>
      </c>
      <c r="J36" s="44">
        <v>1</v>
      </c>
      <c r="K36" s="44">
        <v>4</v>
      </c>
      <c r="L36" s="43">
        <v>0.25</v>
      </c>
      <c r="M36" s="43">
        <v>0.27083333333333331</v>
      </c>
      <c r="N36" s="43">
        <v>0.63750000000000007</v>
      </c>
      <c r="O36" s="43">
        <v>0.65833333333333333</v>
      </c>
      <c r="P36" s="39"/>
      <c r="Q36" s="42"/>
      <c r="R36" s="44">
        <f>MIP_4[[#This Row],[PT-1]]+MIP_4[[#This Row],[PT-2]]*2+MIP_4[[#This Row],[PT-3]]*3+MIP_4[[#This Row],[PT &gt; 3 Pontos]]</f>
        <v>16</v>
      </c>
      <c r="S3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3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36" s="41">
        <f ca="1">MIP_4[[#This Row],[Eficiência]]</f>
        <v>1.097632368526088</v>
      </c>
      <c r="V3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6" s="39">
        <f>IF(MIP_4[[#This Row],[P.S]]-MIP_4[[#This Row],[P.E]]&lt;0,1+MIP_4[[#This Row],[P.S]]-MIP_4[[#This Row],[P.E]]-1/24,MIP_4[[#This Row],[P.S]]-MIP_4[[#This Row],[P.E]]-1/24)</f>
        <v>0.36666666666666664</v>
      </c>
      <c r="X36" s="39">
        <f ca="1">MIP_4[[#This Row],[PT-1]]*$S$3+MIP_4[[#This Row],[PT-2]]*$T$3+MIP_4[[#This Row],[PT-3]]*$U$3+MIP_4[[#This Row],[PT &gt; 3 Pontos]]*$V$3</f>
        <v>0.35673051977097869</v>
      </c>
      <c r="Y36" s="39">
        <f>MIP_4[[#This Row],[HH disponível]]-MIP_4[[#This Row],[HH AC TOT]]</f>
        <v>0.32500000000000007</v>
      </c>
      <c r="Z36" s="38">
        <f ca="1">MIP_4[[#This Row],[HH Produtivo
Total]]/MIP_4[[#This Row],[HH Trabalhado]]</f>
        <v>1.097632368526088</v>
      </c>
      <c r="AA36" s="38">
        <f ca="1">MIP_4[[#This Row],[HH Produtivo
Total]]/MIP_4[[#This Row],[HH disponível]]</f>
        <v>0.97290141755721471</v>
      </c>
      <c r="AB36" s="38">
        <f>MIP_4[[#This Row],[HH Trabalhado]]/MIP_4[[#This Row],[HH disponível]]</f>
        <v>0.88636363636363658</v>
      </c>
      <c r="AC36" s="37" t="str">
        <f>LEFT(MIP_4[[#This Row],[Equipe]], SEARCH("/",MIP_4[[#This Row],[Equipe]],1)-1)</f>
        <v xml:space="preserve">Joilson </v>
      </c>
      <c r="AD36" s="37" t="str">
        <f>RIGHT(MIP_4[[#This Row],[Equipe]], LEN(MIP_4[[#This Row],[Equipe]])-SEARCH("/",MIP_4[[#This Row],[Equipe]],1))</f>
        <v xml:space="preserve"> Diego</v>
      </c>
      <c r="AE36" s="44">
        <f>COUNTIFS('[1]Tempo parado'!G:G,"&gt;="&amp;MIP_4[[#This Row],[S.B Sitrack]],'[1]Tempo parado'!H:H,"&lt;="&amp;MIP_4[[#This Row],[C.B Sitrack]],'[1]Tempo parado'!A:A,MIP_4[[#This Row],[Placa]])</f>
        <v>0</v>
      </c>
      <c r="AF36" s="36"/>
      <c r="AG36" s="35"/>
      <c r="AH36" s="34"/>
      <c r="AI36" s="34"/>
      <c r="AJ3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6" s="32" t="str">
        <f>IFERROR(MIP_4[[#This Row],[Tempo parado]]/(MIP_4[[#This Row],[C.B Sitrack]]-MIP_4[[#This Row],[S.B Sitrack]]),"")</f>
        <v/>
      </c>
      <c r="AN36" s="30"/>
      <c r="AO36" s="44">
        <f>IF(AND(MIP_4[Exc]=0,MIP_4[Previsto / Realizado]="Realizado"),MIP_4[Sem],0)</f>
        <v>0</v>
      </c>
      <c r="AP36" s="29">
        <f>IF(AND(MIP_4[Exc]=0,MIP_4[Previsto / Realizado]="Realizado",ISBLANK(MIP_4[[#This Row],[S.B Sitrack]])=FALSE,ISBLANK(MIP_4[[#This Row],[C.B Sitrack]])=FALSE),MIP_4[Sem],0)</f>
        <v>0</v>
      </c>
    </row>
    <row r="37" spans="1:42" ht="15.75" x14ac:dyDescent="0.25">
      <c r="A37" s="44">
        <f>WEEKNUM(MIP_4[[#This Row],[Data]])</f>
        <v>20</v>
      </c>
      <c r="B37" s="45">
        <v>42873</v>
      </c>
      <c r="C37" s="45"/>
      <c r="D37" s="35" t="s">
        <v>460</v>
      </c>
      <c r="E37" s="35" t="s">
        <v>2</v>
      </c>
      <c r="F37" s="35"/>
      <c r="G37" s="44">
        <v>2</v>
      </c>
      <c r="H37" s="44">
        <v>2</v>
      </c>
      <c r="I37" s="44">
        <v>2</v>
      </c>
      <c r="J37" s="44">
        <v>1</v>
      </c>
      <c r="K37" s="44">
        <v>3</v>
      </c>
      <c r="L37" s="43">
        <v>0.24513888888888888</v>
      </c>
      <c r="M37" s="43">
        <v>0.30555555555555552</v>
      </c>
      <c r="N37" s="43">
        <v>0.6166666666666667</v>
      </c>
      <c r="O37" s="43">
        <v>0.66875000000000007</v>
      </c>
      <c r="P37" s="39"/>
      <c r="Q37" s="42" t="s">
        <v>464</v>
      </c>
      <c r="R37" s="44">
        <f>MIP_4[[#This Row],[PT-1]]+MIP_4[[#This Row],[PT-2]]*2+MIP_4[[#This Row],[PT-3]]*3+MIP_4[[#This Row],[PT &gt; 3 Pontos]]</f>
        <v>12</v>
      </c>
      <c r="S3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0.11250000000000002</v>
      </c>
      <c r="T3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0.11250000000000002</v>
      </c>
      <c r="U37" s="41">
        <f ca="1">MIP_4[[#This Row],[Eficiência]]</f>
        <v>0.97016270108073099</v>
      </c>
      <c r="V3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7" s="39">
        <f>IF(MIP_4[[#This Row],[P.S]]-MIP_4[[#This Row],[P.E]]&lt;0,1+MIP_4[[#This Row],[P.S]]-MIP_4[[#This Row],[P.E]]-1/24,MIP_4[[#This Row],[P.S]]-MIP_4[[#This Row],[P.E]]-1/24)</f>
        <v>0.38194444444444448</v>
      </c>
      <c r="X37" s="39">
        <f ca="1">MIP_4[[#This Row],[PT-1]]*$S$3+MIP_4[[#This Row],[PT-2]]*$T$3+MIP_4[[#This Row],[PT-3]]*$U$3+MIP_4[[#This Row],[PT &gt; 3 Pontos]]*$V$3</f>
        <v>0.26140495001341923</v>
      </c>
      <c r="Y37" s="39">
        <f>MIP_4[[#This Row],[HH disponível]]-MIP_4[[#This Row],[HH AC TOT]]</f>
        <v>0.26944444444444449</v>
      </c>
      <c r="Z37" s="38">
        <f ca="1">MIP_4[[#This Row],[HH Produtivo
Total]]/MIP_4[[#This Row],[HH Trabalhado]]</f>
        <v>0.97016270108073099</v>
      </c>
      <c r="AA37" s="38">
        <f ca="1">MIP_4[[#This Row],[HH Produtivo
Total]]/MIP_4[[#This Row],[HH disponível]]</f>
        <v>0.68440568730786122</v>
      </c>
      <c r="AB37" s="38">
        <f>MIP_4[[#This Row],[HH Trabalhado]]/MIP_4[[#This Row],[HH disponível]]</f>
        <v>0.70545454545454556</v>
      </c>
      <c r="AC37" s="37" t="str">
        <f>LEFT(MIP_4[[#This Row],[Equipe]], SEARCH("/",MIP_4[[#This Row],[Equipe]],1)-1)</f>
        <v xml:space="preserve">Joilson </v>
      </c>
      <c r="AD37" s="37" t="str">
        <f>RIGHT(MIP_4[[#This Row],[Equipe]], LEN(MIP_4[[#This Row],[Equipe]])-SEARCH("/",MIP_4[[#This Row],[Equipe]],1))</f>
        <v xml:space="preserve"> Diego</v>
      </c>
      <c r="AE37" s="44">
        <f>COUNTIFS('[1]Tempo parado'!G:G,"&gt;="&amp;MIP_4[[#This Row],[S.B Sitrack]],'[1]Tempo parado'!H:H,"&lt;="&amp;MIP_4[[#This Row],[C.B Sitrack]],'[1]Tempo parado'!A:A,MIP_4[[#This Row],[Placa]])</f>
        <v>0</v>
      </c>
      <c r="AF37" s="36"/>
      <c r="AG37" s="35"/>
      <c r="AH37" s="34"/>
      <c r="AI37" s="34"/>
      <c r="AJ3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7" s="32" t="str">
        <f>IFERROR(MIP_4[[#This Row],[Tempo parado]]/(MIP_4[[#This Row],[C.B Sitrack]]-MIP_4[[#This Row],[S.B Sitrack]]),"")</f>
        <v/>
      </c>
      <c r="AN37" s="30"/>
      <c r="AO37" s="44">
        <f>IF(AND(MIP_4[Exc]=0,MIP_4[Previsto / Realizado]="Realizado"),MIP_4[Sem],0)</f>
        <v>20</v>
      </c>
      <c r="AP37" s="29">
        <f>IF(AND(MIP_4[Exc]=0,MIP_4[Previsto / Realizado]="Realizado",ISBLANK(MIP_4[[#This Row],[S.B Sitrack]])=FALSE,ISBLANK(MIP_4[[#This Row],[C.B Sitrack]])=FALSE),MIP_4[Sem],0)</f>
        <v>0</v>
      </c>
    </row>
    <row r="38" spans="1:42" ht="63" x14ac:dyDescent="0.25">
      <c r="A38" s="44">
        <f>WEEKNUM(MIP_4[[#This Row],[Data]])</f>
        <v>20</v>
      </c>
      <c r="B38" s="45">
        <v>42873</v>
      </c>
      <c r="C38" s="45"/>
      <c r="D38" s="83" t="s">
        <v>463</v>
      </c>
      <c r="E38" s="35" t="s">
        <v>5</v>
      </c>
      <c r="F38" s="83"/>
      <c r="G38" s="44">
        <v>2</v>
      </c>
      <c r="H38" s="44">
        <v>6</v>
      </c>
      <c r="I38" s="44">
        <v>0</v>
      </c>
      <c r="J38" s="44">
        <v>0</v>
      </c>
      <c r="K38" s="44">
        <v>9</v>
      </c>
      <c r="L38" s="43">
        <v>0.625</v>
      </c>
      <c r="M38" s="43">
        <v>0.64583333333333337</v>
      </c>
      <c r="N38" s="43">
        <f>1+18/24/60</f>
        <v>1.0125</v>
      </c>
      <c r="O38" s="43">
        <f>1+48/24/60</f>
        <v>1.0333333333333334</v>
      </c>
      <c r="P38" s="39"/>
      <c r="Q38" s="42"/>
      <c r="R38" s="44">
        <f>MIP_4[[#This Row],[PT-1]]+MIP_4[[#This Row],[PT-2]]*2+MIP_4[[#This Row],[PT-3]]*3+MIP_4[[#This Row],[PT &gt; 3 Pontos]]</f>
        <v>15</v>
      </c>
      <c r="S3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3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38" s="41">
        <f ca="1">MIP_4[[#This Row],[Eficiência]]</f>
        <v>1.0227298944010903</v>
      </c>
      <c r="V3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8" s="39">
        <f>IF(MIP_4[[#This Row],[P.S]]-MIP_4[[#This Row],[P.E]]&lt;0,1+MIP_4[[#This Row],[P.S]]-MIP_4[[#This Row],[P.E]]-1/24,MIP_4[[#This Row],[P.S]]-MIP_4[[#This Row],[P.E]]-1/24)</f>
        <v>0.36666666666666675</v>
      </c>
      <c r="X38" s="39">
        <f ca="1">MIP_4[[#This Row],[PT-1]]*$S$3+MIP_4[[#This Row],[PT-2]]*$T$3+MIP_4[[#This Row],[PT-3]]*$U$3+MIP_4[[#This Row],[PT &gt; 3 Pontos]]*$V$3</f>
        <v>0.33238721568035423</v>
      </c>
      <c r="Y38" s="39">
        <f>MIP_4[[#This Row],[HH disponível]]-MIP_4[[#This Row],[HH AC TOT]]</f>
        <v>0.3249999999999999</v>
      </c>
      <c r="Z38" s="38">
        <f ca="1">MIP_4[[#This Row],[HH Produtivo
Total]]/MIP_4[[#This Row],[HH Trabalhado]]</f>
        <v>1.0227298944010903</v>
      </c>
      <c r="AA38" s="38">
        <f ca="1">MIP_4[[#This Row],[HH Produtivo
Total]]/MIP_4[[#This Row],[HH disponível]]</f>
        <v>0.90651058821914765</v>
      </c>
      <c r="AB38" s="38">
        <f>MIP_4[[#This Row],[HH Trabalhado]]/MIP_4[[#This Row],[HH disponível]]</f>
        <v>0.88636363636363591</v>
      </c>
      <c r="AC38" s="37" t="str">
        <f>LEFT(MIP_4[[#This Row],[Equipe]], SEARCH("/",MIP_4[[#This Row],[Equipe]],1)-1)</f>
        <v xml:space="preserve">EDILTON </v>
      </c>
      <c r="AD38" s="37" t="str">
        <f>RIGHT(MIP_4[[#This Row],[Equipe]], LEN(MIP_4[[#This Row],[Equipe]])-SEARCH("/",MIP_4[[#This Row],[Equipe]],1))</f>
        <v xml:space="preserve"> CLAUDINEY</v>
      </c>
      <c r="AE38" s="44">
        <f>COUNTIFS('[1]Tempo parado'!G:G,"&gt;="&amp;MIP_4[[#This Row],[S.B Sitrack]],'[1]Tempo parado'!H:H,"&lt;="&amp;MIP_4[[#This Row],[C.B Sitrack]],'[1]Tempo parado'!A:A,MIP_4[[#This Row],[Placa]])</f>
        <v>0</v>
      </c>
      <c r="AF38" s="36"/>
      <c r="AG38" s="35"/>
      <c r="AH38" s="34"/>
      <c r="AI38" s="34"/>
      <c r="AJ3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8" s="32" t="str">
        <f>IFERROR(MIP_4[[#This Row],[Tempo parado]]/(MIP_4[[#This Row],[C.B Sitrack]]-MIP_4[[#This Row],[S.B Sitrack]]),"")</f>
        <v/>
      </c>
      <c r="AN38" s="30"/>
      <c r="AO38" s="44">
        <f>IF(AND(MIP_4[Exc]=0,MIP_4[Previsto / Realizado]="Realizado"),MIP_4[Sem],0)</f>
        <v>0</v>
      </c>
      <c r="AP38" s="29">
        <f>IF(AND(MIP_4[Exc]=0,MIP_4[Previsto / Realizado]="Realizado",ISBLANK(MIP_4[[#This Row],[S.B Sitrack]])=FALSE,ISBLANK(MIP_4[[#This Row],[C.B Sitrack]])=FALSE),MIP_4[Sem],0)</f>
        <v>0</v>
      </c>
    </row>
    <row r="39" spans="1:42" ht="63" x14ac:dyDescent="0.25">
      <c r="A39" s="44">
        <f>WEEKNUM(MIP_4[[#This Row],[Data]])</f>
        <v>20</v>
      </c>
      <c r="B39" s="45">
        <v>42873</v>
      </c>
      <c r="C39" s="45"/>
      <c r="D39" s="83" t="s">
        <v>463</v>
      </c>
      <c r="E39" s="35" t="s">
        <v>2</v>
      </c>
      <c r="F39" s="83"/>
      <c r="G39" s="44">
        <v>2</v>
      </c>
      <c r="H39" s="44">
        <v>4</v>
      </c>
      <c r="I39" s="44">
        <v>1</v>
      </c>
      <c r="J39" s="44">
        <v>2</v>
      </c>
      <c r="K39" s="44">
        <v>0</v>
      </c>
      <c r="L39" s="43">
        <v>0.64097222222222217</v>
      </c>
      <c r="M39" s="43">
        <v>0.67361111111111116</v>
      </c>
      <c r="N39" s="43">
        <f>1+20/24/60</f>
        <v>1.0138888888888888</v>
      </c>
      <c r="O39" s="43">
        <f>1+48/24/60</f>
        <v>1.0333333333333334</v>
      </c>
      <c r="P39" s="39"/>
      <c r="Q39" s="42" t="s">
        <v>462</v>
      </c>
      <c r="R39" s="44">
        <f>MIP_4[[#This Row],[PT-1]]+MIP_4[[#This Row],[PT-2]]*2+MIP_4[[#This Row],[PT-3]]*3+MIP_4[[#This Row],[PT &gt; 3 Pontos]]</f>
        <v>12</v>
      </c>
      <c r="S3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5.2083333333333592E-2</v>
      </c>
      <c r="T3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5.2083333333333592E-2</v>
      </c>
      <c r="U39" s="41">
        <f ca="1">MIP_4[[#This Row],[Eficiência]]</f>
        <v>0.90283156386922836</v>
      </c>
      <c r="V3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9" s="39">
        <f>IF(MIP_4[[#This Row],[P.S]]-MIP_4[[#This Row],[P.E]]&lt;0,1+MIP_4[[#This Row],[P.S]]-MIP_4[[#This Row],[P.E]]-1/24,MIP_4[[#This Row],[P.S]]-MIP_4[[#This Row],[P.E]]-1/24)</f>
        <v>0.35069444444444459</v>
      </c>
      <c r="X39" s="39">
        <f ca="1">MIP_4[[#This Row],[PT-1]]*$S$3+MIP_4[[#This Row],[PT-2]]*$T$3+MIP_4[[#This Row],[PT-3]]*$U$3+MIP_4[[#This Row],[PT &gt; 3 Pontos]]*$V$3</f>
        <v>0.26959553643317224</v>
      </c>
      <c r="Y39" s="39">
        <f>MIP_4[[#This Row],[HH disponível]]-MIP_4[[#This Row],[HH AC TOT]]</f>
        <v>0.29861111111111099</v>
      </c>
      <c r="Z39" s="38">
        <f ca="1">MIP_4[[#This Row],[HH Produtivo
Total]]/MIP_4[[#This Row],[HH Trabalhado]]</f>
        <v>0.90283156386922836</v>
      </c>
      <c r="AA39" s="38">
        <f ca="1">MIP_4[[#This Row],[HH Produtivo
Total]]/MIP_4[[#This Row],[HH disponível]]</f>
        <v>0.76874766824508489</v>
      </c>
      <c r="AB39" s="38">
        <f>MIP_4[[#This Row],[HH Trabalhado]]/MIP_4[[#This Row],[HH disponível]]</f>
        <v>0.8514851485148508</v>
      </c>
      <c r="AC39" s="37" t="str">
        <f>LEFT(MIP_4[[#This Row],[Equipe]], SEARCH("/",MIP_4[[#This Row],[Equipe]],1)-1)</f>
        <v xml:space="preserve">EDILTON </v>
      </c>
      <c r="AD39" s="37" t="str">
        <f>RIGHT(MIP_4[[#This Row],[Equipe]], LEN(MIP_4[[#This Row],[Equipe]])-SEARCH("/",MIP_4[[#This Row],[Equipe]],1))</f>
        <v xml:space="preserve"> CLAUDINEY</v>
      </c>
      <c r="AE39" s="44">
        <f>COUNTIFS('[1]Tempo parado'!G:G,"&gt;="&amp;MIP_4[[#This Row],[S.B Sitrack]],'[1]Tempo parado'!H:H,"&lt;="&amp;MIP_4[[#This Row],[C.B Sitrack]],'[1]Tempo parado'!A:A,MIP_4[[#This Row],[Placa]])</f>
        <v>0</v>
      </c>
      <c r="AF39" s="36"/>
      <c r="AG39" s="35"/>
      <c r="AH39" s="34"/>
      <c r="AI39" s="34"/>
      <c r="AJ3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9" s="32" t="str">
        <f>IFERROR(MIP_4[[#This Row],[Tempo parado]]/(MIP_4[[#This Row],[C.B Sitrack]]-MIP_4[[#This Row],[S.B Sitrack]]),"")</f>
        <v/>
      </c>
      <c r="AN39" s="30"/>
      <c r="AO39" s="44">
        <f>IF(AND(MIP_4[Exc]=0,MIP_4[Previsto / Realizado]="Realizado"),MIP_4[Sem],0)</f>
        <v>20</v>
      </c>
      <c r="AP39" s="29">
        <f>IF(AND(MIP_4[Exc]=0,MIP_4[Previsto / Realizado]="Realizado",ISBLANK(MIP_4[[#This Row],[S.B Sitrack]])=FALSE,ISBLANK(MIP_4[[#This Row],[C.B Sitrack]])=FALSE),MIP_4[Sem],0)</f>
        <v>0</v>
      </c>
    </row>
    <row r="40" spans="1:42" ht="63" x14ac:dyDescent="0.25">
      <c r="A40" s="44">
        <f>WEEKNUM(MIP_4[[#This Row],[Data]])</f>
        <v>20</v>
      </c>
      <c r="B40" s="45">
        <v>42873</v>
      </c>
      <c r="C40" s="45"/>
      <c r="D40" s="83" t="s">
        <v>439</v>
      </c>
      <c r="E40" s="35" t="s">
        <v>5</v>
      </c>
      <c r="F40" s="83"/>
      <c r="G40" s="44">
        <v>2</v>
      </c>
      <c r="H40" s="44">
        <v>9</v>
      </c>
      <c r="I40" s="44">
        <v>0</v>
      </c>
      <c r="J40" s="44">
        <v>2</v>
      </c>
      <c r="K40" s="44">
        <v>0</v>
      </c>
      <c r="L40" s="43">
        <v>0.625</v>
      </c>
      <c r="M40" s="43">
        <v>0.64583333333333337</v>
      </c>
      <c r="N40" s="43">
        <f>1+18/24/60</f>
        <v>1.0125</v>
      </c>
      <c r="O40" s="43">
        <f>1+48/24/60</f>
        <v>1.0333333333333334</v>
      </c>
      <c r="P40" s="39"/>
      <c r="Q40" s="42"/>
      <c r="R40" s="44">
        <f>MIP_4[[#This Row],[PT-1]]+MIP_4[[#This Row],[PT-2]]*2+MIP_4[[#This Row],[PT-3]]*3+MIP_4[[#This Row],[PT &gt; 3 Pontos]]</f>
        <v>15</v>
      </c>
      <c r="S4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4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40" s="41">
        <f ca="1">MIP_4[[#This Row],[Eficiência]]</f>
        <v>1.0794339542301499</v>
      </c>
      <c r="V4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0" s="39">
        <f>IF(MIP_4[[#This Row],[P.S]]-MIP_4[[#This Row],[P.E]]&lt;0,1+MIP_4[[#This Row],[P.S]]-MIP_4[[#This Row],[P.E]]-1/24,MIP_4[[#This Row],[P.S]]-MIP_4[[#This Row],[P.E]]-1/24)</f>
        <v>0.36666666666666675</v>
      </c>
      <c r="X40" s="39">
        <f ca="1">MIP_4[[#This Row],[PT-1]]*$S$3+MIP_4[[#This Row],[PT-2]]*$T$3+MIP_4[[#This Row],[PT-3]]*$U$3+MIP_4[[#This Row],[PT &gt; 3 Pontos]]*$V$3</f>
        <v>0.35081603512479859</v>
      </c>
      <c r="Y40" s="39">
        <f>MIP_4[[#This Row],[HH disponível]]-MIP_4[[#This Row],[HH AC TOT]]</f>
        <v>0.3249999999999999</v>
      </c>
      <c r="Z40" s="38">
        <f ca="1">MIP_4[[#This Row],[HH Produtivo
Total]]/MIP_4[[#This Row],[HH Trabalhado]]</f>
        <v>1.0794339542301499</v>
      </c>
      <c r="AA40" s="38">
        <f ca="1">MIP_4[[#This Row],[HH Produtivo
Total]]/MIP_4[[#This Row],[HH disponível]]</f>
        <v>0.95677100488581412</v>
      </c>
      <c r="AB40" s="38">
        <f>MIP_4[[#This Row],[HH Trabalhado]]/MIP_4[[#This Row],[HH disponível]]</f>
        <v>0.88636363636363591</v>
      </c>
      <c r="AC40" s="37" t="str">
        <f>LEFT(MIP_4[[#This Row],[Equipe]], SEARCH("/",MIP_4[[#This Row],[Equipe]],1)-1)</f>
        <v xml:space="preserve">ADEMÁRIO </v>
      </c>
      <c r="AD40" s="37" t="str">
        <f>RIGHT(MIP_4[[#This Row],[Equipe]], LEN(MIP_4[[#This Row],[Equipe]])-SEARCH("/",MIP_4[[#This Row],[Equipe]],1))</f>
        <v xml:space="preserve"> ANDERSON</v>
      </c>
      <c r="AE40" s="44">
        <f>COUNTIFS('[1]Tempo parado'!G:G,"&gt;="&amp;MIP_4[[#This Row],[S.B Sitrack]],'[1]Tempo parado'!H:H,"&lt;="&amp;MIP_4[[#This Row],[C.B Sitrack]],'[1]Tempo parado'!A:A,MIP_4[[#This Row],[Placa]])</f>
        <v>0</v>
      </c>
      <c r="AF40" s="36"/>
      <c r="AG40" s="35"/>
      <c r="AH40" s="34"/>
      <c r="AI40" s="34"/>
      <c r="AJ4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0" s="32" t="str">
        <f>IFERROR(MIP_4[[#This Row],[Tempo parado]]/(MIP_4[[#This Row],[C.B Sitrack]]-MIP_4[[#This Row],[S.B Sitrack]]),"")</f>
        <v/>
      </c>
      <c r="AN40" s="30"/>
      <c r="AO40" s="44">
        <f>IF(AND(MIP_4[Exc]=0,MIP_4[Previsto / Realizado]="Realizado"),MIP_4[Sem],0)</f>
        <v>0</v>
      </c>
      <c r="AP40" s="29">
        <f>IF(AND(MIP_4[Exc]=0,MIP_4[Previsto / Realizado]="Realizado",ISBLANK(MIP_4[[#This Row],[S.B Sitrack]])=FALSE,ISBLANK(MIP_4[[#This Row],[C.B Sitrack]])=FALSE),MIP_4[Sem],0)</f>
        <v>0</v>
      </c>
    </row>
    <row r="41" spans="1:42" ht="63" x14ac:dyDescent="0.25">
      <c r="A41" s="44">
        <f>WEEKNUM(MIP_4[[#This Row],[Data]])</f>
        <v>20</v>
      </c>
      <c r="B41" s="45">
        <v>42873</v>
      </c>
      <c r="C41" s="45"/>
      <c r="D41" s="83" t="s">
        <v>439</v>
      </c>
      <c r="E41" s="35" t="s">
        <v>2</v>
      </c>
      <c r="F41" s="83"/>
      <c r="G41" s="44">
        <v>2</v>
      </c>
      <c r="H41" s="44">
        <v>2</v>
      </c>
      <c r="I41" s="44">
        <v>1</v>
      </c>
      <c r="J41" s="44">
        <v>0</v>
      </c>
      <c r="K41" s="44">
        <v>4</v>
      </c>
      <c r="L41" s="43">
        <v>0.63263888888888886</v>
      </c>
      <c r="M41" s="43">
        <v>0.6791666666666667</v>
      </c>
      <c r="N41" s="43">
        <f>1+26/24/60</f>
        <v>1.0180555555555555</v>
      </c>
      <c r="O41" s="43">
        <f>1+57/24/60</f>
        <v>1.0395833333333333</v>
      </c>
      <c r="P41" s="39"/>
      <c r="Q41" s="42" t="s">
        <v>461</v>
      </c>
      <c r="R41" s="44">
        <f>MIP_4[[#This Row],[PT-1]]+MIP_4[[#This Row],[PT-2]]*2+MIP_4[[#This Row],[PT-3]]*3+MIP_4[[#This Row],[PT &gt; 3 Pontos]]</f>
        <v>8</v>
      </c>
      <c r="S4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6.8055555555555647E-2</v>
      </c>
      <c r="T4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6.8055555555555647E-2</v>
      </c>
      <c r="U41" s="41">
        <f ca="1">MIP_4[[#This Row],[Eficiência]]</f>
        <v>0.58862528594217978</v>
      </c>
      <c r="V4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1" s="39">
        <f>IF(MIP_4[[#This Row],[P.S]]-MIP_4[[#This Row],[P.E]]&lt;0,1+MIP_4[[#This Row],[P.S]]-MIP_4[[#This Row],[P.E]]-1/24,MIP_4[[#This Row],[P.S]]-MIP_4[[#This Row],[P.E]]-1/24)</f>
        <v>0.36527777777777776</v>
      </c>
      <c r="X41" s="39">
        <f ca="1">MIP_4[[#This Row],[PT-1]]*$S$3+MIP_4[[#This Row],[PT-2]]*$T$3+MIP_4[[#This Row],[PT-3]]*$U$3+MIP_4[[#This Row],[PT &gt; 3 Pontos]]*$V$3</f>
        <v>0.17495251554392557</v>
      </c>
      <c r="Y41" s="39">
        <f>MIP_4[[#This Row],[HH disponível]]-MIP_4[[#This Row],[HH AC TOT]]</f>
        <v>0.29722222222222211</v>
      </c>
      <c r="Z41" s="38">
        <f ca="1">MIP_4[[#This Row],[HH Produtivo
Total]]/MIP_4[[#This Row],[HH Trabalhado]]</f>
        <v>0.58862528594217978</v>
      </c>
      <c r="AA41" s="38">
        <f ca="1">MIP_4[[#This Row],[HH Produtivo
Total]]/MIP_4[[#This Row],[HH disponível]]</f>
        <v>0.47895745700238185</v>
      </c>
      <c r="AB41" s="38">
        <f>MIP_4[[#This Row],[HH Trabalhado]]/MIP_4[[#This Row],[HH disponível]]</f>
        <v>0.81368821292775639</v>
      </c>
      <c r="AC41" s="37" t="str">
        <f>LEFT(MIP_4[[#This Row],[Equipe]], SEARCH("/",MIP_4[[#This Row],[Equipe]],1)-1)</f>
        <v xml:space="preserve">ADEMÁRIO </v>
      </c>
      <c r="AD41" s="37" t="str">
        <f>RIGHT(MIP_4[[#This Row],[Equipe]], LEN(MIP_4[[#This Row],[Equipe]])-SEARCH("/",MIP_4[[#This Row],[Equipe]],1))</f>
        <v xml:space="preserve"> ANDERSON</v>
      </c>
      <c r="AE41" s="44">
        <f>COUNTIFS('[1]Tempo parado'!G:G,"&gt;="&amp;MIP_4[[#This Row],[S.B Sitrack]],'[1]Tempo parado'!H:H,"&lt;="&amp;MIP_4[[#This Row],[C.B Sitrack]],'[1]Tempo parado'!A:A,MIP_4[[#This Row],[Placa]])</f>
        <v>0</v>
      </c>
      <c r="AF41" s="36"/>
      <c r="AG41" s="35"/>
      <c r="AH41" s="34"/>
      <c r="AI41" s="34"/>
      <c r="AJ4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1" s="32" t="str">
        <f>IFERROR(MIP_4[[#This Row],[Tempo parado]]/(MIP_4[[#This Row],[C.B Sitrack]]-MIP_4[[#This Row],[S.B Sitrack]]),"")</f>
        <v/>
      </c>
      <c r="AN41" s="30"/>
      <c r="AO41" s="44">
        <f>IF(AND(MIP_4[Exc]=0,MIP_4[Previsto / Realizado]="Realizado"),MIP_4[Sem],0)</f>
        <v>20</v>
      </c>
      <c r="AP41" s="29">
        <f>IF(AND(MIP_4[Exc]=0,MIP_4[Previsto / Realizado]="Realizado",ISBLANK(MIP_4[[#This Row],[S.B Sitrack]])=FALSE,ISBLANK(MIP_4[[#This Row],[C.B Sitrack]])=FALSE),MIP_4[Sem],0)</f>
        <v>0</v>
      </c>
    </row>
    <row r="42" spans="1:42" ht="15.75" x14ac:dyDescent="0.25">
      <c r="A42" s="44">
        <f>WEEKNUM(MIP_4[[#This Row],[Data]])</f>
        <v>20</v>
      </c>
      <c r="B42" s="45">
        <v>42874</v>
      </c>
      <c r="C42" s="45"/>
      <c r="D42" s="35" t="s">
        <v>460</v>
      </c>
      <c r="E42" s="35" t="s">
        <v>5</v>
      </c>
      <c r="F42" s="35"/>
      <c r="G42" s="44">
        <v>2</v>
      </c>
      <c r="H42" s="44">
        <v>8</v>
      </c>
      <c r="I42" s="44">
        <v>2</v>
      </c>
      <c r="J42" s="44">
        <v>1</v>
      </c>
      <c r="K42" s="44">
        <v>0</v>
      </c>
      <c r="L42" s="43">
        <v>0.25</v>
      </c>
      <c r="M42" s="43">
        <v>0.27083333333333331</v>
      </c>
      <c r="N42" s="43">
        <v>0.63750000000000007</v>
      </c>
      <c r="O42" s="43">
        <v>0.65833333333333333</v>
      </c>
      <c r="P42" s="39"/>
      <c r="Q42" s="42"/>
      <c r="R42" s="44">
        <f>MIP_4[[#This Row],[PT-1]]+MIP_4[[#This Row],[PT-2]]*2+MIP_4[[#This Row],[PT-3]]*3+MIP_4[[#This Row],[PT &gt; 3 Pontos]]</f>
        <v>15</v>
      </c>
      <c r="S4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4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42" s="41">
        <f ca="1">MIP_4[[#This Row],[Eficiência]]</f>
        <v>1.0794339542301492</v>
      </c>
      <c r="V4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2" s="39">
        <f>IF(MIP_4[[#This Row],[P.S]]-MIP_4[[#This Row],[P.E]]&lt;0,1+MIP_4[[#This Row],[P.S]]-MIP_4[[#This Row],[P.E]]-1/24,MIP_4[[#This Row],[P.S]]-MIP_4[[#This Row],[P.E]]-1/24)</f>
        <v>0.36666666666666664</v>
      </c>
      <c r="X42" s="39">
        <f ca="1">MIP_4[[#This Row],[PT-1]]*$S$3+MIP_4[[#This Row],[PT-2]]*$T$3+MIP_4[[#This Row],[PT-3]]*$U$3+MIP_4[[#This Row],[PT &gt; 3 Pontos]]*$V$3</f>
        <v>0.35081603512479859</v>
      </c>
      <c r="Y42" s="39">
        <f>MIP_4[[#This Row],[HH disponível]]-MIP_4[[#This Row],[HH AC TOT]]</f>
        <v>0.32500000000000007</v>
      </c>
      <c r="Z42" s="38">
        <f ca="1">MIP_4[[#This Row],[HH Produtivo
Total]]/MIP_4[[#This Row],[HH Trabalhado]]</f>
        <v>1.0794339542301492</v>
      </c>
      <c r="AA42" s="38">
        <f ca="1">MIP_4[[#This Row],[HH Produtivo
Total]]/MIP_4[[#This Row],[HH disponível]]</f>
        <v>0.95677100488581435</v>
      </c>
      <c r="AB42" s="38">
        <f>MIP_4[[#This Row],[HH Trabalhado]]/MIP_4[[#This Row],[HH disponível]]</f>
        <v>0.88636363636363658</v>
      </c>
      <c r="AC42" s="37" t="str">
        <f>LEFT(MIP_4[[#This Row],[Equipe]], SEARCH("/",MIP_4[[#This Row],[Equipe]],1)-1)</f>
        <v xml:space="preserve">Joilson </v>
      </c>
      <c r="AD42" s="37" t="str">
        <f>RIGHT(MIP_4[[#This Row],[Equipe]], LEN(MIP_4[[#This Row],[Equipe]])-SEARCH("/",MIP_4[[#This Row],[Equipe]],1))</f>
        <v xml:space="preserve"> Diego</v>
      </c>
      <c r="AE42" s="44">
        <f>COUNTIFS('[1]Tempo parado'!G:G,"&gt;="&amp;MIP_4[[#This Row],[S.B Sitrack]],'[1]Tempo parado'!H:H,"&lt;="&amp;MIP_4[[#This Row],[C.B Sitrack]],'[1]Tempo parado'!A:A,MIP_4[[#This Row],[Placa]])</f>
        <v>0</v>
      </c>
      <c r="AF42" s="36"/>
      <c r="AG42" s="35"/>
      <c r="AH42" s="34"/>
      <c r="AI42" s="34"/>
      <c r="AJ4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2" s="32" t="str">
        <f>IFERROR(MIP_4[[#This Row],[Tempo parado]]/(MIP_4[[#This Row],[C.B Sitrack]]-MIP_4[[#This Row],[S.B Sitrack]]),"")</f>
        <v/>
      </c>
      <c r="AN42" s="30"/>
      <c r="AO42" s="44">
        <f>IF(AND(MIP_4[Exc]=0,MIP_4[Previsto / Realizado]="Realizado"),MIP_4[Sem],0)</f>
        <v>0</v>
      </c>
      <c r="AP42" s="29">
        <f>IF(AND(MIP_4[Exc]=0,MIP_4[Previsto / Realizado]="Realizado",ISBLANK(MIP_4[[#This Row],[S.B Sitrack]])=FALSE,ISBLANK(MIP_4[[#This Row],[C.B Sitrack]])=FALSE),MIP_4[Sem],0)</f>
        <v>0</v>
      </c>
    </row>
    <row r="43" spans="1:42" ht="15.75" x14ac:dyDescent="0.25">
      <c r="A43" s="44">
        <f>WEEKNUM(MIP_4[[#This Row],[Data]])</f>
        <v>20</v>
      </c>
      <c r="B43" s="45">
        <v>42874</v>
      </c>
      <c r="C43" s="45"/>
      <c r="D43" s="35" t="s">
        <v>460</v>
      </c>
      <c r="E43" s="35" t="s">
        <v>2</v>
      </c>
      <c r="F43" s="35"/>
      <c r="G43" s="44">
        <v>2</v>
      </c>
      <c r="H43" s="44">
        <v>6</v>
      </c>
      <c r="I43" s="44">
        <v>3</v>
      </c>
      <c r="J43" s="86">
        <v>1</v>
      </c>
      <c r="K43" s="86">
        <v>1</v>
      </c>
      <c r="L43" s="43">
        <v>0.25694444444444448</v>
      </c>
      <c r="M43" s="43">
        <v>0.29722222222222222</v>
      </c>
      <c r="N43" s="43">
        <v>0.63541666666666663</v>
      </c>
      <c r="O43" s="43">
        <v>0.66805555555555562</v>
      </c>
      <c r="P43" s="39"/>
      <c r="Q43" s="42" t="s">
        <v>459</v>
      </c>
      <c r="R43" s="86">
        <f>MIP_4[[#This Row],[PT-1]]+MIP_4[[#This Row],[PT-2]]*2+MIP_4[[#This Row],[PT-3]]*3+MIP_4[[#This Row],[PT &gt; 3 Pontos]]</f>
        <v>16</v>
      </c>
      <c r="S4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7.2916666666666741E-2</v>
      </c>
      <c r="T4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7.2916666666666741E-2</v>
      </c>
      <c r="U43" s="41">
        <f ca="1">MIP_4[[#This Row],[Eficiência]]</f>
        <v>1.2306472901982524</v>
      </c>
      <c r="V4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3" s="39">
        <f>IF(MIP_4[[#This Row],[P.S]]-MIP_4[[#This Row],[P.E]]&lt;0,1+MIP_4[[#This Row],[P.S]]-MIP_4[[#This Row],[P.E]]-1/24,MIP_4[[#This Row],[P.S]]-MIP_4[[#This Row],[P.E]]-1/24)</f>
        <v>0.36944444444444446</v>
      </c>
      <c r="X43" s="39">
        <f ca="1">MIP_4[[#This Row],[PT-1]]*$S$3+MIP_4[[#This Row],[PT-2]]*$T$3+MIP_4[[#This Row],[PT-3]]*$U$3+MIP_4[[#This Row],[PT &gt; 3 Pontos]]*$V$3</f>
        <v>0.3649211061907317</v>
      </c>
      <c r="Y43" s="39">
        <f>MIP_4[[#This Row],[HH disponível]]-MIP_4[[#This Row],[HH AC TOT]]</f>
        <v>0.29652777777777772</v>
      </c>
      <c r="Z43" s="38">
        <f ca="1">MIP_4[[#This Row],[HH Produtivo
Total]]/MIP_4[[#This Row],[HH Trabalhado]]</f>
        <v>1.2306472901982524</v>
      </c>
      <c r="AA43" s="38">
        <f ca="1">MIP_4[[#This Row],[HH Produtivo
Total]]/MIP_4[[#This Row],[HH disponível]]</f>
        <v>0.98775637765912339</v>
      </c>
      <c r="AB43" s="38">
        <f>MIP_4[[#This Row],[HH Trabalhado]]/MIP_4[[#This Row],[HH disponível]]</f>
        <v>0.80263157894736825</v>
      </c>
      <c r="AC43" s="37" t="str">
        <f>LEFT(MIP_4[[#This Row],[Equipe]], SEARCH("/",MIP_4[[#This Row],[Equipe]],1)-1)</f>
        <v xml:space="preserve">Joilson </v>
      </c>
      <c r="AD43" s="37" t="str">
        <f>RIGHT(MIP_4[[#This Row],[Equipe]], LEN(MIP_4[[#This Row],[Equipe]])-SEARCH("/",MIP_4[[#This Row],[Equipe]],1))</f>
        <v xml:space="preserve"> Diego</v>
      </c>
      <c r="AE43" s="44">
        <f>COUNTIFS('[1]Tempo parado'!G:G,"&gt;="&amp;MIP_4[[#This Row],[S.B Sitrack]],'[1]Tempo parado'!H:H,"&lt;="&amp;MIP_4[[#This Row],[C.B Sitrack]],'[1]Tempo parado'!A:A,MIP_4[[#This Row],[Placa]])</f>
        <v>0</v>
      </c>
      <c r="AF43" s="36"/>
      <c r="AG43" s="35"/>
      <c r="AH43" s="34"/>
      <c r="AI43" s="34"/>
      <c r="AJ4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3" s="32" t="str">
        <f>IFERROR(MIP_4[[#This Row],[Tempo parado]]/(MIP_4[[#This Row],[C.B Sitrack]]-MIP_4[[#This Row],[S.B Sitrack]]),"")</f>
        <v/>
      </c>
      <c r="AN43" s="30"/>
      <c r="AO43" s="44">
        <f>IF(AND(MIP_4[Exc]=0,MIP_4[Previsto / Realizado]="Realizado"),MIP_4[Sem],0)</f>
        <v>20</v>
      </c>
      <c r="AP43" s="29">
        <f>IF(AND(MIP_4[Exc]=0,MIP_4[Previsto / Realizado]="Realizado",ISBLANK(MIP_4[[#This Row],[S.B Sitrack]])=FALSE,ISBLANK(MIP_4[[#This Row],[C.B Sitrack]])=FALSE),MIP_4[Sem],0)</f>
        <v>0</v>
      </c>
    </row>
    <row r="44" spans="1:42" ht="63" x14ac:dyDescent="0.25">
      <c r="A44" s="44">
        <f>WEEKNUM(MIP_4[[#This Row],[Data]])</f>
        <v>20</v>
      </c>
      <c r="B44" s="45">
        <v>42874</v>
      </c>
      <c r="C44" s="45"/>
      <c r="D44" s="83" t="s">
        <v>439</v>
      </c>
      <c r="E44" s="35" t="s">
        <v>5</v>
      </c>
      <c r="F44" s="83"/>
      <c r="G44" s="44">
        <v>2</v>
      </c>
      <c r="H44" s="44">
        <v>14</v>
      </c>
      <c r="I44" s="44">
        <v>1</v>
      </c>
      <c r="J44" s="44">
        <v>0</v>
      </c>
      <c r="K44" s="44">
        <v>0</v>
      </c>
      <c r="L44" s="43">
        <v>0.625</v>
      </c>
      <c r="M44" s="43">
        <v>0.64583333333333337</v>
      </c>
      <c r="N44" s="43">
        <f>1+18/24/60</f>
        <v>1.0125</v>
      </c>
      <c r="O44" s="43">
        <f>1+48/24/60</f>
        <v>1.0333333333333334</v>
      </c>
      <c r="P44" s="39"/>
      <c r="Q44" s="42"/>
      <c r="R44" s="44">
        <f>MIP_4[[#This Row],[PT-1]]+MIP_4[[#This Row],[PT-2]]*2+MIP_4[[#This Row],[PT-3]]*3+MIP_4[[#This Row],[PT &gt; 3 Pontos]]</f>
        <v>16</v>
      </c>
      <c r="S4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4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44" s="41">
        <f ca="1">MIP_4[[#This Row],[Eficiência]]</f>
        <v>1.2131406385482471</v>
      </c>
      <c r="V4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4" s="39">
        <f>IF(MIP_4[[#This Row],[P.S]]-MIP_4[[#This Row],[P.E]]&lt;0,1+MIP_4[[#This Row],[P.S]]-MIP_4[[#This Row],[P.E]]-1/24,MIP_4[[#This Row],[P.S]]-MIP_4[[#This Row],[P.E]]-1/24)</f>
        <v>0.36666666666666675</v>
      </c>
      <c r="X44" s="39">
        <f ca="1">MIP_4[[#This Row],[PT-1]]*$S$3+MIP_4[[#This Row],[PT-2]]*$T$3+MIP_4[[#This Row],[PT-3]]*$U$3+MIP_4[[#This Row],[PT &gt; 3 Pontos]]*$V$3</f>
        <v>0.39427070752818016</v>
      </c>
      <c r="Y44" s="39">
        <f>MIP_4[[#This Row],[HH disponível]]-MIP_4[[#This Row],[HH AC TOT]]</f>
        <v>0.3249999999999999</v>
      </c>
      <c r="Z44" s="38">
        <f ca="1">MIP_4[[#This Row],[HH Produtivo
Total]]/MIP_4[[#This Row],[HH Trabalhado]]</f>
        <v>1.2131406385482471</v>
      </c>
      <c r="AA44" s="38">
        <f ca="1">MIP_4[[#This Row],[HH Produtivo
Total]]/MIP_4[[#This Row],[HH disponível]]</f>
        <v>1.0752837478041275</v>
      </c>
      <c r="AB44" s="38">
        <f>MIP_4[[#This Row],[HH Trabalhado]]/MIP_4[[#This Row],[HH disponível]]</f>
        <v>0.88636363636363591</v>
      </c>
      <c r="AC44" s="37" t="str">
        <f>LEFT(MIP_4[[#This Row],[Equipe]], SEARCH("/",MIP_4[[#This Row],[Equipe]],1)-1)</f>
        <v xml:space="preserve">ADEMÁRIO </v>
      </c>
      <c r="AD44" s="37" t="str">
        <f>RIGHT(MIP_4[[#This Row],[Equipe]], LEN(MIP_4[[#This Row],[Equipe]])-SEARCH("/",MIP_4[[#This Row],[Equipe]],1))</f>
        <v xml:space="preserve"> ANDERSON</v>
      </c>
      <c r="AE44" s="44">
        <f>COUNTIFS('[1]Tempo parado'!G:G,"&gt;="&amp;MIP_4[[#This Row],[S.B Sitrack]],'[1]Tempo parado'!H:H,"&lt;="&amp;MIP_4[[#This Row],[C.B Sitrack]],'[1]Tempo parado'!A:A,MIP_4[[#This Row],[Placa]])</f>
        <v>0</v>
      </c>
      <c r="AF44" s="36"/>
      <c r="AG44" s="35"/>
      <c r="AH44" s="34"/>
      <c r="AI44" s="34"/>
      <c r="AJ4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4" s="32" t="str">
        <f>IFERROR(MIP_4[[#This Row],[Tempo parado]]/(MIP_4[[#This Row],[C.B Sitrack]]-MIP_4[[#This Row],[S.B Sitrack]]),"")</f>
        <v/>
      </c>
      <c r="AN44" s="30"/>
      <c r="AO44" s="44">
        <f>IF(AND(MIP_4[Exc]=0,MIP_4[Previsto / Realizado]="Realizado"),MIP_4[Sem],0)</f>
        <v>0</v>
      </c>
      <c r="AP44" s="29">
        <f>IF(AND(MIP_4[Exc]=0,MIP_4[Previsto / Realizado]="Realizado",ISBLANK(MIP_4[[#This Row],[S.B Sitrack]])=FALSE,ISBLANK(MIP_4[[#This Row],[C.B Sitrack]])=FALSE),MIP_4[Sem],0)</f>
        <v>0</v>
      </c>
    </row>
    <row r="45" spans="1:42" ht="63" x14ac:dyDescent="0.25">
      <c r="A45" s="44">
        <f>WEEKNUM(MIP_4[[#This Row],[Data]])</f>
        <v>20</v>
      </c>
      <c r="B45" s="45">
        <v>42874</v>
      </c>
      <c r="C45" s="45"/>
      <c r="D45" s="83" t="s">
        <v>439</v>
      </c>
      <c r="E45" s="35" t="s">
        <v>2</v>
      </c>
      <c r="F45" s="83"/>
      <c r="G45" s="44">
        <v>2</v>
      </c>
      <c r="H45" s="44">
        <v>12</v>
      </c>
      <c r="I45" s="44">
        <v>0</v>
      </c>
      <c r="J45" s="44">
        <v>0</v>
      </c>
      <c r="K45" s="44">
        <v>0</v>
      </c>
      <c r="L45" s="43">
        <v>0.63541666666666663</v>
      </c>
      <c r="M45" s="43">
        <v>0.68611111111111101</v>
      </c>
      <c r="N45" s="43">
        <f>1+35/24/60</f>
        <v>1.0243055555555556</v>
      </c>
      <c r="O45" s="43">
        <f>1+50/24/60</f>
        <v>1.0347222222222223</v>
      </c>
      <c r="P45" s="39"/>
      <c r="Q45" s="42" t="s">
        <v>458</v>
      </c>
      <c r="R45" s="44">
        <f>MIP_4[[#This Row],[PT-1]]+MIP_4[[#This Row],[PT-2]]*2+MIP_4[[#This Row],[PT-3]]*3+MIP_4[[#This Row],[PT &gt; 3 Pontos]]</f>
        <v>12</v>
      </c>
      <c r="S4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6.1111111111111116E-2</v>
      </c>
      <c r="T4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6.1111111111111116E-2</v>
      </c>
      <c r="U45" s="41">
        <f ca="1">MIP_4[[#This Row],[Eficiência]]</f>
        <v>1.0127558293452794</v>
      </c>
      <c r="V4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5" s="39">
        <f>IF(MIP_4[[#This Row],[P.S]]-MIP_4[[#This Row],[P.E]]&lt;0,1+MIP_4[[#This Row],[P.S]]-MIP_4[[#This Row],[P.E]]-1/24,MIP_4[[#This Row],[P.S]]-MIP_4[[#This Row],[P.E]]-1/24)</f>
        <v>0.35763888888888901</v>
      </c>
      <c r="X45" s="39">
        <f ca="1">MIP_4[[#This Row],[PT-1]]*$S$3+MIP_4[[#This Row],[PT-2]]*$T$3+MIP_4[[#This Row],[PT-3]]*$U$3+MIP_4[[#This Row],[PT &gt; 3 Pontos]]*$V$3</f>
        <v>0.30031023550724617</v>
      </c>
      <c r="Y45" s="39">
        <f>MIP_4[[#This Row],[HH disponível]]-MIP_4[[#This Row],[HH AC TOT]]</f>
        <v>0.29652777777777789</v>
      </c>
      <c r="Z45" s="38">
        <f ca="1">MIP_4[[#This Row],[HH Produtivo
Total]]/MIP_4[[#This Row],[HH Trabalhado]]</f>
        <v>1.0127558293452794</v>
      </c>
      <c r="AA45" s="38">
        <f ca="1">MIP_4[[#This Row],[HH Produtivo
Total]]/MIP_4[[#This Row],[HH disponível]]</f>
        <v>0.83970240607851332</v>
      </c>
      <c r="AB45" s="38">
        <f>MIP_4[[#This Row],[HH Trabalhado]]/MIP_4[[#This Row],[HH disponível]]</f>
        <v>0.82912621359223304</v>
      </c>
      <c r="AC45" s="37" t="str">
        <f>LEFT(MIP_4[[#This Row],[Equipe]], SEARCH("/",MIP_4[[#This Row],[Equipe]],1)-1)</f>
        <v xml:space="preserve">ADEMÁRIO </v>
      </c>
      <c r="AD45" s="37" t="str">
        <f>RIGHT(MIP_4[[#This Row],[Equipe]], LEN(MIP_4[[#This Row],[Equipe]])-SEARCH("/",MIP_4[[#This Row],[Equipe]],1))</f>
        <v xml:space="preserve"> ANDERSON</v>
      </c>
      <c r="AE45" s="44">
        <f>COUNTIFS('[1]Tempo parado'!G:G,"&gt;="&amp;MIP_4[[#This Row],[S.B Sitrack]],'[1]Tempo parado'!H:H,"&lt;="&amp;MIP_4[[#This Row],[C.B Sitrack]],'[1]Tempo parado'!A:A,MIP_4[[#This Row],[Placa]])</f>
        <v>0</v>
      </c>
      <c r="AF45" s="36"/>
      <c r="AG45" s="35"/>
      <c r="AH45" s="34"/>
      <c r="AI45" s="34"/>
      <c r="AJ4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5" s="32" t="str">
        <f>IFERROR(MIP_4[[#This Row],[Tempo parado]]/(MIP_4[[#This Row],[C.B Sitrack]]-MIP_4[[#This Row],[S.B Sitrack]]),"")</f>
        <v/>
      </c>
      <c r="AN45" s="30"/>
      <c r="AO45" s="44">
        <f>IF(AND(MIP_4[Exc]=0,MIP_4[Previsto / Realizado]="Realizado"),MIP_4[Sem],0)</f>
        <v>20</v>
      </c>
      <c r="AP45" s="29">
        <f>IF(AND(MIP_4[Exc]=0,MIP_4[Previsto / Realizado]="Realizado",ISBLANK(MIP_4[[#This Row],[S.B Sitrack]])=FALSE,ISBLANK(MIP_4[[#This Row],[C.B Sitrack]])=FALSE),MIP_4[Sem],0)</f>
        <v>0</v>
      </c>
    </row>
    <row r="46" spans="1:42" ht="15.75" x14ac:dyDescent="0.25">
      <c r="A46" s="44">
        <f>WEEKNUM(MIP_4[[#This Row],[Data]])</f>
        <v>20</v>
      </c>
      <c r="B46" s="45">
        <v>42875</v>
      </c>
      <c r="C46" s="45"/>
      <c r="D46" s="35" t="s">
        <v>457</v>
      </c>
      <c r="E46" s="35" t="s">
        <v>5</v>
      </c>
      <c r="F46" s="35"/>
      <c r="G46" s="44">
        <v>2</v>
      </c>
      <c r="H46" s="44">
        <v>5</v>
      </c>
      <c r="I46" s="44">
        <v>2</v>
      </c>
      <c r="J46" s="44">
        <v>1</v>
      </c>
      <c r="K46" s="44">
        <v>5</v>
      </c>
      <c r="L46" s="43">
        <v>0.625</v>
      </c>
      <c r="M46" s="43">
        <v>0.64583333333333337</v>
      </c>
      <c r="N46" s="43">
        <f>1+18/24/60</f>
        <v>1.0125</v>
      </c>
      <c r="O46" s="43">
        <f>1+48/24/60</f>
        <v>1.0333333333333334</v>
      </c>
      <c r="P46" s="39"/>
      <c r="Q46" s="42"/>
      <c r="R46" s="44">
        <f>MIP_4[[#This Row],[PT-1]]+MIP_4[[#This Row],[PT-2]]*2+MIP_4[[#This Row],[PT-3]]*3+MIP_4[[#This Row],[PT &gt; 3 Pontos]]</f>
        <v>17</v>
      </c>
      <c r="S4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4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46" s="41">
        <f ca="1">MIP_4[[#This Row],[Eficiência]]</f>
        <v>1.1599339404668514</v>
      </c>
      <c r="V4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6" s="39">
        <f>IF(MIP_4[[#This Row],[P.S]]-MIP_4[[#This Row],[P.E]]&lt;0,1+MIP_4[[#This Row],[P.S]]-MIP_4[[#This Row],[P.E]]-1/24,MIP_4[[#This Row],[P.S]]-MIP_4[[#This Row],[P.E]]-1/24)</f>
        <v>0.36666666666666675</v>
      </c>
      <c r="X46" s="39">
        <f ca="1">MIP_4[[#This Row],[PT-1]]*$S$3+MIP_4[[#This Row],[PT-2]]*$T$3+MIP_4[[#This Row],[PT-3]]*$U$3+MIP_4[[#This Row],[PT &gt; 3 Pontos]]*$V$3</f>
        <v>0.3769785306517266</v>
      </c>
      <c r="Y46" s="39">
        <f>MIP_4[[#This Row],[HH disponível]]-MIP_4[[#This Row],[HH AC TOT]]</f>
        <v>0.3249999999999999</v>
      </c>
      <c r="Z46" s="38">
        <f ca="1">MIP_4[[#This Row],[HH Produtivo
Total]]/MIP_4[[#This Row],[HH Trabalhado]]</f>
        <v>1.1599339404668514</v>
      </c>
      <c r="AA46" s="38">
        <f ca="1">MIP_4[[#This Row],[HH Produtivo
Total]]/MIP_4[[#This Row],[HH disponível]]</f>
        <v>1.0281232654137995</v>
      </c>
      <c r="AB46" s="38">
        <f>MIP_4[[#This Row],[HH Trabalhado]]/MIP_4[[#This Row],[HH disponível]]</f>
        <v>0.88636363636363591</v>
      </c>
      <c r="AC46" s="37" t="str">
        <f>LEFT(MIP_4[[#This Row],[Equipe]], SEARCH("/",MIP_4[[#This Row],[Equipe]],1)-1)</f>
        <v xml:space="preserve">EDILTON </v>
      </c>
      <c r="AD46" s="37" t="str">
        <f>RIGHT(MIP_4[[#This Row],[Equipe]], LEN(MIP_4[[#This Row],[Equipe]])-SEARCH("/",MIP_4[[#This Row],[Equipe]],1))</f>
        <v xml:space="preserve"> ANDERSON</v>
      </c>
      <c r="AE46" s="44">
        <f>COUNTIFS('[1]Tempo parado'!G:G,"&gt;="&amp;MIP_4[[#This Row],[S.B Sitrack]],'[1]Tempo parado'!H:H,"&lt;="&amp;MIP_4[[#This Row],[C.B Sitrack]],'[1]Tempo parado'!A:A,MIP_4[[#This Row],[Placa]])</f>
        <v>0</v>
      </c>
      <c r="AF46" s="36"/>
      <c r="AG46" s="35"/>
      <c r="AH46" s="34"/>
      <c r="AI46" s="34"/>
      <c r="AJ4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6" s="32" t="str">
        <f>IFERROR(MIP_4[[#This Row],[Tempo parado]]/(MIP_4[[#This Row],[C.B Sitrack]]-MIP_4[[#This Row],[S.B Sitrack]]),"")</f>
        <v/>
      </c>
      <c r="AN46" s="30"/>
      <c r="AO46" s="44">
        <f>IF(AND(MIP_4[Exc]=0,MIP_4[Previsto / Realizado]="Realizado"),MIP_4[Sem],0)</f>
        <v>0</v>
      </c>
      <c r="AP46" s="29">
        <f>IF(AND(MIP_4[Exc]=0,MIP_4[Previsto / Realizado]="Realizado",ISBLANK(MIP_4[[#This Row],[S.B Sitrack]])=FALSE,ISBLANK(MIP_4[[#This Row],[C.B Sitrack]])=FALSE),MIP_4[Sem],0)</f>
        <v>0</v>
      </c>
    </row>
    <row r="47" spans="1:42" ht="15.75" x14ac:dyDescent="0.25">
      <c r="A47" s="44">
        <f>WEEKNUM(MIP_4[[#This Row],[Data]])</f>
        <v>20</v>
      </c>
      <c r="B47" s="45">
        <v>42875</v>
      </c>
      <c r="C47" s="45"/>
      <c r="D47" s="35" t="s">
        <v>457</v>
      </c>
      <c r="E47" s="35" t="s">
        <v>2</v>
      </c>
      <c r="F47" s="35"/>
      <c r="G47" s="44">
        <v>2</v>
      </c>
      <c r="H47" s="44">
        <v>5</v>
      </c>
      <c r="I47" s="44">
        <v>2</v>
      </c>
      <c r="J47" s="44">
        <v>0</v>
      </c>
      <c r="K47" s="44">
        <v>3</v>
      </c>
      <c r="L47" s="43">
        <v>0.62847222222222221</v>
      </c>
      <c r="M47" s="43">
        <v>0.66388888888888886</v>
      </c>
      <c r="N47" s="43">
        <f>1+27/24/60</f>
        <v>1.01875</v>
      </c>
      <c r="O47" s="43">
        <f>1+50/24/60</f>
        <v>1.0347222222222223</v>
      </c>
      <c r="P47" s="39"/>
      <c r="Q47" s="42" t="s">
        <v>456</v>
      </c>
      <c r="R47" s="44">
        <f>MIP_4[[#This Row],[PT-1]]+MIP_4[[#This Row],[PT-2]]*2+MIP_4[[#This Row],[PT-3]]*3+MIP_4[[#This Row],[PT &gt; 3 Pontos]]</f>
        <v>12</v>
      </c>
      <c r="S4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5.1388888888888928E-2</v>
      </c>
      <c r="T4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5.1388888888888928E-2</v>
      </c>
      <c r="U47" s="41">
        <f ca="1">MIP_4[[#This Row],[Eficiência]]</f>
        <v>0.87386872435917995</v>
      </c>
      <c r="V4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7" s="39">
        <f>IF(MIP_4[[#This Row],[P.S]]-MIP_4[[#This Row],[P.E]]&lt;0,1+MIP_4[[#This Row],[P.S]]-MIP_4[[#This Row],[P.E]]-1/24,MIP_4[[#This Row],[P.S]]-MIP_4[[#This Row],[P.E]]-1/24)</f>
        <v>0.36458333333333343</v>
      </c>
      <c r="X47" s="39">
        <f ca="1">MIP_4[[#This Row],[PT-1]]*$S$3+MIP_4[[#This Row],[PT-2]]*$T$3+MIP_4[[#This Row],[PT-3]]*$U$3+MIP_4[[#This Row],[PT &gt; 3 Pontos]]*$V$3</f>
        <v>0.27369082964304875</v>
      </c>
      <c r="Y47" s="39">
        <f>MIP_4[[#This Row],[HH disponível]]-MIP_4[[#This Row],[HH AC TOT]]</f>
        <v>0.3131944444444445</v>
      </c>
      <c r="Z47" s="38">
        <f ca="1">MIP_4[[#This Row],[HH Produtivo
Total]]/MIP_4[[#This Row],[HH Trabalhado]]</f>
        <v>0.87386872435917995</v>
      </c>
      <c r="AA47" s="38">
        <f ca="1">MIP_4[[#This Row],[HH Produtivo
Total]]/MIP_4[[#This Row],[HH disponível]]</f>
        <v>0.75069484702093348</v>
      </c>
      <c r="AB47" s="38">
        <f>MIP_4[[#This Row],[HH Trabalhado]]/MIP_4[[#This Row],[HH disponível]]</f>
        <v>0.85904761904761895</v>
      </c>
      <c r="AC47" s="37" t="str">
        <f>LEFT(MIP_4[[#This Row],[Equipe]], SEARCH("/",MIP_4[[#This Row],[Equipe]],1)-1)</f>
        <v xml:space="preserve">EDILTON </v>
      </c>
      <c r="AD47" s="37" t="str">
        <f>RIGHT(MIP_4[[#This Row],[Equipe]], LEN(MIP_4[[#This Row],[Equipe]])-SEARCH("/",MIP_4[[#This Row],[Equipe]],1))</f>
        <v xml:space="preserve"> ANDERSON</v>
      </c>
      <c r="AE47" s="44">
        <f>COUNTIFS('[1]Tempo parado'!G:G,"&gt;="&amp;MIP_4[[#This Row],[S.B Sitrack]],'[1]Tempo parado'!H:H,"&lt;="&amp;MIP_4[[#This Row],[C.B Sitrack]],'[1]Tempo parado'!A:A,MIP_4[[#This Row],[Placa]])</f>
        <v>0</v>
      </c>
      <c r="AF47" s="36"/>
      <c r="AG47" s="35"/>
      <c r="AH47" s="34"/>
      <c r="AI47" s="34"/>
      <c r="AJ4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7" s="32" t="str">
        <f>IFERROR(MIP_4[[#This Row],[Tempo parado]]/(MIP_4[[#This Row],[C.B Sitrack]]-MIP_4[[#This Row],[S.B Sitrack]]),"")</f>
        <v/>
      </c>
      <c r="AN47" s="30"/>
      <c r="AO47" s="44">
        <f>IF(AND(MIP_4[Exc]=0,MIP_4[Previsto / Realizado]="Realizado"),MIP_4[Sem],0)</f>
        <v>20</v>
      </c>
      <c r="AP47" s="29">
        <f>IF(AND(MIP_4[Exc]=0,MIP_4[Previsto / Realizado]="Realizado",ISBLANK(MIP_4[[#This Row],[S.B Sitrack]])=FALSE,ISBLANK(MIP_4[[#This Row],[C.B Sitrack]])=FALSE),MIP_4[Sem],0)</f>
        <v>0</v>
      </c>
    </row>
    <row r="48" spans="1:42" ht="15.75" x14ac:dyDescent="0.25">
      <c r="A48" s="44">
        <f>WEEKNUM(MIP_4[[#This Row],[Data]])</f>
        <v>21</v>
      </c>
      <c r="B48" s="45">
        <v>42876</v>
      </c>
      <c r="C48" s="45"/>
      <c r="D48" s="35" t="s">
        <v>3</v>
      </c>
      <c r="E48" s="35" t="s">
        <v>5</v>
      </c>
      <c r="F48" s="35"/>
      <c r="G48" s="44">
        <v>2</v>
      </c>
      <c r="H48" s="44">
        <v>10</v>
      </c>
      <c r="I48" s="44">
        <v>2</v>
      </c>
      <c r="J48" s="44">
        <v>0</v>
      </c>
      <c r="K48" s="44">
        <v>5</v>
      </c>
      <c r="L48" s="43">
        <v>0.625</v>
      </c>
      <c r="M48" s="43">
        <v>0.64583333333333337</v>
      </c>
      <c r="N48" s="43">
        <f>1+18/24/60</f>
        <v>1.0125</v>
      </c>
      <c r="O48" s="43">
        <f>1+48/24/60</f>
        <v>1.0333333333333334</v>
      </c>
      <c r="P48" s="39"/>
      <c r="Q48" s="42"/>
      <c r="R48" s="44">
        <f>MIP_4[[#This Row],[PT-1]]+MIP_4[[#This Row],[PT-2]]*2+MIP_4[[#This Row],[PT-3]]*3+MIP_4[[#This Row],[PT &gt; 3 Pontos]]</f>
        <v>19</v>
      </c>
      <c r="S4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4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48" s="41">
        <f ca="1">MIP_4[[#This Row],[Eficiência]]</f>
        <v>1.3517418959976326</v>
      </c>
      <c r="V4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8" s="39">
        <f>IF(MIP_4[[#This Row],[P.S]]-MIP_4[[#This Row],[P.E]]&lt;0,1+MIP_4[[#This Row],[P.S]]-MIP_4[[#This Row],[P.E]]-1/24,MIP_4[[#This Row],[P.S]]-MIP_4[[#This Row],[P.E]]-1/24)</f>
        <v>0.36666666666666675</v>
      </c>
      <c r="X48" s="39">
        <f ca="1">MIP_4[[#This Row],[PT-1]]*$S$3+MIP_4[[#This Row],[PT-2]]*$T$3+MIP_4[[#This Row],[PT-3]]*$U$3+MIP_4[[#This Row],[PT &gt; 3 Pontos]]*$V$3</f>
        <v>0.4393161161992305</v>
      </c>
      <c r="Y48" s="39">
        <f>MIP_4[[#This Row],[HH disponível]]-MIP_4[[#This Row],[HH AC TOT]]</f>
        <v>0.3249999999999999</v>
      </c>
      <c r="Z48" s="38">
        <f ca="1">MIP_4[[#This Row],[HH Produtivo
Total]]/MIP_4[[#This Row],[HH Trabalhado]]</f>
        <v>1.3517418959976326</v>
      </c>
      <c r="AA48" s="38">
        <f ca="1">MIP_4[[#This Row],[HH Produtivo
Total]]/MIP_4[[#This Row],[HH disponível]]</f>
        <v>1.1981348623615375</v>
      </c>
      <c r="AB48" s="38">
        <f>MIP_4[[#This Row],[HH Trabalhado]]/MIP_4[[#This Row],[HH disponível]]</f>
        <v>0.88636363636363591</v>
      </c>
      <c r="AC48" s="37" t="str">
        <f>LEFT(MIP_4[[#This Row],[Equipe]], SEARCH("/",MIP_4[[#This Row],[Equipe]],1)-1)</f>
        <v xml:space="preserve">EDILTON </v>
      </c>
      <c r="AD48" s="37" t="str">
        <f>RIGHT(MIP_4[[#This Row],[Equipe]], LEN(MIP_4[[#This Row],[Equipe]])-SEARCH("/",MIP_4[[#This Row],[Equipe]],1))</f>
        <v xml:space="preserve"> GECIVALDO</v>
      </c>
      <c r="AE48" s="44">
        <f>COUNTIFS('[1]Tempo parado'!G:G,"&gt;="&amp;MIP_4[[#This Row],[S.B Sitrack]],'[1]Tempo parado'!H:H,"&lt;="&amp;MIP_4[[#This Row],[C.B Sitrack]],'[1]Tempo parado'!A:A,MIP_4[[#This Row],[Placa]])</f>
        <v>0</v>
      </c>
      <c r="AF48" s="36"/>
      <c r="AG48" s="35"/>
      <c r="AH48" s="34"/>
      <c r="AI48" s="34"/>
      <c r="AJ4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8" s="32" t="str">
        <f>IFERROR(MIP_4[[#This Row],[Tempo parado]]/(MIP_4[[#This Row],[C.B Sitrack]]-MIP_4[[#This Row],[S.B Sitrack]]),"")</f>
        <v/>
      </c>
      <c r="AN48" s="30"/>
      <c r="AO48" s="44">
        <f>IF(AND(MIP_4[Exc]=0,MIP_4[Previsto / Realizado]="Realizado"),MIP_4[Sem],0)</f>
        <v>0</v>
      </c>
      <c r="AP48" s="29">
        <f>IF(AND(MIP_4[Exc]=0,MIP_4[Previsto / Realizado]="Realizado",ISBLANK(MIP_4[[#This Row],[S.B Sitrack]])=FALSE,ISBLANK(MIP_4[[#This Row],[C.B Sitrack]])=FALSE),MIP_4[Sem],0)</f>
        <v>0</v>
      </c>
    </row>
    <row r="49" spans="1:42" ht="15.75" x14ac:dyDescent="0.25">
      <c r="A49" s="44">
        <f>WEEKNUM(MIP_4[[#This Row],[Data]])</f>
        <v>21</v>
      </c>
      <c r="B49" s="45">
        <v>42876</v>
      </c>
      <c r="C49" s="45"/>
      <c r="D49" s="35" t="s">
        <v>3</v>
      </c>
      <c r="E49" s="35" t="s">
        <v>2</v>
      </c>
      <c r="F49" s="35"/>
      <c r="G49" s="44">
        <v>2</v>
      </c>
      <c r="H49" s="44">
        <v>7</v>
      </c>
      <c r="I49" s="44">
        <v>2</v>
      </c>
      <c r="J49" s="44">
        <v>0</v>
      </c>
      <c r="K49" s="44">
        <v>0</v>
      </c>
      <c r="L49" s="43">
        <v>0.61388888888888882</v>
      </c>
      <c r="M49" s="43">
        <v>0.63541666666666663</v>
      </c>
      <c r="N49" s="43">
        <f>1+0/24/60</f>
        <v>1</v>
      </c>
      <c r="O49" s="43">
        <f>1+42/24/60</f>
        <v>1.0291666666666666</v>
      </c>
      <c r="P49" s="39"/>
      <c r="Q49" s="42" t="s">
        <v>455</v>
      </c>
      <c r="R49" s="44">
        <f>MIP_4[[#This Row],[PT-1]]+MIP_4[[#This Row],[PT-2]]*2+MIP_4[[#This Row],[PT-3]]*3+MIP_4[[#This Row],[PT &gt; 3 Pontos]]</f>
        <v>11</v>
      </c>
      <c r="S4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5.0694444444444375E-2</v>
      </c>
      <c r="T4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5.0694444444444375E-2</v>
      </c>
      <c r="U49" s="41">
        <f ca="1">MIP_4[[#This Row],[Eficiência]]</f>
        <v>0.81444697678042655</v>
      </c>
      <c r="V4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9" s="39">
        <f>IF(MIP_4[[#This Row],[P.S]]-MIP_4[[#This Row],[P.E]]&lt;0,1+MIP_4[[#This Row],[P.S]]-MIP_4[[#This Row],[P.E]]-1/24,MIP_4[[#This Row],[P.S]]-MIP_4[[#This Row],[P.E]]-1/24)</f>
        <v>0.37361111111111106</v>
      </c>
      <c r="X49" s="39">
        <f ca="1">MIP_4[[#This Row],[PT-1]]*$S$3+MIP_4[[#This Row],[PT-2]]*$T$3+MIP_4[[#This Row],[PT-3]]*$U$3+MIP_4[[#This Row],[PT &gt; 3 Pontos]]*$V$3</f>
        <v>0.26299850291867943</v>
      </c>
      <c r="Y49" s="39">
        <f>MIP_4[[#This Row],[HH disponível]]-MIP_4[[#This Row],[HH AC TOT]]</f>
        <v>0.32291666666666669</v>
      </c>
      <c r="Z49" s="38">
        <f ca="1">MIP_4[[#This Row],[HH Produtivo
Total]]/MIP_4[[#This Row],[HH Trabalhado]]</f>
        <v>0.81444697678042655</v>
      </c>
      <c r="AA49" s="38">
        <f ca="1">MIP_4[[#This Row],[HH Produtivo
Total]]/MIP_4[[#This Row],[HH disponível]]</f>
        <v>0.703936513388287</v>
      </c>
      <c r="AB49" s="38">
        <f>MIP_4[[#This Row],[HH Trabalhado]]/MIP_4[[#This Row],[HH disponível]]</f>
        <v>0.86431226765799274</v>
      </c>
      <c r="AC49" s="37" t="str">
        <f>LEFT(MIP_4[[#This Row],[Equipe]], SEARCH("/",MIP_4[[#This Row],[Equipe]],1)-1)</f>
        <v xml:space="preserve">EDILTON </v>
      </c>
      <c r="AD49" s="37" t="str">
        <f>RIGHT(MIP_4[[#This Row],[Equipe]], LEN(MIP_4[[#This Row],[Equipe]])-SEARCH("/",MIP_4[[#This Row],[Equipe]],1))</f>
        <v xml:space="preserve"> GECIVALDO</v>
      </c>
      <c r="AE49" s="44">
        <f>COUNTIFS('[1]Tempo parado'!G:G,"&gt;="&amp;MIP_4[[#This Row],[S.B Sitrack]],'[1]Tempo parado'!H:H,"&lt;="&amp;MIP_4[[#This Row],[C.B Sitrack]],'[1]Tempo parado'!A:A,MIP_4[[#This Row],[Placa]])</f>
        <v>0</v>
      </c>
      <c r="AF49" s="36"/>
      <c r="AG49" s="35"/>
      <c r="AH49" s="34"/>
      <c r="AI49" s="34"/>
      <c r="AJ4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9" s="32" t="str">
        <f>IFERROR(MIP_4[[#This Row],[Tempo parado]]/(MIP_4[[#This Row],[C.B Sitrack]]-MIP_4[[#This Row],[S.B Sitrack]]),"")</f>
        <v/>
      </c>
      <c r="AN49" s="30"/>
      <c r="AO49" s="44">
        <f>IF(AND(MIP_4[Exc]=0,MIP_4[Previsto / Realizado]="Realizado"),MIP_4[Sem],0)</f>
        <v>21</v>
      </c>
      <c r="AP49" s="29">
        <f>IF(AND(MIP_4[Exc]=0,MIP_4[Previsto / Realizado]="Realizado",ISBLANK(MIP_4[[#This Row],[S.B Sitrack]])=FALSE,ISBLANK(MIP_4[[#This Row],[C.B Sitrack]])=FALSE),MIP_4[Sem],0)</f>
        <v>0</v>
      </c>
    </row>
    <row r="50" spans="1:42" ht="63" x14ac:dyDescent="0.25">
      <c r="A50" s="44">
        <f>WEEKNUM(MIP_4[[#This Row],[Data]])</f>
        <v>21</v>
      </c>
      <c r="B50" s="45">
        <v>42877</v>
      </c>
      <c r="C50" s="45"/>
      <c r="D50" s="83" t="s">
        <v>439</v>
      </c>
      <c r="E50" s="35" t="s">
        <v>5</v>
      </c>
      <c r="F50" s="83"/>
      <c r="G50" s="44">
        <v>2</v>
      </c>
      <c r="H50" s="44">
        <v>3</v>
      </c>
      <c r="I50" s="44">
        <v>2</v>
      </c>
      <c r="J50" s="44">
        <v>1</v>
      </c>
      <c r="K50" s="44">
        <v>5</v>
      </c>
      <c r="L50" s="43">
        <v>0.625</v>
      </c>
      <c r="M50" s="43">
        <v>0.64583333333333337</v>
      </c>
      <c r="N50" s="43">
        <f>1+18/24/60</f>
        <v>1.0125</v>
      </c>
      <c r="O50" s="43">
        <f>1+48/24/60</f>
        <v>1.0333333333333334</v>
      </c>
      <c r="P50" s="39"/>
      <c r="Q50" s="42"/>
      <c r="R50" s="44">
        <f>MIP_4[[#This Row],[PT-1]]+MIP_4[[#This Row],[PT-2]]*2+MIP_4[[#This Row],[PT-3]]*3+MIP_4[[#This Row],[PT &gt; 3 Pontos]]</f>
        <v>15</v>
      </c>
      <c r="S5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5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50" s="41">
        <f ca="1">MIP_4[[#This Row],[Eficiência]]</f>
        <v>1.0059286914887764</v>
      </c>
      <c r="V5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0" s="39">
        <f>IF(MIP_4[[#This Row],[P.S]]-MIP_4[[#This Row],[P.E]]&lt;0,1+MIP_4[[#This Row],[P.S]]-MIP_4[[#This Row],[P.E]]-1/24,MIP_4[[#This Row],[P.S]]-MIP_4[[#This Row],[P.E]]-1/24)</f>
        <v>0.36666666666666675</v>
      </c>
      <c r="X50" s="39">
        <f ca="1">MIP_4[[#This Row],[PT-1]]*$S$3+MIP_4[[#This Row],[PT-2]]*$T$3+MIP_4[[#This Row],[PT-3]]*$U$3+MIP_4[[#This Row],[PT &gt; 3 Pontos]]*$V$3</f>
        <v>0.32692682473385226</v>
      </c>
      <c r="Y50" s="39">
        <f>MIP_4[[#This Row],[HH disponível]]-MIP_4[[#This Row],[HH AC TOT]]</f>
        <v>0.3249999999999999</v>
      </c>
      <c r="Z50" s="38">
        <f ca="1">MIP_4[[#This Row],[HH Produtivo
Total]]/MIP_4[[#This Row],[HH Trabalhado]]</f>
        <v>1.0059286914887764</v>
      </c>
      <c r="AA50" s="38">
        <f ca="1">MIP_4[[#This Row],[HH Produtivo
Total]]/MIP_4[[#This Row],[HH disponível]]</f>
        <v>0.89161861291050593</v>
      </c>
      <c r="AB50" s="38">
        <f>MIP_4[[#This Row],[HH Trabalhado]]/MIP_4[[#This Row],[HH disponível]]</f>
        <v>0.88636363636363591</v>
      </c>
      <c r="AC50" s="37" t="str">
        <f>LEFT(MIP_4[[#This Row],[Equipe]], SEARCH("/",MIP_4[[#This Row],[Equipe]],1)-1)</f>
        <v xml:space="preserve">ADEMÁRIO </v>
      </c>
      <c r="AD50" s="37" t="str">
        <f>RIGHT(MIP_4[[#This Row],[Equipe]], LEN(MIP_4[[#This Row],[Equipe]])-SEARCH("/",MIP_4[[#This Row],[Equipe]],1))</f>
        <v xml:space="preserve"> ANDERSON</v>
      </c>
      <c r="AE50" s="44">
        <f>COUNTIFS('[1]Tempo parado'!G:G,"&gt;="&amp;MIP_4[[#This Row],[S.B Sitrack]],'[1]Tempo parado'!H:H,"&lt;="&amp;MIP_4[[#This Row],[C.B Sitrack]],'[1]Tempo parado'!A:A,MIP_4[[#This Row],[Placa]])</f>
        <v>0</v>
      </c>
      <c r="AF50" s="36"/>
      <c r="AG50" s="35"/>
      <c r="AH50" s="34"/>
      <c r="AI50" s="34"/>
      <c r="AJ5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0" s="32" t="str">
        <f>IFERROR(MIP_4[[#This Row],[Tempo parado]]/(MIP_4[[#This Row],[C.B Sitrack]]-MIP_4[[#This Row],[S.B Sitrack]]),"")</f>
        <v/>
      </c>
      <c r="AN50" s="30"/>
      <c r="AO50" s="44">
        <f>IF(AND(MIP_4[Exc]=0,MIP_4[Previsto / Realizado]="Realizado"),MIP_4[Sem],0)</f>
        <v>0</v>
      </c>
      <c r="AP50" s="29">
        <f>IF(AND(MIP_4[Exc]=0,MIP_4[Previsto / Realizado]="Realizado",ISBLANK(MIP_4[[#This Row],[S.B Sitrack]])=FALSE,ISBLANK(MIP_4[[#This Row],[C.B Sitrack]])=FALSE),MIP_4[Sem],0)</f>
        <v>0</v>
      </c>
    </row>
    <row r="51" spans="1:42" ht="63" x14ac:dyDescent="0.25">
      <c r="A51" s="44">
        <f>WEEKNUM(MIP_4[[#This Row],[Data]])</f>
        <v>21</v>
      </c>
      <c r="B51" s="45">
        <v>42877</v>
      </c>
      <c r="C51" s="45"/>
      <c r="D51" s="83" t="s">
        <v>439</v>
      </c>
      <c r="E51" s="35" t="s">
        <v>2</v>
      </c>
      <c r="F51" s="83"/>
      <c r="G51" s="44">
        <v>2</v>
      </c>
      <c r="H51" s="44">
        <v>2</v>
      </c>
      <c r="I51" s="44">
        <v>0</v>
      </c>
      <c r="J51" s="44">
        <v>1</v>
      </c>
      <c r="K51" s="44">
        <v>0</v>
      </c>
      <c r="L51" s="43">
        <v>0.62777777777777777</v>
      </c>
      <c r="M51" s="43">
        <v>0.67708333333333337</v>
      </c>
      <c r="N51" s="43">
        <f>1+55/24/60</f>
        <v>1.0381944444444444</v>
      </c>
      <c r="O51" s="43">
        <f>1+61/24/60</f>
        <v>1.0423611111111111</v>
      </c>
      <c r="P51" s="39"/>
      <c r="Q51" s="42" t="s">
        <v>454</v>
      </c>
      <c r="R51" s="44">
        <f>MIP_4[[#This Row],[PT-1]]+MIP_4[[#This Row],[PT-2]]*2+MIP_4[[#This Row],[PT-3]]*3+MIP_4[[#This Row],[PT &gt; 3 Pontos]]</f>
        <v>5</v>
      </c>
      <c r="S5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5.3472222222222254E-2</v>
      </c>
      <c r="T5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5.3472222222222254E-2</v>
      </c>
      <c r="U51" s="41">
        <f ca="1">MIP_4[[#This Row],[Eficiência]]</f>
        <v>0.35324885790800259</v>
      </c>
      <c r="V5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1" s="39">
        <f>IF(MIP_4[[#This Row],[P.S]]-MIP_4[[#This Row],[P.E]]&lt;0,1+MIP_4[[#This Row],[P.S]]-MIP_4[[#This Row],[P.E]]-1/24,MIP_4[[#This Row],[P.S]]-MIP_4[[#This Row],[P.E]]-1/24)</f>
        <v>0.37291666666666662</v>
      </c>
      <c r="X51" s="39">
        <f ca="1">MIP_4[[#This Row],[PT-1]]*$S$3+MIP_4[[#This Row],[PT-2]]*$T$3+MIP_4[[#This Row],[PT-3]]*$U$3+MIP_4[[#This Row],[PT &gt; 3 Pontos]]*$V$3</f>
        <v>0.11284338516505635</v>
      </c>
      <c r="Y51" s="39">
        <f>MIP_4[[#This Row],[HH disponível]]-MIP_4[[#This Row],[HH AC TOT]]</f>
        <v>0.31944444444444436</v>
      </c>
      <c r="Z51" s="38">
        <f ca="1">MIP_4[[#This Row],[HH Produtivo
Total]]/MIP_4[[#This Row],[HH Trabalhado]]</f>
        <v>0.35324885790800259</v>
      </c>
      <c r="AA51" s="38">
        <f ca="1">MIP_4[[#This Row],[HH Produtivo
Total]]/MIP_4[[#This Row],[HH disponível]]</f>
        <v>0.30259678703478798</v>
      </c>
      <c r="AB51" s="38">
        <f>MIP_4[[#This Row],[HH Trabalhado]]/MIP_4[[#This Row],[HH disponível]]</f>
        <v>0.85661080074487883</v>
      </c>
      <c r="AC51" s="37" t="str">
        <f>LEFT(MIP_4[[#This Row],[Equipe]], SEARCH("/",MIP_4[[#This Row],[Equipe]],1)-1)</f>
        <v xml:space="preserve">ADEMÁRIO </v>
      </c>
      <c r="AD51" s="37" t="str">
        <f>RIGHT(MIP_4[[#This Row],[Equipe]], LEN(MIP_4[[#This Row],[Equipe]])-SEARCH("/",MIP_4[[#This Row],[Equipe]],1))</f>
        <v xml:space="preserve"> ANDERSON</v>
      </c>
      <c r="AE51" s="44">
        <f>COUNTIFS('[1]Tempo parado'!G:G,"&gt;="&amp;MIP_4[[#This Row],[S.B Sitrack]],'[1]Tempo parado'!H:H,"&lt;="&amp;MIP_4[[#This Row],[C.B Sitrack]],'[1]Tempo parado'!A:A,MIP_4[[#This Row],[Placa]])</f>
        <v>0</v>
      </c>
      <c r="AF51" s="36"/>
      <c r="AG51" s="35"/>
      <c r="AH51" s="34"/>
      <c r="AI51" s="34"/>
      <c r="AJ5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1" s="32" t="str">
        <f>IFERROR(MIP_4[[#This Row],[Tempo parado]]/(MIP_4[[#This Row],[C.B Sitrack]]-MIP_4[[#This Row],[S.B Sitrack]]),"")</f>
        <v/>
      </c>
      <c r="AN51" s="30"/>
      <c r="AO51" s="44">
        <f>IF(AND(MIP_4[Exc]=0,MIP_4[Previsto / Realizado]="Realizado"),MIP_4[Sem],0)</f>
        <v>21</v>
      </c>
      <c r="AP51" s="29">
        <f>IF(AND(MIP_4[Exc]=0,MIP_4[Previsto / Realizado]="Realizado",ISBLANK(MIP_4[[#This Row],[S.B Sitrack]])=FALSE,ISBLANK(MIP_4[[#This Row],[C.B Sitrack]])=FALSE),MIP_4[Sem],0)</f>
        <v>0</v>
      </c>
    </row>
    <row r="52" spans="1:42" ht="15.75" x14ac:dyDescent="0.25">
      <c r="A52" s="44">
        <f>WEEKNUM(MIP_4[[#This Row],[Data]])</f>
        <v>21</v>
      </c>
      <c r="B52" s="45">
        <v>42878</v>
      </c>
      <c r="C52" s="45"/>
      <c r="D52" s="35" t="s">
        <v>10</v>
      </c>
      <c r="E52" s="35" t="s">
        <v>5</v>
      </c>
      <c r="F52" s="35"/>
      <c r="G52" s="44">
        <v>2</v>
      </c>
      <c r="H52" s="44">
        <v>13</v>
      </c>
      <c r="I52" s="44">
        <v>2</v>
      </c>
      <c r="J52" s="44">
        <v>1</v>
      </c>
      <c r="K52" s="44">
        <v>0</v>
      </c>
      <c r="L52" s="43">
        <v>0.25</v>
      </c>
      <c r="M52" s="43">
        <v>0.27083333333333331</v>
      </c>
      <c r="N52" s="43">
        <v>0.63750000000000007</v>
      </c>
      <c r="O52" s="43">
        <v>0.65833333333333333</v>
      </c>
      <c r="P52" s="39"/>
      <c r="Q52" s="42"/>
      <c r="R52" s="44">
        <f>MIP_4[[#This Row],[PT-1]]+MIP_4[[#This Row],[PT-2]]*2+MIP_4[[#This Row],[PT-3]]*3+MIP_4[[#This Row],[PT &gt; 3 Pontos]]</f>
        <v>20</v>
      </c>
      <c r="S5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5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52" s="41">
        <f ca="1">MIP_4[[#This Row],[Eficiência]]</f>
        <v>1.4644470766753366</v>
      </c>
      <c r="V5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2" s="39">
        <f>IF(MIP_4[[#This Row],[P.S]]-MIP_4[[#This Row],[P.E]]&lt;0,1+MIP_4[[#This Row],[P.S]]-MIP_4[[#This Row],[P.E]]-1/24,MIP_4[[#This Row],[P.S]]-MIP_4[[#This Row],[P.E]]-1/24)</f>
        <v>0.36666666666666664</v>
      </c>
      <c r="X52" s="39">
        <f ca="1">MIP_4[[#This Row],[PT-1]]*$S$3+MIP_4[[#This Row],[PT-2]]*$T$3+MIP_4[[#This Row],[PT-3]]*$U$3+MIP_4[[#This Row],[PT &gt; 3 Pontos]]*$V$3</f>
        <v>0.47594529991948448</v>
      </c>
      <c r="Y52" s="39">
        <f>MIP_4[[#This Row],[HH disponível]]-MIP_4[[#This Row],[HH AC TOT]]</f>
        <v>0.32500000000000007</v>
      </c>
      <c r="Z52" s="38">
        <f ca="1">MIP_4[[#This Row],[HH Produtivo
Total]]/MIP_4[[#This Row],[HH Trabalhado]]</f>
        <v>1.4644470766753366</v>
      </c>
      <c r="AA52" s="38">
        <f ca="1">MIP_4[[#This Row],[HH Produtivo
Total]]/MIP_4[[#This Row],[HH disponível]]</f>
        <v>1.2980326361440486</v>
      </c>
      <c r="AB52" s="38">
        <f>MIP_4[[#This Row],[HH Trabalhado]]/MIP_4[[#This Row],[HH disponível]]</f>
        <v>0.88636363636363658</v>
      </c>
      <c r="AC52" s="37" t="str">
        <f>LEFT(MIP_4[[#This Row],[Equipe]], SEARCH("/",MIP_4[[#This Row],[Equipe]],1)-1)</f>
        <v xml:space="preserve">JOILSON </v>
      </c>
      <c r="AD52" s="37" t="str">
        <f>RIGHT(MIP_4[[#This Row],[Equipe]], LEN(MIP_4[[#This Row],[Equipe]])-SEARCH("/",MIP_4[[#This Row],[Equipe]],1))</f>
        <v xml:space="preserve"> VALDEI</v>
      </c>
      <c r="AE52" s="44">
        <f>COUNTIFS('[1]Tempo parado'!G:G,"&gt;="&amp;MIP_4[[#This Row],[S.B Sitrack]],'[1]Tempo parado'!H:H,"&lt;="&amp;MIP_4[[#This Row],[C.B Sitrack]],'[1]Tempo parado'!A:A,MIP_4[[#This Row],[Placa]])</f>
        <v>0</v>
      </c>
      <c r="AF52" s="36"/>
      <c r="AG52" s="35"/>
      <c r="AH52" s="34"/>
      <c r="AI52" s="34"/>
      <c r="AJ5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2" s="32" t="str">
        <f>IFERROR(MIP_4[[#This Row],[Tempo parado]]/(MIP_4[[#This Row],[C.B Sitrack]]-MIP_4[[#This Row],[S.B Sitrack]]),"")</f>
        <v/>
      </c>
      <c r="AN52" s="30"/>
      <c r="AO52" s="44">
        <f>IF(AND(MIP_4[Exc]=0,MIP_4[Previsto / Realizado]="Realizado"),MIP_4[Sem],0)</f>
        <v>0</v>
      </c>
      <c r="AP52" s="29">
        <f>IF(AND(MIP_4[Exc]=0,MIP_4[Previsto / Realizado]="Realizado",ISBLANK(MIP_4[[#This Row],[S.B Sitrack]])=FALSE,ISBLANK(MIP_4[[#This Row],[C.B Sitrack]])=FALSE),MIP_4[Sem],0)</f>
        <v>0</v>
      </c>
    </row>
    <row r="53" spans="1:42" ht="15.75" x14ac:dyDescent="0.25">
      <c r="A53" s="44">
        <f>WEEKNUM(MIP_4[[#This Row],[Data]])</f>
        <v>21</v>
      </c>
      <c r="B53" s="45">
        <v>42878</v>
      </c>
      <c r="C53" s="45"/>
      <c r="D53" s="35" t="s">
        <v>10</v>
      </c>
      <c r="E53" s="35" t="s">
        <v>2</v>
      </c>
      <c r="F53" s="35"/>
      <c r="G53" s="44">
        <v>2</v>
      </c>
      <c r="H53" s="44">
        <v>8</v>
      </c>
      <c r="I53" s="44">
        <v>2</v>
      </c>
      <c r="J53" s="44">
        <v>1</v>
      </c>
      <c r="K53" s="44">
        <v>0</v>
      </c>
      <c r="L53" s="43">
        <v>0.24930555555555556</v>
      </c>
      <c r="M53" s="43">
        <v>0.27777777777777779</v>
      </c>
      <c r="N53" s="43">
        <v>0.63541666666666663</v>
      </c>
      <c r="O53" s="43">
        <v>0.66041666666666665</v>
      </c>
      <c r="P53" s="39"/>
      <c r="Q53" s="42"/>
      <c r="R53" s="44">
        <f>MIP_4[[#This Row],[PT-1]]+MIP_4[[#This Row],[PT-2]]*2+MIP_4[[#This Row],[PT-3]]*3+MIP_4[[#This Row],[PT &gt; 3 Pontos]]</f>
        <v>15</v>
      </c>
      <c r="S5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5.3472222222222254E-2</v>
      </c>
      <c r="T5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5.3472222222222254E-2</v>
      </c>
      <c r="U53" s="41">
        <f ca="1">MIP_4[[#This Row],[Eficiência]]</f>
        <v>1.110274924351011</v>
      </c>
      <c r="V5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3" s="39">
        <f>IF(MIP_4[[#This Row],[P.S]]-MIP_4[[#This Row],[P.E]]&lt;0,1+MIP_4[[#This Row],[P.S]]-MIP_4[[#This Row],[P.E]]-1/24,MIP_4[[#This Row],[P.S]]-MIP_4[[#This Row],[P.E]]-1/24)</f>
        <v>0.36944444444444441</v>
      </c>
      <c r="X53" s="39">
        <f ca="1">MIP_4[[#This Row],[PT-1]]*$S$3+MIP_4[[#This Row],[PT-2]]*$T$3+MIP_4[[#This Row],[PT-3]]*$U$3+MIP_4[[#This Row],[PT &gt; 3 Pontos]]*$V$3</f>
        <v>0.35081603512479859</v>
      </c>
      <c r="Y53" s="39">
        <f>MIP_4[[#This Row],[HH disponível]]-MIP_4[[#This Row],[HH AC TOT]]</f>
        <v>0.31597222222222215</v>
      </c>
      <c r="Z53" s="38">
        <f ca="1">MIP_4[[#This Row],[HH Produtivo
Total]]/MIP_4[[#This Row],[HH Trabalhado]]</f>
        <v>1.110274924351011</v>
      </c>
      <c r="AA53" s="38">
        <f ca="1">MIP_4[[#This Row],[HH Produtivo
Total]]/MIP_4[[#This Row],[HH disponível]]</f>
        <v>0.94957723793178572</v>
      </c>
      <c r="AB53" s="38">
        <f>MIP_4[[#This Row],[HH Trabalhado]]/MIP_4[[#This Row],[HH disponível]]</f>
        <v>0.85526315789473673</v>
      </c>
      <c r="AC53" s="37" t="str">
        <f>LEFT(MIP_4[[#This Row],[Equipe]], SEARCH("/",MIP_4[[#This Row],[Equipe]],1)-1)</f>
        <v xml:space="preserve">JOILSON </v>
      </c>
      <c r="AD53" s="37" t="str">
        <f>RIGHT(MIP_4[[#This Row],[Equipe]], LEN(MIP_4[[#This Row],[Equipe]])-SEARCH("/",MIP_4[[#This Row],[Equipe]],1))</f>
        <v xml:space="preserve"> VALDEI</v>
      </c>
      <c r="AE53" s="44">
        <f>COUNTIFS('[1]Tempo parado'!G:G,"&gt;="&amp;MIP_4[[#This Row],[S.B Sitrack]],'[1]Tempo parado'!H:H,"&lt;="&amp;MIP_4[[#This Row],[C.B Sitrack]],'[1]Tempo parado'!A:A,MIP_4[[#This Row],[Placa]])</f>
        <v>0</v>
      </c>
      <c r="AF53" s="36"/>
      <c r="AG53" s="35"/>
      <c r="AH53" s="34"/>
      <c r="AI53" s="34"/>
      <c r="AJ5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3" s="32" t="str">
        <f>IFERROR(MIP_4[[#This Row],[Tempo parado]]/(MIP_4[[#This Row],[C.B Sitrack]]-MIP_4[[#This Row],[S.B Sitrack]]),"")</f>
        <v/>
      </c>
      <c r="AN53" s="30"/>
      <c r="AO53" s="44">
        <f>IF(AND(MIP_4[Exc]=0,MIP_4[Previsto / Realizado]="Realizado"),MIP_4[Sem],0)</f>
        <v>21</v>
      </c>
      <c r="AP53" s="29">
        <f>IF(AND(MIP_4[Exc]=0,MIP_4[Previsto / Realizado]="Realizado",ISBLANK(MIP_4[[#This Row],[S.B Sitrack]])=FALSE,ISBLANK(MIP_4[[#This Row],[C.B Sitrack]])=FALSE),MIP_4[Sem],0)</f>
        <v>0</v>
      </c>
    </row>
    <row r="54" spans="1:42" ht="63" x14ac:dyDescent="0.25">
      <c r="A54" s="44">
        <f>WEEKNUM(MIP_4[[#This Row],[Data]])</f>
        <v>21</v>
      </c>
      <c r="B54" s="45">
        <v>42878</v>
      </c>
      <c r="C54" s="45"/>
      <c r="D54" s="83" t="s">
        <v>439</v>
      </c>
      <c r="E54" s="35" t="s">
        <v>5</v>
      </c>
      <c r="F54" s="83"/>
      <c r="G54" s="44">
        <v>2</v>
      </c>
      <c r="H54" s="44">
        <v>8</v>
      </c>
      <c r="I54" s="44">
        <v>3</v>
      </c>
      <c r="J54" s="44">
        <v>1</v>
      </c>
      <c r="K54" s="44">
        <v>0</v>
      </c>
      <c r="L54" s="43">
        <v>0.625</v>
      </c>
      <c r="M54" s="43">
        <v>0.64583333333333337</v>
      </c>
      <c r="N54" s="43">
        <f>1+18/24/60</f>
        <v>1.0125</v>
      </c>
      <c r="O54" s="43">
        <f>1+48/24/60</f>
        <v>1.0333333333333334</v>
      </c>
      <c r="P54" s="39"/>
      <c r="Q54" s="42"/>
      <c r="R54" s="44">
        <f>MIP_4[[#This Row],[PT-1]]+MIP_4[[#This Row],[PT-2]]*2+MIP_4[[#This Row],[PT-3]]*3+MIP_4[[#This Row],[PT &gt; 3 Pontos]]</f>
        <v>17</v>
      </c>
      <c r="S5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5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54" s="41">
        <f ca="1">MIP_4[[#This Row],[Eficiência]]</f>
        <v>1.2145378499318717</v>
      </c>
      <c r="V5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4" s="39">
        <f>IF(MIP_4[[#This Row],[P.S]]-MIP_4[[#This Row],[P.E]]&lt;0,1+MIP_4[[#This Row],[P.S]]-MIP_4[[#This Row],[P.E]]-1/24,MIP_4[[#This Row],[P.S]]-MIP_4[[#This Row],[P.E]]-1/24)</f>
        <v>0.36666666666666675</v>
      </c>
      <c r="X54" s="39">
        <f ca="1">MIP_4[[#This Row],[PT-1]]*$S$3+MIP_4[[#This Row],[PT-2]]*$T$3+MIP_4[[#This Row],[PT-3]]*$U$3+MIP_4[[#This Row],[PT &gt; 3 Pontos]]*$V$3</f>
        <v>0.39472480122785819</v>
      </c>
      <c r="Y54" s="39">
        <f>MIP_4[[#This Row],[HH disponível]]-MIP_4[[#This Row],[HH AC TOT]]</f>
        <v>0.3249999999999999</v>
      </c>
      <c r="Z54" s="38">
        <f ca="1">MIP_4[[#This Row],[HH Produtivo
Total]]/MIP_4[[#This Row],[HH Trabalhado]]</f>
        <v>1.2145378499318717</v>
      </c>
      <c r="AA54" s="38">
        <f ca="1">MIP_4[[#This Row],[HH Produtivo
Total]]/MIP_4[[#This Row],[HH disponível]]</f>
        <v>1.0765221851668858</v>
      </c>
      <c r="AB54" s="38">
        <f>MIP_4[[#This Row],[HH Trabalhado]]/MIP_4[[#This Row],[HH disponível]]</f>
        <v>0.88636363636363591</v>
      </c>
      <c r="AC54" s="37" t="str">
        <f>LEFT(MIP_4[[#This Row],[Equipe]], SEARCH("/",MIP_4[[#This Row],[Equipe]],1)-1)</f>
        <v xml:space="preserve">ADEMÁRIO </v>
      </c>
      <c r="AD54" s="37" t="str">
        <f>RIGHT(MIP_4[[#This Row],[Equipe]], LEN(MIP_4[[#This Row],[Equipe]])-SEARCH("/",MIP_4[[#This Row],[Equipe]],1))</f>
        <v xml:space="preserve"> ANDERSON</v>
      </c>
      <c r="AE54" s="44">
        <f>COUNTIFS('[1]Tempo parado'!G:G,"&gt;="&amp;MIP_4[[#This Row],[S.B Sitrack]],'[1]Tempo parado'!H:H,"&lt;="&amp;MIP_4[[#This Row],[C.B Sitrack]],'[1]Tempo parado'!A:A,MIP_4[[#This Row],[Placa]])</f>
        <v>0</v>
      </c>
      <c r="AF54" s="36"/>
      <c r="AG54" s="35"/>
      <c r="AH54" s="34"/>
      <c r="AI54" s="34"/>
      <c r="AJ5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4" s="32" t="str">
        <f>IFERROR(MIP_4[[#This Row],[Tempo parado]]/(MIP_4[[#This Row],[C.B Sitrack]]-MIP_4[[#This Row],[S.B Sitrack]]),"")</f>
        <v/>
      </c>
      <c r="AN54" s="30"/>
      <c r="AO54" s="44">
        <f>IF(AND(MIP_4[Exc]=0,MIP_4[Previsto / Realizado]="Realizado"),MIP_4[Sem],0)</f>
        <v>0</v>
      </c>
      <c r="AP54" s="29">
        <f>IF(AND(MIP_4[Exc]=0,MIP_4[Previsto / Realizado]="Realizado",ISBLANK(MIP_4[[#This Row],[S.B Sitrack]])=FALSE,ISBLANK(MIP_4[[#This Row],[C.B Sitrack]])=FALSE),MIP_4[Sem],0)</f>
        <v>0</v>
      </c>
    </row>
    <row r="55" spans="1:42" ht="63" x14ac:dyDescent="0.25">
      <c r="A55" s="44">
        <f>WEEKNUM(MIP_4[[#This Row],[Data]])</f>
        <v>21</v>
      </c>
      <c r="B55" s="45">
        <v>42878</v>
      </c>
      <c r="C55" s="45"/>
      <c r="D55" s="83" t="s">
        <v>439</v>
      </c>
      <c r="E55" s="35" t="s">
        <v>2</v>
      </c>
      <c r="F55" s="83"/>
      <c r="G55" s="44">
        <v>2</v>
      </c>
      <c r="H55" s="44">
        <v>7</v>
      </c>
      <c r="I55" s="44">
        <v>1</v>
      </c>
      <c r="J55" s="44">
        <v>0</v>
      </c>
      <c r="K55" s="44">
        <v>0</v>
      </c>
      <c r="L55" s="43">
        <v>0.64444444444444449</v>
      </c>
      <c r="M55" s="43">
        <v>0.66805555555555562</v>
      </c>
      <c r="N55" s="43">
        <f>1+42/24/60</f>
        <v>1.0291666666666666</v>
      </c>
      <c r="O55" s="43">
        <f>1+54/24/60</f>
        <v>1.0375000000000001</v>
      </c>
      <c r="P55" s="39"/>
      <c r="Q55" s="42"/>
      <c r="R55" s="44">
        <f>MIP_4[[#This Row],[PT-1]]+MIP_4[[#This Row],[PT-2]]*2+MIP_4[[#This Row],[PT-3]]*3+MIP_4[[#This Row],[PT &gt; 3 Pontos]]</f>
        <v>9</v>
      </c>
      <c r="S5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3.1944444444444664E-2</v>
      </c>
      <c r="T5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3.1944444444444664E-2</v>
      </c>
      <c r="U55" s="41">
        <f ca="1">MIP_4[[#This Row],[Eficiência]]</f>
        <v>0.68584613264020167</v>
      </c>
      <c r="V5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5" s="39">
        <f>IF(MIP_4[[#This Row],[P.S]]-MIP_4[[#This Row],[P.E]]&lt;0,1+MIP_4[[#This Row],[P.S]]-MIP_4[[#This Row],[P.E]]-1/24,MIP_4[[#This Row],[P.S]]-MIP_4[[#This Row],[P.E]]-1/24)</f>
        <v>0.35138888888888892</v>
      </c>
      <c r="X55" s="39">
        <f ca="1">MIP_4[[#This Row],[PT-1]]*$S$3+MIP_4[[#This Row],[PT-2]]*$T$3+MIP_4[[#This Row],[PT-3]]*$U$3+MIP_4[[#This Row],[PT &gt; 3 Pontos]]*$V$3</f>
        <v>0.21908973681561986</v>
      </c>
      <c r="Y55" s="39">
        <f>MIP_4[[#This Row],[HH disponível]]-MIP_4[[#This Row],[HH AC TOT]]</f>
        <v>0.31944444444444425</v>
      </c>
      <c r="Z55" s="38">
        <f ca="1">MIP_4[[#This Row],[HH Produtivo
Total]]/MIP_4[[#This Row],[HH Trabalhado]]</f>
        <v>0.68584613264020167</v>
      </c>
      <c r="AA55" s="38">
        <f ca="1">MIP_4[[#This Row],[HH Produtivo
Total]]/MIP_4[[#This Row],[HH disponível]]</f>
        <v>0.62349648421836479</v>
      </c>
      <c r="AB55" s="38">
        <f>MIP_4[[#This Row],[HH Trabalhado]]/MIP_4[[#This Row],[HH disponível]]</f>
        <v>0.90909090909090851</v>
      </c>
      <c r="AC55" s="37" t="str">
        <f>LEFT(MIP_4[[#This Row],[Equipe]], SEARCH("/",MIP_4[[#This Row],[Equipe]],1)-1)</f>
        <v xml:space="preserve">ADEMÁRIO </v>
      </c>
      <c r="AD55" s="37" t="str">
        <f>RIGHT(MIP_4[[#This Row],[Equipe]], LEN(MIP_4[[#This Row],[Equipe]])-SEARCH("/",MIP_4[[#This Row],[Equipe]],1))</f>
        <v xml:space="preserve"> ANDERSON</v>
      </c>
      <c r="AE55" s="44">
        <f>COUNTIFS('[1]Tempo parado'!G:G,"&gt;="&amp;MIP_4[[#This Row],[S.B Sitrack]],'[1]Tempo parado'!H:H,"&lt;="&amp;MIP_4[[#This Row],[C.B Sitrack]],'[1]Tempo parado'!A:A,MIP_4[[#This Row],[Placa]])</f>
        <v>0</v>
      </c>
      <c r="AF55" s="36"/>
      <c r="AG55" s="35"/>
      <c r="AH55" s="34"/>
      <c r="AI55" s="34"/>
      <c r="AJ5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5" s="32" t="str">
        <f>IFERROR(MIP_4[[#This Row],[Tempo parado]]/(MIP_4[[#This Row],[C.B Sitrack]]-MIP_4[[#This Row],[S.B Sitrack]]),"")</f>
        <v/>
      </c>
      <c r="AN55" s="30"/>
      <c r="AO55" s="44">
        <f>IF(AND(MIP_4[Exc]=0,MIP_4[Previsto / Realizado]="Realizado"),MIP_4[Sem],0)</f>
        <v>21</v>
      </c>
      <c r="AP55" s="29">
        <f>IF(AND(MIP_4[Exc]=0,MIP_4[Previsto / Realizado]="Realizado",ISBLANK(MIP_4[[#This Row],[S.B Sitrack]])=FALSE,ISBLANK(MIP_4[[#This Row],[C.B Sitrack]])=FALSE),MIP_4[Sem],0)</f>
        <v>0</v>
      </c>
    </row>
    <row r="56" spans="1:42" ht="15.75" x14ac:dyDescent="0.25">
      <c r="A56" s="44">
        <f>WEEKNUM(MIP_4[[#This Row],[Data]])</f>
        <v>21</v>
      </c>
      <c r="B56" s="45">
        <v>42878</v>
      </c>
      <c r="C56" s="45"/>
      <c r="D56" s="35" t="s">
        <v>3</v>
      </c>
      <c r="E56" s="35" t="s">
        <v>5</v>
      </c>
      <c r="F56" s="35"/>
      <c r="G56" s="44">
        <v>2</v>
      </c>
      <c r="H56" s="44">
        <v>2</v>
      </c>
      <c r="I56" s="44">
        <v>0</v>
      </c>
      <c r="J56" s="44">
        <v>1</v>
      </c>
      <c r="K56" s="44">
        <v>11</v>
      </c>
      <c r="L56" s="43">
        <v>0.625</v>
      </c>
      <c r="M56" s="43">
        <v>0.64583333333333337</v>
      </c>
      <c r="N56" s="43">
        <f>1+18/24/60</f>
        <v>1.0125</v>
      </c>
      <c r="O56" s="43">
        <f>1+48/24/60</f>
        <v>1.0333333333333334</v>
      </c>
      <c r="P56" s="39"/>
      <c r="Q56" s="42"/>
      <c r="R56" s="44">
        <f>MIP_4[[#This Row],[PT-1]]+MIP_4[[#This Row],[PT-2]]*2+MIP_4[[#This Row],[PT-3]]*3+MIP_4[[#This Row],[PT &gt; 3 Pontos]]</f>
        <v>16</v>
      </c>
      <c r="S5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5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56" s="41">
        <f ca="1">MIP_4[[#This Row],[Eficiência]]</f>
        <v>1.0325277072408723</v>
      </c>
      <c r="V5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6" s="39">
        <f>IF(MIP_4[[#This Row],[P.S]]-MIP_4[[#This Row],[P.E]]&lt;0,1+MIP_4[[#This Row],[P.S]]-MIP_4[[#This Row],[P.E]]-1/24,MIP_4[[#This Row],[P.S]]-MIP_4[[#This Row],[P.E]]-1/24)</f>
        <v>0.36666666666666675</v>
      </c>
      <c r="X56" s="39">
        <f ca="1">MIP_4[[#This Row],[PT-1]]*$S$3+MIP_4[[#This Row],[PT-2]]*$T$3+MIP_4[[#This Row],[PT-3]]*$U$3+MIP_4[[#This Row],[PT &gt; 3 Pontos]]*$V$3</f>
        <v>0.33557150485328335</v>
      </c>
      <c r="Y56" s="39">
        <f>MIP_4[[#This Row],[HH disponível]]-MIP_4[[#This Row],[HH AC TOT]]</f>
        <v>0.3249999999999999</v>
      </c>
      <c r="Z56" s="38">
        <f ca="1">MIP_4[[#This Row],[HH Produtivo
Total]]/MIP_4[[#This Row],[HH Trabalhado]]</f>
        <v>1.0325277072408723</v>
      </c>
      <c r="AA56" s="38">
        <f ca="1">MIP_4[[#This Row],[HH Produtivo
Total]]/MIP_4[[#This Row],[HH disponível]]</f>
        <v>0.9151950132362271</v>
      </c>
      <c r="AB56" s="38">
        <f>MIP_4[[#This Row],[HH Trabalhado]]/MIP_4[[#This Row],[HH disponível]]</f>
        <v>0.88636363636363591</v>
      </c>
      <c r="AC56" s="37" t="str">
        <f>LEFT(MIP_4[[#This Row],[Equipe]], SEARCH("/",MIP_4[[#This Row],[Equipe]],1)-1)</f>
        <v xml:space="preserve">EDILTON </v>
      </c>
      <c r="AD56" s="37" t="str">
        <f>RIGHT(MIP_4[[#This Row],[Equipe]], LEN(MIP_4[[#This Row],[Equipe]])-SEARCH("/",MIP_4[[#This Row],[Equipe]],1))</f>
        <v xml:space="preserve"> GECIVALDO</v>
      </c>
      <c r="AE56" s="44">
        <f>COUNTIFS('[1]Tempo parado'!G:G,"&gt;="&amp;MIP_4[[#This Row],[S.B Sitrack]],'[1]Tempo parado'!H:H,"&lt;="&amp;MIP_4[[#This Row],[C.B Sitrack]],'[1]Tempo parado'!A:A,MIP_4[[#This Row],[Placa]])</f>
        <v>0</v>
      </c>
      <c r="AF56" s="36"/>
      <c r="AG56" s="35"/>
      <c r="AH56" s="34"/>
      <c r="AI56" s="34"/>
      <c r="AJ5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6" s="32" t="str">
        <f>IFERROR(MIP_4[[#This Row],[Tempo parado]]/(MIP_4[[#This Row],[C.B Sitrack]]-MIP_4[[#This Row],[S.B Sitrack]]),"")</f>
        <v/>
      </c>
      <c r="AN56" s="30"/>
      <c r="AO56" s="44">
        <f>IF(AND(MIP_4[Exc]=0,MIP_4[Previsto / Realizado]="Realizado"),MIP_4[Sem],0)</f>
        <v>0</v>
      </c>
      <c r="AP56" s="29">
        <f>IF(AND(MIP_4[Exc]=0,MIP_4[Previsto / Realizado]="Realizado",ISBLANK(MIP_4[[#This Row],[S.B Sitrack]])=FALSE,ISBLANK(MIP_4[[#This Row],[C.B Sitrack]])=FALSE),MIP_4[Sem],0)</f>
        <v>0</v>
      </c>
    </row>
    <row r="57" spans="1:42" ht="15.75" x14ac:dyDescent="0.25">
      <c r="A57" s="44">
        <f>WEEKNUM(MIP_4[[#This Row],[Data]])</f>
        <v>21</v>
      </c>
      <c r="B57" s="45">
        <v>42878</v>
      </c>
      <c r="C57" s="45"/>
      <c r="D57" s="35" t="s">
        <v>3</v>
      </c>
      <c r="E57" s="35" t="s">
        <v>2</v>
      </c>
      <c r="F57" s="35"/>
      <c r="G57" s="44">
        <v>2</v>
      </c>
      <c r="H57" s="44">
        <v>2</v>
      </c>
      <c r="I57" s="44">
        <v>0</v>
      </c>
      <c r="J57" s="44">
        <v>0</v>
      </c>
      <c r="K57" s="44">
        <v>4</v>
      </c>
      <c r="L57" s="43">
        <v>0.62083333333333335</v>
      </c>
      <c r="M57" s="43">
        <v>0.66805555555555562</v>
      </c>
      <c r="N57" s="43">
        <v>0.9916666666666667</v>
      </c>
      <c r="O57" s="43">
        <f>1+55/24/60</f>
        <v>1.0381944444444444</v>
      </c>
      <c r="P57" s="39"/>
      <c r="Q57" s="42" t="s">
        <v>453</v>
      </c>
      <c r="R57" s="44">
        <f>MIP_4[[#This Row],[PT-1]]+MIP_4[[#This Row],[PT-2]]*2+MIP_4[[#This Row],[PT-3]]*3+MIP_4[[#This Row],[PT &gt; 3 Pontos]]</f>
        <v>6</v>
      </c>
      <c r="S5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9.375E-2</v>
      </c>
      <c r="T5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9.375E-2</v>
      </c>
      <c r="U57" s="41">
        <f ca="1">MIP_4[[#This Row],[Eficiência]]</f>
        <v>0.46478571230257898</v>
      </c>
      <c r="V5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7" s="39">
        <f>IF(MIP_4[[#This Row],[P.S]]-MIP_4[[#This Row],[P.E]]&lt;0,1+MIP_4[[#This Row],[P.S]]-MIP_4[[#This Row],[P.E]]-1/24,MIP_4[[#This Row],[P.S]]-MIP_4[[#This Row],[P.E]]-1/24)</f>
        <v>0.37569444444444439</v>
      </c>
      <c r="X57" s="39">
        <f ca="1">MIP_4[[#This Row],[PT-1]]*$S$3+MIP_4[[#This Row],[PT-2]]*$T$3+MIP_4[[#This Row],[PT-3]]*$U$3+MIP_4[[#This Row],[PT &gt; 3 Pontos]]*$V$3</f>
        <v>0.131043749440866</v>
      </c>
      <c r="Y57" s="39">
        <f>MIP_4[[#This Row],[HH disponível]]-MIP_4[[#This Row],[HH AC TOT]]</f>
        <v>0.28194444444444439</v>
      </c>
      <c r="Z57" s="38">
        <f ca="1">MIP_4[[#This Row],[HH Produtivo
Total]]/MIP_4[[#This Row],[HH Trabalhado]]</f>
        <v>0.46478571230257898</v>
      </c>
      <c r="AA57" s="38">
        <f ca="1">MIP_4[[#This Row],[HH Produtivo
Total]]/MIP_4[[#This Row],[HH disponível]]</f>
        <v>0.3488040650551702</v>
      </c>
      <c r="AB57" s="38">
        <f>MIP_4[[#This Row],[HH Trabalhado]]/MIP_4[[#This Row],[HH disponível]]</f>
        <v>0.75046210720887241</v>
      </c>
      <c r="AC57" s="37" t="str">
        <f>LEFT(MIP_4[[#This Row],[Equipe]], SEARCH("/",MIP_4[[#This Row],[Equipe]],1)-1)</f>
        <v xml:space="preserve">EDILTON </v>
      </c>
      <c r="AD57" s="37" t="str">
        <f>RIGHT(MIP_4[[#This Row],[Equipe]], LEN(MIP_4[[#This Row],[Equipe]])-SEARCH("/",MIP_4[[#This Row],[Equipe]],1))</f>
        <v xml:space="preserve"> GECIVALDO</v>
      </c>
      <c r="AE57" s="44">
        <f>COUNTIFS('[1]Tempo parado'!G:G,"&gt;="&amp;MIP_4[[#This Row],[S.B Sitrack]],'[1]Tempo parado'!H:H,"&lt;="&amp;MIP_4[[#This Row],[C.B Sitrack]],'[1]Tempo parado'!A:A,MIP_4[[#This Row],[Placa]])</f>
        <v>0</v>
      </c>
      <c r="AF57" s="36"/>
      <c r="AG57" s="35"/>
      <c r="AH57" s="34"/>
      <c r="AI57" s="34"/>
      <c r="AJ5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7" s="32" t="str">
        <f>IFERROR(MIP_4[[#This Row],[Tempo parado]]/(MIP_4[[#This Row],[C.B Sitrack]]-MIP_4[[#This Row],[S.B Sitrack]]),"")</f>
        <v/>
      </c>
      <c r="AN57" s="30"/>
      <c r="AO57" s="44">
        <f>IF(AND(MIP_4[Exc]=0,MIP_4[Previsto / Realizado]="Realizado"),MIP_4[Sem],0)</f>
        <v>21</v>
      </c>
      <c r="AP57" s="29">
        <f>IF(AND(MIP_4[Exc]=0,MIP_4[Previsto / Realizado]="Realizado",ISBLANK(MIP_4[[#This Row],[S.B Sitrack]])=FALSE,ISBLANK(MIP_4[[#This Row],[C.B Sitrack]])=FALSE),MIP_4[Sem],0)</f>
        <v>0</v>
      </c>
    </row>
    <row r="58" spans="1:42" ht="15.75" x14ac:dyDescent="0.25">
      <c r="A58" s="44">
        <f>WEEKNUM(MIP_4[[#This Row],[Data]])</f>
        <v>21</v>
      </c>
      <c r="B58" s="45">
        <v>42878</v>
      </c>
      <c r="C58" s="45"/>
      <c r="D58" s="35" t="s">
        <v>452</v>
      </c>
      <c r="E58" s="35" t="s">
        <v>5</v>
      </c>
      <c r="F58" s="35"/>
      <c r="G58" s="44">
        <v>2</v>
      </c>
      <c r="H58" s="44">
        <v>12</v>
      </c>
      <c r="I58" s="44">
        <v>1</v>
      </c>
      <c r="J58" s="44">
        <v>0</v>
      </c>
      <c r="K58" s="44">
        <v>0</v>
      </c>
      <c r="L58" s="43">
        <v>0.625</v>
      </c>
      <c r="M58" s="43">
        <v>0.64583333333333337</v>
      </c>
      <c r="N58" s="43">
        <f>1+18/24/60</f>
        <v>1.0125</v>
      </c>
      <c r="O58" s="43">
        <f>1+48/24/60</f>
        <v>1.0333333333333334</v>
      </c>
      <c r="P58" s="39"/>
      <c r="Q58" s="42"/>
      <c r="R58" s="44">
        <f>MIP_4[[#This Row],[PT-1]]+MIP_4[[#This Row],[PT-2]]*2+MIP_4[[#This Row],[PT-3]]*3+MIP_4[[#This Row],[PT &gt; 3 Pontos]]</f>
        <v>14</v>
      </c>
      <c r="S5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5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58" s="41">
        <f ca="1">MIP_4[[#This Row],[Eficiência]]</f>
        <v>1.0591353895701718</v>
      </c>
      <c r="V5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8" s="39">
        <f>IF(MIP_4[[#This Row],[P.S]]-MIP_4[[#This Row],[P.E]]&lt;0,1+MIP_4[[#This Row],[P.S]]-MIP_4[[#This Row],[P.E]]-1/24,MIP_4[[#This Row],[P.S]]-MIP_4[[#This Row],[P.E]]-1/24)</f>
        <v>0.36666666666666675</v>
      </c>
      <c r="X58" s="39">
        <f ca="1">MIP_4[[#This Row],[PT-1]]*$S$3+MIP_4[[#This Row],[PT-2]]*$T$3+MIP_4[[#This Row],[PT-3]]*$U$3+MIP_4[[#This Row],[PT &gt; 3 Pontos]]*$V$3</f>
        <v>0.34421900161030577</v>
      </c>
      <c r="Y58" s="39">
        <f>MIP_4[[#This Row],[HH disponível]]-MIP_4[[#This Row],[HH AC TOT]]</f>
        <v>0.3249999999999999</v>
      </c>
      <c r="Z58" s="38">
        <f ca="1">MIP_4[[#This Row],[HH Produtivo
Total]]/MIP_4[[#This Row],[HH Trabalhado]]</f>
        <v>1.0591353895701718</v>
      </c>
      <c r="AA58" s="38">
        <f ca="1">MIP_4[[#This Row],[HH Produtivo
Total]]/MIP_4[[#This Row],[HH disponível]]</f>
        <v>0.9387790953008337</v>
      </c>
      <c r="AB58" s="38">
        <f>MIP_4[[#This Row],[HH Trabalhado]]/MIP_4[[#This Row],[HH disponível]]</f>
        <v>0.88636363636363591</v>
      </c>
      <c r="AC58" s="37" t="str">
        <f>LEFT(MIP_4[[#This Row],[Equipe]], SEARCH("/",MIP_4[[#This Row],[Equipe]],1)-1)</f>
        <v xml:space="preserve">CLAUDINEY </v>
      </c>
      <c r="AD58" s="37" t="str">
        <f>RIGHT(MIP_4[[#This Row],[Equipe]], LEN(MIP_4[[#This Row],[Equipe]])-SEARCH("/",MIP_4[[#This Row],[Equipe]],1))</f>
        <v xml:space="preserve"> CLEBER</v>
      </c>
      <c r="AE58" s="44">
        <f>COUNTIFS('[1]Tempo parado'!G:G,"&gt;="&amp;MIP_4[[#This Row],[S.B Sitrack]],'[1]Tempo parado'!H:H,"&lt;="&amp;MIP_4[[#This Row],[C.B Sitrack]],'[1]Tempo parado'!A:A,MIP_4[[#This Row],[Placa]])</f>
        <v>0</v>
      </c>
      <c r="AF58" s="36"/>
      <c r="AG58" s="35"/>
      <c r="AH58" s="34"/>
      <c r="AI58" s="34"/>
      <c r="AJ5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8" s="32" t="str">
        <f>IFERROR(MIP_4[[#This Row],[Tempo parado]]/(MIP_4[[#This Row],[C.B Sitrack]]-MIP_4[[#This Row],[S.B Sitrack]]),"")</f>
        <v/>
      </c>
      <c r="AN58" s="30"/>
      <c r="AO58" s="44">
        <f>IF(AND(MIP_4[Exc]=0,MIP_4[Previsto / Realizado]="Realizado"),MIP_4[Sem],0)</f>
        <v>0</v>
      </c>
      <c r="AP58" s="29">
        <f>IF(AND(MIP_4[Exc]=0,MIP_4[Previsto / Realizado]="Realizado",ISBLANK(MIP_4[[#This Row],[S.B Sitrack]])=FALSE,ISBLANK(MIP_4[[#This Row],[C.B Sitrack]])=FALSE),MIP_4[Sem],0)</f>
        <v>0</v>
      </c>
    </row>
    <row r="59" spans="1:42" ht="15.75" x14ac:dyDescent="0.25">
      <c r="A59" s="44">
        <f>WEEKNUM(MIP_4[[#This Row],[Data]])</f>
        <v>21</v>
      </c>
      <c r="B59" s="45">
        <v>42878</v>
      </c>
      <c r="C59" s="45"/>
      <c r="D59" s="35" t="s">
        <v>452</v>
      </c>
      <c r="E59" s="35" t="s">
        <v>2</v>
      </c>
      <c r="F59" s="35"/>
      <c r="G59" s="44">
        <v>2</v>
      </c>
      <c r="H59" s="44">
        <v>12</v>
      </c>
      <c r="I59" s="44">
        <v>1</v>
      </c>
      <c r="J59" s="44">
        <v>0</v>
      </c>
      <c r="K59" s="44">
        <v>0</v>
      </c>
      <c r="L59" s="43">
        <v>0.6166666666666667</v>
      </c>
      <c r="M59" s="43">
        <v>0.67361111111111116</v>
      </c>
      <c r="N59" s="43">
        <f>1+20/24/60</f>
        <v>1.0138888888888888</v>
      </c>
      <c r="O59" s="43">
        <f>1+55/24/60</f>
        <v>1.0381944444444444</v>
      </c>
      <c r="P59" s="39"/>
      <c r="Q59" s="42"/>
      <c r="R59" s="44">
        <f>MIP_4[[#This Row],[PT-1]]+MIP_4[[#This Row],[PT-2]]*2+MIP_4[[#This Row],[PT-3]]*3+MIP_4[[#This Row],[PT &gt; 3 Pontos]]</f>
        <v>14</v>
      </c>
      <c r="S5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8.1250000000000044E-2</v>
      </c>
      <c r="T5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8.1250000000000044E-2</v>
      </c>
      <c r="U59" s="41">
        <f ca="1">MIP_4[[#This Row],[Eficiência]]</f>
        <v>1.1527334007414896</v>
      </c>
      <c r="V5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9" s="39">
        <f>IF(MIP_4[[#This Row],[P.S]]-MIP_4[[#This Row],[P.E]]&lt;0,1+MIP_4[[#This Row],[P.S]]-MIP_4[[#This Row],[P.E]]-1/24,MIP_4[[#This Row],[P.S]]-MIP_4[[#This Row],[P.E]]-1/24)</f>
        <v>0.37986111111111104</v>
      </c>
      <c r="X59" s="39">
        <f ca="1">MIP_4[[#This Row],[PT-1]]*$S$3+MIP_4[[#This Row],[PT-2]]*$T$3+MIP_4[[#This Row],[PT-3]]*$U$3+MIP_4[[#This Row],[PT &gt; 3 Pontos]]*$V$3</f>
        <v>0.34421900161030577</v>
      </c>
      <c r="Y59" s="39">
        <f>MIP_4[[#This Row],[HH disponível]]-MIP_4[[#This Row],[HH AC TOT]]</f>
        <v>0.29861111111111099</v>
      </c>
      <c r="Z59" s="38">
        <f ca="1">MIP_4[[#This Row],[HH Produtivo
Total]]/MIP_4[[#This Row],[HH Trabalhado]]</f>
        <v>1.1527334007414896</v>
      </c>
      <c r="AA59" s="38">
        <f ca="1">MIP_4[[#This Row],[HH Produtivo
Total]]/MIP_4[[#This Row],[HH disponível]]</f>
        <v>0.90617068065601536</v>
      </c>
      <c r="AB59" s="38">
        <f>MIP_4[[#This Row],[HH Trabalhado]]/MIP_4[[#This Row],[HH disponível]]</f>
        <v>0.78610603290676406</v>
      </c>
      <c r="AC59" s="37" t="str">
        <f>LEFT(MIP_4[[#This Row],[Equipe]], SEARCH("/",MIP_4[[#This Row],[Equipe]],1)-1)</f>
        <v xml:space="preserve">CLAUDINEY </v>
      </c>
      <c r="AD59" s="37" t="str">
        <f>RIGHT(MIP_4[[#This Row],[Equipe]], LEN(MIP_4[[#This Row],[Equipe]])-SEARCH("/",MIP_4[[#This Row],[Equipe]],1))</f>
        <v xml:space="preserve"> CLEBER</v>
      </c>
      <c r="AE59" s="44">
        <f>COUNTIFS('[1]Tempo parado'!G:G,"&gt;="&amp;MIP_4[[#This Row],[S.B Sitrack]],'[1]Tempo parado'!H:H,"&lt;="&amp;MIP_4[[#This Row],[C.B Sitrack]],'[1]Tempo parado'!A:A,MIP_4[[#This Row],[Placa]])</f>
        <v>0</v>
      </c>
      <c r="AF59" s="36"/>
      <c r="AG59" s="35"/>
      <c r="AH59" s="34"/>
      <c r="AI59" s="34"/>
      <c r="AJ5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9" s="32" t="str">
        <f>IFERROR(MIP_4[[#This Row],[Tempo parado]]/(MIP_4[[#This Row],[C.B Sitrack]]-MIP_4[[#This Row],[S.B Sitrack]]),"")</f>
        <v/>
      </c>
      <c r="AN59" s="30"/>
      <c r="AO59" s="44">
        <f>IF(AND(MIP_4[Exc]=0,MIP_4[Previsto / Realizado]="Realizado"),MIP_4[Sem],0)</f>
        <v>21</v>
      </c>
      <c r="AP59" s="29">
        <f>IF(AND(MIP_4[Exc]=0,MIP_4[Previsto / Realizado]="Realizado",ISBLANK(MIP_4[[#This Row],[S.B Sitrack]])=FALSE,ISBLANK(MIP_4[[#This Row],[C.B Sitrack]])=FALSE),MIP_4[Sem],0)</f>
        <v>0</v>
      </c>
    </row>
    <row r="60" spans="1:42" ht="63" x14ac:dyDescent="0.25">
      <c r="A60" s="44">
        <f>WEEKNUM(MIP_4[[#This Row],[Data]])</f>
        <v>21</v>
      </c>
      <c r="B60" s="45">
        <v>42879</v>
      </c>
      <c r="C60" s="45"/>
      <c r="D60" s="83" t="s">
        <v>439</v>
      </c>
      <c r="E60" s="35" t="s">
        <v>5</v>
      </c>
      <c r="F60" s="83"/>
      <c r="G60" s="44">
        <v>2</v>
      </c>
      <c r="H60" s="44">
        <v>0</v>
      </c>
      <c r="I60" s="44">
        <v>1</v>
      </c>
      <c r="J60" s="44">
        <v>0</v>
      </c>
      <c r="K60" s="44">
        <v>15</v>
      </c>
      <c r="L60" s="43">
        <v>0.625</v>
      </c>
      <c r="M60" s="43">
        <v>0.64583333333333337</v>
      </c>
      <c r="N60" s="43">
        <f>1+18/24/60</f>
        <v>1.0125</v>
      </c>
      <c r="O60" s="43">
        <f>1+48/24/60</f>
        <v>1.0333333333333334</v>
      </c>
      <c r="P60" s="39"/>
      <c r="Q60" s="42"/>
      <c r="R60" s="44">
        <f>MIP_4[[#This Row],[PT-1]]+MIP_4[[#This Row],[PT-2]]*2+MIP_4[[#This Row],[PT-3]]*3+MIP_4[[#This Row],[PT &gt; 3 Pontos]]</f>
        <v>17</v>
      </c>
      <c r="S6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6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60" s="41">
        <f ca="1">MIP_4[[#This Row],[Eficiência]]</f>
        <v>1.0696274748131642</v>
      </c>
      <c r="V6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0" s="39">
        <f>IF(MIP_4[[#This Row],[P.S]]-MIP_4[[#This Row],[P.E]]&lt;0,1+MIP_4[[#This Row],[P.S]]-MIP_4[[#This Row],[P.E]]-1/24,MIP_4[[#This Row],[P.S]]-MIP_4[[#This Row],[P.E]]-1/24)</f>
        <v>0.36666666666666675</v>
      </c>
      <c r="X60" s="39">
        <f ca="1">MIP_4[[#This Row],[PT-1]]*$S$3+MIP_4[[#This Row],[PT-2]]*$T$3+MIP_4[[#This Row],[PT-3]]*$U$3+MIP_4[[#This Row],[PT &gt; 3 Pontos]]*$V$3</f>
        <v>0.34762892931427825</v>
      </c>
      <c r="Y60" s="39">
        <f>MIP_4[[#This Row],[HH disponível]]-MIP_4[[#This Row],[HH AC TOT]]</f>
        <v>0.3249999999999999</v>
      </c>
      <c r="Z60" s="38">
        <f ca="1">MIP_4[[#This Row],[HH Produtivo
Total]]/MIP_4[[#This Row],[HH Trabalhado]]</f>
        <v>1.0696274748131642</v>
      </c>
      <c r="AA60" s="38">
        <f ca="1">MIP_4[[#This Row],[HH Produtivo
Total]]/MIP_4[[#This Row],[HH disponível]]</f>
        <v>0.94807889812984958</v>
      </c>
      <c r="AB60" s="38">
        <f>MIP_4[[#This Row],[HH Trabalhado]]/MIP_4[[#This Row],[HH disponível]]</f>
        <v>0.88636363636363591</v>
      </c>
      <c r="AC60" s="37" t="str">
        <f>LEFT(MIP_4[[#This Row],[Equipe]], SEARCH("/",MIP_4[[#This Row],[Equipe]],1)-1)</f>
        <v xml:space="preserve">ADEMÁRIO </v>
      </c>
      <c r="AD60" s="37" t="str">
        <f>RIGHT(MIP_4[[#This Row],[Equipe]], LEN(MIP_4[[#This Row],[Equipe]])-SEARCH("/",MIP_4[[#This Row],[Equipe]],1))</f>
        <v xml:space="preserve"> ANDERSON</v>
      </c>
      <c r="AE60" s="44">
        <f>COUNTIFS('[1]Tempo parado'!G:G,"&gt;="&amp;MIP_4[[#This Row],[S.B Sitrack]],'[1]Tempo parado'!H:H,"&lt;="&amp;MIP_4[[#This Row],[C.B Sitrack]],'[1]Tempo parado'!A:A,MIP_4[[#This Row],[Placa]])</f>
        <v>0</v>
      </c>
      <c r="AF60" s="36"/>
      <c r="AG60" s="35"/>
      <c r="AH60" s="34"/>
      <c r="AI60" s="34"/>
      <c r="AJ6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0" s="32" t="str">
        <f>IFERROR(MIP_4[[#This Row],[Tempo parado]]/(MIP_4[[#This Row],[C.B Sitrack]]-MIP_4[[#This Row],[S.B Sitrack]]),"")</f>
        <v/>
      </c>
      <c r="AN60" s="30"/>
      <c r="AO60" s="44">
        <f>IF(AND(MIP_4[Exc]=0,MIP_4[Previsto / Realizado]="Realizado"),MIP_4[Sem],0)</f>
        <v>0</v>
      </c>
      <c r="AP60" s="29">
        <f>IF(AND(MIP_4[Exc]=0,MIP_4[Previsto / Realizado]="Realizado",ISBLANK(MIP_4[[#This Row],[S.B Sitrack]])=FALSE,ISBLANK(MIP_4[[#This Row],[C.B Sitrack]])=FALSE),MIP_4[Sem],0)</f>
        <v>0</v>
      </c>
    </row>
    <row r="61" spans="1:42" ht="63" x14ac:dyDescent="0.25">
      <c r="A61" s="44">
        <f>WEEKNUM(MIP_4[[#This Row],[Data]])</f>
        <v>21</v>
      </c>
      <c r="B61" s="45">
        <v>42879</v>
      </c>
      <c r="C61" s="45"/>
      <c r="D61" s="83" t="s">
        <v>439</v>
      </c>
      <c r="E61" s="35" t="s">
        <v>2</v>
      </c>
      <c r="F61" s="83"/>
      <c r="G61" s="44">
        <v>2</v>
      </c>
      <c r="H61" s="44">
        <v>0</v>
      </c>
      <c r="I61" s="44">
        <v>1</v>
      </c>
      <c r="J61" s="44">
        <v>0</v>
      </c>
      <c r="K61" s="44">
        <v>14</v>
      </c>
      <c r="L61" s="43">
        <v>0.64444444444444449</v>
      </c>
      <c r="M61" s="43">
        <v>0.67013888888888884</v>
      </c>
      <c r="N61" s="43">
        <f>1+32/24/60</f>
        <v>1.0222222222222221</v>
      </c>
      <c r="O61" s="43">
        <f>1+48/24/60</f>
        <v>1.0333333333333334</v>
      </c>
      <c r="P61" s="39"/>
      <c r="Q61" s="42"/>
      <c r="R61" s="44">
        <f>MIP_4[[#This Row],[PT-1]]+MIP_4[[#This Row],[PT-2]]*2+MIP_4[[#This Row],[PT-3]]*3+MIP_4[[#This Row],[PT &gt; 3 Pontos]]</f>
        <v>16</v>
      </c>
      <c r="S6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3.6805555555555647E-2</v>
      </c>
      <c r="T6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3.6805555555555647E-2</v>
      </c>
      <c r="U61" s="41">
        <f ca="1">MIP_4[[#This Row],[Eficiência]]</f>
        <v>1.0546499385778161</v>
      </c>
      <c r="V6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1" s="39">
        <f>IF(MIP_4[[#This Row],[P.S]]-MIP_4[[#This Row],[P.E]]&lt;0,1+MIP_4[[#This Row],[P.S]]-MIP_4[[#This Row],[P.E]]-1/24,MIP_4[[#This Row],[P.S]]-MIP_4[[#This Row],[P.E]]-1/24)</f>
        <v>0.34722222222222227</v>
      </c>
      <c r="X61" s="39">
        <f ca="1">MIP_4[[#This Row],[PT-1]]*$S$3+MIP_4[[#This Row],[PT-2]]*$T$3+MIP_4[[#This Row],[PT-3]]*$U$3+MIP_4[[#This Row],[PT &gt; 3 Pontos]]*$V$3</f>
        <v>0.32738091843353034</v>
      </c>
      <c r="Y61" s="39">
        <f>MIP_4[[#This Row],[HH disponível]]-MIP_4[[#This Row],[HH AC TOT]]</f>
        <v>0.31041666666666662</v>
      </c>
      <c r="Z61" s="38">
        <f ca="1">MIP_4[[#This Row],[HH Produtivo
Total]]/MIP_4[[#This Row],[HH Trabalhado]]</f>
        <v>1.0546499385778161</v>
      </c>
      <c r="AA61" s="38">
        <f ca="1">MIP_4[[#This Row],[HH Produtivo
Total]]/MIP_4[[#This Row],[HH disponível]]</f>
        <v>0.94285704508856727</v>
      </c>
      <c r="AB61" s="38">
        <f>MIP_4[[#This Row],[HH Trabalhado]]/MIP_4[[#This Row],[HH disponível]]</f>
        <v>0.89399999999999979</v>
      </c>
      <c r="AC61" s="37" t="str">
        <f>LEFT(MIP_4[[#This Row],[Equipe]], SEARCH("/",MIP_4[[#This Row],[Equipe]],1)-1)</f>
        <v xml:space="preserve">ADEMÁRIO </v>
      </c>
      <c r="AD61" s="37" t="str">
        <f>RIGHT(MIP_4[[#This Row],[Equipe]], LEN(MIP_4[[#This Row],[Equipe]])-SEARCH("/",MIP_4[[#This Row],[Equipe]],1))</f>
        <v xml:space="preserve"> ANDERSON</v>
      </c>
      <c r="AE61" s="44">
        <f>COUNTIFS('[1]Tempo parado'!G:G,"&gt;="&amp;MIP_4[[#This Row],[S.B Sitrack]],'[1]Tempo parado'!H:H,"&lt;="&amp;MIP_4[[#This Row],[C.B Sitrack]],'[1]Tempo parado'!A:A,MIP_4[[#This Row],[Placa]])</f>
        <v>0</v>
      </c>
      <c r="AF61" s="36"/>
      <c r="AG61" s="35"/>
      <c r="AH61" s="34"/>
      <c r="AI61" s="34"/>
      <c r="AJ6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1" s="32" t="str">
        <f>IFERROR(MIP_4[[#This Row],[Tempo parado]]/(MIP_4[[#This Row],[C.B Sitrack]]-MIP_4[[#This Row],[S.B Sitrack]]),"")</f>
        <v/>
      </c>
      <c r="AN61" s="30"/>
      <c r="AO61" s="44">
        <f>IF(AND(MIP_4[Exc]=0,MIP_4[Previsto / Realizado]="Realizado"),MIP_4[Sem],0)</f>
        <v>21</v>
      </c>
      <c r="AP61" s="29">
        <f>IF(AND(MIP_4[Exc]=0,MIP_4[Previsto / Realizado]="Realizado",ISBLANK(MIP_4[[#This Row],[S.B Sitrack]])=FALSE,ISBLANK(MIP_4[[#This Row],[C.B Sitrack]])=FALSE),MIP_4[Sem],0)</f>
        <v>0</v>
      </c>
    </row>
    <row r="62" spans="1:42" ht="15.75" x14ac:dyDescent="0.25">
      <c r="A62" s="44">
        <f>WEEKNUM(MIP_4[[#This Row],[Data]])</f>
        <v>21</v>
      </c>
      <c r="B62" s="45">
        <v>42879</v>
      </c>
      <c r="C62" s="45"/>
      <c r="D62" s="35" t="s">
        <v>3</v>
      </c>
      <c r="E62" s="35" t="s">
        <v>5</v>
      </c>
      <c r="F62" s="35"/>
      <c r="G62" s="44">
        <v>2</v>
      </c>
      <c r="H62" s="44">
        <v>9</v>
      </c>
      <c r="I62" s="44">
        <v>0</v>
      </c>
      <c r="J62" s="44">
        <v>2</v>
      </c>
      <c r="K62" s="44">
        <v>0</v>
      </c>
      <c r="L62" s="43">
        <v>0.625</v>
      </c>
      <c r="M62" s="43">
        <v>0.64583333333333337</v>
      </c>
      <c r="N62" s="43">
        <f>1+18/24/60</f>
        <v>1.0125</v>
      </c>
      <c r="O62" s="43">
        <f>1+48/24/60</f>
        <v>1.0333333333333334</v>
      </c>
      <c r="P62" s="39"/>
      <c r="Q62" s="42"/>
      <c r="R62" s="44">
        <f>MIP_4[[#This Row],[PT-1]]+MIP_4[[#This Row],[PT-2]]*2+MIP_4[[#This Row],[PT-3]]*3+MIP_4[[#This Row],[PT &gt; 3 Pontos]]</f>
        <v>15</v>
      </c>
      <c r="S6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6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62" s="41">
        <f ca="1">MIP_4[[#This Row],[Eficiência]]</f>
        <v>1.0794339542301499</v>
      </c>
      <c r="V6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2" s="39">
        <f>IF(MIP_4[[#This Row],[P.S]]-MIP_4[[#This Row],[P.E]]&lt;0,1+MIP_4[[#This Row],[P.S]]-MIP_4[[#This Row],[P.E]]-1/24,MIP_4[[#This Row],[P.S]]-MIP_4[[#This Row],[P.E]]-1/24)</f>
        <v>0.36666666666666675</v>
      </c>
      <c r="X62" s="39">
        <f ca="1">MIP_4[[#This Row],[PT-1]]*$S$3+MIP_4[[#This Row],[PT-2]]*$T$3+MIP_4[[#This Row],[PT-3]]*$U$3+MIP_4[[#This Row],[PT &gt; 3 Pontos]]*$V$3</f>
        <v>0.35081603512479859</v>
      </c>
      <c r="Y62" s="39">
        <f>MIP_4[[#This Row],[HH disponível]]-MIP_4[[#This Row],[HH AC TOT]]</f>
        <v>0.3249999999999999</v>
      </c>
      <c r="Z62" s="38">
        <f ca="1">MIP_4[[#This Row],[HH Produtivo
Total]]/MIP_4[[#This Row],[HH Trabalhado]]</f>
        <v>1.0794339542301499</v>
      </c>
      <c r="AA62" s="38">
        <f ca="1">MIP_4[[#This Row],[HH Produtivo
Total]]/MIP_4[[#This Row],[HH disponível]]</f>
        <v>0.95677100488581412</v>
      </c>
      <c r="AB62" s="38">
        <f>MIP_4[[#This Row],[HH Trabalhado]]/MIP_4[[#This Row],[HH disponível]]</f>
        <v>0.88636363636363591</v>
      </c>
      <c r="AC62" s="37" t="str">
        <f>LEFT(MIP_4[[#This Row],[Equipe]], SEARCH("/",MIP_4[[#This Row],[Equipe]],1)-1)</f>
        <v xml:space="preserve">EDILTON </v>
      </c>
      <c r="AD62" s="37" t="str">
        <f>RIGHT(MIP_4[[#This Row],[Equipe]], LEN(MIP_4[[#This Row],[Equipe]])-SEARCH("/",MIP_4[[#This Row],[Equipe]],1))</f>
        <v xml:space="preserve"> GECIVALDO</v>
      </c>
      <c r="AE62" s="44">
        <f>COUNTIFS('[1]Tempo parado'!G:G,"&gt;="&amp;MIP_4[[#This Row],[S.B Sitrack]],'[1]Tempo parado'!H:H,"&lt;="&amp;MIP_4[[#This Row],[C.B Sitrack]],'[1]Tempo parado'!A:A,MIP_4[[#This Row],[Placa]])</f>
        <v>0</v>
      </c>
      <c r="AF62" s="36"/>
      <c r="AG62" s="35"/>
      <c r="AH62" s="34"/>
      <c r="AI62" s="34"/>
      <c r="AJ6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2" s="32" t="str">
        <f>IFERROR(MIP_4[[#This Row],[Tempo parado]]/(MIP_4[[#This Row],[C.B Sitrack]]-MIP_4[[#This Row],[S.B Sitrack]]),"")</f>
        <v/>
      </c>
      <c r="AN62" s="30"/>
      <c r="AO62" s="44">
        <f>IF(AND(MIP_4[Exc]=0,MIP_4[Previsto / Realizado]="Realizado"),MIP_4[Sem],0)</f>
        <v>0</v>
      </c>
      <c r="AP62" s="29">
        <f>IF(AND(MIP_4[Exc]=0,MIP_4[Previsto / Realizado]="Realizado",ISBLANK(MIP_4[[#This Row],[S.B Sitrack]])=FALSE,ISBLANK(MIP_4[[#This Row],[C.B Sitrack]])=FALSE),MIP_4[Sem],0)</f>
        <v>0</v>
      </c>
    </row>
    <row r="63" spans="1:42" ht="15.75" x14ac:dyDescent="0.25">
      <c r="A63" s="44">
        <f>WEEKNUM(MIP_4[[#This Row],[Data]])</f>
        <v>21</v>
      </c>
      <c r="B63" s="45">
        <v>42879</v>
      </c>
      <c r="C63" s="45"/>
      <c r="D63" s="35" t="s">
        <v>3</v>
      </c>
      <c r="E63" s="35" t="s">
        <v>2</v>
      </c>
      <c r="F63" s="35"/>
      <c r="G63" s="44">
        <v>2</v>
      </c>
      <c r="H63" s="44">
        <v>9</v>
      </c>
      <c r="I63" s="44">
        <v>0</v>
      </c>
      <c r="J63" s="44">
        <v>1</v>
      </c>
      <c r="K63" s="44">
        <v>0</v>
      </c>
      <c r="L63" s="43">
        <v>0.62222222222222223</v>
      </c>
      <c r="M63" s="43">
        <v>0.6645833333333333</v>
      </c>
      <c r="N63" s="43">
        <f>1+3/24/60</f>
        <v>1.0020833333333334</v>
      </c>
      <c r="O63" s="43">
        <f>1+48/24/60</f>
        <v>1.0333333333333334</v>
      </c>
      <c r="P63" s="39"/>
      <c r="Q63" s="42"/>
      <c r="R63" s="44">
        <f>MIP_4[[#This Row],[PT-1]]+MIP_4[[#This Row],[PT-2]]*2+MIP_4[[#This Row],[PT-3]]*3+MIP_4[[#This Row],[PT &gt; 3 Pontos]]</f>
        <v>12</v>
      </c>
      <c r="S6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7.3611111111111072E-2</v>
      </c>
      <c r="T6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7.3611111111111072E-2</v>
      </c>
      <c r="U63" s="41">
        <f ca="1">MIP_4[[#This Row],[Eficiência]]</f>
        <v>0.97360345648771773</v>
      </c>
      <c r="V6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3" s="39">
        <f>IF(MIP_4[[#This Row],[P.S]]-MIP_4[[#This Row],[P.E]]&lt;0,1+MIP_4[[#This Row],[P.S]]-MIP_4[[#This Row],[P.E]]-1/24,MIP_4[[#This Row],[P.S]]-MIP_4[[#This Row],[P.E]]-1/24)</f>
        <v>0.36944444444444452</v>
      </c>
      <c r="X63" s="39">
        <f ca="1">MIP_4[[#This Row],[PT-1]]*$S$3+MIP_4[[#This Row],[PT-2]]*$T$3+MIP_4[[#This Row],[PT-3]]*$U$3+MIP_4[[#This Row],[PT &gt; 3 Pontos]]*$V$3</f>
        <v>0.2880243558776166</v>
      </c>
      <c r="Y63" s="39">
        <f>MIP_4[[#This Row],[HH disponível]]-MIP_4[[#This Row],[HH AC TOT]]</f>
        <v>0.29583333333333345</v>
      </c>
      <c r="Z63" s="38">
        <f ca="1">MIP_4[[#This Row],[HH Produtivo
Total]]/MIP_4[[#This Row],[HH Trabalhado]]</f>
        <v>0.97360345648771773</v>
      </c>
      <c r="AA63" s="38">
        <f ca="1">MIP_4[[#This Row],[HH Produtivo
Total]]/MIP_4[[#This Row],[HH disponível]]</f>
        <v>0.77961479786422527</v>
      </c>
      <c r="AB63" s="38">
        <f>MIP_4[[#This Row],[HH Trabalhado]]/MIP_4[[#This Row],[HH disponível]]</f>
        <v>0.80075187969924821</v>
      </c>
      <c r="AC63" s="37" t="str">
        <f>LEFT(MIP_4[[#This Row],[Equipe]], SEARCH("/",MIP_4[[#This Row],[Equipe]],1)-1)</f>
        <v xml:space="preserve">EDILTON </v>
      </c>
      <c r="AD63" s="37" t="str">
        <f>RIGHT(MIP_4[[#This Row],[Equipe]], LEN(MIP_4[[#This Row],[Equipe]])-SEARCH("/",MIP_4[[#This Row],[Equipe]],1))</f>
        <v xml:space="preserve"> GECIVALDO</v>
      </c>
      <c r="AE63" s="44">
        <f>COUNTIFS('[1]Tempo parado'!G:G,"&gt;="&amp;MIP_4[[#This Row],[S.B Sitrack]],'[1]Tempo parado'!H:H,"&lt;="&amp;MIP_4[[#This Row],[C.B Sitrack]],'[1]Tempo parado'!A:A,MIP_4[[#This Row],[Placa]])</f>
        <v>0</v>
      </c>
      <c r="AF63" s="36"/>
      <c r="AG63" s="35"/>
      <c r="AH63" s="34"/>
      <c r="AI63" s="34"/>
      <c r="AJ6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3" s="32" t="str">
        <f>IFERROR(MIP_4[[#This Row],[Tempo parado]]/(MIP_4[[#This Row],[C.B Sitrack]]-MIP_4[[#This Row],[S.B Sitrack]]),"")</f>
        <v/>
      </c>
      <c r="AN63" s="30"/>
      <c r="AO63" s="44">
        <f>IF(AND(MIP_4[Exc]=0,MIP_4[Previsto / Realizado]="Realizado"),MIP_4[Sem],0)</f>
        <v>21</v>
      </c>
      <c r="AP63" s="29">
        <f>IF(AND(MIP_4[Exc]=0,MIP_4[Previsto / Realizado]="Realizado",ISBLANK(MIP_4[[#This Row],[S.B Sitrack]])=FALSE,ISBLANK(MIP_4[[#This Row],[C.B Sitrack]])=FALSE),MIP_4[Sem],0)</f>
        <v>0</v>
      </c>
    </row>
    <row r="64" spans="1:42" ht="15.75" x14ac:dyDescent="0.25">
      <c r="A64" s="44">
        <f>WEEKNUM(MIP_4[[#This Row],[Data]])</f>
        <v>21</v>
      </c>
      <c r="B64" s="45">
        <v>42880</v>
      </c>
      <c r="C64" s="45"/>
      <c r="D64" s="35" t="s">
        <v>10</v>
      </c>
      <c r="E64" s="35" t="s">
        <v>5</v>
      </c>
      <c r="F64" s="35"/>
      <c r="G64" s="44">
        <v>2</v>
      </c>
      <c r="H64" s="44">
        <v>10</v>
      </c>
      <c r="I64" s="44">
        <v>0</v>
      </c>
      <c r="J64" s="44">
        <v>1</v>
      </c>
      <c r="K64" s="44">
        <v>6</v>
      </c>
      <c r="L64" s="43">
        <v>0.25</v>
      </c>
      <c r="M64" s="43">
        <v>0.27083333333333331</v>
      </c>
      <c r="N64" s="43">
        <v>0.63750000000000007</v>
      </c>
      <c r="O64" s="43">
        <v>0.65833333333333333</v>
      </c>
      <c r="P64" s="39"/>
      <c r="Q64" s="42"/>
      <c r="R64" s="44">
        <f>MIP_4[[#This Row],[PT-1]]+MIP_4[[#This Row],[PT-2]]*2+MIP_4[[#This Row],[PT-3]]*3+MIP_4[[#This Row],[PT &gt; 3 Pontos]]</f>
        <v>19</v>
      </c>
      <c r="S6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6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64" s="41">
        <f ca="1">MIP_4[[#This Row],[Eficiência]]</f>
        <v>1.3370408434493575</v>
      </c>
      <c r="V6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4" s="39">
        <f>IF(MIP_4[[#This Row],[P.S]]-MIP_4[[#This Row],[P.E]]&lt;0,1+MIP_4[[#This Row],[P.S]]-MIP_4[[#This Row],[P.E]]-1/24,MIP_4[[#This Row],[P.S]]-MIP_4[[#This Row],[P.E]]-1/24)</f>
        <v>0.36666666666666664</v>
      </c>
      <c r="X64" s="39">
        <f ca="1">MIP_4[[#This Row],[PT-1]]*$S$3+MIP_4[[#This Row],[PT-2]]*$T$3+MIP_4[[#This Row],[PT-3]]*$U$3+MIP_4[[#This Row],[PT &gt; 3 Pontos]]*$V$3</f>
        <v>0.43453827412104123</v>
      </c>
      <c r="Y64" s="39">
        <f>MIP_4[[#This Row],[HH disponível]]-MIP_4[[#This Row],[HH AC TOT]]</f>
        <v>0.32500000000000007</v>
      </c>
      <c r="Z64" s="38">
        <f ca="1">MIP_4[[#This Row],[HH Produtivo
Total]]/MIP_4[[#This Row],[HH Trabalhado]]</f>
        <v>1.3370408434493575</v>
      </c>
      <c r="AA64" s="38">
        <f ca="1">MIP_4[[#This Row],[HH Produtivo
Total]]/MIP_4[[#This Row],[HH disponível]]</f>
        <v>1.1851043839664761</v>
      </c>
      <c r="AB64" s="38">
        <f>MIP_4[[#This Row],[HH Trabalhado]]/MIP_4[[#This Row],[HH disponível]]</f>
        <v>0.88636363636363658</v>
      </c>
      <c r="AC64" s="37" t="str">
        <f>LEFT(MIP_4[[#This Row],[Equipe]], SEARCH("/",MIP_4[[#This Row],[Equipe]],1)-1)</f>
        <v xml:space="preserve">JOILSON </v>
      </c>
      <c r="AD64" s="37" t="str">
        <f>RIGHT(MIP_4[[#This Row],[Equipe]], LEN(MIP_4[[#This Row],[Equipe]])-SEARCH("/",MIP_4[[#This Row],[Equipe]],1))</f>
        <v xml:space="preserve"> VALDEI</v>
      </c>
      <c r="AE64" s="44">
        <f>COUNTIFS('[1]Tempo parado'!G:G,"&gt;="&amp;MIP_4[[#This Row],[S.B Sitrack]],'[1]Tempo parado'!H:H,"&lt;="&amp;MIP_4[[#This Row],[C.B Sitrack]],'[1]Tempo parado'!A:A,MIP_4[[#This Row],[Placa]])</f>
        <v>0</v>
      </c>
      <c r="AF64" s="36"/>
      <c r="AG64" s="35"/>
      <c r="AH64" s="34"/>
      <c r="AI64" s="34"/>
      <c r="AJ6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4" s="32" t="str">
        <f>IFERROR(MIP_4[[#This Row],[Tempo parado]]/(MIP_4[[#This Row],[C.B Sitrack]]-MIP_4[[#This Row],[S.B Sitrack]]),"")</f>
        <v/>
      </c>
      <c r="AN64" s="30"/>
      <c r="AO64" s="44">
        <f>IF(AND(MIP_4[Exc]=0,MIP_4[Previsto / Realizado]="Realizado"),MIP_4[Sem],0)</f>
        <v>0</v>
      </c>
      <c r="AP64" s="29">
        <f>IF(AND(MIP_4[Exc]=0,MIP_4[Previsto / Realizado]="Realizado",ISBLANK(MIP_4[[#This Row],[S.B Sitrack]])=FALSE,ISBLANK(MIP_4[[#This Row],[C.B Sitrack]])=FALSE),MIP_4[Sem],0)</f>
        <v>0</v>
      </c>
    </row>
    <row r="65" spans="1:42" ht="15.75" x14ac:dyDescent="0.25">
      <c r="A65" s="44">
        <f>WEEKNUM(MIP_4[[#This Row],[Data]])</f>
        <v>21</v>
      </c>
      <c r="B65" s="45">
        <v>42880</v>
      </c>
      <c r="C65" s="45"/>
      <c r="D65" s="35" t="s">
        <v>10</v>
      </c>
      <c r="E65" s="35" t="s">
        <v>2</v>
      </c>
      <c r="F65" s="35"/>
      <c r="G65" s="44">
        <v>2</v>
      </c>
      <c r="H65" s="44">
        <v>4</v>
      </c>
      <c r="I65" s="44">
        <v>0</v>
      </c>
      <c r="J65" s="44">
        <v>1</v>
      </c>
      <c r="K65" s="44">
        <v>7</v>
      </c>
      <c r="L65" s="43">
        <v>0.25277777777777777</v>
      </c>
      <c r="M65" s="43">
        <v>0.28819444444444448</v>
      </c>
      <c r="N65" s="43">
        <v>0.625</v>
      </c>
      <c r="O65" s="43">
        <v>0.65902777777777777</v>
      </c>
      <c r="P65" s="39"/>
      <c r="Q65" s="42" t="s">
        <v>451</v>
      </c>
      <c r="R65" s="44">
        <f>MIP_4[[#This Row],[PT-1]]+MIP_4[[#This Row],[PT-2]]*2+MIP_4[[#This Row],[PT-3]]*3+MIP_4[[#This Row],[PT &gt; 3 Pontos]]</f>
        <v>14</v>
      </c>
      <c r="S6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6.9444444444444475E-2</v>
      </c>
      <c r="T6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6.9444444444444475E-2</v>
      </c>
      <c r="U65" s="41">
        <f ca="1">MIP_4[[#This Row],[Eficiência]]</f>
        <v>1.0321620725584923</v>
      </c>
      <c r="V6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5" s="39">
        <f>IF(MIP_4[[#This Row],[P.S]]-MIP_4[[#This Row],[P.E]]&lt;0,1+MIP_4[[#This Row],[P.S]]-MIP_4[[#This Row],[P.E]]-1/24,MIP_4[[#This Row],[P.S]]-MIP_4[[#This Row],[P.E]]-1/24)</f>
        <v>0.36458333333333331</v>
      </c>
      <c r="X65" s="39">
        <f ca="1">MIP_4[[#This Row],[PT-1]]*$S$3+MIP_4[[#This Row],[PT-2]]*$T$3+MIP_4[[#This Row],[PT-3]]*$U$3+MIP_4[[#This Row],[PT &gt; 3 Pontos]]*$V$3</f>
        <v>0.30463116724816608</v>
      </c>
      <c r="Y65" s="39">
        <f>MIP_4[[#This Row],[HH disponível]]-MIP_4[[#This Row],[HH AC TOT]]</f>
        <v>0.29513888888888884</v>
      </c>
      <c r="Z65" s="38">
        <f ca="1">MIP_4[[#This Row],[HH Produtivo
Total]]/MIP_4[[#This Row],[HH Trabalhado]]</f>
        <v>1.0321620725584923</v>
      </c>
      <c r="AA65" s="38">
        <f ca="1">MIP_4[[#This Row],[HH Produtivo
Total]]/MIP_4[[#This Row],[HH disponível]]</f>
        <v>0.83555977302354134</v>
      </c>
      <c r="AB65" s="38">
        <f>MIP_4[[#This Row],[HH Trabalhado]]/MIP_4[[#This Row],[HH disponível]]</f>
        <v>0.80952380952380942</v>
      </c>
      <c r="AC65" s="37" t="str">
        <f>LEFT(MIP_4[[#This Row],[Equipe]], SEARCH("/",MIP_4[[#This Row],[Equipe]],1)-1)</f>
        <v xml:space="preserve">JOILSON </v>
      </c>
      <c r="AD65" s="37" t="str">
        <f>RIGHT(MIP_4[[#This Row],[Equipe]], LEN(MIP_4[[#This Row],[Equipe]])-SEARCH("/",MIP_4[[#This Row],[Equipe]],1))</f>
        <v xml:space="preserve"> VALDEI</v>
      </c>
      <c r="AE65" s="44">
        <f>COUNTIFS('[1]Tempo parado'!G:G,"&gt;="&amp;MIP_4[[#This Row],[S.B Sitrack]],'[1]Tempo parado'!H:H,"&lt;="&amp;MIP_4[[#This Row],[C.B Sitrack]],'[1]Tempo parado'!A:A,MIP_4[[#This Row],[Placa]])</f>
        <v>0</v>
      </c>
      <c r="AF65" s="36"/>
      <c r="AG65" s="35"/>
      <c r="AH65" s="34"/>
      <c r="AI65" s="34"/>
      <c r="AJ6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5" s="32" t="str">
        <f>IFERROR(MIP_4[[#This Row],[Tempo parado]]/(MIP_4[[#This Row],[C.B Sitrack]]-MIP_4[[#This Row],[S.B Sitrack]]),"")</f>
        <v/>
      </c>
      <c r="AN65" s="30"/>
      <c r="AO65" s="44">
        <f>IF(AND(MIP_4[Exc]=0,MIP_4[Previsto / Realizado]="Realizado"),MIP_4[Sem],0)</f>
        <v>21</v>
      </c>
      <c r="AP65" s="29">
        <f>IF(AND(MIP_4[Exc]=0,MIP_4[Previsto / Realizado]="Realizado",ISBLANK(MIP_4[[#This Row],[S.B Sitrack]])=FALSE,ISBLANK(MIP_4[[#This Row],[C.B Sitrack]])=FALSE),MIP_4[Sem],0)</f>
        <v>0</v>
      </c>
    </row>
    <row r="66" spans="1:42" ht="15.75" x14ac:dyDescent="0.25">
      <c r="A66" s="44">
        <f>WEEKNUM(MIP_4[[#This Row],[Data]])</f>
        <v>21</v>
      </c>
      <c r="B66" s="45">
        <v>42881</v>
      </c>
      <c r="C66" s="45"/>
      <c r="D66" s="35" t="s">
        <v>3</v>
      </c>
      <c r="E66" s="35" t="s">
        <v>5</v>
      </c>
      <c r="F66" s="35"/>
      <c r="G66" s="44">
        <v>2</v>
      </c>
      <c r="H66" s="44">
        <v>8</v>
      </c>
      <c r="I66" s="44">
        <v>4</v>
      </c>
      <c r="J66" s="44">
        <v>0</v>
      </c>
      <c r="K66" s="44">
        <v>13</v>
      </c>
      <c r="L66" s="43">
        <v>0.625</v>
      </c>
      <c r="M66" s="43">
        <v>0.64583333333333337</v>
      </c>
      <c r="N66" s="43">
        <f>1+18/24/60</f>
        <v>1.0125</v>
      </c>
      <c r="O66" s="43">
        <f>1+48/24/60</f>
        <v>1.0333333333333334</v>
      </c>
      <c r="P66" s="39"/>
      <c r="Q66" s="42"/>
      <c r="R66" s="44">
        <f>MIP_4[[#This Row],[PT-1]]+MIP_4[[#This Row],[PT-2]]*2+MIP_4[[#This Row],[PT-3]]*3+MIP_4[[#This Row],[PT &gt; 3 Pontos]]</f>
        <v>29</v>
      </c>
      <c r="S6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6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66" s="41">
        <f ca="1">MIP_4[[#This Row],[Eficiência]]</f>
        <v>1.966357013949104</v>
      </c>
      <c r="V6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6" s="39">
        <f>IF(MIP_4[[#This Row],[P.S]]-MIP_4[[#This Row],[P.E]]&lt;0,1+MIP_4[[#This Row],[P.S]]-MIP_4[[#This Row],[P.E]]-1/24,MIP_4[[#This Row],[P.S]]-MIP_4[[#This Row],[P.E]]-1/24)</f>
        <v>0.36666666666666675</v>
      </c>
      <c r="X66" s="39">
        <f ca="1">MIP_4[[#This Row],[PT-1]]*$S$3+MIP_4[[#This Row],[PT-2]]*$T$3+MIP_4[[#This Row],[PT-3]]*$U$3+MIP_4[[#This Row],[PT &gt; 3 Pontos]]*$V$3</f>
        <v>0.63906602953345859</v>
      </c>
      <c r="Y66" s="39">
        <f>MIP_4[[#This Row],[HH disponível]]-MIP_4[[#This Row],[HH AC TOT]]</f>
        <v>0.3249999999999999</v>
      </c>
      <c r="Z66" s="38">
        <f ca="1">MIP_4[[#This Row],[HH Produtivo
Total]]/MIP_4[[#This Row],[HH Trabalhado]]</f>
        <v>1.966357013949104</v>
      </c>
      <c r="AA66" s="38">
        <f ca="1">MIP_4[[#This Row],[HH Produtivo
Total]]/MIP_4[[#This Row],[HH disponível]]</f>
        <v>1.7429073532730686</v>
      </c>
      <c r="AB66" s="38">
        <f>MIP_4[[#This Row],[HH Trabalhado]]/MIP_4[[#This Row],[HH disponível]]</f>
        <v>0.88636363636363591</v>
      </c>
      <c r="AC66" s="37" t="str">
        <f>LEFT(MIP_4[[#This Row],[Equipe]], SEARCH("/",MIP_4[[#This Row],[Equipe]],1)-1)</f>
        <v xml:space="preserve">EDILTON </v>
      </c>
      <c r="AD66" s="37" t="str">
        <f>RIGHT(MIP_4[[#This Row],[Equipe]], LEN(MIP_4[[#This Row],[Equipe]])-SEARCH("/",MIP_4[[#This Row],[Equipe]],1))</f>
        <v xml:space="preserve"> GECIVALDO</v>
      </c>
      <c r="AE66" s="44">
        <f>COUNTIFS('[1]Tempo parado'!G:G,"&gt;="&amp;MIP_4[[#This Row],[S.B Sitrack]],'[1]Tempo parado'!H:H,"&lt;="&amp;MIP_4[[#This Row],[C.B Sitrack]],'[1]Tempo parado'!A:A,MIP_4[[#This Row],[Placa]])</f>
        <v>0</v>
      </c>
      <c r="AF66" s="36"/>
      <c r="AG66" s="35"/>
      <c r="AH66" s="34"/>
      <c r="AI66" s="34"/>
      <c r="AJ6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6" s="32" t="str">
        <f>IFERROR(MIP_4[[#This Row],[Tempo parado]]/(MIP_4[[#This Row],[C.B Sitrack]]-MIP_4[[#This Row],[S.B Sitrack]]),"")</f>
        <v/>
      </c>
      <c r="AN66" s="30"/>
      <c r="AO66" s="44">
        <f>IF(AND(MIP_4[Exc]=0,MIP_4[Previsto / Realizado]="Realizado"),MIP_4[Sem],0)</f>
        <v>0</v>
      </c>
      <c r="AP66" s="29">
        <f>IF(AND(MIP_4[Exc]=0,MIP_4[Previsto / Realizado]="Realizado",ISBLANK(MIP_4[[#This Row],[S.B Sitrack]])=FALSE,ISBLANK(MIP_4[[#This Row],[C.B Sitrack]])=FALSE),MIP_4[Sem],0)</f>
        <v>0</v>
      </c>
    </row>
    <row r="67" spans="1:42" ht="15.75" x14ac:dyDescent="0.25">
      <c r="A67" s="44">
        <f>WEEKNUM(MIP_4[[#This Row],[Data]])</f>
        <v>21</v>
      </c>
      <c r="B67" s="45">
        <v>42881</v>
      </c>
      <c r="C67" s="45"/>
      <c r="D67" s="35" t="s">
        <v>3</v>
      </c>
      <c r="E67" s="35" t="s">
        <v>2</v>
      </c>
      <c r="F67" s="35"/>
      <c r="G67" s="44">
        <v>2</v>
      </c>
      <c r="H67" s="44">
        <v>5</v>
      </c>
      <c r="I67" s="44">
        <v>2</v>
      </c>
      <c r="J67" s="44">
        <v>0</v>
      </c>
      <c r="K67" s="44">
        <v>8</v>
      </c>
      <c r="L67" s="43">
        <v>0.62222222222222223</v>
      </c>
      <c r="M67" s="43">
        <v>0.66666666666666663</v>
      </c>
      <c r="N67" s="43">
        <f>1+40/24/60</f>
        <v>1.0277777777777777</v>
      </c>
      <c r="O67" s="43">
        <f>1+54/24/60</f>
        <v>1.0375000000000001</v>
      </c>
      <c r="P67" s="39"/>
      <c r="Q67" s="42"/>
      <c r="R67" s="44">
        <f>MIP_4[[#This Row],[PT-1]]+MIP_4[[#This Row],[PT-2]]*2+MIP_4[[#This Row],[PT-3]]*3+MIP_4[[#This Row],[PT &gt; 3 Pontos]]</f>
        <v>17</v>
      </c>
      <c r="S6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5.4166666666666807E-2</v>
      </c>
      <c r="T6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5.4166666666666807E-2</v>
      </c>
      <c r="U67" s="41">
        <f ca="1">MIP_4[[#This Row],[Eficiência]]</f>
        <v>1.1736966804942941</v>
      </c>
      <c r="V6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7" s="39">
        <f>IF(MIP_4[[#This Row],[P.S]]-MIP_4[[#This Row],[P.E]]&lt;0,1+MIP_4[[#This Row],[P.S]]-MIP_4[[#This Row],[P.E]]-1/24,MIP_4[[#This Row],[P.S]]-MIP_4[[#This Row],[P.E]]-1/24)</f>
        <v>0.37361111111111117</v>
      </c>
      <c r="X67" s="39">
        <f ca="1">MIP_4[[#This Row],[PT-1]]*$S$3+MIP_4[[#This Row],[PT-2]]*$T$3+MIP_4[[#This Row],[PT-3]]*$U$3+MIP_4[[#This Row],[PT &gt; 3 Pontos]]*$V$3</f>
        <v>0.37493088404678832</v>
      </c>
      <c r="Y67" s="39">
        <f>MIP_4[[#This Row],[HH disponível]]-MIP_4[[#This Row],[HH AC TOT]]</f>
        <v>0.31944444444444436</v>
      </c>
      <c r="Z67" s="38">
        <f ca="1">MIP_4[[#This Row],[HH Produtivo
Total]]/MIP_4[[#This Row],[HH Trabalhado]]</f>
        <v>1.1736966804942941</v>
      </c>
      <c r="AA67" s="38">
        <f ca="1">MIP_4[[#This Row],[HH Produtivo
Total]]/MIP_4[[#This Row],[HH disponível]]</f>
        <v>1.0035324777460504</v>
      </c>
      <c r="AB67" s="38">
        <f>MIP_4[[#This Row],[HH Trabalhado]]/MIP_4[[#This Row],[HH disponível]]</f>
        <v>0.85501858736059444</v>
      </c>
      <c r="AC67" s="37" t="str">
        <f>LEFT(MIP_4[[#This Row],[Equipe]], SEARCH("/",MIP_4[[#This Row],[Equipe]],1)-1)</f>
        <v xml:space="preserve">EDILTON </v>
      </c>
      <c r="AD67" s="37" t="str">
        <f>RIGHT(MIP_4[[#This Row],[Equipe]], LEN(MIP_4[[#This Row],[Equipe]])-SEARCH("/",MIP_4[[#This Row],[Equipe]],1))</f>
        <v xml:space="preserve"> GECIVALDO</v>
      </c>
      <c r="AE67" s="44">
        <f>COUNTIFS('[1]Tempo parado'!G:G,"&gt;="&amp;MIP_4[[#This Row],[S.B Sitrack]],'[1]Tempo parado'!H:H,"&lt;="&amp;MIP_4[[#This Row],[C.B Sitrack]],'[1]Tempo parado'!A:A,MIP_4[[#This Row],[Placa]])</f>
        <v>0</v>
      </c>
      <c r="AF67" s="36"/>
      <c r="AG67" s="35"/>
      <c r="AH67" s="34"/>
      <c r="AI67" s="34"/>
      <c r="AJ6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7" s="32" t="str">
        <f>IFERROR(MIP_4[[#This Row],[Tempo parado]]/(MIP_4[[#This Row],[C.B Sitrack]]-MIP_4[[#This Row],[S.B Sitrack]]),"")</f>
        <v/>
      </c>
      <c r="AN67" s="30"/>
      <c r="AO67" s="44">
        <f>IF(AND(MIP_4[Exc]=0,MIP_4[Previsto / Realizado]="Realizado"),MIP_4[Sem],0)</f>
        <v>21</v>
      </c>
      <c r="AP67" s="29">
        <f>IF(AND(MIP_4[Exc]=0,MIP_4[Previsto / Realizado]="Realizado",ISBLANK(MIP_4[[#This Row],[S.B Sitrack]])=FALSE,ISBLANK(MIP_4[[#This Row],[C.B Sitrack]])=FALSE),MIP_4[Sem],0)</f>
        <v>0</v>
      </c>
    </row>
    <row r="68" spans="1:42" ht="15.75" x14ac:dyDescent="0.25">
      <c r="A68" s="44">
        <f>WEEKNUM(MIP_4[[#This Row],[Data]])</f>
        <v>21</v>
      </c>
      <c r="B68" s="45">
        <v>42881</v>
      </c>
      <c r="C68" s="45"/>
      <c r="D68" s="35" t="s">
        <v>10</v>
      </c>
      <c r="E68" s="35" t="s">
        <v>5</v>
      </c>
      <c r="F68" s="35"/>
      <c r="G68" s="44">
        <v>2</v>
      </c>
      <c r="H68" s="44">
        <v>19</v>
      </c>
      <c r="I68" s="44">
        <v>2</v>
      </c>
      <c r="J68" s="44">
        <v>0</v>
      </c>
      <c r="K68" s="44">
        <v>0</v>
      </c>
      <c r="L68" s="43">
        <v>0.25</v>
      </c>
      <c r="M68" s="43">
        <v>0.27083333333333331</v>
      </c>
      <c r="N68" s="43">
        <v>0.63750000000000007</v>
      </c>
      <c r="O68" s="43">
        <v>0.65833333333333333</v>
      </c>
      <c r="P68" s="39"/>
      <c r="Q68" s="42"/>
      <c r="R68" s="44">
        <f>MIP_4[[#This Row],[PT-1]]+MIP_4[[#This Row],[PT-2]]*2+MIP_4[[#This Row],[PT-3]]*3+MIP_4[[#This Row],[PT &gt; 3 Pontos]]</f>
        <v>23</v>
      </c>
      <c r="S6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6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68" s="41">
        <f ca="1">MIP_4[[#This Row],[Eficiência]]</f>
        <v>1.7332576566951554</v>
      </c>
      <c r="V6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8" s="39">
        <f>IF(MIP_4[[#This Row],[P.S]]-MIP_4[[#This Row],[P.E]]&lt;0,1+MIP_4[[#This Row],[P.S]]-MIP_4[[#This Row],[P.E]]-1/24,MIP_4[[#This Row],[P.S]]-MIP_4[[#This Row],[P.E]]-1/24)</f>
        <v>0.36666666666666664</v>
      </c>
      <c r="X68" s="39">
        <f ca="1">MIP_4[[#This Row],[PT-1]]*$S$3+MIP_4[[#This Row],[PT-2]]*$T$3+MIP_4[[#This Row],[PT-3]]*$U$3+MIP_4[[#This Row],[PT &gt; 3 Pontos]]*$V$3</f>
        <v>0.56330873842592566</v>
      </c>
      <c r="Y68" s="39">
        <f>MIP_4[[#This Row],[HH disponível]]-MIP_4[[#This Row],[HH AC TOT]]</f>
        <v>0.32500000000000007</v>
      </c>
      <c r="Z68" s="38">
        <f ca="1">MIP_4[[#This Row],[HH Produtivo
Total]]/MIP_4[[#This Row],[HH Trabalhado]]</f>
        <v>1.7332576566951554</v>
      </c>
      <c r="AA68" s="38">
        <f ca="1">MIP_4[[#This Row],[HH Produtivo
Total]]/MIP_4[[#This Row],[HH disponível]]</f>
        <v>1.5362965593434337</v>
      </c>
      <c r="AB68" s="38">
        <f>MIP_4[[#This Row],[HH Trabalhado]]/MIP_4[[#This Row],[HH disponível]]</f>
        <v>0.88636363636363658</v>
      </c>
      <c r="AC68" s="37" t="str">
        <f>LEFT(MIP_4[[#This Row],[Equipe]], SEARCH("/",MIP_4[[#This Row],[Equipe]],1)-1)</f>
        <v xml:space="preserve">JOILSON </v>
      </c>
      <c r="AD68" s="37" t="str">
        <f>RIGHT(MIP_4[[#This Row],[Equipe]], LEN(MIP_4[[#This Row],[Equipe]])-SEARCH("/",MIP_4[[#This Row],[Equipe]],1))</f>
        <v xml:space="preserve"> VALDEI</v>
      </c>
      <c r="AE68" s="44">
        <f>COUNTIFS('[1]Tempo parado'!G:G,"&gt;="&amp;MIP_4[[#This Row],[S.B Sitrack]],'[1]Tempo parado'!H:H,"&lt;="&amp;MIP_4[[#This Row],[C.B Sitrack]],'[1]Tempo parado'!A:A,MIP_4[[#This Row],[Placa]])</f>
        <v>0</v>
      </c>
      <c r="AF68" s="36"/>
      <c r="AG68" s="35"/>
      <c r="AH68" s="34"/>
      <c r="AI68" s="34"/>
      <c r="AJ6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8" s="32" t="str">
        <f>IFERROR(MIP_4[[#This Row],[Tempo parado]]/(MIP_4[[#This Row],[C.B Sitrack]]-MIP_4[[#This Row],[S.B Sitrack]]),"")</f>
        <v/>
      </c>
      <c r="AN68" s="30"/>
      <c r="AO68" s="44">
        <f>IF(AND(MIP_4[Exc]=0,MIP_4[Previsto / Realizado]="Realizado"),MIP_4[Sem],0)</f>
        <v>0</v>
      </c>
      <c r="AP68" s="29">
        <f>IF(AND(MIP_4[Exc]=0,MIP_4[Previsto / Realizado]="Realizado",ISBLANK(MIP_4[[#This Row],[S.B Sitrack]])=FALSE,ISBLANK(MIP_4[[#This Row],[C.B Sitrack]])=FALSE),MIP_4[Sem],0)</f>
        <v>0</v>
      </c>
    </row>
    <row r="69" spans="1:42" ht="15.75" x14ac:dyDescent="0.25">
      <c r="A69" s="44">
        <f>WEEKNUM(MIP_4[[#This Row],[Data]])</f>
        <v>21</v>
      </c>
      <c r="B69" s="45">
        <v>42881</v>
      </c>
      <c r="C69" s="45"/>
      <c r="D69" s="35" t="s">
        <v>10</v>
      </c>
      <c r="E69" s="35" t="s">
        <v>2</v>
      </c>
      <c r="F69" s="35"/>
      <c r="G69" s="44">
        <v>2</v>
      </c>
      <c r="H69" s="44">
        <v>11</v>
      </c>
      <c r="I69" s="44">
        <v>1</v>
      </c>
      <c r="J69" s="44">
        <v>0</v>
      </c>
      <c r="K69" s="44">
        <v>0</v>
      </c>
      <c r="L69" s="43">
        <v>0.24652777777777779</v>
      </c>
      <c r="M69" s="43">
        <v>0.28819444444444448</v>
      </c>
      <c r="N69" s="43">
        <v>0.63194444444444442</v>
      </c>
      <c r="O69" s="43">
        <v>0.65972222222222221</v>
      </c>
      <c r="P69" s="39"/>
      <c r="Q69" s="42" t="s">
        <v>450</v>
      </c>
      <c r="R69" s="44">
        <f>MIP_4[[#This Row],[PT-1]]+MIP_4[[#This Row],[PT-2]]*2+MIP_4[[#This Row],[PT-3]]*3+MIP_4[[#This Row],[PT &gt; 3 Pontos]]</f>
        <v>13</v>
      </c>
      <c r="S6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6.9444444444444475E-2</v>
      </c>
      <c r="T6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6.9444444444444475E-2</v>
      </c>
      <c r="U69" s="41">
        <f ca="1">MIP_4[[#This Row],[Eficiência]]</f>
        <v>1.0566393886390135</v>
      </c>
      <c r="V6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9" s="39">
        <f>IF(MIP_4[[#This Row],[P.S]]-MIP_4[[#This Row],[P.E]]&lt;0,1+MIP_4[[#This Row],[P.S]]-MIP_4[[#This Row],[P.E]]-1/24,MIP_4[[#This Row],[P.S]]-MIP_4[[#This Row],[P.E]]-1/24)</f>
        <v>0.37152777777777773</v>
      </c>
      <c r="X69" s="39">
        <f ca="1">MIP_4[[#This Row],[PT-1]]*$S$3+MIP_4[[#This Row],[PT-2]]*$T$3+MIP_4[[#This Row],[PT-3]]*$U$3+MIP_4[[#This Row],[PT &gt; 3 Pontos]]*$V$3</f>
        <v>0.31919314865136861</v>
      </c>
      <c r="Y69" s="39">
        <f>MIP_4[[#This Row],[HH disponível]]-MIP_4[[#This Row],[HH AC TOT]]</f>
        <v>0.30208333333333326</v>
      </c>
      <c r="Z69" s="38">
        <f ca="1">MIP_4[[#This Row],[HH Produtivo
Total]]/MIP_4[[#This Row],[HH Trabalhado]]</f>
        <v>1.0566393886390135</v>
      </c>
      <c r="AA69" s="38">
        <f ca="1">MIP_4[[#This Row],[HH Produtivo
Total]]/MIP_4[[#This Row],[HH disponível]]</f>
        <v>0.85913669917377733</v>
      </c>
      <c r="AB69" s="38">
        <f>MIP_4[[#This Row],[HH Trabalhado]]/MIP_4[[#This Row],[HH disponível]]</f>
        <v>0.81308411214953258</v>
      </c>
      <c r="AC69" s="37" t="str">
        <f>LEFT(MIP_4[[#This Row],[Equipe]], SEARCH("/",MIP_4[[#This Row],[Equipe]],1)-1)</f>
        <v xml:space="preserve">JOILSON </v>
      </c>
      <c r="AD69" s="37" t="str">
        <f>RIGHT(MIP_4[[#This Row],[Equipe]], LEN(MIP_4[[#This Row],[Equipe]])-SEARCH("/",MIP_4[[#This Row],[Equipe]],1))</f>
        <v xml:space="preserve"> VALDEI</v>
      </c>
      <c r="AE69" s="44">
        <f>COUNTIFS('[1]Tempo parado'!G:G,"&gt;="&amp;MIP_4[[#This Row],[S.B Sitrack]],'[1]Tempo parado'!H:H,"&lt;="&amp;MIP_4[[#This Row],[C.B Sitrack]],'[1]Tempo parado'!A:A,MIP_4[[#This Row],[Placa]])</f>
        <v>0</v>
      </c>
      <c r="AF69" s="36"/>
      <c r="AG69" s="35"/>
      <c r="AH69" s="34"/>
      <c r="AI69" s="34"/>
      <c r="AJ6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9" s="32" t="str">
        <f>IFERROR(MIP_4[[#This Row],[Tempo parado]]/(MIP_4[[#This Row],[C.B Sitrack]]-MIP_4[[#This Row],[S.B Sitrack]]),"")</f>
        <v/>
      </c>
      <c r="AN69" s="30"/>
      <c r="AO69" s="44">
        <f>IF(AND(MIP_4[Exc]=0,MIP_4[Previsto / Realizado]="Realizado"),MIP_4[Sem],0)</f>
        <v>21</v>
      </c>
      <c r="AP69" s="29">
        <f>IF(AND(MIP_4[Exc]=0,MIP_4[Previsto / Realizado]="Realizado",ISBLANK(MIP_4[[#This Row],[S.B Sitrack]])=FALSE,ISBLANK(MIP_4[[#This Row],[C.B Sitrack]])=FALSE),MIP_4[Sem],0)</f>
        <v>0</v>
      </c>
    </row>
    <row r="70" spans="1:42" ht="15.75" x14ac:dyDescent="0.25">
      <c r="A70" s="44">
        <f>WEEKNUM(MIP_4[[#This Row],[Data]])</f>
        <v>21</v>
      </c>
      <c r="B70" s="45">
        <v>42882</v>
      </c>
      <c r="C70" s="45"/>
      <c r="D70" s="35" t="s">
        <v>449</v>
      </c>
      <c r="E70" s="35" t="s">
        <v>5</v>
      </c>
      <c r="F70" s="35"/>
      <c r="G70" s="44">
        <v>2</v>
      </c>
      <c r="H70" s="44">
        <v>9</v>
      </c>
      <c r="I70" s="44">
        <v>2</v>
      </c>
      <c r="J70" s="44">
        <v>0</v>
      </c>
      <c r="K70" s="44">
        <v>0</v>
      </c>
      <c r="L70" s="43">
        <v>0.625</v>
      </c>
      <c r="M70" s="43">
        <v>0.64583333333333337</v>
      </c>
      <c r="N70" s="43">
        <f>1+18/24/60</f>
        <v>1.0125</v>
      </c>
      <c r="O70" s="43">
        <f>1+48/24/60</f>
        <v>1.0333333333333334</v>
      </c>
      <c r="P70" s="39"/>
      <c r="Q70" s="42"/>
      <c r="R70" s="44">
        <f>MIP_4[[#This Row],[PT-1]]+MIP_4[[#This Row],[PT-2]]*2+MIP_4[[#This Row],[PT-3]]*3+MIP_4[[#This Row],[PT &gt; 3 Pontos]]</f>
        <v>13</v>
      </c>
      <c r="S7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7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70" s="41">
        <f ca="1">MIP_4[[#This Row],[Eficiência]]</f>
        <v>0.96323141180478111</v>
      </c>
      <c r="V7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0" s="39">
        <f>IF(MIP_4[[#This Row],[P.S]]-MIP_4[[#This Row],[P.E]]&lt;0,1+MIP_4[[#This Row],[P.S]]-MIP_4[[#This Row],[P.E]]-1/24,MIP_4[[#This Row],[P.S]]-MIP_4[[#This Row],[P.E]]-1/24)</f>
        <v>0.36666666666666675</v>
      </c>
      <c r="X70" s="39">
        <f ca="1">MIP_4[[#This Row],[PT-1]]*$S$3+MIP_4[[#This Row],[PT-2]]*$T$3+MIP_4[[#This Row],[PT-3]]*$U$3+MIP_4[[#This Row],[PT &gt; 3 Pontos]]*$V$3</f>
        <v>0.31305020883655377</v>
      </c>
      <c r="Y70" s="39">
        <f>MIP_4[[#This Row],[HH disponível]]-MIP_4[[#This Row],[HH AC TOT]]</f>
        <v>0.3249999999999999</v>
      </c>
      <c r="Z70" s="38">
        <f ca="1">MIP_4[[#This Row],[HH Produtivo
Total]]/MIP_4[[#This Row],[HH Trabalhado]]</f>
        <v>0.96323141180478111</v>
      </c>
      <c r="AA70" s="38">
        <f ca="1">MIP_4[[#This Row],[HH Produtivo
Total]]/MIP_4[[#This Row],[HH disponível]]</f>
        <v>0.85377329682696457</v>
      </c>
      <c r="AB70" s="38">
        <f>MIP_4[[#This Row],[HH Trabalhado]]/MIP_4[[#This Row],[HH disponível]]</f>
        <v>0.88636363636363591</v>
      </c>
      <c r="AC70" s="37" t="str">
        <f>LEFT(MIP_4[[#This Row],[Equipe]], SEARCH("/",MIP_4[[#This Row],[Equipe]],1)-1)</f>
        <v xml:space="preserve">Edilton </v>
      </c>
      <c r="AD70" s="37" t="str">
        <f>RIGHT(MIP_4[[#This Row],[Equipe]], LEN(MIP_4[[#This Row],[Equipe]])-SEARCH("/",MIP_4[[#This Row],[Equipe]],1))</f>
        <v xml:space="preserve"> Ronaldo</v>
      </c>
      <c r="AE70" s="44">
        <f>COUNTIFS('[1]Tempo parado'!G:G,"&gt;="&amp;MIP_4[[#This Row],[S.B Sitrack]],'[1]Tempo parado'!H:H,"&lt;="&amp;MIP_4[[#This Row],[C.B Sitrack]],'[1]Tempo parado'!A:A,MIP_4[[#This Row],[Placa]])</f>
        <v>0</v>
      </c>
      <c r="AF70" s="36"/>
      <c r="AG70" s="35"/>
      <c r="AH70" s="34"/>
      <c r="AI70" s="34"/>
      <c r="AJ7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0" s="32" t="str">
        <f>IFERROR(MIP_4[[#This Row],[Tempo parado]]/(MIP_4[[#This Row],[C.B Sitrack]]-MIP_4[[#This Row],[S.B Sitrack]]),"")</f>
        <v/>
      </c>
      <c r="AN70" s="30"/>
      <c r="AO70" s="44">
        <f>IF(AND(MIP_4[Exc]=0,MIP_4[Previsto / Realizado]="Realizado"),MIP_4[Sem],0)</f>
        <v>0</v>
      </c>
      <c r="AP70" s="29">
        <f>IF(AND(MIP_4[Exc]=0,MIP_4[Previsto / Realizado]="Realizado",ISBLANK(MIP_4[[#This Row],[S.B Sitrack]])=FALSE,ISBLANK(MIP_4[[#This Row],[C.B Sitrack]])=FALSE),MIP_4[Sem],0)</f>
        <v>0</v>
      </c>
    </row>
    <row r="71" spans="1:42" ht="15.75" x14ac:dyDescent="0.25">
      <c r="A71" s="44">
        <f>WEEKNUM(MIP_4[[#This Row],[Data]])</f>
        <v>21</v>
      </c>
      <c r="B71" s="45">
        <v>42882</v>
      </c>
      <c r="C71" s="45"/>
      <c r="D71" s="35" t="s">
        <v>449</v>
      </c>
      <c r="E71" s="35" t="s">
        <v>2</v>
      </c>
      <c r="F71" s="35"/>
      <c r="G71" s="44">
        <v>2</v>
      </c>
      <c r="H71" s="44">
        <v>8</v>
      </c>
      <c r="I71" s="44">
        <v>1</v>
      </c>
      <c r="J71" s="44">
        <v>0</v>
      </c>
      <c r="K71" s="44">
        <v>0</v>
      </c>
      <c r="L71" s="43">
        <v>0.6118055555555556</v>
      </c>
      <c r="M71" s="43">
        <v>0.65625</v>
      </c>
      <c r="N71" s="43">
        <v>0.99444444444444446</v>
      </c>
      <c r="O71" s="84">
        <f>1+48/24/60</f>
        <v>1.0333333333333334</v>
      </c>
      <c r="P71" s="39"/>
      <c r="Q71" s="42"/>
      <c r="R71" s="44">
        <f>MIP_4[[#This Row],[PT-1]]+MIP_4[[#This Row],[PT-2]]*2+MIP_4[[#This Row],[PT-3]]*3+MIP_4[[#This Row],[PT &gt; 3 Pontos]]</f>
        <v>10</v>
      </c>
      <c r="S7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8.333333333333337E-2</v>
      </c>
      <c r="T7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8.333333333333337E-2</v>
      </c>
      <c r="U71" s="41">
        <f ca="1">MIP_4[[#This Row],[Eficiência]]</f>
        <v>0.82324695380646862</v>
      </c>
      <c r="V7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1" s="39">
        <f>IF(MIP_4[[#This Row],[P.S]]-MIP_4[[#This Row],[P.E]]&lt;0,1+MIP_4[[#This Row],[P.S]]-MIP_4[[#This Row],[P.E]]-1/24,MIP_4[[#This Row],[P.S]]-MIP_4[[#This Row],[P.E]]-1/24)</f>
        <v>0.37986111111111115</v>
      </c>
      <c r="X71" s="39">
        <f ca="1">MIP_4[[#This Row],[PT-1]]*$S$3+MIP_4[[#This Row],[PT-2]]*$T$3+MIP_4[[#This Row],[PT-3]]*$U$3+MIP_4[[#This Row],[PT &gt; 3 Pontos]]*$V$3</f>
        <v>0.24411558977455702</v>
      </c>
      <c r="Y71" s="39">
        <f>MIP_4[[#This Row],[HH disponível]]-MIP_4[[#This Row],[HH AC TOT]]</f>
        <v>0.29652777777777778</v>
      </c>
      <c r="Z71" s="38">
        <f ca="1">MIP_4[[#This Row],[HH Produtivo
Total]]/MIP_4[[#This Row],[HH Trabalhado]]</f>
        <v>0.82324695380646862</v>
      </c>
      <c r="AA71" s="38">
        <f ca="1">MIP_4[[#This Row],[HH Produtivo
Total]]/MIP_4[[#This Row],[HH disponível]]</f>
        <v>0.64264433139919941</v>
      </c>
      <c r="AB71" s="38">
        <f>MIP_4[[#This Row],[HH Trabalhado]]/MIP_4[[#This Row],[HH disponível]]</f>
        <v>0.78062157221206574</v>
      </c>
      <c r="AC71" s="37" t="str">
        <f>LEFT(MIP_4[[#This Row],[Equipe]], SEARCH("/",MIP_4[[#This Row],[Equipe]],1)-1)</f>
        <v xml:space="preserve">Edilton </v>
      </c>
      <c r="AD71" s="37" t="str">
        <f>RIGHT(MIP_4[[#This Row],[Equipe]], LEN(MIP_4[[#This Row],[Equipe]])-SEARCH("/",MIP_4[[#This Row],[Equipe]],1))</f>
        <v xml:space="preserve"> Ronaldo</v>
      </c>
      <c r="AE71" s="44">
        <f>COUNTIFS('[1]Tempo parado'!G:G,"&gt;="&amp;MIP_4[[#This Row],[S.B Sitrack]],'[1]Tempo parado'!H:H,"&lt;="&amp;MIP_4[[#This Row],[C.B Sitrack]],'[1]Tempo parado'!A:A,MIP_4[[#This Row],[Placa]])</f>
        <v>0</v>
      </c>
      <c r="AF71" s="36"/>
      <c r="AG71" s="35"/>
      <c r="AH71" s="34"/>
      <c r="AI71" s="34"/>
      <c r="AJ7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1" s="32" t="str">
        <f>IFERROR(MIP_4[[#This Row],[Tempo parado]]/(MIP_4[[#This Row],[C.B Sitrack]]-MIP_4[[#This Row],[S.B Sitrack]]),"")</f>
        <v/>
      </c>
      <c r="AN71" s="30"/>
      <c r="AO71" s="44">
        <f>IF(AND(MIP_4[Exc]=0,MIP_4[Previsto / Realizado]="Realizado"),MIP_4[Sem],0)</f>
        <v>21</v>
      </c>
      <c r="AP71" s="29">
        <f>IF(AND(MIP_4[Exc]=0,MIP_4[Previsto / Realizado]="Realizado",ISBLANK(MIP_4[[#This Row],[S.B Sitrack]])=FALSE,ISBLANK(MIP_4[[#This Row],[C.B Sitrack]])=FALSE),MIP_4[Sem],0)</f>
        <v>0</v>
      </c>
    </row>
    <row r="72" spans="1:42" ht="15.75" x14ac:dyDescent="0.25">
      <c r="A72" s="44">
        <f>WEEKNUM(MIP_4[[#This Row],[Data]])</f>
        <v>21</v>
      </c>
      <c r="B72" s="45">
        <v>42882</v>
      </c>
      <c r="C72" s="45"/>
      <c r="D72" s="35" t="s">
        <v>10</v>
      </c>
      <c r="E72" s="35" t="s">
        <v>5</v>
      </c>
      <c r="F72" s="35"/>
      <c r="G72" s="44">
        <v>2</v>
      </c>
      <c r="H72" s="44">
        <v>11</v>
      </c>
      <c r="I72" s="44">
        <v>2</v>
      </c>
      <c r="J72" s="44">
        <v>0</v>
      </c>
      <c r="K72" s="44">
        <v>4</v>
      </c>
      <c r="L72" s="43">
        <v>0.25</v>
      </c>
      <c r="M72" s="43">
        <v>0.27083333333333331</v>
      </c>
      <c r="N72" s="43">
        <v>0.63750000000000007</v>
      </c>
      <c r="O72" s="43">
        <v>0.65833333333333333</v>
      </c>
      <c r="P72" s="39"/>
      <c r="Q72" s="42"/>
      <c r="R72" s="44">
        <f>MIP_4[[#This Row],[PT-1]]+MIP_4[[#This Row],[PT-2]]*2+MIP_4[[#This Row],[PT-3]]*3+MIP_4[[#This Row],[PT &gt; 3 Pontos]]</f>
        <v>19</v>
      </c>
      <c r="S7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7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72" s="41">
        <f ca="1">MIP_4[[#This Row],[Eficiência]]</f>
        <v>1.3664429485459069</v>
      </c>
      <c r="V7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2" s="39">
        <f>IF(MIP_4[[#This Row],[P.S]]-MIP_4[[#This Row],[P.E]]&lt;0,1+MIP_4[[#This Row],[P.S]]-MIP_4[[#This Row],[P.E]]-1/24,MIP_4[[#This Row],[P.S]]-MIP_4[[#This Row],[P.E]]-1/24)</f>
        <v>0.36666666666666664</v>
      </c>
      <c r="X72" s="39">
        <f ca="1">MIP_4[[#This Row],[PT-1]]*$S$3+MIP_4[[#This Row],[PT-2]]*$T$3+MIP_4[[#This Row],[PT-3]]*$U$3+MIP_4[[#This Row],[PT &gt; 3 Pontos]]*$V$3</f>
        <v>0.44409395827741982</v>
      </c>
      <c r="Y72" s="39">
        <f>MIP_4[[#This Row],[HH disponível]]-MIP_4[[#This Row],[HH AC TOT]]</f>
        <v>0.32500000000000007</v>
      </c>
      <c r="Z72" s="38">
        <f ca="1">MIP_4[[#This Row],[HH Produtivo
Total]]/MIP_4[[#This Row],[HH Trabalhado]]</f>
        <v>1.3664429485459069</v>
      </c>
      <c r="AA72" s="38">
        <f ca="1">MIP_4[[#This Row],[HH Produtivo
Total]]/MIP_4[[#This Row],[HH disponível]]</f>
        <v>1.2111653407565997</v>
      </c>
      <c r="AB72" s="38">
        <f>MIP_4[[#This Row],[HH Trabalhado]]/MIP_4[[#This Row],[HH disponível]]</f>
        <v>0.88636363636363658</v>
      </c>
      <c r="AC72" s="37" t="str">
        <f>LEFT(MIP_4[[#This Row],[Equipe]], SEARCH("/",MIP_4[[#This Row],[Equipe]],1)-1)</f>
        <v xml:space="preserve">JOILSON </v>
      </c>
      <c r="AD72" s="37" t="str">
        <f>RIGHT(MIP_4[[#This Row],[Equipe]], LEN(MIP_4[[#This Row],[Equipe]])-SEARCH("/",MIP_4[[#This Row],[Equipe]],1))</f>
        <v xml:space="preserve"> VALDEI</v>
      </c>
      <c r="AE72" s="44">
        <f>COUNTIFS('[1]Tempo parado'!G:G,"&gt;="&amp;MIP_4[[#This Row],[S.B Sitrack]],'[1]Tempo parado'!H:H,"&lt;="&amp;MIP_4[[#This Row],[C.B Sitrack]],'[1]Tempo parado'!A:A,MIP_4[[#This Row],[Placa]])</f>
        <v>0</v>
      </c>
      <c r="AF72" s="36"/>
      <c r="AG72" s="35"/>
      <c r="AH72" s="34"/>
      <c r="AI72" s="34"/>
      <c r="AJ7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2" s="32" t="str">
        <f>IFERROR(MIP_4[[#This Row],[Tempo parado]]/(MIP_4[[#This Row],[C.B Sitrack]]-MIP_4[[#This Row],[S.B Sitrack]]),"")</f>
        <v/>
      </c>
      <c r="AN72" s="30"/>
      <c r="AO72" s="44">
        <f>IF(AND(MIP_4[Exc]=0,MIP_4[Previsto / Realizado]="Realizado"),MIP_4[Sem],0)</f>
        <v>0</v>
      </c>
      <c r="AP72" s="29">
        <f>IF(AND(MIP_4[Exc]=0,MIP_4[Previsto / Realizado]="Realizado",ISBLANK(MIP_4[[#This Row],[S.B Sitrack]])=FALSE,ISBLANK(MIP_4[[#This Row],[C.B Sitrack]])=FALSE),MIP_4[Sem],0)</f>
        <v>0</v>
      </c>
    </row>
    <row r="73" spans="1:42" ht="15.75" x14ac:dyDescent="0.25">
      <c r="A73" s="44">
        <f>WEEKNUM(MIP_4[[#This Row],[Data]])</f>
        <v>21</v>
      </c>
      <c r="B73" s="45">
        <v>42882</v>
      </c>
      <c r="C73" s="45"/>
      <c r="D73" s="35" t="s">
        <v>10</v>
      </c>
      <c r="E73" s="35" t="s">
        <v>2</v>
      </c>
      <c r="F73" s="35"/>
      <c r="G73" s="44">
        <v>2</v>
      </c>
      <c r="H73" s="44">
        <v>1</v>
      </c>
      <c r="I73" s="44">
        <v>0</v>
      </c>
      <c r="J73" s="44">
        <v>0</v>
      </c>
      <c r="K73" s="44">
        <v>0</v>
      </c>
      <c r="L73" s="43">
        <v>0.24791666666666667</v>
      </c>
      <c r="M73" s="43">
        <v>0.29652777777777778</v>
      </c>
      <c r="N73" s="43">
        <v>0.42708333333333331</v>
      </c>
      <c r="O73" s="43">
        <v>0.44722222222222219</v>
      </c>
      <c r="P73" s="39"/>
      <c r="Q73" s="42" t="s">
        <v>448</v>
      </c>
      <c r="R73" s="44">
        <f>MIP_4[[#This Row],[PT-1]]+MIP_4[[#This Row],[PT-2]]*2+MIP_4[[#This Row],[PT-3]]*3+MIP_4[[#This Row],[PT &gt; 3 Pontos]]</f>
        <v>1</v>
      </c>
      <c r="S7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6.8749999999999978E-2</v>
      </c>
      <c r="T7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6.8749999999999978E-2</v>
      </c>
      <c r="U73" s="41">
        <f ca="1">MIP_4[[#This Row],[Eficiência]]</f>
        <v>0.28154084578804334</v>
      </c>
      <c r="V7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3" s="39">
        <f>IF(MIP_4[[#This Row],[P.S]]-MIP_4[[#This Row],[P.E]]&lt;0,1+MIP_4[[#This Row],[P.S]]-MIP_4[[#This Row],[P.E]]-1/24,MIP_4[[#This Row],[P.S]]-MIP_4[[#This Row],[P.E]]-1/24)</f>
        <v>0.15763888888888886</v>
      </c>
      <c r="X73" s="39">
        <f ca="1">MIP_4[[#This Row],[PT-1]]*$S$3+MIP_4[[#This Row],[PT-2]]*$T$3+MIP_4[[#This Row],[PT-3]]*$U$3+MIP_4[[#This Row],[PT &gt; 3 Pontos]]*$V$3</f>
        <v>2.5025852958937181E-2</v>
      </c>
      <c r="Y73" s="39">
        <f>MIP_4[[#This Row],[HH disponível]]-MIP_4[[#This Row],[HH AC TOT]]</f>
        <v>8.8888888888888878E-2</v>
      </c>
      <c r="Z73" s="38">
        <f ca="1">MIP_4[[#This Row],[HH Produtivo
Total]]/MIP_4[[#This Row],[HH Trabalhado]]</f>
        <v>0.28154084578804334</v>
      </c>
      <c r="AA73" s="38">
        <f ca="1">MIP_4[[#This Row],[HH Produtivo
Total]]/MIP_4[[#This Row],[HH disponível]]</f>
        <v>0.1587543095192491</v>
      </c>
      <c r="AB73" s="38">
        <f>MIP_4[[#This Row],[HH Trabalhado]]/MIP_4[[#This Row],[HH disponível]]</f>
        <v>0.56387665198237891</v>
      </c>
      <c r="AC73" s="37" t="str">
        <f>LEFT(MIP_4[[#This Row],[Equipe]], SEARCH("/",MIP_4[[#This Row],[Equipe]],1)-1)</f>
        <v xml:space="preserve">JOILSON </v>
      </c>
      <c r="AD73" s="37" t="str">
        <f>RIGHT(MIP_4[[#This Row],[Equipe]], LEN(MIP_4[[#This Row],[Equipe]])-SEARCH("/",MIP_4[[#This Row],[Equipe]],1))</f>
        <v xml:space="preserve"> VALDEI</v>
      </c>
      <c r="AE73" s="44">
        <f>COUNTIFS('[1]Tempo parado'!G:G,"&gt;="&amp;MIP_4[[#This Row],[S.B Sitrack]],'[1]Tempo parado'!H:H,"&lt;="&amp;MIP_4[[#This Row],[C.B Sitrack]],'[1]Tempo parado'!A:A,MIP_4[[#This Row],[Placa]])</f>
        <v>0</v>
      </c>
      <c r="AF73" s="36"/>
      <c r="AG73" s="35"/>
      <c r="AH73" s="34"/>
      <c r="AI73" s="34"/>
      <c r="AJ7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3" s="32" t="str">
        <f>IFERROR(MIP_4[[#This Row],[Tempo parado]]/(MIP_4[[#This Row],[C.B Sitrack]]-MIP_4[[#This Row],[S.B Sitrack]]),"")</f>
        <v/>
      </c>
      <c r="AN73" s="30"/>
      <c r="AO73" s="44">
        <f>IF(AND(MIP_4[Exc]=0,MIP_4[Previsto / Realizado]="Realizado"),MIP_4[Sem],0)</f>
        <v>21</v>
      </c>
      <c r="AP73" s="29">
        <f>IF(AND(MIP_4[Exc]=0,MIP_4[Previsto / Realizado]="Realizado",ISBLANK(MIP_4[[#This Row],[S.B Sitrack]])=FALSE,ISBLANK(MIP_4[[#This Row],[C.B Sitrack]])=FALSE),MIP_4[Sem],0)</f>
        <v>0</v>
      </c>
    </row>
    <row r="74" spans="1:42" ht="15.75" x14ac:dyDescent="0.25">
      <c r="A74" s="44">
        <f>WEEKNUM(MIP_4[[#This Row],[Data]])</f>
        <v>22</v>
      </c>
      <c r="B74" s="45">
        <v>42883</v>
      </c>
      <c r="C74" s="45"/>
      <c r="D74" s="35" t="s">
        <v>10</v>
      </c>
      <c r="E74" s="35" t="s">
        <v>5</v>
      </c>
      <c r="F74" s="35"/>
      <c r="G74" s="44">
        <v>2</v>
      </c>
      <c r="H74" s="44">
        <v>9</v>
      </c>
      <c r="I74" s="44">
        <v>0</v>
      </c>
      <c r="J74" s="44">
        <v>0</v>
      </c>
      <c r="K74" s="44">
        <v>9</v>
      </c>
      <c r="L74" s="43">
        <v>0.25</v>
      </c>
      <c r="M74" s="43">
        <v>0.27083333333333331</v>
      </c>
      <c r="N74" s="43">
        <v>0.63750000000000007</v>
      </c>
      <c r="O74" s="43">
        <v>0.65833333333333333</v>
      </c>
      <c r="P74" s="39"/>
      <c r="Q74" s="42"/>
      <c r="R74" s="44">
        <f>MIP_4[[#This Row],[PT-1]]+MIP_4[[#This Row],[PT-2]]*2+MIP_4[[#This Row],[PT-3]]*3+MIP_4[[#This Row],[PT &gt; 3 Pontos]]</f>
        <v>18</v>
      </c>
      <c r="S7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7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74" s="41">
        <f ca="1">MIP_4[[#This Row],[Eficiência]]</f>
        <v>1.2537377678682022</v>
      </c>
      <c r="V7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4" s="39">
        <f>IF(MIP_4[[#This Row],[P.S]]-MIP_4[[#This Row],[P.E]]&lt;0,1+MIP_4[[#This Row],[P.S]]-MIP_4[[#This Row],[P.E]]-1/24,MIP_4[[#This Row],[P.S]]-MIP_4[[#This Row],[P.E]]-1/24)</f>
        <v>0.36666666666666664</v>
      </c>
      <c r="X74" s="39">
        <f ca="1">MIP_4[[#This Row],[PT-1]]*$S$3+MIP_4[[#This Row],[PT-2]]*$T$3+MIP_4[[#This Row],[PT-3]]*$U$3+MIP_4[[#This Row],[PT &gt; 3 Pontos]]*$V$3</f>
        <v>0.40746477455716579</v>
      </c>
      <c r="Y74" s="39">
        <f>MIP_4[[#This Row],[HH disponível]]-MIP_4[[#This Row],[HH AC TOT]]</f>
        <v>0.32500000000000007</v>
      </c>
      <c r="Z74" s="38">
        <f ca="1">MIP_4[[#This Row],[HH Produtivo
Total]]/MIP_4[[#This Row],[HH Trabalhado]]</f>
        <v>1.2537377678682022</v>
      </c>
      <c r="AA74" s="38">
        <f ca="1">MIP_4[[#This Row],[HH Produtivo
Total]]/MIP_4[[#This Row],[HH disponível]]</f>
        <v>1.1112675669740886</v>
      </c>
      <c r="AB74" s="38">
        <f>MIP_4[[#This Row],[HH Trabalhado]]/MIP_4[[#This Row],[HH disponível]]</f>
        <v>0.88636363636363658</v>
      </c>
      <c r="AC74" s="37" t="str">
        <f>LEFT(MIP_4[[#This Row],[Equipe]], SEARCH("/",MIP_4[[#This Row],[Equipe]],1)-1)</f>
        <v xml:space="preserve">JOILSON </v>
      </c>
      <c r="AD74" s="37" t="str">
        <f>RIGHT(MIP_4[[#This Row],[Equipe]], LEN(MIP_4[[#This Row],[Equipe]])-SEARCH("/",MIP_4[[#This Row],[Equipe]],1))</f>
        <v xml:space="preserve"> VALDEI</v>
      </c>
      <c r="AE74" s="44">
        <f>COUNTIFS('[1]Tempo parado'!G:G,"&gt;="&amp;MIP_4[[#This Row],[S.B Sitrack]],'[1]Tempo parado'!H:H,"&lt;="&amp;MIP_4[[#This Row],[C.B Sitrack]],'[1]Tempo parado'!A:A,MIP_4[[#This Row],[Placa]])</f>
        <v>0</v>
      </c>
      <c r="AF74" s="36"/>
      <c r="AG74" s="35"/>
      <c r="AH74" s="34"/>
      <c r="AI74" s="34"/>
      <c r="AJ7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4" s="32" t="str">
        <f>IFERROR(MIP_4[[#This Row],[Tempo parado]]/(MIP_4[[#This Row],[C.B Sitrack]]-MIP_4[[#This Row],[S.B Sitrack]]),"")</f>
        <v/>
      </c>
      <c r="AN74" s="30"/>
      <c r="AO74" s="44">
        <f>IF(AND(MIP_4[Exc]=0,MIP_4[Previsto / Realizado]="Realizado"),MIP_4[Sem],0)</f>
        <v>0</v>
      </c>
      <c r="AP74" s="29">
        <f>IF(AND(MIP_4[Exc]=0,MIP_4[Previsto / Realizado]="Realizado",ISBLANK(MIP_4[[#This Row],[S.B Sitrack]])=FALSE,ISBLANK(MIP_4[[#This Row],[C.B Sitrack]])=FALSE),MIP_4[Sem],0)</f>
        <v>0</v>
      </c>
    </row>
    <row r="75" spans="1:42" ht="15.75" x14ac:dyDescent="0.25">
      <c r="A75" s="44">
        <f>WEEKNUM(MIP_4[[#This Row],[Data]])</f>
        <v>22</v>
      </c>
      <c r="B75" s="45">
        <v>42883</v>
      </c>
      <c r="C75" s="45"/>
      <c r="D75" s="35" t="s">
        <v>10</v>
      </c>
      <c r="E75" s="35" t="s">
        <v>2</v>
      </c>
      <c r="F75" s="35"/>
      <c r="G75" s="44">
        <v>2</v>
      </c>
      <c r="H75" s="44">
        <v>0</v>
      </c>
      <c r="I75" s="44">
        <v>0</v>
      </c>
      <c r="J75" s="44">
        <v>0</v>
      </c>
      <c r="K75" s="44">
        <v>0</v>
      </c>
      <c r="L75" s="43">
        <v>0</v>
      </c>
      <c r="M75" s="43">
        <v>0</v>
      </c>
      <c r="N75" s="43">
        <v>0</v>
      </c>
      <c r="O75" s="43">
        <v>0</v>
      </c>
      <c r="P75" s="39"/>
      <c r="Q75" s="42" t="s">
        <v>447</v>
      </c>
      <c r="R75" s="44">
        <f>MIP_4[[#This Row],[PT-1]]+MIP_4[[#This Row],[PT-2]]*2+MIP_4[[#This Row],[PT-3]]*3+MIP_4[[#This Row],[PT &gt; 3 Pontos]]</f>
        <v>0</v>
      </c>
      <c r="S7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</v>
      </c>
      <c r="T7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0</v>
      </c>
      <c r="U75" s="41">
        <f ca="1">MIP_4[[#This Row],[Eficiência]]</f>
        <v>0</v>
      </c>
      <c r="V7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5" s="39">
        <f>IF(MIP_4[[#This Row],[P.S]]-MIP_4[[#This Row],[P.E]]&lt;0,1+MIP_4[[#This Row],[P.S]]-MIP_4[[#This Row],[P.E]]-1/24,MIP_4[[#This Row],[P.S]]-MIP_4[[#This Row],[P.E]]-1/24)</f>
        <v>-4.1666666666666664E-2</v>
      </c>
      <c r="X75" s="39">
        <f ca="1">MIP_4[[#This Row],[PT-1]]*$S$3+MIP_4[[#This Row],[PT-2]]*$T$3+MIP_4[[#This Row],[PT-3]]*$U$3+MIP_4[[#This Row],[PT &gt; 3 Pontos]]*$V$3</f>
        <v>0</v>
      </c>
      <c r="Y75" s="39">
        <f>MIP_4[[#This Row],[HH disponível]]-MIP_4[[#This Row],[HH AC TOT]]</f>
        <v>-4.1666666666666664E-2</v>
      </c>
      <c r="Z75" s="38">
        <f ca="1">MIP_4[[#This Row],[HH Produtivo
Total]]/MIP_4[[#This Row],[HH Trabalhado]]</f>
        <v>0</v>
      </c>
      <c r="AA75" s="38">
        <f ca="1">MIP_4[[#This Row],[HH Produtivo
Total]]/MIP_4[[#This Row],[HH disponível]]</f>
        <v>0</v>
      </c>
      <c r="AB75" s="38">
        <f>MIP_4[[#This Row],[HH Trabalhado]]/MIP_4[[#This Row],[HH disponível]]</f>
        <v>1</v>
      </c>
      <c r="AC75" s="37" t="str">
        <f>LEFT(MIP_4[[#This Row],[Equipe]], SEARCH("/",MIP_4[[#This Row],[Equipe]],1)-1)</f>
        <v xml:space="preserve">JOILSON </v>
      </c>
      <c r="AD75" s="37" t="str">
        <f>RIGHT(MIP_4[[#This Row],[Equipe]], LEN(MIP_4[[#This Row],[Equipe]])-SEARCH("/",MIP_4[[#This Row],[Equipe]],1))</f>
        <v xml:space="preserve"> VALDEI</v>
      </c>
      <c r="AE75" s="44">
        <f>COUNTIFS('[1]Tempo parado'!G:G,"&gt;="&amp;MIP_4[[#This Row],[S.B Sitrack]],'[1]Tempo parado'!H:H,"&lt;="&amp;MIP_4[[#This Row],[C.B Sitrack]],'[1]Tempo parado'!A:A,MIP_4[[#This Row],[Placa]])</f>
        <v>0</v>
      </c>
      <c r="AF75" s="36"/>
      <c r="AG75" s="35"/>
      <c r="AH75" s="34"/>
      <c r="AI75" s="34"/>
      <c r="AJ7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5" s="32" t="str">
        <f>IFERROR(MIP_4[[#This Row],[Tempo parado]]/(MIP_4[[#This Row],[C.B Sitrack]]-MIP_4[[#This Row],[S.B Sitrack]]),"")</f>
        <v/>
      </c>
      <c r="AN75" s="30"/>
      <c r="AO75" s="44">
        <f>IF(AND(MIP_4[Exc]=0,MIP_4[Previsto / Realizado]="Realizado"),MIP_4[Sem],0)</f>
        <v>22</v>
      </c>
      <c r="AP75" s="29">
        <f>IF(AND(MIP_4[Exc]=0,MIP_4[Previsto / Realizado]="Realizado",ISBLANK(MIP_4[[#This Row],[S.B Sitrack]])=FALSE,ISBLANK(MIP_4[[#This Row],[C.B Sitrack]])=FALSE),MIP_4[Sem],0)</f>
        <v>0</v>
      </c>
    </row>
    <row r="76" spans="1:42" ht="63" x14ac:dyDescent="0.25">
      <c r="A76" s="44">
        <f>WEEKNUM(MIP_4[[#This Row],[Data]])</f>
        <v>22</v>
      </c>
      <c r="B76" s="45">
        <v>42883</v>
      </c>
      <c r="C76" s="45"/>
      <c r="D76" s="83" t="s">
        <v>439</v>
      </c>
      <c r="E76" s="35" t="s">
        <v>5</v>
      </c>
      <c r="F76" s="83"/>
      <c r="G76" s="44">
        <v>2</v>
      </c>
      <c r="H76" s="44">
        <v>7</v>
      </c>
      <c r="I76" s="44">
        <v>4</v>
      </c>
      <c r="J76" s="44">
        <v>0</v>
      </c>
      <c r="K76" s="44">
        <v>0</v>
      </c>
      <c r="L76" s="43">
        <v>0.625</v>
      </c>
      <c r="M76" s="43">
        <v>0.64583333333333337</v>
      </c>
      <c r="N76" s="43">
        <f>1+18/24/60</f>
        <v>1.0125</v>
      </c>
      <c r="O76" s="43">
        <f>1+48/24/60</f>
        <v>1.0333333333333334</v>
      </c>
      <c r="P76" s="39"/>
      <c r="Q76" s="42"/>
      <c r="R76" s="44">
        <f>MIP_4[[#This Row],[PT-1]]+MIP_4[[#This Row],[PT-2]]*2+MIP_4[[#This Row],[PT-3]]*3+MIP_4[[#This Row],[PT &gt; 3 Pontos]]</f>
        <v>15</v>
      </c>
      <c r="S7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7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76" s="41">
        <f ca="1">MIP_4[[#This Row],[Eficiência]]</f>
        <v>1.0794339542301501</v>
      </c>
      <c r="V7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6" s="39">
        <f>IF(MIP_4[[#This Row],[P.S]]-MIP_4[[#This Row],[P.E]]&lt;0,1+MIP_4[[#This Row],[P.S]]-MIP_4[[#This Row],[P.E]]-1/24,MIP_4[[#This Row],[P.S]]-MIP_4[[#This Row],[P.E]]-1/24)</f>
        <v>0.36666666666666675</v>
      </c>
      <c r="X76" s="39">
        <f ca="1">MIP_4[[#This Row],[PT-1]]*$S$3+MIP_4[[#This Row],[PT-2]]*$T$3+MIP_4[[#This Row],[PT-3]]*$U$3+MIP_4[[#This Row],[PT &gt; 3 Pontos]]*$V$3</f>
        <v>0.35081603512479864</v>
      </c>
      <c r="Y76" s="39">
        <f>MIP_4[[#This Row],[HH disponível]]-MIP_4[[#This Row],[HH AC TOT]]</f>
        <v>0.3249999999999999</v>
      </c>
      <c r="Z76" s="38">
        <f ca="1">MIP_4[[#This Row],[HH Produtivo
Total]]/MIP_4[[#This Row],[HH Trabalhado]]</f>
        <v>1.0794339542301501</v>
      </c>
      <c r="AA76" s="38">
        <f ca="1">MIP_4[[#This Row],[HH Produtivo
Total]]/MIP_4[[#This Row],[HH disponível]]</f>
        <v>0.95677100488581424</v>
      </c>
      <c r="AB76" s="38">
        <f>MIP_4[[#This Row],[HH Trabalhado]]/MIP_4[[#This Row],[HH disponível]]</f>
        <v>0.88636363636363591</v>
      </c>
      <c r="AC76" s="37" t="str">
        <f>LEFT(MIP_4[[#This Row],[Equipe]], SEARCH("/",MIP_4[[#This Row],[Equipe]],1)-1)</f>
        <v xml:space="preserve">ADEMÁRIO </v>
      </c>
      <c r="AD76" s="37" t="str">
        <f>RIGHT(MIP_4[[#This Row],[Equipe]], LEN(MIP_4[[#This Row],[Equipe]])-SEARCH("/",MIP_4[[#This Row],[Equipe]],1))</f>
        <v xml:space="preserve"> ANDERSON</v>
      </c>
      <c r="AE76" s="44">
        <f>COUNTIFS('[1]Tempo parado'!G:G,"&gt;="&amp;MIP_4[[#This Row],[S.B Sitrack]],'[1]Tempo parado'!H:H,"&lt;="&amp;MIP_4[[#This Row],[C.B Sitrack]],'[1]Tempo parado'!A:A,MIP_4[[#This Row],[Placa]])</f>
        <v>0</v>
      </c>
      <c r="AF76" s="36"/>
      <c r="AG76" s="35"/>
      <c r="AH76" s="34"/>
      <c r="AI76" s="34"/>
      <c r="AJ7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6" s="32" t="str">
        <f>IFERROR(MIP_4[[#This Row],[Tempo parado]]/(MIP_4[[#This Row],[C.B Sitrack]]-MIP_4[[#This Row],[S.B Sitrack]]),"")</f>
        <v/>
      </c>
      <c r="AN76" s="30"/>
      <c r="AO76" s="44">
        <f>IF(AND(MIP_4[Exc]=0,MIP_4[Previsto / Realizado]="Realizado"),MIP_4[Sem],0)</f>
        <v>0</v>
      </c>
      <c r="AP76" s="29">
        <f>IF(AND(MIP_4[Exc]=0,MIP_4[Previsto / Realizado]="Realizado",ISBLANK(MIP_4[[#This Row],[S.B Sitrack]])=FALSE,ISBLANK(MIP_4[[#This Row],[C.B Sitrack]])=FALSE),MIP_4[Sem],0)</f>
        <v>0</v>
      </c>
    </row>
    <row r="77" spans="1:42" ht="63" x14ac:dyDescent="0.25">
      <c r="A77" s="44">
        <f>WEEKNUM(MIP_4[[#This Row],[Data]])</f>
        <v>22</v>
      </c>
      <c r="B77" s="45">
        <v>42883</v>
      </c>
      <c r="C77" s="45"/>
      <c r="D77" s="83" t="s">
        <v>439</v>
      </c>
      <c r="E77" s="35" t="s">
        <v>2</v>
      </c>
      <c r="F77" s="83"/>
      <c r="G77" s="44">
        <v>2</v>
      </c>
      <c r="H77" s="44">
        <v>5</v>
      </c>
      <c r="I77" s="44">
        <v>2</v>
      </c>
      <c r="J77" s="44">
        <v>0</v>
      </c>
      <c r="K77" s="44">
        <v>0</v>
      </c>
      <c r="L77" s="43">
        <v>0.66111111111111109</v>
      </c>
      <c r="M77" s="43">
        <v>0.67847222222222225</v>
      </c>
      <c r="N77" s="43">
        <f>1+30/24/60</f>
        <v>1.0208333333333333</v>
      </c>
      <c r="O77" s="43">
        <f>1+50/24/60</f>
        <v>1.0347222222222223</v>
      </c>
      <c r="P77" s="39"/>
      <c r="Q77" s="42" t="s">
        <v>446</v>
      </c>
      <c r="R77" s="44">
        <f>MIP_4[[#This Row],[PT-1]]+MIP_4[[#This Row],[PT-2]]*2+MIP_4[[#This Row],[PT-3]]*3+MIP_4[[#This Row],[PT &gt; 3 Pontos]]</f>
        <v>9</v>
      </c>
      <c r="S7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3.1250000000000222E-2</v>
      </c>
      <c r="T7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3.1250000000000222E-2</v>
      </c>
      <c r="U77" s="41">
        <f ca="1">MIP_4[[#This Row],[Eficiência]]</f>
        <v>0.70818334337450206</v>
      </c>
      <c r="V7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7" s="39">
        <f>IF(MIP_4[[#This Row],[P.S]]-MIP_4[[#This Row],[P.E]]&lt;0,1+MIP_4[[#This Row],[P.S]]-MIP_4[[#This Row],[P.E]]-1/24,MIP_4[[#This Row],[P.S]]-MIP_4[[#This Row],[P.E]]-1/24)</f>
        <v>0.33194444444444454</v>
      </c>
      <c r="X77" s="39">
        <f ca="1">MIP_4[[#This Row],[PT-1]]*$S$3+MIP_4[[#This Row],[PT-2]]*$T$3+MIP_4[[#This Row],[PT-3]]*$U$3+MIP_4[[#This Row],[PT &gt; 3 Pontos]]*$V$3</f>
        <v>0.21294679700080504</v>
      </c>
      <c r="Y77" s="39">
        <f>MIP_4[[#This Row],[HH disponível]]-MIP_4[[#This Row],[HH AC TOT]]</f>
        <v>0.30069444444444432</v>
      </c>
      <c r="Z77" s="38">
        <f ca="1">MIP_4[[#This Row],[HH Produtivo
Total]]/MIP_4[[#This Row],[HH Trabalhado]]</f>
        <v>0.70818334337450206</v>
      </c>
      <c r="AA77" s="38">
        <f ca="1">MIP_4[[#This Row],[HH Produtivo
Total]]/MIP_4[[#This Row],[HH disponível]]</f>
        <v>0.64151336334970543</v>
      </c>
      <c r="AB77" s="38">
        <f>MIP_4[[#This Row],[HH Trabalhado]]/MIP_4[[#This Row],[HH disponível]]</f>
        <v>0.9058577405857734</v>
      </c>
      <c r="AC77" s="37" t="str">
        <f>LEFT(MIP_4[[#This Row],[Equipe]], SEARCH("/",MIP_4[[#This Row],[Equipe]],1)-1)</f>
        <v xml:space="preserve">ADEMÁRIO </v>
      </c>
      <c r="AD77" s="37" t="str">
        <f>RIGHT(MIP_4[[#This Row],[Equipe]], LEN(MIP_4[[#This Row],[Equipe]])-SEARCH("/",MIP_4[[#This Row],[Equipe]],1))</f>
        <v xml:space="preserve"> ANDERSON</v>
      </c>
      <c r="AE77" s="44">
        <f>COUNTIFS('[1]Tempo parado'!G:G,"&gt;="&amp;MIP_4[[#This Row],[S.B Sitrack]],'[1]Tempo parado'!H:H,"&lt;="&amp;MIP_4[[#This Row],[C.B Sitrack]],'[1]Tempo parado'!A:A,MIP_4[[#This Row],[Placa]])</f>
        <v>0</v>
      </c>
      <c r="AF77" s="36"/>
      <c r="AG77" s="35"/>
      <c r="AH77" s="34"/>
      <c r="AI77" s="34"/>
      <c r="AJ7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7" s="32" t="str">
        <f>IFERROR(MIP_4[[#This Row],[Tempo parado]]/(MIP_4[[#This Row],[C.B Sitrack]]-MIP_4[[#This Row],[S.B Sitrack]]),"")</f>
        <v/>
      </c>
      <c r="AN77" s="30"/>
      <c r="AO77" s="44">
        <f>IF(AND(MIP_4[Exc]=0,MIP_4[Previsto / Realizado]="Realizado"),MIP_4[Sem],0)</f>
        <v>22</v>
      </c>
      <c r="AP77" s="29">
        <f>IF(AND(MIP_4[Exc]=0,MIP_4[Previsto / Realizado]="Realizado",ISBLANK(MIP_4[[#This Row],[S.B Sitrack]])=FALSE,ISBLANK(MIP_4[[#This Row],[C.B Sitrack]])=FALSE),MIP_4[Sem],0)</f>
        <v>0</v>
      </c>
    </row>
    <row r="78" spans="1:42" ht="15.75" x14ac:dyDescent="0.25">
      <c r="A78" s="44">
        <f>WEEKNUM(MIP_4[[#This Row],[Data]])</f>
        <v>22</v>
      </c>
      <c r="B78" s="45">
        <v>42884</v>
      </c>
      <c r="C78" s="45"/>
      <c r="D78" s="35" t="s">
        <v>3</v>
      </c>
      <c r="E78" s="35" t="s">
        <v>5</v>
      </c>
      <c r="F78" s="35"/>
      <c r="G78" s="44">
        <v>2</v>
      </c>
      <c r="H78" s="44">
        <v>7</v>
      </c>
      <c r="I78" s="44">
        <v>5</v>
      </c>
      <c r="J78" s="44">
        <v>0</v>
      </c>
      <c r="K78" s="44">
        <v>4</v>
      </c>
      <c r="L78" s="43">
        <v>0.625</v>
      </c>
      <c r="M78" s="43">
        <v>0.64583333333333337</v>
      </c>
      <c r="N78" s="43">
        <f>1+18/24/60</f>
        <v>1.0125</v>
      </c>
      <c r="O78" s="43">
        <f>1+48/24/60</f>
        <v>1.0333333333333334</v>
      </c>
      <c r="P78" s="39"/>
      <c r="Q78" s="42"/>
      <c r="R78" s="44">
        <f>MIP_4[[#This Row],[PT-1]]+MIP_4[[#This Row],[PT-2]]*2+MIP_4[[#This Row],[PT-3]]*3+MIP_4[[#This Row],[PT &gt; 3 Pontos]]</f>
        <v>21</v>
      </c>
      <c r="S7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7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78" s="41">
        <f ca="1">MIP_4[[#This Row],[Eficiência]]</f>
        <v>1.4637441376949232</v>
      </c>
      <c r="V7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8" s="39">
        <f>IF(MIP_4[[#This Row],[P.S]]-MIP_4[[#This Row],[P.E]]&lt;0,1+MIP_4[[#This Row],[P.S]]-MIP_4[[#This Row],[P.E]]-1/24,MIP_4[[#This Row],[P.S]]-MIP_4[[#This Row],[P.E]]-1/24)</f>
        <v>0.36666666666666675</v>
      </c>
      <c r="X78" s="39">
        <f ca="1">MIP_4[[#This Row],[PT-1]]*$S$3+MIP_4[[#This Row],[PT-2]]*$T$3+MIP_4[[#This Row],[PT-3]]*$U$3+MIP_4[[#This Row],[PT &gt; 3 Pontos]]*$V$3</f>
        <v>0.47571684475084985</v>
      </c>
      <c r="Y78" s="39">
        <f>MIP_4[[#This Row],[HH disponível]]-MIP_4[[#This Row],[HH AC TOT]]</f>
        <v>0.3249999999999999</v>
      </c>
      <c r="Z78" s="38">
        <f ca="1">MIP_4[[#This Row],[HH Produtivo
Total]]/MIP_4[[#This Row],[HH Trabalhado]]</f>
        <v>1.4637441376949232</v>
      </c>
      <c r="AA78" s="38">
        <f ca="1">MIP_4[[#This Row],[HH Produtivo
Total]]/MIP_4[[#This Row],[HH disponível]]</f>
        <v>1.2974095765932265</v>
      </c>
      <c r="AB78" s="38">
        <f>MIP_4[[#This Row],[HH Trabalhado]]/MIP_4[[#This Row],[HH disponível]]</f>
        <v>0.88636363636363591</v>
      </c>
      <c r="AC78" s="37" t="str">
        <f>LEFT(MIP_4[[#This Row],[Equipe]], SEARCH("/",MIP_4[[#This Row],[Equipe]],1)-1)</f>
        <v xml:space="preserve">EDILTON </v>
      </c>
      <c r="AD78" s="37" t="str">
        <f>RIGHT(MIP_4[[#This Row],[Equipe]], LEN(MIP_4[[#This Row],[Equipe]])-SEARCH("/",MIP_4[[#This Row],[Equipe]],1))</f>
        <v xml:space="preserve"> GECIVALDO</v>
      </c>
      <c r="AE78" s="44">
        <f>COUNTIFS('[1]Tempo parado'!G:G,"&gt;="&amp;MIP_4[[#This Row],[S.B Sitrack]],'[1]Tempo parado'!H:H,"&lt;="&amp;MIP_4[[#This Row],[C.B Sitrack]],'[1]Tempo parado'!A:A,MIP_4[[#This Row],[Placa]])</f>
        <v>0</v>
      </c>
      <c r="AF78" s="36"/>
      <c r="AG78" s="35"/>
      <c r="AH78" s="34"/>
      <c r="AI78" s="34"/>
      <c r="AJ7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8" s="32" t="str">
        <f>IFERROR(MIP_4[[#This Row],[Tempo parado]]/(MIP_4[[#This Row],[C.B Sitrack]]-MIP_4[[#This Row],[S.B Sitrack]]),"")</f>
        <v/>
      </c>
      <c r="AN78" s="30"/>
      <c r="AO78" s="44">
        <f>IF(AND(MIP_4[Exc]=0,MIP_4[Previsto / Realizado]="Realizado"),MIP_4[Sem],0)</f>
        <v>0</v>
      </c>
      <c r="AP78" s="29">
        <f>IF(AND(MIP_4[Exc]=0,MIP_4[Previsto / Realizado]="Realizado",ISBLANK(MIP_4[[#This Row],[S.B Sitrack]])=FALSE,ISBLANK(MIP_4[[#This Row],[C.B Sitrack]])=FALSE),MIP_4[Sem],0)</f>
        <v>0</v>
      </c>
    </row>
    <row r="79" spans="1:42" ht="15.75" x14ac:dyDescent="0.25">
      <c r="A79" s="44">
        <f>WEEKNUM(MIP_4[[#This Row],[Data]])</f>
        <v>22</v>
      </c>
      <c r="B79" s="45">
        <v>42884</v>
      </c>
      <c r="C79" s="45"/>
      <c r="D79" s="35" t="s">
        <v>3</v>
      </c>
      <c r="E79" s="35" t="s">
        <v>2</v>
      </c>
      <c r="F79" s="35"/>
      <c r="G79" s="44">
        <v>2</v>
      </c>
      <c r="H79" s="44">
        <v>3</v>
      </c>
      <c r="I79" s="44">
        <v>3</v>
      </c>
      <c r="J79" s="44">
        <v>0</v>
      </c>
      <c r="K79" s="44">
        <v>5</v>
      </c>
      <c r="L79" s="43">
        <v>0.63750000000000007</v>
      </c>
      <c r="M79" s="43">
        <v>0.65277777777777779</v>
      </c>
      <c r="N79" s="43">
        <f>1+5/24/60</f>
        <v>1.0034722222222223</v>
      </c>
      <c r="O79" s="43">
        <f>1+48/24/60</f>
        <v>1.0333333333333334</v>
      </c>
      <c r="P79" s="39"/>
      <c r="Q79" s="42" t="s">
        <v>445</v>
      </c>
      <c r="R79" s="44">
        <f>MIP_4[[#This Row],[PT-1]]+MIP_4[[#This Row],[PT-2]]*2+MIP_4[[#This Row],[PT-3]]*3+MIP_4[[#This Row],[PT &gt; 3 Pontos]]</f>
        <v>14</v>
      </c>
      <c r="S7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4.513888888888884E-2</v>
      </c>
      <c r="T7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4.513888888888884E-2</v>
      </c>
      <c r="U79" s="41">
        <f ca="1">MIP_4[[#This Row],[Eficiência]]</f>
        <v>0.99681625323418188</v>
      </c>
      <c r="V7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9" s="39">
        <f>IF(MIP_4[[#This Row],[P.S]]-MIP_4[[#This Row],[P.E]]&lt;0,1+MIP_4[[#This Row],[P.S]]-MIP_4[[#This Row],[P.E]]-1/24,MIP_4[[#This Row],[P.S]]-MIP_4[[#This Row],[P.E]]-1/24)</f>
        <v>0.35416666666666669</v>
      </c>
      <c r="X79" s="39">
        <f ca="1">MIP_4[[#This Row],[PT-1]]*$S$3+MIP_4[[#This Row],[PT-2]]*$T$3+MIP_4[[#This Row],[PT-3]]*$U$3+MIP_4[[#This Row],[PT &gt; 3 Pontos]]*$V$3</f>
        <v>0.30804391158972988</v>
      </c>
      <c r="Y79" s="39">
        <f>MIP_4[[#This Row],[HH disponível]]-MIP_4[[#This Row],[HH AC TOT]]</f>
        <v>0.30902777777777785</v>
      </c>
      <c r="Z79" s="38">
        <f ca="1">MIP_4[[#This Row],[HH Produtivo
Total]]/MIP_4[[#This Row],[HH Trabalhado]]</f>
        <v>0.99681625323418188</v>
      </c>
      <c r="AA79" s="38">
        <f ca="1">MIP_4[[#This Row],[HH Produtivo
Total]]/MIP_4[[#This Row],[HH disponível]]</f>
        <v>0.86977104448864906</v>
      </c>
      <c r="AB79" s="38">
        <f>MIP_4[[#This Row],[HH Trabalhado]]/MIP_4[[#This Row],[HH disponível]]</f>
        <v>0.87254901960784326</v>
      </c>
      <c r="AC79" s="37" t="str">
        <f>LEFT(MIP_4[[#This Row],[Equipe]], SEARCH("/",MIP_4[[#This Row],[Equipe]],1)-1)</f>
        <v xml:space="preserve">EDILTON </v>
      </c>
      <c r="AD79" s="37" t="str">
        <f>RIGHT(MIP_4[[#This Row],[Equipe]], LEN(MIP_4[[#This Row],[Equipe]])-SEARCH("/",MIP_4[[#This Row],[Equipe]],1))</f>
        <v xml:space="preserve"> GECIVALDO</v>
      </c>
      <c r="AE79" s="44">
        <f>COUNTIFS('[1]Tempo parado'!G:G,"&gt;="&amp;MIP_4[[#This Row],[S.B Sitrack]],'[1]Tempo parado'!H:H,"&lt;="&amp;MIP_4[[#This Row],[C.B Sitrack]],'[1]Tempo parado'!A:A,MIP_4[[#This Row],[Placa]])</f>
        <v>0</v>
      </c>
      <c r="AF79" s="36"/>
      <c r="AG79" s="35"/>
      <c r="AH79" s="34"/>
      <c r="AI79" s="34"/>
      <c r="AJ7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9" s="32" t="str">
        <f>IFERROR(MIP_4[[#This Row],[Tempo parado]]/(MIP_4[[#This Row],[C.B Sitrack]]-MIP_4[[#This Row],[S.B Sitrack]]),"")</f>
        <v/>
      </c>
      <c r="AN79" s="30"/>
      <c r="AO79" s="44">
        <f>IF(AND(MIP_4[Exc]=0,MIP_4[Previsto / Realizado]="Realizado"),MIP_4[Sem],0)</f>
        <v>22</v>
      </c>
      <c r="AP79" s="29">
        <f>IF(AND(MIP_4[Exc]=0,MIP_4[Previsto / Realizado]="Realizado",ISBLANK(MIP_4[[#This Row],[S.B Sitrack]])=FALSE,ISBLANK(MIP_4[[#This Row],[C.B Sitrack]])=FALSE),MIP_4[Sem],0)</f>
        <v>0</v>
      </c>
    </row>
    <row r="80" spans="1:42" ht="15.75" x14ac:dyDescent="0.25">
      <c r="A80" s="44">
        <f>WEEKNUM(MIP_4[[#This Row],[Data]])</f>
        <v>22</v>
      </c>
      <c r="B80" s="45">
        <v>42885</v>
      </c>
      <c r="C80" s="45"/>
      <c r="D80" s="35" t="s">
        <v>10</v>
      </c>
      <c r="E80" s="35" t="s">
        <v>5</v>
      </c>
      <c r="F80" s="35"/>
      <c r="G80" s="44">
        <v>2</v>
      </c>
      <c r="H80" s="44">
        <v>3</v>
      </c>
      <c r="I80" s="44">
        <v>2</v>
      </c>
      <c r="J80" s="44">
        <v>0</v>
      </c>
      <c r="K80" s="44">
        <v>0</v>
      </c>
      <c r="L80" s="43">
        <v>0.25</v>
      </c>
      <c r="M80" s="43">
        <v>0.27083333333333331</v>
      </c>
      <c r="N80" s="43">
        <v>0.63750000000000007</v>
      </c>
      <c r="O80" s="43">
        <v>0.65833333333333333</v>
      </c>
      <c r="P80" s="39"/>
      <c r="Q80" s="42" t="s">
        <v>444</v>
      </c>
      <c r="R80" s="44">
        <f>MIP_4[[#This Row],[PT-1]]+MIP_4[[#This Row],[PT-2]]*2+MIP_4[[#This Row],[PT-3]]*3+MIP_4[[#This Row],[PT &gt; 3 Pontos]]</f>
        <v>7</v>
      </c>
      <c r="S8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8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80" s="41">
        <f ca="1">MIP_4[[#This Row],[Eficiência]]</f>
        <v>0.50121566487055591</v>
      </c>
      <c r="V8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0" s="39">
        <f>IF(MIP_4[[#This Row],[P.S]]-MIP_4[[#This Row],[P.E]]&lt;0,1+MIP_4[[#This Row],[P.S]]-MIP_4[[#This Row],[P.E]]-1/24,MIP_4[[#This Row],[P.S]]-MIP_4[[#This Row],[P.E]]-1/24)</f>
        <v>0.36666666666666664</v>
      </c>
      <c r="X80" s="39">
        <f ca="1">MIP_4[[#This Row],[PT-1]]*$S$3+MIP_4[[#This Row],[PT-2]]*$T$3+MIP_4[[#This Row],[PT-3]]*$U$3+MIP_4[[#This Row],[PT &gt; 3 Pontos]]*$V$3</f>
        <v>0.16289509108293071</v>
      </c>
      <c r="Y80" s="39">
        <f>MIP_4[[#This Row],[HH disponível]]-MIP_4[[#This Row],[HH AC TOT]]</f>
        <v>0.32500000000000007</v>
      </c>
      <c r="Z80" s="38">
        <f ca="1">MIP_4[[#This Row],[HH Produtivo
Total]]/MIP_4[[#This Row],[HH Trabalhado]]</f>
        <v>0.50121566487055591</v>
      </c>
      <c r="AA80" s="38">
        <f ca="1">MIP_4[[#This Row],[HH Produtivo
Total]]/MIP_4[[#This Row],[HH disponível]]</f>
        <v>0.44425933931708378</v>
      </c>
      <c r="AB80" s="38">
        <f>MIP_4[[#This Row],[HH Trabalhado]]/MIP_4[[#This Row],[HH disponível]]</f>
        <v>0.88636363636363658</v>
      </c>
      <c r="AC80" s="37" t="str">
        <f>LEFT(MIP_4[[#This Row],[Equipe]], SEARCH("/",MIP_4[[#This Row],[Equipe]],1)-1)</f>
        <v xml:space="preserve">JOILSON </v>
      </c>
      <c r="AD80" s="37" t="str">
        <f>RIGHT(MIP_4[[#This Row],[Equipe]], LEN(MIP_4[[#This Row],[Equipe]])-SEARCH("/",MIP_4[[#This Row],[Equipe]],1))</f>
        <v xml:space="preserve"> VALDEI</v>
      </c>
      <c r="AE80" s="44">
        <f>COUNTIFS('[1]Tempo parado'!G:G,"&gt;="&amp;MIP_4[[#This Row],[S.B Sitrack]],'[1]Tempo parado'!H:H,"&lt;="&amp;MIP_4[[#This Row],[C.B Sitrack]],'[1]Tempo parado'!A:A,MIP_4[[#This Row],[Placa]])</f>
        <v>0</v>
      </c>
      <c r="AF80" s="36"/>
      <c r="AG80" s="35"/>
      <c r="AH80" s="34"/>
      <c r="AI80" s="34"/>
      <c r="AJ8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0" s="32" t="str">
        <f>IFERROR(MIP_4[[#This Row],[Tempo parado]]/(MIP_4[[#This Row],[C.B Sitrack]]-MIP_4[[#This Row],[S.B Sitrack]]),"")</f>
        <v/>
      </c>
      <c r="AN80" s="30"/>
      <c r="AO80" s="44">
        <f>IF(AND(MIP_4[Exc]=0,MIP_4[Previsto / Realizado]="Realizado"),MIP_4[Sem],0)</f>
        <v>0</v>
      </c>
      <c r="AP80" s="29">
        <f>IF(AND(MIP_4[Exc]=0,MIP_4[Previsto / Realizado]="Realizado",ISBLANK(MIP_4[[#This Row],[S.B Sitrack]])=FALSE,ISBLANK(MIP_4[[#This Row],[C.B Sitrack]])=FALSE),MIP_4[Sem],0)</f>
        <v>0</v>
      </c>
    </row>
    <row r="81" spans="1:42" ht="15.75" x14ac:dyDescent="0.25">
      <c r="A81" s="44">
        <f>WEEKNUM(MIP_4[[#This Row],[Data]])</f>
        <v>22</v>
      </c>
      <c r="B81" s="45">
        <v>42885</v>
      </c>
      <c r="C81" s="45"/>
      <c r="D81" s="35" t="s">
        <v>10</v>
      </c>
      <c r="E81" s="35" t="s">
        <v>2</v>
      </c>
      <c r="F81" s="35"/>
      <c r="G81" s="44">
        <v>2</v>
      </c>
      <c r="H81" s="44">
        <v>3</v>
      </c>
      <c r="I81" s="44">
        <v>2</v>
      </c>
      <c r="J81" s="44">
        <v>0</v>
      </c>
      <c r="K81" s="44">
        <v>0</v>
      </c>
      <c r="L81" s="43">
        <v>0.25069444444444444</v>
      </c>
      <c r="M81" s="43">
        <v>0.28055555555555556</v>
      </c>
      <c r="N81" s="43">
        <v>0.63611111111111118</v>
      </c>
      <c r="O81" s="43">
        <v>0.65833333333333333</v>
      </c>
      <c r="P81" s="39"/>
      <c r="Q81" s="42"/>
      <c r="R81" s="44">
        <f>MIP_4[[#This Row],[PT-1]]+MIP_4[[#This Row],[PT-2]]*2+MIP_4[[#This Row],[PT-3]]*3+MIP_4[[#This Row],[PT &gt; 3 Pontos]]</f>
        <v>7</v>
      </c>
      <c r="S8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5.2083333333333259E-2</v>
      </c>
      <c r="T8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5.2083333333333259E-2</v>
      </c>
      <c r="U81" s="41">
        <f ca="1">MIP_4[[#This Row],[Eficiência]]</f>
        <v>0.51895781229960214</v>
      </c>
      <c r="V8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1" s="39">
        <f>IF(MIP_4[[#This Row],[P.S]]-MIP_4[[#This Row],[P.E]]&lt;0,1+MIP_4[[#This Row],[P.S]]-MIP_4[[#This Row],[P.E]]-1/24,MIP_4[[#This Row],[P.S]]-MIP_4[[#This Row],[P.E]]-1/24)</f>
        <v>0.3659722222222222</v>
      </c>
      <c r="X81" s="39">
        <f ca="1">MIP_4[[#This Row],[PT-1]]*$S$3+MIP_4[[#This Row],[PT-2]]*$T$3+MIP_4[[#This Row],[PT-3]]*$U$3+MIP_4[[#This Row],[PT &gt; 3 Pontos]]*$V$3</f>
        <v>0.16289509108293071</v>
      </c>
      <c r="Y81" s="39">
        <f>MIP_4[[#This Row],[HH disponível]]-MIP_4[[#This Row],[HH AC TOT]]</f>
        <v>0.31388888888888894</v>
      </c>
      <c r="Z81" s="38">
        <f ca="1">MIP_4[[#This Row],[HH Produtivo
Total]]/MIP_4[[#This Row],[HH Trabalhado]]</f>
        <v>0.51895781229960214</v>
      </c>
      <c r="AA81" s="38">
        <f ca="1">MIP_4[[#This Row],[HH Produtivo
Total]]/MIP_4[[#This Row],[HH disponível]]</f>
        <v>0.44510233616588279</v>
      </c>
      <c r="AB81" s="38">
        <f>MIP_4[[#This Row],[HH Trabalhado]]/MIP_4[[#This Row],[HH disponível]]</f>
        <v>0.85768500948766624</v>
      </c>
      <c r="AC81" s="37" t="str">
        <f>LEFT(MIP_4[[#This Row],[Equipe]], SEARCH("/",MIP_4[[#This Row],[Equipe]],1)-1)</f>
        <v xml:space="preserve">JOILSON </v>
      </c>
      <c r="AD81" s="37" t="str">
        <f>RIGHT(MIP_4[[#This Row],[Equipe]], LEN(MIP_4[[#This Row],[Equipe]])-SEARCH("/",MIP_4[[#This Row],[Equipe]],1))</f>
        <v xml:space="preserve"> VALDEI</v>
      </c>
      <c r="AE81" s="44">
        <f>COUNTIFS('[1]Tempo parado'!G:G,"&gt;="&amp;MIP_4[[#This Row],[S.B Sitrack]],'[1]Tempo parado'!H:H,"&lt;="&amp;MIP_4[[#This Row],[C.B Sitrack]],'[1]Tempo parado'!A:A,MIP_4[[#This Row],[Placa]])</f>
        <v>0</v>
      </c>
      <c r="AF81" s="36"/>
      <c r="AG81" s="35"/>
      <c r="AH81" s="34"/>
      <c r="AI81" s="34"/>
      <c r="AJ8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1" s="32" t="str">
        <f>IFERROR(MIP_4[[#This Row],[Tempo parado]]/(MIP_4[[#This Row],[C.B Sitrack]]-MIP_4[[#This Row],[S.B Sitrack]]),"")</f>
        <v/>
      </c>
      <c r="AN81" s="30"/>
      <c r="AO81" s="44">
        <f>IF(AND(MIP_4[Exc]=0,MIP_4[Previsto / Realizado]="Realizado"),MIP_4[Sem],0)</f>
        <v>22</v>
      </c>
      <c r="AP81" s="29">
        <f>IF(AND(MIP_4[Exc]=0,MIP_4[Previsto / Realizado]="Realizado",ISBLANK(MIP_4[[#This Row],[S.B Sitrack]])=FALSE,ISBLANK(MIP_4[[#This Row],[C.B Sitrack]])=FALSE),MIP_4[Sem],0)</f>
        <v>0</v>
      </c>
    </row>
    <row r="82" spans="1:42" ht="63" x14ac:dyDescent="0.25">
      <c r="A82" s="44">
        <f>WEEKNUM(MIP_4[[#This Row],[Data]])</f>
        <v>22</v>
      </c>
      <c r="B82" s="45">
        <v>42885</v>
      </c>
      <c r="C82" s="45"/>
      <c r="D82" s="83" t="s">
        <v>439</v>
      </c>
      <c r="E82" s="35" t="s">
        <v>5</v>
      </c>
      <c r="F82" s="83"/>
      <c r="G82" s="44">
        <v>2</v>
      </c>
      <c r="H82" s="44">
        <v>5</v>
      </c>
      <c r="I82" s="44">
        <v>0</v>
      </c>
      <c r="J82" s="44">
        <v>0</v>
      </c>
      <c r="K82" s="44">
        <v>8</v>
      </c>
      <c r="L82" s="43">
        <v>0.625</v>
      </c>
      <c r="M82" s="43">
        <v>0.64583333333333337</v>
      </c>
      <c r="N82" s="43">
        <f>1+18/24/60</f>
        <v>1.0125</v>
      </c>
      <c r="O82" s="43">
        <f>1+48/24/60</f>
        <v>1.0333333333333334</v>
      </c>
      <c r="P82" s="39"/>
      <c r="Q82" s="42" t="s">
        <v>443</v>
      </c>
      <c r="R82" s="44">
        <f>MIP_4[[#This Row],[PT-1]]+MIP_4[[#This Row],[PT-2]]*2+MIP_4[[#This Row],[PT-3]]*3+MIP_4[[#This Row],[PT &gt; 3 Pontos]]</f>
        <v>13</v>
      </c>
      <c r="S8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8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82" s="41">
        <f ca="1">MIP_4[[#This Row],[Eficiência]]</f>
        <v>0.88342569797129</v>
      </c>
      <c r="V8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2" s="39">
        <f>IF(MIP_4[[#This Row],[P.S]]-MIP_4[[#This Row],[P.E]]&lt;0,1+MIP_4[[#This Row],[P.S]]-MIP_4[[#This Row],[P.E]]-1/24,MIP_4[[#This Row],[P.S]]-MIP_4[[#This Row],[P.E]]-1/24)</f>
        <v>0.36666666666666675</v>
      </c>
      <c r="X82" s="39">
        <f ca="1">MIP_4[[#This Row],[PT-1]]*$S$3+MIP_4[[#This Row],[PT-2]]*$T$3+MIP_4[[#This Row],[PT-3]]*$U$3+MIP_4[[#This Row],[PT &gt; 3 Pontos]]*$V$3</f>
        <v>0.28711335184066916</v>
      </c>
      <c r="Y82" s="39">
        <f>MIP_4[[#This Row],[HH disponível]]-MIP_4[[#This Row],[HH AC TOT]]</f>
        <v>0.3249999999999999</v>
      </c>
      <c r="Z82" s="38">
        <f ca="1">MIP_4[[#This Row],[HH Produtivo
Total]]/MIP_4[[#This Row],[HH Trabalhado]]</f>
        <v>0.88342569797129</v>
      </c>
      <c r="AA82" s="38">
        <f ca="1">MIP_4[[#This Row],[HH Produtivo
Total]]/MIP_4[[#This Row],[HH disponível]]</f>
        <v>0.78303641411091573</v>
      </c>
      <c r="AB82" s="38">
        <f>MIP_4[[#This Row],[HH Trabalhado]]/MIP_4[[#This Row],[HH disponível]]</f>
        <v>0.88636363636363591</v>
      </c>
      <c r="AC82" s="37" t="str">
        <f>LEFT(MIP_4[[#This Row],[Equipe]], SEARCH("/",MIP_4[[#This Row],[Equipe]],1)-1)</f>
        <v xml:space="preserve">ADEMÁRIO </v>
      </c>
      <c r="AD82" s="37" t="str">
        <f>RIGHT(MIP_4[[#This Row],[Equipe]], LEN(MIP_4[[#This Row],[Equipe]])-SEARCH("/",MIP_4[[#This Row],[Equipe]],1))</f>
        <v xml:space="preserve"> ANDERSON</v>
      </c>
      <c r="AE82" s="44">
        <f>COUNTIFS('[1]Tempo parado'!G:G,"&gt;="&amp;MIP_4[[#This Row],[S.B Sitrack]],'[1]Tempo parado'!H:H,"&lt;="&amp;MIP_4[[#This Row],[C.B Sitrack]],'[1]Tempo parado'!A:A,MIP_4[[#This Row],[Placa]])</f>
        <v>0</v>
      </c>
      <c r="AF82" s="36"/>
      <c r="AG82" s="35"/>
      <c r="AH82" s="34"/>
      <c r="AI82" s="34"/>
      <c r="AJ8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2" s="32" t="str">
        <f>IFERROR(MIP_4[[#This Row],[Tempo parado]]/(MIP_4[[#This Row],[C.B Sitrack]]-MIP_4[[#This Row],[S.B Sitrack]]),"")</f>
        <v/>
      </c>
      <c r="AN82" s="30"/>
      <c r="AO82" s="44">
        <f>IF(AND(MIP_4[Exc]=0,MIP_4[Previsto / Realizado]="Realizado"),MIP_4[Sem],0)</f>
        <v>0</v>
      </c>
      <c r="AP82" s="29">
        <f>IF(AND(MIP_4[Exc]=0,MIP_4[Previsto / Realizado]="Realizado",ISBLANK(MIP_4[[#This Row],[S.B Sitrack]])=FALSE,ISBLANK(MIP_4[[#This Row],[C.B Sitrack]])=FALSE),MIP_4[Sem],0)</f>
        <v>0</v>
      </c>
    </row>
    <row r="83" spans="1:42" ht="63" x14ac:dyDescent="0.25">
      <c r="A83" s="44">
        <f>WEEKNUM(MIP_4[[#This Row],[Data]])</f>
        <v>22</v>
      </c>
      <c r="B83" s="45">
        <v>42885</v>
      </c>
      <c r="C83" s="45"/>
      <c r="D83" s="83" t="s">
        <v>439</v>
      </c>
      <c r="E83" s="35" t="s">
        <v>2</v>
      </c>
      <c r="F83" s="83"/>
      <c r="G83" s="44">
        <v>2</v>
      </c>
      <c r="H83" s="44">
        <v>5</v>
      </c>
      <c r="I83" s="44">
        <v>0</v>
      </c>
      <c r="J83" s="44">
        <v>0</v>
      </c>
      <c r="K83" s="44">
        <v>8</v>
      </c>
      <c r="L83" s="43">
        <v>0.65486111111111112</v>
      </c>
      <c r="M83" s="43">
        <v>0.66597222222222219</v>
      </c>
      <c r="N83" s="43">
        <f>1+15/24/60</f>
        <v>1.0104166666666667</v>
      </c>
      <c r="O83" s="43">
        <f>1+39/24/60</f>
        <v>1.0270833333333333</v>
      </c>
      <c r="P83" s="39"/>
      <c r="Q83" s="42" t="s">
        <v>442</v>
      </c>
      <c r="R83" s="44">
        <f>MIP_4[[#This Row],[PT-1]]+MIP_4[[#This Row],[PT-2]]*2+MIP_4[[#This Row],[PT-3]]*3+MIP_4[[#This Row],[PT &gt; 3 Pontos]]</f>
        <v>13</v>
      </c>
      <c r="S8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2.7777777777777679E-2</v>
      </c>
      <c r="T8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2.7777777777777679E-2</v>
      </c>
      <c r="U83" s="41">
        <f ca="1">MIP_4[[#This Row],[Eficiência]]</f>
        <v>0.94826428130863183</v>
      </c>
      <c r="V8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3" s="39">
        <f>IF(MIP_4[[#This Row],[P.S]]-MIP_4[[#This Row],[P.E]]&lt;0,1+MIP_4[[#This Row],[P.S]]-MIP_4[[#This Row],[P.E]]-1/24,MIP_4[[#This Row],[P.S]]-MIP_4[[#This Row],[P.E]]-1/24)</f>
        <v>0.33055555555555555</v>
      </c>
      <c r="X83" s="39">
        <f ca="1">MIP_4[[#This Row],[PT-1]]*$S$3+MIP_4[[#This Row],[PT-2]]*$T$3+MIP_4[[#This Row],[PT-3]]*$U$3+MIP_4[[#This Row],[PT &gt; 3 Pontos]]*$V$3</f>
        <v>0.28711335184066916</v>
      </c>
      <c r="Y83" s="39">
        <f>MIP_4[[#This Row],[HH disponível]]-MIP_4[[#This Row],[HH AC TOT]]</f>
        <v>0.30277777777777787</v>
      </c>
      <c r="Z83" s="38">
        <f ca="1">MIP_4[[#This Row],[HH Produtivo
Total]]/MIP_4[[#This Row],[HH Trabalhado]]</f>
        <v>0.94826428130863183</v>
      </c>
      <c r="AA83" s="38">
        <f ca="1">MIP_4[[#This Row],[HH Produtivo
Total]]/MIP_4[[#This Row],[HH disponível]]</f>
        <v>0.86857820724908319</v>
      </c>
      <c r="AB83" s="38">
        <f>MIP_4[[#This Row],[HH Trabalhado]]/MIP_4[[#This Row],[HH disponível]]</f>
        <v>0.91596638655462215</v>
      </c>
      <c r="AC83" s="37" t="str">
        <f>LEFT(MIP_4[[#This Row],[Equipe]], SEARCH("/",MIP_4[[#This Row],[Equipe]],1)-1)</f>
        <v xml:space="preserve">ADEMÁRIO </v>
      </c>
      <c r="AD83" s="37" t="str">
        <f>RIGHT(MIP_4[[#This Row],[Equipe]], LEN(MIP_4[[#This Row],[Equipe]])-SEARCH("/",MIP_4[[#This Row],[Equipe]],1))</f>
        <v xml:space="preserve"> ANDERSON</v>
      </c>
      <c r="AE83" s="44">
        <f>COUNTIFS('[1]Tempo parado'!G:G,"&gt;="&amp;MIP_4[[#This Row],[S.B Sitrack]],'[1]Tempo parado'!H:H,"&lt;="&amp;MIP_4[[#This Row],[C.B Sitrack]],'[1]Tempo parado'!A:A,MIP_4[[#This Row],[Placa]])</f>
        <v>0</v>
      </c>
      <c r="AF83" s="36"/>
      <c r="AG83" s="35"/>
      <c r="AH83" s="34"/>
      <c r="AI83" s="34"/>
      <c r="AJ8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3" s="32" t="str">
        <f>IFERROR(MIP_4[[#This Row],[Tempo parado]]/(MIP_4[[#This Row],[C.B Sitrack]]-MIP_4[[#This Row],[S.B Sitrack]]),"")</f>
        <v/>
      </c>
      <c r="AN83" s="30"/>
      <c r="AO83" s="44">
        <f>IF(AND(MIP_4[Exc]=0,MIP_4[Previsto / Realizado]="Realizado"),MIP_4[Sem],0)</f>
        <v>22</v>
      </c>
      <c r="AP83" s="29">
        <f>IF(AND(MIP_4[Exc]=0,MIP_4[Previsto / Realizado]="Realizado",ISBLANK(MIP_4[[#This Row],[S.B Sitrack]])=FALSE,ISBLANK(MIP_4[[#This Row],[C.B Sitrack]])=FALSE),MIP_4[Sem],0)</f>
        <v>0</v>
      </c>
    </row>
    <row r="84" spans="1:42" ht="15.75" x14ac:dyDescent="0.25">
      <c r="A84" s="44">
        <f>WEEKNUM(MIP_4[[#This Row],[Data]])</f>
        <v>22</v>
      </c>
      <c r="B84" s="45">
        <v>42885</v>
      </c>
      <c r="C84" s="45"/>
      <c r="D84" s="35" t="s">
        <v>3</v>
      </c>
      <c r="E84" s="35" t="s">
        <v>5</v>
      </c>
      <c r="F84" s="35"/>
      <c r="G84" s="44">
        <v>2</v>
      </c>
      <c r="H84" s="44">
        <v>7</v>
      </c>
      <c r="I84" s="44">
        <v>2</v>
      </c>
      <c r="J84" s="44">
        <v>1</v>
      </c>
      <c r="K84" s="44">
        <v>0</v>
      </c>
      <c r="L84" s="43">
        <v>0.625</v>
      </c>
      <c r="M84" s="43">
        <v>0.64583333333333337</v>
      </c>
      <c r="N84" s="43">
        <f>1+18/24/60</f>
        <v>1.0125</v>
      </c>
      <c r="O84" s="43">
        <f>1+48/24/60</f>
        <v>1.0333333333333334</v>
      </c>
      <c r="P84" s="39"/>
      <c r="Q84" s="42"/>
      <c r="R84" s="44">
        <f>MIP_4[[#This Row],[PT-1]]+MIP_4[[#This Row],[PT-2]]*2+MIP_4[[#This Row],[PT-3]]*3+MIP_4[[#This Row],[PT &gt; 3 Pontos]]</f>
        <v>14</v>
      </c>
      <c r="S8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8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84" s="41">
        <f ca="1">MIP_4[[#This Row],[Eficiência]]</f>
        <v>1.0024313297411123</v>
      </c>
      <c r="V8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4" s="39">
        <f>IF(MIP_4[[#This Row],[P.S]]-MIP_4[[#This Row],[P.E]]&lt;0,1+MIP_4[[#This Row],[P.S]]-MIP_4[[#This Row],[P.E]]-1/24,MIP_4[[#This Row],[P.S]]-MIP_4[[#This Row],[P.E]]-1/24)</f>
        <v>0.36666666666666675</v>
      </c>
      <c r="X84" s="39">
        <f ca="1">MIP_4[[#This Row],[PT-1]]*$S$3+MIP_4[[#This Row],[PT-2]]*$T$3+MIP_4[[#This Row],[PT-3]]*$U$3+MIP_4[[#This Row],[PT &gt; 3 Pontos]]*$V$3</f>
        <v>0.32579018216586142</v>
      </c>
      <c r="Y84" s="39">
        <f>MIP_4[[#This Row],[HH disponível]]-MIP_4[[#This Row],[HH AC TOT]]</f>
        <v>0.3249999999999999</v>
      </c>
      <c r="Z84" s="38">
        <f ca="1">MIP_4[[#This Row],[HH Produtivo
Total]]/MIP_4[[#This Row],[HH Trabalhado]]</f>
        <v>1.0024313297411123</v>
      </c>
      <c r="AA84" s="38">
        <f ca="1">MIP_4[[#This Row],[HH Produtivo
Total]]/MIP_4[[#This Row],[HH disponível]]</f>
        <v>0.88851867863416734</v>
      </c>
      <c r="AB84" s="38">
        <f>MIP_4[[#This Row],[HH Trabalhado]]/MIP_4[[#This Row],[HH disponível]]</f>
        <v>0.88636363636363591</v>
      </c>
      <c r="AC84" s="37" t="str">
        <f>LEFT(MIP_4[[#This Row],[Equipe]], SEARCH("/",MIP_4[[#This Row],[Equipe]],1)-1)</f>
        <v xml:space="preserve">EDILTON </v>
      </c>
      <c r="AD84" s="37" t="str">
        <f>RIGHT(MIP_4[[#This Row],[Equipe]], LEN(MIP_4[[#This Row],[Equipe]])-SEARCH("/",MIP_4[[#This Row],[Equipe]],1))</f>
        <v xml:space="preserve"> GECIVALDO</v>
      </c>
      <c r="AE84" s="44">
        <f>COUNTIFS('[1]Tempo parado'!G:G,"&gt;="&amp;MIP_4[[#This Row],[S.B Sitrack]],'[1]Tempo parado'!H:H,"&lt;="&amp;MIP_4[[#This Row],[C.B Sitrack]],'[1]Tempo parado'!A:A,MIP_4[[#This Row],[Placa]])</f>
        <v>0</v>
      </c>
      <c r="AF84" s="36"/>
      <c r="AG84" s="35"/>
      <c r="AH84" s="34"/>
      <c r="AI84" s="34"/>
      <c r="AJ8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4" s="32" t="str">
        <f>IFERROR(MIP_4[[#This Row],[Tempo parado]]/(MIP_4[[#This Row],[C.B Sitrack]]-MIP_4[[#This Row],[S.B Sitrack]]),"")</f>
        <v/>
      </c>
      <c r="AN84" s="30"/>
      <c r="AO84" s="44">
        <f>IF(AND(MIP_4[Exc]=0,MIP_4[Previsto / Realizado]="Realizado"),MIP_4[Sem],0)</f>
        <v>0</v>
      </c>
      <c r="AP84" s="29">
        <f>IF(AND(MIP_4[Exc]=0,MIP_4[Previsto / Realizado]="Realizado",ISBLANK(MIP_4[[#This Row],[S.B Sitrack]])=FALSE,ISBLANK(MIP_4[[#This Row],[C.B Sitrack]])=FALSE),MIP_4[Sem],0)</f>
        <v>0</v>
      </c>
    </row>
    <row r="85" spans="1:42" ht="15.75" x14ac:dyDescent="0.25">
      <c r="A85" s="44">
        <f>WEEKNUM(MIP_4[[#This Row],[Data]])</f>
        <v>22</v>
      </c>
      <c r="B85" s="45">
        <v>42885</v>
      </c>
      <c r="C85" s="45"/>
      <c r="D85" s="35" t="s">
        <v>3</v>
      </c>
      <c r="E85" s="35" t="s">
        <v>2</v>
      </c>
      <c r="F85" s="35"/>
      <c r="G85" s="44">
        <v>2</v>
      </c>
      <c r="H85" s="44">
        <v>7</v>
      </c>
      <c r="I85" s="44">
        <v>0</v>
      </c>
      <c r="J85" s="44">
        <v>0</v>
      </c>
      <c r="K85" s="44">
        <v>5</v>
      </c>
      <c r="L85" s="43">
        <v>0.61944444444444446</v>
      </c>
      <c r="M85" s="43">
        <v>0.65277777777777779</v>
      </c>
      <c r="N85" s="43">
        <f>1</f>
        <v>1</v>
      </c>
      <c r="O85" s="43">
        <f>1+48/24/60</f>
        <v>1.0333333333333334</v>
      </c>
      <c r="P85" s="39"/>
      <c r="Q85" s="42"/>
      <c r="R85" s="44">
        <f>MIP_4[[#This Row],[PT-1]]+MIP_4[[#This Row],[PT-2]]*2+MIP_4[[#This Row],[PT-3]]*3+MIP_4[[#This Row],[PT &gt; 3 Pontos]]</f>
        <v>12</v>
      </c>
      <c r="S8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6.6666666666666763E-2</v>
      </c>
      <c r="T8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6.6666666666666763E-2</v>
      </c>
      <c r="U85" s="41">
        <f ca="1">MIP_4[[#This Row],[Eficiência]]</f>
        <v>0.90465062765334503</v>
      </c>
      <c r="V8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5" s="39">
        <f>IF(MIP_4[[#This Row],[P.S]]-MIP_4[[#This Row],[P.E]]&lt;0,1+MIP_4[[#This Row],[P.S]]-MIP_4[[#This Row],[P.E]]-1/24,MIP_4[[#This Row],[P.S]]-MIP_4[[#This Row],[P.E]]-1/24)</f>
        <v>0.37222222222222229</v>
      </c>
      <c r="X85" s="39">
        <f ca="1">MIP_4[[#This Row],[PT-1]]*$S$3+MIP_4[[#This Row],[PT-2]]*$T$3+MIP_4[[#This Row],[PT-3]]*$U$3+MIP_4[[#This Row],[PT &gt; 3 Pontos]]*$V$3</f>
        <v>0.27642102511629985</v>
      </c>
      <c r="Y85" s="39">
        <f>MIP_4[[#This Row],[HH disponível]]-MIP_4[[#This Row],[HH AC TOT]]</f>
        <v>0.30555555555555552</v>
      </c>
      <c r="Z85" s="38">
        <f ca="1">MIP_4[[#This Row],[HH Produtivo
Total]]/MIP_4[[#This Row],[HH Trabalhado]]</f>
        <v>0.90465062765334503</v>
      </c>
      <c r="AA85" s="38">
        <f ca="1">MIP_4[[#This Row],[HH Produtivo
Total]]/MIP_4[[#This Row],[HH disponível]]</f>
        <v>0.74262364956617855</v>
      </c>
      <c r="AB85" s="38">
        <f>MIP_4[[#This Row],[HH Trabalhado]]/MIP_4[[#This Row],[HH disponível]]</f>
        <v>0.82089552238805952</v>
      </c>
      <c r="AC85" s="37" t="str">
        <f>LEFT(MIP_4[[#This Row],[Equipe]], SEARCH("/",MIP_4[[#This Row],[Equipe]],1)-1)</f>
        <v xml:space="preserve">EDILTON </v>
      </c>
      <c r="AD85" s="37" t="str">
        <f>RIGHT(MIP_4[[#This Row],[Equipe]], LEN(MIP_4[[#This Row],[Equipe]])-SEARCH("/",MIP_4[[#This Row],[Equipe]],1))</f>
        <v xml:space="preserve"> GECIVALDO</v>
      </c>
      <c r="AE85" s="44">
        <f>COUNTIFS('[1]Tempo parado'!G:G,"&gt;="&amp;MIP_4[[#This Row],[S.B Sitrack]],'[1]Tempo parado'!H:H,"&lt;="&amp;MIP_4[[#This Row],[C.B Sitrack]],'[1]Tempo parado'!A:A,MIP_4[[#This Row],[Placa]])</f>
        <v>0</v>
      </c>
      <c r="AF85" s="36"/>
      <c r="AG85" s="35"/>
      <c r="AH85" s="34"/>
      <c r="AI85" s="34"/>
      <c r="AJ8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5" s="32" t="str">
        <f>IFERROR(MIP_4[[#This Row],[Tempo parado]]/(MIP_4[[#This Row],[C.B Sitrack]]-MIP_4[[#This Row],[S.B Sitrack]]),"")</f>
        <v/>
      </c>
      <c r="AN85" s="30"/>
      <c r="AO85" s="44">
        <f>IF(AND(MIP_4[Exc]=0,MIP_4[Previsto / Realizado]="Realizado"),MIP_4[Sem],0)</f>
        <v>22</v>
      </c>
      <c r="AP85" s="29">
        <f>IF(AND(MIP_4[Exc]=0,MIP_4[Previsto / Realizado]="Realizado",ISBLANK(MIP_4[[#This Row],[S.B Sitrack]])=FALSE,ISBLANK(MIP_4[[#This Row],[C.B Sitrack]])=FALSE),MIP_4[Sem],0)</f>
        <v>0</v>
      </c>
    </row>
    <row r="86" spans="1:42" ht="15.75" x14ac:dyDescent="0.25">
      <c r="A86" s="44">
        <f>WEEKNUM(MIP_4[[#This Row],[Data]])</f>
        <v>22</v>
      </c>
      <c r="B86" s="45">
        <v>42886</v>
      </c>
      <c r="C86" s="45"/>
      <c r="D86" s="35" t="s">
        <v>10</v>
      </c>
      <c r="E86" s="35" t="s">
        <v>5</v>
      </c>
      <c r="F86" s="35"/>
      <c r="G86" s="44">
        <v>2</v>
      </c>
      <c r="H86" s="44">
        <v>0</v>
      </c>
      <c r="I86" s="44">
        <v>1</v>
      </c>
      <c r="J86" s="44">
        <v>0</v>
      </c>
      <c r="K86" s="44">
        <v>4</v>
      </c>
      <c r="L86" s="43">
        <v>0.25</v>
      </c>
      <c r="M86" s="43">
        <v>0.27083333333333331</v>
      </c>
      <c r="N86" s="43">
        <v>0.63750000000000007</v>
      </c>
      <c r="O86" s="43">
        <v>0.65833333333333333</v>
      </c>
      <c r="P86" s="39"/>
      <c r="Q86" s="42"/>
      <c r="R86" s="44">
        <f>MIP_4[[#This Row],[PT-1]]+MIP_4[[#This Row],[PT-2]]*2+MIP_4[[#This Row],[PT-3]]*3+MIP_4[[#This Row],[PT &gt; 3 Pontos]]</f>
        <v>6</v>
      </c>
      <c r="S8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8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86" s="41">
        <f ca="1">MIP_4[[#This Row],[Eficiência]]</f>
        <v>0.38431018346477286</v>
      </c>
      <c r="V8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6" s="39">
        <f>IF(MIP_4[[#This Row],[P.S]]-MIP_4[[#This Row],[P.E]]&lt;0,1+MIP_4[[#This Row],[P.S]]-MIP_4[[#This Row],[P.E]]-1/24,MIP_4[[#This Row],[P.S]]-MIP_4[[#This Row],[P.E]]-1/24)</f>
        <v>0.36666666666666664</v>
      </c>
      <c r="X86" s="39">
        <f ca="1">MIP_4[[#This Row],[PT-1]]*$S$3+MIP_4[[#This Row],[PT-2]]*$T$3+MIP_4[[#This Row],[PT-3]]*$U$3+MIP_4[[#This Row],[PT &gt; 3 Pontos]]*$V$3</f>
        <v>0.12490080962605121</v>
      </c>
      <c r="Y86" s="39">
        <f>MIP_4[[#This Row],[HH disponível]]-MIP_4[[#This Row],[HH AC TOT]]</f>
        <v>0.32500000000000007</v>
      </c>
      <c r="Z86" s="38">
        <f ca="1">MIP_4[[#This Row],[HH Produtivo
Total]]/MIP_4[[#This Row],[HH Trabalhado]]</f>
        <v>0.38431018346477286</v>
      </c>
      <c r="AA86" s="38">
        <f ca="1">MIP_4[[#This Row],[HH Produtivo
Total]]/MIP_4[[#This Row],[HH disponível]]</f>
        <v>0.34063857170741241</v>
      </c>
      <c r="AB86" s="38">
        <f>MIP_4[[#This Row],[HH Trabalhado]]/MIP_4[[#This Row],[HH disponível]]</f>
        <v>0.88636363636363658</v>
      </c>
      <c r="AC86" s="37" t="str">
        <f>LEFT(MIP_4[[#This Row],[Equipe]], SEARCH("/",MIP_4[[#This Row],[Equipe]],1)-1)</f>
        <v xml:space="preserve">JOILSON </v>
      </c>
      <c r="AD86" s="37" t="str">
        <f>RIGHT(MIP_4[[#This Row],[Equipe]], LEN(MIP_4[[#This Row],[Equipe]])-SEARCH("/",MIP_4[[#This Row],[Equipe]],1))</f>
        <v xml:space="preserve"> VALDEI</v>
      </c>
      <c r="AE86" s="44">
        <f>COUNTIFS('[1]Tempo parado'!G:G,"&gt;="&amp;MIP_4[[#This Row],[S.B Sitrack]],'[1]Tempo parado'!H:H,"&lt;="&amp;MIP_4[[#This Row],[C.B Sitrack]],'[1]Tempo parado'!A:A,MIP_4[[#This Row],[Placa]])</f>
        <v>0</v>
      </c>
      <c r="AF86" s="36"/>
      <c r="AG86" s="35"/>
      <c r="AH86" s="34"/>
      <c r="AI86" s="34"/>
      <c r="AJ8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6" s="32" t="str">
        <f>IFERROR(MIP_4[[#This Row],[Tempo parado]]/(MIP_4[[#This Row],[C.B Sitrack]]-MIP_4[[#This Row],[S.B Sitrack]]),"")</f>
        <v/>
      </c>
      <c r="AN86" s="30"/>
      <c r="AO86" s="44">
        <f>IF(AND(MIP_4[Exc]=0,MIP_4[Previsto / Realizado]="Realizado"),MIP_4[Sem],0)</f>
        <v>0</v>
      </c>
      <c r="AP86" s="29">
        <f>IF(AND(MIP_4[Exc]=0,MIP_4[Previsto / Realizado]="Realizado",ISBLANK(MIP_4[[#This Row],[S.B Sitrack]])=FALSE,ISBLANK(MIP_4[[#This Row],[C.B Sitrack]])=FALSE),MIP_4[Sem],0)</f>
        <v>0</v>
      </c>
    </row>
    <row r="87" spans="1:42" ht="15.75" x14ac:dyDescent="0.25">
      <c r="A87" s="44">
        <f>WEEKNUM(MIP_4[[#This Row],[Data]])</f>
        <v>22</v>
      </c>
      <c r="B87" s="45">
        <v>42886</v>
      </c>
      <c r="C87" s="45"/>
      <c r="D87" s="35" t="s">
        <v>10</v>
      </c>
      <c r="E87" s="35" t="s">
        <v>2</v>
      </c>
      <c r="F87" s="35"/>
      <c r="G87" s="44">
        <v>2</v>
      </c>
      <c r="H87" s="44">
        <v>0</v>
      </c>
      <c r="I87" s="44">
        <v>0</v>
      </c>
      <c r="J87" s="44">
        <v>0</v>
      </c>
      <c r="K87" s="44">
        <v>6</v>
      </c>
      <c r="L87" s="43">
        <v>0.26111111111111113</v>
      </c>
      <c r="M87" s="43">
        <v>0.29166666666666669</v>
      </c>
      <c r="N87" s="43">
        <v>0.63541666666666663</v>
      </c>
      <c r="O87" s="43">
        <v>0.66388888888888886</v>
      </c>
      <c r="P87" s="39"/>
      <c r="Q87" s="42" t="s">
        <v>441</v>
      </c>
      <c r="R87" s="44">
        <f>MIP_4[[#This Row],[PT-1]]+MIP_4[[#This Row],[PT-2]]*2+MIP_4[[#This Row],[PT-3]]*3+MIP_4[[#This Row],[PT &gt; 3 Pontos]]</f>
        <v>6</v>
      </c>
      <c r="S8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5.902777777777779E-2</v>
      </c>
      <c r="T8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5.902777777777779E-2</v>
      </c>
      <c r="U87" s="41">
        <f ca="1">MIP_4[[#This Row],[Eficiência]]</f>
        <v>0.40216738852795858</v>
      </c>
      <c r="V8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7" s="39">
        <f>IF(MIP_4[[#This Row],[P.S]]-MIP_4[[#This Row],[P.E]]&lt;0,1+MIP_4[[#This Row],[P.S]]-MIP_4[[#This Row],[P.E]]-1/24,MIP_4[[#This Row],[P.S]]-MIP_4[[#This Row],[P.E]]-1/24)</f>
        <v>0.36111111111111105</v>
      </c>
      <c r="X87" s="39">
        <f ca="1">MIP_4[[#This Row],[PT-1]]*$S$3+MIP_4[[#This Row],[PT-2]]*$T$3+MIP_4[[#This Row],[PT-3]]*$U$3+MIP_4[[#This Row],[PT &gt; 3 Pontos]]*$V$3</f>
        <v>0.12148806528448745</v>
      </c>
      <c r="Y87" s="39">
        <f>MIP_4[[#This Row],[HH disponível]]-MIP_4[[#This Row],[HH AC TOT]]</f>
        <v>0.30208333333333326</v>
      </c>
      <c r="Z87" s="38">
        <f ca="1">MIP_4[[#This Row],[HH Produtivo
Total]]/MIP_4[[#This Row],[HH Trabalhado]]</f>
        <v>0.40216738852795858</v>
      </c>
      <c r="AA87" s="38">
        <f ca="1">MIP_4[[#This Row],[HH Produtivo
Total]]/MIP_4[[#This Row],[HH disponível]]</f>
        <v>0.33642848848011914</v>
      </c>
      <c r="AB87" s="38">
        <f>MIP_4[[#This Row],[HH Trabalhado]]/MIP_4[[#This Row],[HH disponível]]</f>
        <v>0.83653846153846145</v>
      </c>
      <c r="AC87" s="37" t="str">
        <f>LEFT(MIP_4[[#This Row],[Equipe]], SEARCH("/",MIP_4[[#This Row],[Equipe]],1)-1)</f>
        <v xml:space="preserve">JOILSON </v>
      </c>
      <c r="AD87" s="37" t="str">
        <f>RIGHT(MIP_4[[#This Row],[Equipe]], LEN(MIP_4[[#This Row],[Equipe]])-SEARCH("/",MIP_4[[#This Row],[Equipe]],1))</f>
        <v xml:space="preserve"> VALDEI</v>
      </c>
      <c r="AE87" s="44">
        <f>COUNTIFS('[1]Tempo parado'!G:G,"&gt;="&amp;MIP_4[[#This Row],[S.B Sitrack]],'[1]Tempo parado'!H:H,"&lt;="&amp;MIP_4[[#This Row],[C.B Sitrack]],'[1]Tempo parado'!A:A,MIP_4[[#This Row],[Placa]])</f>
        <v>0</v>
      </c>
      <c r="AF87" s="36"/>
      <c r="AG87" s="35"/>
      <c r="AH87" s="34"/>
      <c r="AI87" s="34"/>
      <c r="AJ8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7" s="32" t="str">
        <f>IFERROR(MIP_4[[#This Row],[Tempo parado]]/(MIP_4[[#This Row],[C.B Sitrack]]-MIP_4[[#This Row],[S.B Sitrack]]),"")</f>
        <v/>
      </c>
      <c r="AN87" s="30"/>
      <c r="AO87" s="44">
        <f>IF(AND(MIP_4[Exc]=0,MIP_4[Previsto / Realizado]="Realizado"),MIP_4[Sem],0)</f>
        <v>22</v>
      </c>
      <c r="AP87" s="29">
        <f>IF(AND(MIP_4[Exc]=0,MIP_4[Previsto / Realizado]="Realizado",ISBLANK(MIP_4[[#This Row],[S.B Sitrack]])=FALSE,ISBLANK(MIP_4[[#This Row],[C.B Sitrack]])=FALSE),MIP_4[Sem],0)</f>
        <v>0</v>
      </c>
    </row>
    <row r="88" spans="1:42" ht="15.75" x14ac:dyDescent="0.25">
      <c r="A88" s="44">
        <f>WEEKNUM(MIP_4[[#This Row],[Data]])</f>
        <v>22</v>
      </c>
      <c r="B88" s="45">
        <v>42886</v>
      </c>
      <c r="C88" s="45"/>
      <c r="D88" s="35" t="s">
        <v>3</v>
      </c>
      <c r="E88" s="35" t="s">
        <v>5</v>
      </c>
      <c r="F88" s="35"/>
      <c r="G88" s="44">
        <v>2</v>
      </c>
      <c r="H88" s="44">
        <v>10</v>
      </c>
      <c r="I88" s="44">
        <v>1</v>
      </c>
      <c r="J88" s="44">
        <v>0</v>
      </c>
      <c r="K88" s="44">
        <v>4</v>
      </c>
      <c r="L88" s="43">
        <v>0.625</v>
      </c>
      <c r="M88" s="43">
        <v>0.64583333333333337</v>
      </c>
      <c r="N88" s="43">
        <f>1+18/24/60</f>
        <v>1.0125</v>
      </c>
      <c r="O88" s="43">
        <f>1+48/24/60</f>
        <v>1.0333333333333334</v>
      </c>
      <c r="P88" s="39"/>
      <c r="Q88" s="42"/>
      <c r="R88" s="44">
        <f>MIP_4[[#This Row],[PT-1]]+MIP_4[[#This Row],[PT-2]]*2+MIP_4[[#This Row],[PT-3]]*3+MIP_4[[#This Row],[PT &gt; 3 Pontos]]</f>
        <v>16</v>
      </c>
      <c r="S8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8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88" s="41">
        <f ca="1">MIP_4[[#This Row],[Eficiência]]</f>
        <v>1.154336428355148</v>
      </c>
      <c r="V8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8" s="39">
        <f>IF(MIP_4[[#This Row],[P.S]]-MIP_4[[#This Row],[P.E]]&lt;0,1+MIP_4[[#This Row],[P.S]]-MIP_4[[#This Row],[P.E]]-1/24,MIP_4[[#This Row],[P.S]]-MIP_4[[#This Row],[P.E]]-1/24)</f>
        <v>0.36666666666666675</v>
      </c>
      <c r="X88" s="39">
        <f ca="1">MIP_4[[#This Row],[PT-1]]*$S$3+MIP_4[[#This Row],[PT-2]]*$T$3+MIP_4[[#This Row],[PT-3]]*$U$3+MIP_4[[#This Row],[PT &gt; 3 Pontos]]*$V$3</f>
        <v>0.37515933921542299</v>
      </c>
      <c r="Y88" s="39">
        <f>MIP_4[[#This Row],[HH disponível]]-MIP_4[[#This Row],[HH AC TOT]]</f>
        <v>0.3249999999999999</v>
      </c>
      <c r="Z88" s="38">
        <f ca="1">MIP_4[[#This Row],[HH Produtivo
Total]]/MIP_4[[#This Row],[HH Trabalhado]]</f>
        <v>1.154336428355148</v>
      </c>
      <c r="AA88" s="38">
        <f ca="1">MIP_4[[#This Row],[HH Produtivo
Total]]/MIP_4[[#This Row],[HH disponível]]</f>
        <v>1.0231618342238806</v>
      </c>
      <c r="AB88" s="38">
        <f>MIP_4[[#This Row],[HH Trabalhado]]/MIP_4[[#This Row],[HH disponível]]</f>
        <v>0.88636363636363591</v>
      </c>
      <c r="AC88" s="37" t="str">
        <f>LEFT(MIP_4[[#This Row],[Equipe]], SEARCH("/",MIP_4[[#This Row],[Equipe]],1)-1)</f>
        <v xml:space="preserve">EDILTON </v>
      </c>
      <c r="AD88" s="37" t="str">
        <f>RIGHT(MIP_4[[#This Row],[Equipe]], LEN(MIP_4[[#This Row],[Equipe]])-SEARCH("/",MIP_4[[#This Row],[Equipe]],1))</f>
        <v xml:space="preserve"> GECIVALDO</v>
      </c>
      <c r="AE88" s="44">
        <f>COUNTIFS('[1]Tempo parado'!G:G,"&gt;="&amp;MIP_4[[#This Row],[S.B Sitrack]],'[1]Tempo parado'!H:H,"&lt;="&amp;MIP_4[[#This Row],[C.B Sitrack]],'[1]Tempo parado'!A:A,MIP_4[[#This Row],[Placa]])</f>
        <v>0</v>
      </c>
      <c r="AF88" s="36"/>
      <c r="AG88" s="35"/>
      <c r="AH88" s="34"/>
      <c r="AI88" s="34"/>
      <c r="AJ8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8" s="32" t="str">
        <f>IFERROR(MIP_4[[#This Row],[Tempo parado]]/(MIP_4[[#This Row],[C.B Sitrack]]-MIP_4[[#This Row],[S.B Sitrack]]),"")</f>
        <v/>
      </c>
      <c r="AN88" s="30"/>
      <c r="AO88" s="44">
        <f>IF(AND(MIP_4[Exc]=0,MIP_4[Previsto / Realizado]="Realizado"),MIP_4[Sem],0)</f>
        <v>0</v>
      </c>
      <c r="AP88" s="29">
        <f>IF(AND(MIP_4[Exc]=0,MIP_4[Previsto / Realizado]="Realizado",ISBLANK(MIP_4[[#This Row],[S.B Sitrack]])=FALSE,ISBLANK(MIP_4[[#This Row],[C.B Sitrack]])=FALSE),MIP_4[Sem],0)</f>
        <v>0</v>
      </c>
    </row>
    <row r="89" spans="1:42" ht="15.75" x14ac:dyDescent="0.25">
      <c r="A89" s="44">
        <f>WEEKNUM(MIP_4[[#This Row],[Data]])</f>
        <v>22</v>
      </c>
      <c r="B89" s="45">
        <v>42886</v>
      </c>
      <c r="C89" s="45"/>
      <c r="D89" s="35" t="s">
        <v>3</v>
      </c>
      <c r="E89" s="35" t="s">
        <v>2</v>
      </c>
      <c r="F89" s="35"/>
      <c r="G89" s="44">
        <v>2</v>
      </c>
      <c r="H89" s="44">
        <v>8</v>
      </c>
      <c r="I89" s="44">
        <v>0</v>
      </c>
      <c r="J89" s="44">
        <v>0</v>
      </c>
      <c r="K89" s="44">
        <v>4</v>
      </c>
      <c r="L89" s="43">
        <v>0.62013888888888891</v>
      </c>
      <c r="M89" s="43">
        <v>0.67361111111111116</v>
      </c>
      <c r="N89" s="43">
        <f>1+15/24/60</f>
        <v>1.0104166666666667</v>
      </c>
      <c r="O89" s="43">
        <f>1+43/24/60</f>
        <v>1.0298611111111111</v>
      </c>
      <c r="P89" s="39"/>
      <c r="Q89" s="42" t="s">
        <v>440</v>
      </c>
      <c r="R89" s="44">
        <f>MIP_4[[#This Row],[PT-1]]+MIP_4[[#This Row],[PT-2]]*2+MIP_4[[#This Row],[PT-3]]*3+MIP_4[[#This Row],[PT &gt; 3 Pontos]]</f>
        <v>12</v>
      </c>
      <c r="S8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7.291666666666663E-2</v>
      </c>
      <c r="T8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7.291666666666663E-2</v>
      </c>
      <c r="U89" s="41">
        <f ca="1">MIP_4[[#This Row],[Eficiência]]</f>
        <v>0.95276792649426878</v>
      </c>
      <c r="V8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9" s="39">
        <f>IF(MIP_4[[#This Row],[P.S]]-MIP_4[[#This Row],[P.E]]&lt;0,1+MIP_4[[#This Row],[P.S]]-MIP_4[[#This Row],[P.E]]-1/24,MIP_4[[#This Row],[P.S]]-MIP_4[[#This Row],[P.E]]-1/24)</f>
        <v>0.36805555555555552</v>
      </c>
      <c r="X89" s="39">
        <f ca="1">MIP_4[[#This Row],[PT-1]]*$S$3+MIP_4[[#This Row],[PT-2]]*$T$3+MIP_4[[#This Row],[PT-3]]*$U$3+MIP_4[[#This Row],[PT &gt; 3 Pontos]]*$V$3</f>
        <v>0.28119886719448905</v>
      </c>
      <c r="Y89" s="39">
        <f>MIP_4[[#This Row],[HH disponível]]-MIP_4[[#This Row],[HH AC TOT]]</f>
        <v>0.2951388888888889</v>
      </c>
      <c r="Z89" s="38">
        <f ca="1">MIP_4[[#This Row],[HH Produtivo
Total]]/MIP_4[[#This Row],[HH Trabalhado]]</f>
        <v>0.95276792649426878</v>
      </c>
      <c r="AA89" s="38">
        <f ca="1">MIP_4[[#This Row],[HH Produtivo
Total]]/MIP_4[[#This Row],[HH disponível]]</f>
        <v>0.76401201652842321</v>
      </c>
      <c r="AB89" s="38">
        <f>MIP_4[[#This Row],[HH Trabalhado]]/MIP_4[[#This Row],[HH disponível]]</f>
        <v>0.80188679245283023</v>
      </c>
      <c r="AC89" s="37" t="str">
        <f>LEFT(MIP_4[[#This Row],[Equipe]], SEARCH("/",MIP_4[[#This Row],[Equipe]],1)-1)</f>
        <v xml:space="preserve">EDILTON </v>
      </c>
      <c r="AD89" s="37" t="str">
        <f>RIGHT(MIP_4[[#This Row],[Equipe]], LEN(MIP_4[[#This Row],[Equipe]])-SEARCH("/",MIP_4[[#This Row],[Equipe]],1))</f>
        <v xml:space="preserve"> GECIVALDO</v>
      </c>
      <c r="AE89" s="44">
        <f>COUNTIFS('[1]Tempo parado'!G:G,"&gt;="&amp;MIP_4[[#This Row],[S.B Sitrack]],'[1]Tempo parado'!H:H,"&lt;="&amp;MIP_4[[#This Row],[C.B Sitrack]],'[1]Tempo parado'!A:A,MIP_4[[#This Row],[Placa]])</f>
        <v>0</v>
      </c>
      <c r="AF89" s="36"/>
      <c r="AG89" s="35"/>
      <c r="AH89" s="34"/>
      <c r="AI89" s="34"/>
      <c r="AJ8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9" s="32" t="str">
        <f>IFERROR(MIP_4[[#This Row],[Tempo parado]]/(MIP_4[[#This Row],[C.B Sitrack]]-MIP_4[[#This Row],[S.B Sitrack]]),"")</f>
        <v/>
      </c>
      <c r="AN89" s="30"/>
      <c r="AO89" s="44">
        <f>IF(AND(MIP_4[Exc]=0,MIP_4[Previsto / Realizado]="Realizado"),MIP_4[Sem],0)</f>
        <v>22</v>
      </c>
      <c r="AP89" s="29">
        <f>IF(AND(MIP_4[Exc]=0,MIP_4[Previsto / Realizado]="Realizado",ISBLANK(MIP_4[[#This Row],[S.B Sitrack]])=FALSE,ISBLANK(MIP_4[[#This Row],[C.B Sitrack]])=FALSE),MIP_4[Sem],0)</f>
        <v>0</v>
      </c>
    </row>
    <row r="90" spans="1:42" ht="63" x14ac:dyDescent="0.25">
      <c r="A90" s="44">
        <f>WEEKNUM(MIP_4[[#This Row],[Data]])</f>
        <v>22</v>
      </c>
      <c r="B90" s="45">
        <v>42886</v>
      </c>
      <c r="C90" s="45"/>
      <c r="D90" s="83" t="s">
        <v>439</v>
      </c>
      <c r="E90" s="35" t="s">
        <v>5</v>
      </c>
      <c r="F90" s="83"/>
      <c r="G90" s="44">
        <v>2</v>
      </c>
      <c r="H90" s="44">
        <v>11</v>
      </c>
      <c r="I90" s="44">
        <v>1</v>
      </c>
      <c r="J90" s="44">
        <v>0</v>
      </c>
      <c r="K90" s="44">
        <v>0</v>
      </c>
      <c r="L90" s="43">
        <v>0.625</v>
      </c>
      <c r="M90" s="43">
        <v>0.64583333333333337</v>
      </c>
      <c r="N90" s="43">
        <f>1+18/24/60</f>
        <v>1.0125</v>
      </c>
      <c r="O90" s="43">
        <f>1+48/24/60</f>
        <v>1.0333333333333334</v>
      </c>
      <c r="P90" s="39"/>
      <c r="Q90" s="42"/>
      <c r="R90" s="44">
        <f>MIP_4[[#This Row],[PT-1]]+MIP_4[[#This Row],[PT-2]]*2+MIP_4[[#This Row],[PT-3]]*3+MIP_4[[#This Row],[PT &gt; 3 Pontos]]</f>
        <v>13</v>
      </c>
      <c r="S9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9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90" s="41">
        <f ca="1">MIP_4[[#This Row],[Eficiência]]</f>
        <v>0.98213276508113445</v>
      </c>
      <c r="V9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90" s="39">
        <f>IF(MIP_4[[#This Row],[P.S]]-MIP_4[[#This Row],[P.E]]&lt;0,1+MIP_4[[#This Row],[P.S]]-MIP_4[[#This Row],[P.E]]-1/24,MIP_4[[#This Row],[P.S]]-MIP_4[[#This Row],[P.E]]-1/24)</f>
        <v>0.36666666666666675</v>
      </c>
      <c r="X90" s="39">
        <f ca="1">MIP_4[[#This Row],[PT-1]]*$S$3+MIP_4[[#This Row],[PT-2]]*$T$3+MIP_4[[#This Row],[PT-3]]*$U$3+MIP_4[[#This Row],[PT &gt; 3 Pontos]]*$V$3</f>
        <v>0.31919314865136861</v>
      </c>
      <c r="Y90" s="39">
        <f>MIP_4[[#This Row],[HH disponível]]-MIP_4[[#This Row],[HH AC TOT]]</f>
        <v>0.3249999999999999</v>
      </c>
      <c r="Z90" s="38">
        <f ca="1">MIP_4[[#This Row],[HH Produtivo
Total]]/MIP_4[[#This Row],[HH Trabalhado]]</f>
        <v>0.98213276508113445</v>
      </c>
      <c r="AA90" s="38">
        <f ca="1">MIP_4[[#This Row],[HH Produtivo
Total]]/MIP_4[[#This Row],[HH disponível]]</f>
        <v>0.87052676904918691</v>
      </c>
      <c r="AB90" s="38">
        <f>MIP_4[[#This Row],[HH Trabalhado]]/MIP_4[[#This Row],[HH disponível]]</f>
        <v>0.88636363636363591</v>
      </c>
      <c r="AC90" s="37" t="str">
        <f>LEFT(MIP_4[[#This Row],[Equipe]], SEARCH("/",MIP_4[[#This Row],[Equipe]],1)-1)</f>
        <v xml:space="preserve">ADEMÁRIO </v>
      </c>
      <c r="AD90" s="37" t="str">
        <f>RIGHT(MIP_4[[#This Row],[Equipe]], LEN(MIP_4[[#This Row],[Equipe]])-SEARCH("/",MIP_4[[#This Row],[Equipe]],1))</f>
        <v xml:space="preserve"> ANDERSON</v>
      </c>
      <c r="AE90" s="44">
        <f>COUNTIFS('[1]Tempo parado'!G:G,"&gt;="&amp;MIP_4[[#This Row],[S.B Sitrack]],'[1]Tempo parado'!H:H,"&lt;="&amp;MIP_4[[#This Row],[C.B Sitrack]],'[1]Tempo parado'!A:A,MIP_4[[#This Row],[Placa]])</f>
        <v>0</v>
      </c>
      <c r="AF90" s="36"/>
      <c r="AG90" s="35"/>
      <c r="AH90" s="34"/>
      <c r="AI90" s="34"/>
      <c r="AJ9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9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9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90" s="32" t="str">
        <f>IFERROR(MIP_4[[#This Row],[Tempo parado]]/(MIP_4[[#This Row],[C.B Sitrack]]-MIP_4[[#This Row],[S.B Sitrack]]),"")</f>
        <v/>
      </c>
      <c r="AN90" s="30"/>
      <c r="AO90" s="44">
        <f>IF(AND(MIP_4[Exc]=0,MIP_4[Previsto / Realizado]="Realizado"),MIP_4[Sem],0)</f>
        <v>0</v>
      </c>
      <c r="AP90" s="29">
        <f>IF(AND(MIP_4[Exc]=0,MIP_4[Previsto / Realizado]="Realizado",ISBLANK(MIP_4[[#This Row],[S.B Sitrack]])=FALSE,ISBLANK(MIP_4[[#This Row],[C.B Sitrack]])=FALSE),MIP_4[Sem],0)</f>
        <v>0</v>
      </c>
    </row>
    <row r="91" spans="1:42" ht="63" x14ac:dyDescent="0.25">
      <c r="A91" s="44">
        <f>WEEKNUM(MIP_4[[#This Row],[Data]])</f>
        <v>22</v>
      </c>
      <c r="B91" s="45">
        <v>42886</v>
      </c>
      <c r="C91" s="45"/>
      <c r="D91" s="83" t="s">
        <v>439</v>
      </c>
      <c r="E91" s="35" t="s">
        <v>2</v>
      </c>
      <c r="F91" s="83"/>
      <c r="G91" s="44">
        <v>2</v>
      </c>
      <c r="H91" s="44">
        <v>7</v>
      </c>
      <c r="I91" s="44">
        <v>1</v>
      </c>
      <c r="J91" s="44">
        <v>0</v>
      </c>
      <c r="K91" s="44">
        <v>0</v>
      </c>
      <c r="L91" s="43">
        <v>0.63750000000000007</v>
      </c>
      <c r="M91" s="43">
        <v>0.69444444444444453</v>
      </c>
      <c r="N91" s="43">
        <f>1+30/24/60</f>
        <v>1.0208333333333333</v>
      </c>
      <c r="O91" s="43">
        <f>1+61/24/60</f>
        <v>1.0423611111111111</v>
      </c>
      <c r="P91" s="39"/>
      <c r="Q91" s="42" t="s">
        <v>438</v>
      </c>
      <c r="R91" s="44">
        <f>MIP_4[[#This Row],[PT-1]]+MIP_4[[#This Row],[PT-2]]*2+MIP_4[[#This Row],[PT-3]]*3+MIP_4[[#This Row],[PT &gt; 3 Pontos]]</f>
        <v>9</v>
      </c>
      <c r="S9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7.8472222222222276E-2</v>
      </c>
      <c r="T9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7.8472222222222276E-2</v>
      </c>
      <c r="U91" s="41">
        <f ca="1">MIP_4[[#This Row],[Eficiência]]</f>
        <v>0.76948590491339708</v>
      </c>
      <c r="V9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91" s="39">
        <f>IF(MIP_4[[#This Row],[P.S]]-MIP_4[[#This Row],[P.E]]&lt;0,1+MIP_4[[#This Row],[P.S]]-MIP_4[[#This Row],[P.E]]-1/24,MIP_4[[#This Row],[P.S]]-MIP_4[[#This Row],[P.E]]-1/24)</f>
        <v>0.36319444444444432</v>
      </c>
      <c r="X91" s="39">
        <f ca="1">MIP_4[[#This Row],[PT-1]]*$S$3+MIP_4[[#This Row],[PT-2]]*$T$3+MIP_4[[#This Row],[PT-3]]*$U$3+MIP_4[[#This Row],[PT &gt; 3 Pontos]]*$V$3</f>
        <v>0.21908973681561986</v>
      </c>
      <c r="Y91" s="39">
        <f>MIP_4[[#This Row],[HH disponível]]-MIP_4[[#This Row],[HH AC TOT]]</f>
        <v>0.28472222222222204</v>
      </c>
      <c r="Z91" s="38">
        <f ca="1">MIP_4[[#This Row],[HH Produtivo
Total]]/MIP_4[[#This Row],[HH Trabalhado]]</f>
        <v>0.76948590491339708</v>
      </c>
      <c r="AA91" s="38">
        <f ca="1">MIP_4[[#This Row],[HH Produtivo
Total]]/MIP_4[[#This Row],[HH disponível]]</f>
        <v>0.60322986809654433</v>
      </c>
      <c r="AB91" s="38">
        <f>MIP_4[[#This Row],[HH Trabalhado]]/MIP_4[[#This Row],[HH disponível]]</f>
        <v>0.78393881453154857</v>
      </c>
      <c r="AC91" s="37" t="str">
        <f>LEFT(MIP_4[[#This Row],[Equipe]], SEARCH("/",MIP_4[[#This Row],[Equipe]],1)-1)</f>
        <v xml:space="preserve">ADEMÁRIO </v>
      </c>
      <c r="AD91" s="37" t="str">
        <f>RIGHT(MIP_4[[#This Row],[Equipe]], LEN(MIP_4[[#This Row],[Equipe]])-SEARCH("/",MIP_4[[#This Row],[Equipe]],1))</f>
        <v xml:space="preserve"> ANDERSON</v>
      </c>
      <c r="AE91" s="44">
        <f>COUNTIFS('[1]Tempo parado'!G:G,"&gt;="&amp;MIP_4[[#This Row],[S.B Sitrack]],'[1]Tempo parado'!H:H,"&lt;="&amp;MIP_4[[#This Row],[C.B Sitrack]],'[1]Tempo parado'!A:A,MIP_4[[#This Row],[Placa]])</f>
        <v>0</v>
      </c>
      <c r="AF91" s="36"/>
      <c r="AG91" s="35"/>
      <c r="AH91" s="34"/>
      <c r="AI91" s="34"/>
      <c r="AJ9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9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9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91" s="32" t="str">
        <f>IFERROR(MIP_4[[#This Row],[Tempo parado]]/(MIP_4[[#This Row],[C.B Sitrack]]-MIP_4[[#This Row],[S.B Sitrack]]),"")</f>
        <v/>
      </c>
      <c r="AN91" s="30"/>
      <c r="AO91" s="44">
        <f>IF(AND(MIP_4[Exc]=0,MIP_4[Previsto / Realizado]="Realizado"),MIP_4[Sem],0)</f>
        <v>22</v>
      </c>
      <c r="AP91" s="29">
        <f>IF(AND(MIP_4[Exc]=0,MIP_4[Previsto / Realizado]="Realizado",ISBLANK(MIP_4[[#This Row],[S.B Sitrack]])=FALSE,ISBLANK(MIP_4[[#This Row],[C.B Sitrack]])=FALSE),MIP_4[Sem],0)</f>
        <v>0</v>
      </c>
    </row>
    <row r="92" spans="1:42" ht="15.75" x14ac:dyDescent="0.25">
      <c r="A92" s="44">
        <f>WEEKNUM(MIP_4[[#This Row],[Data]])</f>
        <v>22</v>
      </c>
      <c r="B92" s="45">
        <v>42887</v>
      </c>
      <c r="C92" s="45"/>
      <c r="D92" s="35" t="s">
        <v>10</v>
      </c>
      <c r="E92" s="35" t="s">
        <v>5</v>
      </c>
      <c r="F92" s="35"/>
      <c r="G92" s="44">
        <v>2</v>
      </c>
      <c r="H92" s="44">
        <v>9</v>
      </c>
      <c r="I92" s="44">
        <v>2</v>
      </c>
      <c r="J92" s="44">
        <v>1</v>
      </c>
      <c r="K92" s="44">
        <v>0</v>
      </c>
      <c r="L92" s="43">
        <v>0.25</v>
      </c>
      <c r="M92" s="43">
        <v>0.27083333333333331</v>
      </c>
      <c r="N92" s="43">
        <v>0.63750000000000007</v>
      </c>
      <c r="O92" s="43">
        <v>0.65833333333333333</v>
      </c>
      <c r="P92" s="39"/>
      <c r="Q92" s="42"/>
      <c r="R92" s="44">
        <f>MIP_4[[#This Row],[PT-1]]+MIP_4[[#This Row],[PT-2]]*2+MIP_4[[#This Row],[PT-3]]*3+MIP_4[[#This Row],[PT &gt; 3 Pontos]]</f>
        <v>16</v>
      </c>
      <c r="S9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9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92" s="41">
        <f ca="1">MIP_4[[#This Row],[Eficiência]]</f>
        <v>1.1564365787191866</v>
      </c>
      <c r="V9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92" s="39">
        <f>IF(MIP_4[[#This Row],[P.S]]-MIP_4[[#This Row],[P.E]]&lt;0,1+MIP_4[[#This Row],[P.S]]-MIP_4[[#This Row],[P.E]]-1/24,MIP_4[[#This Row],[P.S]]-MIP_4[[#This Row],[P.E]]-1/24)</f>
        <v>0.36666666666666664</v>
      </c>
      <c r="X92" s="39">
        <f ca="1">MIP_4[[#This Row],[PT-1]]*$S$3+MIP_4[[#This Row],[PT-2]]*$T$3+MIP_4[[#This Row],[PT-3]]*$U$3+MIP_4[[#This Row],[PT &gt; 3 Pontos]]*$V$3</f>
        <v>0.37584188808373575</v>
      </c>
      <c r="Y92" s="39">
        <f>MIP_4[[#This Row],[HH disponível]]-MIP_4[[#This Row],[HH AC TOT]]</f>
        <v>0.32500000000000007</v>
      </c>
      <c r="Z92" s="38">
        <f ca="1">MIP_4[[#This Row],[HH Produtivo
Total]]/MIP_4[[#This Row],[HH Trabalhado]]</f>
        <v>1.1564365787191866</v>
      </c>
      <c r="AA92" s="38">
        <f ca="1">MIP_4[[#This Row],[HH Produtivo
Total]]/MIP_4[[#This Row],[HH disponível]]</f>
        <v>1.0250233311374612</v>
      </c>
      <c r="AB92" s="38">
        <f>MIP_4[[#This Row],[HH Trabalhado]]/MIP_4[[#This Row],[HH disponível]]</f>
        <v>0.88636363636363658</v>
      </c>
      <c r="AC92" s="37" t="str">
        <f>LEFT(MIP_4[[#This Row],[Equipe]], SEARCH("/",MIP_4[[#This Row],[Equipe]],1)-1)</f>
        <v xml:space="preserve">JOILSON </v>
      </c>
      <c r="AD92" s="37" t="str">
        <f>RIGHT(MIP_4[[#This Row],[Equipe]], LEN(MIP_4[[#This Row],[Equipe]])-SEARCH("/",MIP_4[[#This Row],[Equipe]],1))</f>
        <v xml:space="preserve"> VALDEI</v>
      </c>
      <c r="AE92" s="44">
        <f>COUNTIFS('[1]Tempo parado'!G:G,"&gt;="&amp;MIP_4[[#This Row],[S.B Sitrack]],'[1]Tempo parado'!H:H,"&lt;="&amp;MIP_4[[#This Row],[C.B Sitrack]],'[1]Tempo parado'!A:A,MIP_4[[#This Row],[Placa]])</f>
        <v>0</v>
      </c>
      <c r="AF92" s="36"/>
      <c r="AG92" s="35"/>
      <c r="AH92" s="34"/>
      <c r="AI92" s="34"/>
      <c r="AJ9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9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9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92" s="32" t="str">
        <f>IFERROR(MIP_4[[#This Row],[Tempo parado]]/(MIP_4[[#This Row],[C.B Sitrack]]-MIP_4[[#This Row],[S.B Sitrack]]),"")</f>
        <v/>
      </c>
      <c r="AN92" s="30"/>
      <c r="AO92" s="44">
        <f>IF(AND(MIP_4[Exc]=0,MIP_4[Previsto / Realizado]="Realizado"),MIP_4[Sem],0)</f>
        <v>0</v>
      </c>
      <c r="AP92" s="29">
        <f>IF(AND(MIP_4[Exc]=0,MIP_4[Previsto / Realizado]="Realizado",ISBLANK(MIP_4[[#This Row],[S.B Sitrack]])=FALSE,ISBLANK(MIP_4[[#This Row],[C.B Sitrack]])=FALSE),MIP_4[Sem],0)</f>
        <v>0</v>
      </c>
    </row>
    <row r="93" spans="1:42" ht="15.75" x14ac:dyDescent="0.25">
      <c r="A93" s="44">
        <f>WEEKNUM(MIP_4[[#This Row],[Data]])</f>
        <v>22</v>
      </c>
      <c r="B93" s="45">
        <v>42887</v>
      </c>
      <c r="C93" s="45"/>
      <c r="D93" s="35" t="s">
        <v>10</v>
      </c>
      <c r="E93" s="35" t="s">
        <v>2</v>
      </c>
      <c r="F93" s="35"/>
      <c r="G93" s="44">
        <v>2</v>
      </c>
      <c r="H93" s="44">
        <v>5</v>
      </c>
      <c r="I93" s="44">
        <v>0</v>
      </c>
      <c r="J93" s="44">
        <v>1</v>
      </c>
      <c r="K93" s="44">
        <v>0</v>
      </c>
      <c r="L93" s="43">
        <v>0.24583333333333335</v>
      </c>
      <c r="M93" s="43">
        <v>0.28125</v>
      </c>
      <c r="N93" s="43">
        <v>0.65277777777777779</v>
      </c>
      <c r="O93" s="43">
        <v>0.66666666666666663</v>
      </c>
      <c r="P93" s="39"/>
      <c r="Q93" s="42" t="s">
        <v>437</v>
      </c>
      <c r="R93" s="44">
        <f>MIP_4[[#This Row],[PT-1]]+MIP_4[[#This Row],[PT-2]]*2+MIP_4[[#This Row],[PT-3]]*3+MIP_4[[#This Row],[PT &gt; 3 Pontos]]</f>
        <v>8</v>
      </c>
      <c r="S9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4.9305555555555491E-2</v>
      </c>
      <c r="T9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4.9305555555555491E-2</v>
      </c>
      <c r="U93" s="41">
        <f ca="1">MIP_4[[#This Row],[Eficiência]]</f>
        <v>0.56969717772692574</v>
      </c>
      <c r="V9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93" s="39">
        <f>IF(MIP_4[[#This Row],[P.S]]-MIP_4[[#This Row],[P.E]]&lt;0,1+MIP_4[[#This Row],[P.S]]-MIP_4[[#This Row],[P.E]]-1/24,MIP_4[[#This Row],[P.S]]-MIP_4[[#This Row],[P.E]]-1/24)</f>
        <v>0.3791666666666666</v>
      </c>
      <c r="X93" s="39">
        <f ca="1">MIP_4[[#This Row],[PT-1]]*$S$3+MIP_4[[#This Row],[PT-2]]*$T$3+MIP_4[[#This Row],[PT-3]]*$U$3+MIP_4[[#This Row],[PT &gt; 3 Pontos]]*$V$3</f>
        <v>0.18792094404186788</v>
      </c>
      <c r="Y93" s="39">
        <f>MIP_4[[#This Row],[HH disponível]]-MIP_4[[#This Row],[HH AC TOT]]</f>
        <v>0.3298611111111111</v>
      </c>
      <c r="Z93" s="38">
        <f ca="1">MIP_4[[#This Row],[HH Produtivo
Total]]/MIP_4[[#This Row],[HH Trabalhado]]</f>
        <v>0.56969717772692574</v>
      </c>
      <c r="AA93" s="38">
        <f ca="1">MIP_4[[#This Row],[HH Produtivo
Total]]/MIP_4[[#This Row],[HH disponível]]</f>
        <v>0.49561567659393735</v>
      </c>
      <c r="AB93" s="38">
        <f>MIP_4[[#This Row],[HH Trabalhado]]/MIP_4[[#This Row],[HH disponível]]</f>
        <v>0.86996336996337009</v>
      </c>
      <c r="AC93" s="37" t="str">
        <f>LEFT(MIP_4[[#This Row],[Equipe]], SEARCH("/",MIP_4[[#This Row],[Equipe]],1)-1)</f>
        <v xml:space="preserve">JOILSON </v>
      </c>
      <c r="AD93" s="37" t="str">
        <f>RIGHT(MIP_4[[#This Row],[Equipe]], LEN(MIP_4[[#This Row],[Equipe]])-SEARCH("/",MIP_4[[#This Row],[Equipe]],1))</f>
        <v xml:space="preserve"> VALDEI</v>
      </c>
      <c r="AE93" s="44">
        <f>COUNTIFS('[1]Tempo parado'!G:G,"&gt;="&amp;MIP_4[[#This Row],[S.B Sitrack]],'[1]Tempo parado'!H:H,"&lt;="&amp;MIP_4[[#This Row],[C.B Sitrack]],'[1]Tempo parado'!A:A,MIP_4[[#This Row],[Placa]])</f>
        <v>0</v>
      </c>
      <c r="AF93" s="36"/>
      <c r="AG93" s="35"/>
      <c r="AH93" s="34"/>
      <c r="AI93" s="34"/>
      <c r="AJ9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9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9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93" s="32" t="str">
        <f>IFERROR(MIP_4[[#This Row],[Tempo parado]]/(MIP_4[[#This Row],[C.B Sitrack]]-MIP_4[[#This Row],[S.B Sitrack]]),"")</f>
        <v/>
      </c>
      <c r="AN93" s="30"/>
      <c r="AO93" s="44">
        <f>IF(AND(MIP_4[Exc]=0,MIP_4[Previsto / Realizado]="Realizado"),MIP_4[Sem],0)</f>
        <v>22</v>
      </c>
      <c r="AP93" s="29">
        <f>IF(AND(MIP_4[Exc]=0,MIP_4[Previsto / Realizado]="Realizado",ISBLANK(MIP_4[[#This Row],[S.B Sitrack]])=FALSE,ISBLANK(MIP_4[[#This Row],[C.B Sitrack]])=FALSE),MIP_4[Sem],0)</f>
        <v>0</v>
      </c>
    </row>
    <row r="94" spans="1:42" ht="15.75" x14ac:dyDescent="0.25">
      <c r="A94" s="44">
        <f>WEEKNUM(MIP_4[[#This Row],[Data]])</f>
        <v>22</v>
      </c>
      <c r="B94" s="45">
        <v>42888</v>
      </c>
      <c r="C94" s="45"/>
      <c r="D94" s="35" t="s">
        <v>3</v>
      </c>
      <c r="E94" s="35" t="s">
        <v>5</v>
      </c>
      <c r="F94" s="35"/>
      <c r="G94" s="44">
        <v>2</v>
      </c>
      <c r="H94" s="44">
        <v>5</v>
      </c>
      <c r="I94" s="44">
        <v>6</v>
      </c>
      <c r="J94" s="44">
        <v>0</v>
      </c>
      <c r="K94" s="44">
        <v>0</v>
      </c>
      <c r="L94" s="43">
        <v>0.625</v>
      </c>
      <c r="M94" s="43">
        <v>0.64583333333333337</v>
      </c>
      <c r="N94" s="43">
        <f>1+18/24/60</f>
        <v>1.0125</v>
      </c>
      <c r="O94" s="43">
        <f>1+48/24/60</f>
        <v>1.0333333333333334</v>
      </c>
      <c r="P94" s="39"/>
      <c r="Q94" s="42"/>
      <c r="R94" s="44">
        <f>MIP_4[[#This Row],[PT-1]]+MIP_4[[#This Row],[PT-2]]*2+MIP_4[[#This Row],[PT-3]]*3+MIP_4[[#This Row],[PT &gt; 3 Pontos]]</f>
        <v>17</v>
      </c>
      <c r="S9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9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94" s="41">
        <f ca="1">MIP_4[[#This Row],[Eficiência]]</f>
        <v>1.1956364966555186</v>
      </c>
      <c r="V9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94" s="39">
        <f>IF(MIP_4[[#This Row],[P.S]]-MIP_4[[#This Row],[P.E]]&lt;0,1+MIP_4[[#This Row],[P.S]]-MIP_4[[#This Row],[P.E]]-1/24,MIP_4[[#This Row],[P.S]]-MIP_4[[#This Row],[P.E]]-1/24)</f>
        <v>0.36666666666666675</v>
      </c>
      <c r="X94" s="39">
        <f ca="1">MIP_4[[#This Row],[PT-1]]*$S$3+MIP_4[[#This Row],[PT-2]]*$T$3+MIP_4[[#This Row],[PT-3]]*$U$3+MIP_4[[#This Row],[PT &gt; 3 Pontos]]*$V$3</f>
        <v>0.38858186141304341</v>
      </c>
      <c r="Y94" s="39">
        <f>MIP_4[[#This Row],[HH disponível]]-MIP_4[[#This Row],[HH AC TOT]]</f>
        <v>0.3249999999999999</v>
      </c>
      <c r="Z94" s="38">
        <f ca="1">MIP_4[[#This Row],[HH Produtivo
Total]]/MIP_4[[#This Row],[HH Trabalhado]]</f>
        <v>1.1956364966555186</v>
      </c>
      <c r="AA94" s="38">
        <f ca="1">MIP_4[[#This Row],[HH Produtivo
Total]]/MIP_4[[#This Row],[HH disponível]]</f>
        <v>1.0597687129446636</v>
      </c>
      <c r="AB94" s="38">
        <f>MIP_4[[#This Row],[HH Trabalhado]]/MIP_4[[#This Row],[HH disponível]]</f>
        <v>0.88636363636363591</v>
      </c>
      <c r="AC94" s="37" t="str">
        <f>LEFT(MIP_4[[#This Row],[Equipe]], SEARCH("/",MIP_4[[#This Row],[Equipe]],1)-1)</f>
        <v xml:space="preserve">EDILTON </v>
      </c>
      <c r="AD94" s="37" t="str">
        <f>RIGHT(MIP_4[[#This Row],[Equipe]], LEN(MIP_4[[#This Row],[Equipe]])-SEARCH("/",MIP_4[[#This Row],[Equipe]],1))</f>
        <v xml:space="preserve"> GECIVALDO</v>
      </c>
      <c r="AE94" s="44">
        <f>COUNTIFS('[1]Tempo parado'!G:G,"&gt;="&amp;MIP_4[[#This Row],[S.B Sitrack]],'[1]Tempo parado'!H:H,"&lt;="&amp;MIP_4[[#This Row],[C.B Sitrack]],'[1]Tempo parado'!A:A,MIP_4[[#This Row],[Placa]])</f>
        <v>0</v>
      </c>
      <c r="AF94" s="36"/>
      <c r="AG94" s="35"/>
      <c r="AH94" s="34"/>
      <c r="AI94" s="34"/>
      <c r="AJ9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9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9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94" s="32" t="str">
        <f>IFERROR(MIP_4[[#This Row],[Tempo parado]]/(MIP_4[[#This Row],[C.B Sitrack]]-MIP_4[[#This Row],[S.B Sitrack]]),"")</f>
        <v/>
      </c>
      <c r="AN94" s="30"/>
      <c r="AO94" s="44">
        <f>IF(AND(MIP_4[Exc]=0,MIP_4[Previsto / Realizado]="Realizado"),MIP_4[Sem],0)</f>
        <v>0</v>
      </c>
      <c r="AP94" s="29">
        <f>IF(AND(MIP_4[Exc]=0,MIP_4[Previsto / Realizado]="Realizado",ISBLANK(MIP_4[[#This Row],[S.B Sitrack]])=FALSE,ISBLANK(MIP_4[[#This Row],[C.B Sitrack]])=FALSE),MIP_4[Sem],0)</f>
        <v>0</v>
      </c>
    </row>
    <row r="95" spans="1:42" ht="15.75" x14ac:dyDescent="0.25">
      <c r="A95" s="44">
        <f>WEEKNUM(MIP_4[[#This Row],[Data]])</f>
        <v>22</v>
      </c>
      <c r="B95" s="45">
        <v>42888</v>
      </c>
      <c r="C95" s="45"/>
      <c r="D95" s="35" t="s">
        <v>3</v>
      </c>
      <c r="E95" s="35" t="s">
        <v>2</v>
      </c>
      <c r="F95" s="35"/>
      <c r="G95" s="44">
        <v>2</v>
      </c>
      <c r="H95" s="44">
        <v>4</v>
      </c>
      <c r="I95" s="44">
        <v>4</v>
      </c>
      <c r="J95" s="44">
        <v>0</v>
      </c>
      <c r="K95" s="44">
        <v>0</v>
      </c>
      <c r="L95" s="43">
        <v>0.625</v>
      </c>
      <c r="M95" s="43">
        <v>0.65138888888888891</v>
      </c>
      <c r="N95" s="43">
        <f>1+0/24/60</f>
        <v>1</v>
      </c>
      <c r="O95" s="43">
        <f>1+48/24/60</f>
        <v>1.0333333333333334</v>
      </c>
      <c r="P95" s="39"/>
      <c r="Q95" s="42" t="s">
        <v>436</v>
      </c>
      <c r="R95" s="44">
        <f>MIP_4[[#This Row],[PT-1]]+MIP_4[[#This Row],[PT-2]]*2+MIP_4[[#This Row],[PT-3]]*3+MIP_4[[#This Row],[PT &gt; 3 Pontos]]</f>
        <v>12</v>
      </c>
      <c r="S9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5.9722222222222343E-2</v>
      </c>
      <c r="T9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5.9722222222222343E-2</v>
      </c>
      <c r="U95" s="41">
        <f ca="1">MIP_4[[#This Row],[Eficiência]]</f>
        <v>0.89833349727851008</v>
      </c>
      <c r="V9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95" s="39">
        <f>IF(MIP_4[[#This Row],[P.S]]-MIP_4[[#This Row],[P.E]]&lt;0,1+MIP_4[[#This Row],[P.S]]-MIP_4[[#This Row],[P.E]]-1/24,MIP_4[[#This Row],[P.S]]-MIP_4[[#This Row],[P.E]]-1/24)</f>
        <v>0.36666666666666675</v>
      </c>
      <c r="X95" s="39">
        <f ca="1">MIP_4[[#This Row],[PT-1]]*$S$3+MIP_4[[#This Row],[PT-2]]*$T$3+MIP_4[[#This Row],[PT-3]]*$U$3+MIP_4[[#This Row],[PT &gt; 3 Pontos]]*$V$3</f>
        <v>0.27573847624798709</v>
      </c>
      <c r="Y95" s="39">
        <f>MIP_4[[#This Row],[HH disponível]]-MIP_4[[#This Row],[HH AC TOT]]</f>
        <v>0.30694444444444441</v>
      </c>
      <c r="Z95" s="38">
        <f ca="1">MIP_4[[#This Row],[HH Produtivo
Total]]/MIP_4[[#This Row],[HH Trabalhado]]</f>
        <v>0.89833349727851008</v>
      </c>
      <c r="AA95" s="38">
        <f ca="1">MIP_4[[#This Row],[HH Produtivo
Total]]/MIP_4[[#This Row],[HH disponível]]</f>
        <v>0.75201402613087365</v>
      </c>
      <c r="AB95" s="38">
        <f>MIP_4[[#This Row],[HH Trabalhado]]/MIP_4[[#This Row],[HH disponível]]</f>
        <v>0.83712121212121182</v>
      </c>
      <c r="AC95" s="37" t="str">
        <f>LEFT(MIP_4[[#This Row],[Equipe]], SEARCH("/",MIP_4[[#This Row],[Equipe]],1)-1)</f>
        <v xml:space="preserve">EDILTON </v>
      </c>
      <c r="AD95" s="37" t="str">
        <f>RIGHT(MIP_4[[#This Row],[Equipe]], LEN(MIP_4[[#This Row],[Equipe]])-SEARCH("/",MIP_4[[#This Row],[Equipe]],1))</f>
        <v xml:space="preserve"> GECIVALDO</v>
      </c>
      <c r="AE95" s="44">
        <f>COUNTIFS('[1]Tempo parado'!G:G,"&gt;="&amp;MIP_4[[#This Row],[S.B Sitrack]],'[1]Tempo parado'!H:H,"&lt;="&amp;MIP_4[[#This Row],[C.B Sitrack]],'[1]Tempo parado'!A:A,MIP_4[[#This Row],[Placa]])</f>
        <v>0</v>
      </c>
      <c r="AF95" s="36"/>
      <c r="AG95" s="35"/>
      <c r="AH95" s="34"/>
      <c r="AI95" s="34"/>
      <c r="AJ9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9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9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95" s="32" t="str">
        <f>IFERROR(MIP_4[[#This Row],[Tempo parado]]/(MIP_4[[#This Row],[C.B Sitrack]]-MIP_4[[#This Row],[S.B Sitrack]]),"")</f>
        <v/>
      </c>
      <c r="AN95" s="30"/>
      <c r="AO95" s="44">
        <f>IF(AND(MIP_4[Exc]=0,MIP_4[Previsto / Realizado]="Realizado"),MIP_4[Sem],0)</f>
        <v>22</v>
      </c>
      <c r="AP95" s="29">
        <f>IF(AND(MIP_4[Exc]=0,MIP_4[Previsto / Realizado]="Realizado",ISBLANK(MIP_4[[#This Row],[S.B Sitrack]])=FALSE,ISBLANK(MIP_4[[#This Row],[C.B Sitrack]])=FALSE),MIP_4[Sem],0)</f>
        <v>0</v>
      </c>
    </row>
    <row r="96" spans="1:42" ht="15.75" x14ac:dyDescent="0.25">
      <c r="A96" s="44">
        <f>WEEKNUM(MIP_4[[#This Row],[Data]])</f>
        <v>22</v>
      </c>
      <c r="B96" s="45">
        <v>42889</v>
      </c>
      <c r="C96" s="45"/>
      <c r="D96" s="35" t="s">
        <v>434</v>
      </c>
      <c r="E96" s="35" t="s">
        <v>5</v>
      </c>
      <c r="F96" s="35"/>
      <c r="G96" s="44">
        <v>2</v>
      </c>
      <c r="H96" s="44">
        <v>10</v>
      </c>
      <c r="I96" s="44">
        <v>0</v>
      </c>
      <c r="J96" s="44">
        <v>0</v>
      </c>
      <c r="K96" s="44">
        <v>7</v>
      </c>
      <c r="L96" s="43">
        <v>0.625</v>
      </c>
      <c r="M96" s="43">
        <v>0.64583333333333337</v>
      </c>
      <c r="N96" s="43">
        <f>1+18/24/60</f>
        <v>1.0125</v>
      </c>
      <c r="O96" s="43">
        <f>1+48/24/60</f>
        <v>1.0333333333333334</v>
      </c>
      <c r="P96" s="39"/>
      <c r="Q96" s="42" t="s">
        <v>435</v>
      </c>
      <c r="R96" s="44">
        <f>MIP_4[[#This Row],[PT-1]]+MIP_4[[#This Row],[PT-2]]*2+MIP_4[[#This Row],[PT-3]]*3+MIP_4[[#This Row],[PT &gt; 3 Pontos]]</f>
        <v>17</v>
      </c>
      <c r="S9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9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96" s="41">
        <f ca="1">MIP_4[[#This Row],[Eficiência]]</f>
        <v>1.2061372484757147</v>
      </c>
      <c r="V9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96" s="39">
        <f>IF(MIP_4[[#This Row],[P.S]]-MIP_4[[#This Row],[P.E]]&lt;0,1+MIP_4[[#This Row],[P.S]]-MIP_4[[#This Row],[P.E]]-1/24,MIP_4[[#This Row],[P.S]]-MIP_4[[#This Row],[P.E]]-1/24)</f>
        <v>0.36666666666666675</v>
      </c>
      <c r="X96" s="39">
        <f ca="1">MIP_4[[#This Row],[PT-1]]*$S$3+MIP_4[[#This Row],[PT-2]]*$T$3+MIP_4[[#This Row],[PT-3]]*$U$3+MIP_4[[#This Row],[PT &gt; 3 Pontos]]*$V$3</f>
        <v>0.39199460575460715</v>
      </c>
      <c r="Y96" s="39">
        <f>MIP_4[[#This Row],[HH disponível]]-MIP_4[[#This Row],[HH AC TOT]]</f>
        <v>0.3249999999999999</v>
      </c>
      <c r="Z96" s="38">
        <f ca="1">MIP_4[[#This Row],[HH Produtivo
Total]]/MIP_4[[#This Row],[HH Trabalhado]]</f>
        <v>1.2061372484757147</v>
      </c>
      <c r="AA96" s="38">
        <f ca="1">MIP_4[[#This Row],[HH Produtivo
Total]]/MIP_4[[#This Row],[HH disponível]]</f>
        <v>1.0690761975125647</v>
      </c>
      <c r="AB96" s="38">
        <f>MIP_4[[#This Row],[HH Trabalhado]]/MIP_4[[#This Row],[HH disponível]]</f>
        <v>0.88636363636363591</v>
      </c>
      <c r="AC96" s="37" t="str">
        <f>LEFT(MIP_4[[#This Row],[Equipe]], SEARCH("/",MIP_4[[#This Row],[Equipe]],1)-1)</f>
        <v xml:space="preserve">ANTONIO </v>
      </c>
      <c r="AD96" s="37" t="str">
        <f>RIGHT(MIP_4[[#This Row],[Equipe]], LEN(MIP_4[[#This Row],[Equipe]])-SEARCH("/",MIP_4[[#This Row],[Equipe]],1))</f>
        <v xml:space="preserve"> MARCO</v>
      </c>
      <c r="AE96" s="44">
        <f>COUNTIFS('[1]Tempo parado'!G:G,"&gt;="&amp;MIP_4[[#This Row],[S.B Sitrack]],'[1]Tempo parado'!H:H,"&lt;="&amp;MIP_4[[#This Row],[C.B Sitrack]],'[1]Tempo parado'!A:A,MIP_4[[#This Row],[Placa]])</f>
        <v>0</v>
      </c>
      <c r="AF96" s="36"/>
      <c r="AG96" s="35"/>
      <c r="AH96" s="34"/>
      <c r="AI96" s="34"/>
      <c r="AJ9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9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9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96" s="32" t="str">
        <f>IFERROR(MIP_4[[#This Row],[Tempo parado]]/(MIP_4[[#This Row],[C.B Sitrack]]-MIP_4[[#This Row],[S.B Sitrack]]),"")</f>
        <v/>
      </c>
      <c r="AN96" s="30"/>
      <c r="AO96" s="44">
        <f>IF(AND(MIP_4[Exc]=0,MIP_4[Previsto / Realizado]="Realizado"),MIP_4[Sem],0)</f>
        <v>0</v>
      </c>
      <c r="AP96" s="29">
        <f>IF(AND(MIP_4[Exc]=0,MIP_4[Previsto / Realizado]="Realizado",ISBLANK(MIP_4[[#This Row],[S.B Sitrack]])=FALSE,ISBLANK(MIP_4[[#This Row],[C.B Sitrack]])=FALSE),MIP_4[Sem],0)</f>
        <v>0</v>
      </c>
    </row>
    <row r="97" spans="1:42" ht="15.75" x14ac:dyDescent="0.25">
      <c r="A97" s="44">
        <f>WEEKNUM(MIP_4[[#This Row],[Data]])</f>
        <v>22</v>
      </c>
      <c r="B97" s="45">
        <v>42889</v>
      </c>
      <c r="C97" s="45"/>
      <c r="D97" s="35" t="s">
        <v>434</v>
      </c>
      <c r="E97" s="35" t="s">
        <v>2</v>
      </c>
      <c r="F97" s="35"/>
      <c r="G97" s="44">
        <v>2</v>
      </c>
      <c r="H97" s="44">
        <v>2</v>
      </c>
      <c r="I97" s="44">
        <v>0</v>
      </c>
      <c r="J97" s="44">
        <v>0</v>
      </c>
      <c r="K97" s="44">
        <v>3</v>
      </c>
      <c r="L97" s="43">
        <v>0.63124999999999998</v>
      </c>
      <c r="M97" s="43">
        <v>0.66319444444444442</v>
      </c>
      <c r="N97" s="43">
        <v>0.95138888888888884</v>
      </c>
      <c r="O97" s="43">
        <v>0.96388888888888891</v>
      </c>
      <c r="P97" s="39"/>
      <c r="Q97" s="42" t="s">
        <v>433</v>
      </c>
      <c r="R97" s="44">
        <f>MIP_4[[#This Row],[PT-1]]+MIP_4[[#This Row],[PT-2]]*2+MIP_4[[#This Row],[PT-3]]*3+MIP_4[[#This Row],[PT &gt; 3 Pontos]]</f>
        <v>5</v>
      </c>
      <c r="S9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4.4444444444444509E-2</v>
      </c>
      <c r="T9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4.4444444444444509E-2</v>
      </c>
      <c r="U97" s="41">
        <f ca="1">MIP_4[[#This Row],[Eficiência]]</f>
        <v>0.44942496768047913</v>
      </c>
      <c r="V9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97" s="39">
        <f>IF(MIP_4[[#This Row],[P.S]]-MIP_4[[#This Row],[P.E]]&lt;0,1+MIP_4[[#This Row],[P.S]]-MIP_4[[#This Row],[P.E]]-1/24,MIP_4[[#This Row],[P.S]]-MIP_4[[#This Row],[P.E]]-1/24)</f>
        <v>0.29097222222222224</v>
      </c>
      <c r="X97" s="39">
        <f ca="1">MIP_4[[#This Row],[PT-1]]*$S$3+MIP_4[[#This Row],[PT-2]]*$T$3+MIP_4[[#This Row],[PT-3]]*$U$3+MIP_4[[#This Row],[PT &gt; 3 Pontos]]*$V$3</f>
        <v>0.1107957385601181</v>
      </c>
      <c r="Y97" s="39">
        <f>MIP_4[[#This Row],[HH disponível]]-MIP_4[[#This Row],[HH AC TOT]]</f>
        <v>0.24652777777777773</v>
      </c>
      <c r="Z97" s="38">
        <f ca="1">MIP_4[[#This Row],[HH Produtivo
Total]]/MIP_4[[#This Row],[HH Trabalhado]]</f>
        <v>0.44942496768047913</v>
      </c>
      <c r="AA97" s="38">
        <f ca="1">MIP_4[[#This Row],[HH Produtivo
Total]]/MIP_4[[#This Row],[HH disponível]]</f>
        <v>0.3807777172471839</v>
      </c>
      <c r="AB97" s="38">
        <f>MIP_4[[#This Row],[HH Trabalhado]]/MIP_4[[#This Row],[HH disponível]]</f>
        <v>0.84725536992840078</v>
      </c>
      <c r="AC97" s="37" t="str">
        <f>LEFT(MIP_4[[#This Row],[Equipe]], SEARCH("/",MIP_4[[#This Row],[Equipe]],1)-1)</f>
        <v xml:space="preserve">ANTONIO </v>
      </c>
      <c r="AD97" s="37" t="str">
        <f>RIGHT(MIP_4[[#This Row],[Equipe]], LEN(MIP_4[[#This Row],[Equipe]])-SEARCH("/",MIP_4[[#This Row],[Equipe]],1))</f>
        <v xml:space="preserve"> MARCO</v>
      </c>
      <c r="AE97" s="44">
        <f>COUNTIFS('[1]Tempo parado'!G:G,"&gt;="&amp;MIP_4[[#This Row],[S.B Sitrack]],'[1]Tempo parado'!H:H,"&lt;="&amp;MIP_4[[#This Row],[C.B Sitrack]],'[1]Tempo parado'!A:A,MIP_4[[#This Row],[Placa]])</f>
        <v>0</v>
      </c>
      <c r="AF97" s="36"/>
      <c r="AG97" s="35"/>
      <c r="AH97" s="34"/>
      <c r="AI97" s="34"/>
      <c r="AJ9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9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9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97" s="32" t="str">
        <f>IFERROR(MIP_4[[#This Row],[Tempo parado]]/(MIP_4[[#This Row],[C.B Sitrack]]-MIP_4[[#This Row],[S.B Sitrack]]),"")</f>
        <v/>
      </c>
      <c r="AN97" s="30"/>
      <c r="AO97" s="44">
        <f>IF(AND(MIP_4[Exc]=0,MIP_4[Previsto / Realizado]="Realizado"),MIP_4[Sem],0)</f>
        <v>22</v>
      </c>
      <c r="AP97" s="29">
        <f>IF(AND(MIP_4[Exc]=0,MIP_4[Previsto / Realizado]="Realizado",ISBLANK(MIP_4[[#This Row],[S.B Sitrack]])=FALSE,ISBLANK(MIP_4[[#This Row],[C.B Sitrack]])=FALSE),MIP_4[Sem],0)</f>
        <v>0</v>
      </c>
    </row>
    <row r="98" spans="1:42" ht="15.75" x14ac:dyDescent="0.25">
      <c r="A98" s="44">
        <f>WEEKNUM(MIP_4[[#This Row],[Data]])</f>
        <v>22</v>
      </c>
      <c r="B98" s="45">
        <v>42889</v>
      </c>
      <c r="C98" s="45"/>
      <c r="D98" s="35" t="s">
        <v>326</v>
      </c>
      <c r="E98" s="35" t="s">
        <v>5</v>
      </c>
      <c r="F98" s="35"/>
      <c r="G98" s="44">
        <v>2</v>
      </c>
      <c r="H98" s="44">
        <v>15</v>
      </c>
      <c r="I98" s="44">
        <v>0</v>
      </c>
      <c r="J98" s="44">
        <v>0</v>
      </c>
      <c r="K98" s="44">
        <v>0</v>
      </c>
      <c r="L98" s="43">
        <v>0.625</v>
      </c>
      <c r="M98" s="43">
        <v>0.64583333333333337</v>
      </c>
      <c r="N98" s="43">
        <f>1+18/24/60</f>
        <v>1.0125</v>
      </c>
      <c r="O98" s="43">
        <f>1+48/24/60</f>
        <v>1.0333333333333334</v>
      </c>
      <c r="P98" s="39"/>
      <c r="Q98" s="42"/>
      <c r="R98" s="44">
        <f>MIP_4[[#This Row],[PT-1]]+MIP_4[[#This Row],[PT-2]]*2+MIP_4[[#This Row],[PT-3]]*3+MIP_4[[#This Row],[PT &gt; 3 Pontos]]</f>
        <v>15</v>
      </c>
      <c r="S9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9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98" s="41">
        <f ca="1">MIP_4[[#This Row],[Eficiência]]</f>
        <v>1.1550393673355626</v>
      </c>
      <c r="V9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98" s="39">
        <f>IF(MIP_4[[#This Row],[P.S]]-MIP_4[[#This Row],[P.E]]&lt;0,1+MIP_4[[#This Row],[P.S]]-MIP_4[[#This Row],[P.E]]-1/24,MIP_4[[#This Row],[P.S]]-MIP_4[[#This Row],[P.E]]-1/24)</f>
        <v>0.36666666666666675</v>
      </c>
      <c r="X98" s="39">
        <f ca="1">MIP_4[[#This Row],[PT-1]]*$S$3+MIP_4[[#This Row],[PT-2]]*$T$3+MIP_4[[#This Row],[PT-3]]*$U$3+MIP_4[[#This Row],[PT &gt; 3 Pontos]]*$V$3</f>
        <v>0.37538779438405773</v>
      </c>
      <c r="Y98" s="39">
        <f>MIP_4[[#This Row],[HH disponível]]-MIP_4[[#This Row],[HH AC TOT]]</f>
        <v>0.3249999999999999</v>
      </c>
      <c r="Z98" s="38">
        <f ca="1">MIP_4[[#This Row],[HH Produtivo
Total]]/MIP_4[[#This Row],[HH Trabalhado]]</f>
        <v>1.1550393673355626</v>
      </c>
      <c r="AA98" s="38">
        <f ca="1">MIP_4[[#This Row],[HH Produtivo
Total]]/MIP_4[[#This Row],[HH disponível]]</f>
        <v>1.0237848937747027</v>
      </c>
      <c r="AB98" s="38">
        <f>MIP_4[[#This Row],[HH Trabalhado]]/MIP_4[[#This Row],[HH disponível]]</f>
        <v>0.88636363636363591</v>
      </c>
      <c r="AC98" s="37" t="str">
        <f>LEFT(MIP_4[[#This Row],[Equipe]], SEARCH("/",MIP_4[[#This Row],[Equipe]],1)-1)</f>
        <v xml:space="preserve">ANDERSON </v>
      </c>
      <c r="AD98" s="37" t="str">
        <f>RIGHT(MIP_4[[#This Row],[Equipe]], LEN(MIP_4[[#This Row],[Equipe]])-SEARCH("/",MIP_4[[#This Row],[Equipe]],1))</f>
        <v xml:space="preserve"> GECIVALDO</v>
      </c>
      <c r="AE98" s="44">
        <f>COUNTIFS('[1]Tempo parado'!G:G,"&gt;="&amp;MIP_4[[#This Row],[S.B Sitrack]],'[1]Tempo parado'!H:H,"&lt;="&amp;MIP_4[[#This Row],[C.B Sitrack]],'[1]Tempo parado'!A:A,MIP_4[[#This Row],[Placa]])</f>
        <v>0</v>
      </c>
      <c r="AF98" s="36"/>
      <c r="AG98" s="35"/>
      <c r="AH98" s="34"/>
      <c r="AI98" s="34"/>
      <c r="AJ9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9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9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98" s="32" t="str">
        <f>IFERROR(MIP_4[[#This Row],[Tempo parado]]/(MIP_4[[#This Row],[C.B Sitrack]]-MIP_4[[#This Row],[S.B Sitrack]]),"")</f>
        <v/>
      </c>
      <c r="AN98" s="30"/>
      <c r="AO98" s="44">
        <f>IF(AND(MIP_4[Exc]=0,MIP_4[Previsto / Realizado]="Realizado"),MIP_4[Sem],0)</f>
        <v>0</v>
      </c>
      <c r="AP98" s="29">
        <f>IF(AND(MIP_4[Exc]=0,MIP_4[Previsto / Realizado]="Realizado",ISBLANK(MIP_4[[#This Row],[S.B Sitrack]])=FALSE,ISBLANK(MIP_4[[#This Row],[C.B Sitrack]])=FALSE),MIP_4[Sem],0)</f>
        <v>0</v>
      </c>
    </row>
    <row r="99" spans="1:42" ht="15.75" x14ac:dyDescent="0.25">
      <c r="A99" s="44">
        <f>WEEKNUM(MIP_4[[#This Row],[Data]])</f>
        <v>22</v>
      </c>
      <c r="B99" s="45">
        <v>42889</v>
      </c>
      <c r="C99" s="45"/>
      <c r="D99" s="35" t="s">
        <v>326</v>
      </c>
      <c r="E99" s="35" t="s">
        <v>2</v>
      </c>
      <c r="F99" s="35"/>
      <c r="G99" s="44">
        <v>2</v>
      </c>
      <c r="H99" s="44">
        <v>6</v>
      </c>
      <c r="I99" s="44">
        <v>0</v>
      </c>
      <c r="J99" s="44">
        <v>0</v>
      </c>
      <c r="K99" s="44">
        <v>0</v>
      </c>
      <c r="L99" s="43">
        <v>0.62847222222222221</v>
      </c>
      <c r="M99" s="43">
        <v>0.64583333333333337</v>
      </c>
      <c r="N99" s="43">
        <f>1+11/24/60</f>
        <v>1.007638888888889</v>
      </c>
      <c r="O99" s="43">
        <f>1+40/60/24</f>
        <v>1.0277777777777777</v>
      </c>
      <c r="P99" s="39"/>
      <c r="Q99" s="42" t="s">
        <v>432</v>
      </c>
      <c r="R99" s="44">
        <f>MIP_4[[#This Row],[PT-1]]+MIP_4[[#This Row],[PT-2]]*2+MIP_4[[#This Row],[PT-3]]*3+MIP_4[[#This Row],[PT &gt; 3 Pontos]]</f>
        <v>6</v>
      </c>
      <c r="S9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3.7499999999999867E-2</v>
      </c>
      <c r="T9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3.7499999999999867E-2</v>
      </c>
      <c r="U99" s="41">
        <f ca="1">MIP_4[[#This Row],[Eficiência]]</f>
        <v>0.4690311704234647</v>
      </c>
      <c r="V9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99" s="39">
        <f>IF(MIP_4[[#This Row],[P.S]]-MIP_4[[#This Row],[P.E]]&lt;0,1+MIP_4[[#This Row],[P.S]]-MIP_4[[#This Row],[P.E]]-1/24,MIP_4[[#This Row],[P.S]]-MIP_4[[#This Row],[P.E]]-1/24)</f>
        <v>0.35763888888888878</v>
      </c>
      <c r="X99" s="39">
        <f ca="1">MIP_4[[#This Row],[PT-1]]*$S$3+MIP_4[[#This Row],[PT-2]]*$T$3+MIP_4[[#This Row],[PT-3]]*$U$3+MIP_4[[#This Row],[PT &gt; 3 Pontos]]*$V$3</f>
        <v>0.15015511775362309</v>
      </c>
      <c r="Y99" s="39">
        <f>MIP_4[[#This Row],[HH disponível]]-MIP_4[[#This Row],[HH AC TOT]]</f>
        <v>0.32013888888888892</v>
      </c>
      <c r="Z99" s="38">
        <f ca="1">MIP_4[[#This Row],[HH Produtivo
Total]]/MIP_4[[#This Row],[HH Trabalhado]]</f>
        <v>0.4690311704234647</v>
      </c>
      <c r="AA99" s="38">
        <f ca="1">MIP_4[[#This Row],[HH Produtivo
Total]]/MIP_4[[#This Row],[HH disponível]]</f>
        <v>0.41985120303925688</v>
      </c>
      <c r="AB99" s="38">
        <f>MIP_4[[#This Row],[HH Trabalhado]]/MIP_4[[#This Row],[HH disponível]]</f>
        <v>0.89514563106796152</v>
      </c>
      <c r="AC99" s="37" t="str">
        <f>LEFT(MIP_4[[#This Row],[Equipe]], SEARCH("/",MIP_4[[#This Row],[Equipe]],1)-1)</f>
        <v xml:space="preserve">ANDERSON </v>
      </c>
      <c r="AD99" s="37" t="str">
        <f>RIGHT(MIP_4[[#This Row],[Equipe]], LEN(MIP_4[[#This Row],[Equipe]])-SEARCH("/",MIP_4[[#This Row],[Equipe]],1))</f>
        <v xml:space="preserve"> GECIVALDO</v>
      </c>
      <c r="AE99" s="44">
        <f>COUNTIFS('[1]Tempo parado'!G:G,"&gt;="&amp;MIP_4[[#This Row],[S.B Sitrack]],'[1]Tempo parado'!H:H,"&lt;="&amp;MIP_4[[#This Row],[C.B Sitrack]],'[1]Tempo parado'!A:A,MIP_4[[#This Row],[Placa]])</f>
        <v>0</v>
      </c>
      <c r="AF99" s="36"/>
      <c r="AG99" s="35"/>
      <c r="AH99" s="34"/>
      <c r="AI99" s="34"/>
      <c r="AJ9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9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9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99" s="32" t="str">
        <f>IFERROR(MIP_4[[#This Row],[Tempo parado]]/(MIP_4[[#This Row],[C.B Sitrack]]-MIP_4[[#This Row],[S.B Sitrack]]),"")</f>
        <v/>
      </c>
      <c r="AN99" s="30"/>
      <c r="AO99" s="44">
        <f>IF(AND(MIP_4[Exc]=0,MIP_4[Previsto / Realizado]="Realizado"),MIP_4[Sem],0)</f>
        <v>22</v>
      </c>
      <c r="AP99" s="29">
        <f>IF(AND(MIP_4[Exc]=0,MIP_4[Previsto / Realizado]="Realizado",ISBLANK(MIP_4[[#This Row],[S.B Sitrack]])=FALSE,ISBLANK(MIP_4[[#This Row],[C.B Sitrack]])=FALSE),MIP_4[Sem],0)</f>
        <v>0</v>
      </c>
    </row>
    <row r="100" spans="1:42" ht="15.75" x14ac:dyDescent="0.25">
      <c r="A100" s="44">
        <f>WEEKNUM(MIP_4[[#This Row],[Data]])</f>
        <v>23</v>
      </c>
      <c r="B100" s="45">
        <v>42890</v>
      </c>
      <c r="C100" s="45"/>
      <c r="D100" s="35" t="s">
        <v>10</v>
      </c>
      <c r="E100" s="35" t="s">
        <v>5</v>
      </c>
      <c r="F100" s="35"/>
      <c r="G100" s="44">
        <v>2</v>
      </c>
      <c r="H100" s="44">
        <v>0</v>
      </c>
      <c r="I100" s="44">
        <v>0</v>
      </c>
      <c r="J100" s="44">
        <v>3</v>
      </c>
      <c r="K100" s="44">
        <v>9</v>
      </c>
      <c r="L100" s="43">
        <v>0.25</v>
      </c>
      <c r="M100" s="43">
        <v>0.27083333333333331</v>
      </c>
      <c r="N100" s="43">
        <v>0.63750000000000007</v>
      </c>
      <c r="O100" s="43">
        <v>0.65833333333333333</v>
      </c>
      <c r="P100" s="39"/>
      <c r="Q100" s="42"/>
      <c r="R100" s="44">
        <f>MIP_4[[#This Row],[PT-1]]+MIP_4[[#This Row],[PT-2]]*2+MIP_4[[#This Row],[PT-3]]*3+MIP_4[[#This Row],[PT &gt; 3 Pontos]]</f>
        <v>18</v>
      </c>
      <c r="S10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10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100" s="41">
        <f ca="1">MIP_4[[#This Row],[Eficiência]]</f>
        <v>1.1403296482100833</v>
      </c>
      <c r="V10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00" s="39">
        <f>IF(MIP_4[[#This Row],[P.S]]-MIP_4[[#This Row],[P.E]]&lt;0,1+MIP_4[[#This Row],[P.S]]-MIP_4[[#This Row],[P.E]]-1/24,MIP_4[[#This Row],[P.S]]-MIP_4[[#This Row],[P.E]]-1/24)</f>
        <v>0.36666666666666664</v>
      </c>
      <c r="X100" s="39">
        <f ca="1">MIP_4[[#This Row],[PT-1]]*$S$3+MIP_4[[#This Row],[PT-2]]*$T$3+MIP_4[[#This Row],[PT-3]]*$U$3+MIP_4[[#This Row],[PT &gt; 3 Pontos]]*$V$3</f>
        <v>0.37060713566827713</v>
      </c>
      <c r="Y100" s="39">
        <f>MIP_4[[#This Row],[HH disponível]]-MIP_4[[#This Row],[HH AC TOT]]</f>
        <v>0.32500000000000007</v>
      </c>
      <c r="Z100" s="38">
        <f ca="1">MIP_4[[#This Row],[HH Produtivo
Total]]/MIP_4[[#This Row],[HH Trabalhado]]</f>
        <v>1.1403296482100833</v>
      </c>
      <c r="AA100" s="38">
        <f ca="1">MIP_4[[#This Row],[HH Produtivo
Total]]/MIP_4[[#This Row],[HH disponível]]</f>
        <v>1.0107467336407558</v>
      </c>
      <c r="AB100" s="38">
        <f>MIP_4[[#This Row],[HH Trabalhado]]/MIP_4[[#This Row],[HH disponível]]</f>
        <v>0.88636363636363658</v>
      </c>
      <c r="AC100" s="37" t="str">
        <f>LEFT(MIP_4[[#This Row],[Equipe]], SEARCH("/",MIP_4[[#This Row],[Equipe]],1)-1)</f>
        <v xml:space="preserve">JOILSON </v>
      </c>
      <c r="AD100" s="37" t="str">
        <f>RIGHT(MIP_4[[#This Row],[Equipe]], LEN(MIP_4[[#This Row],[Equipe]])-SEARCH("/",MIP_4[[#This Row],[Equipe]],1))</f>
        <v xml:space="preserve"> VALDEI</v>
      </c>
      <c r="AE100" s="44">
        <f>COUNTIFS('[1]Tempo parado'!G:G,"&gt;="&amp;MIP_4[[#This Row],[S.B Sitrack]],'[1]Tempo parado'!H:H,"&lt;="&amp;MIP_4[[#This Row],[C.B Sitrack]],'[1]Tempo parado'!A:A,MIP_4[[#This Row],[Placa]])</f>
        <v>0</v>
      </c>
      <c r="AF100" s="36"/>
      <c r="AG100" s="35"/>
      <c r="AH100" s="34"/>
      <c r="AI100" s="34"/>
      <c r="AJ10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0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0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00" s="32" t="str">
        <f>IFERROR(MIP_4[[#This Row],[Tempo parado]]/(MIP_4[[#This Row],[C.B Sitrack]]-MIP_4[[#This Row],[S.B Sitrack]]),"")</f>
        <v/>
      </c>
      <c r="AN100" s="30"/>
      <c r="AO100" s="44">
        <f>IF(AND(MIP_4[Exc]=0,MIP_4[Previsto / Realizado]="Realizado"),MIP_4[Sem],0)</f>
        <v>0</v>
      </c>
      <c r="AP100" s="29">
        <f>IF(AND(MIP_4[Exc]=0,MIP_4[Previsto / Realizado]="Realizado",ISBLANK(MIP_4[[#This Row],[S.B Sitrack]])=FALSE,ISBLANK(MIP_4[[#This Row],[C.B Sitrack]])=FALSE),MIP_4[Sem],0)</f>
        <v>0</v>
      </c>
    </row>
    <row r="101" spans="1:42" ht="15.75" x14ac:dyDescent="0.25">
      <c r="A101" s="44">
        <f>WEEKNUM(MIP_4[[#This Row],[Data]])</f>
        <v>23</v>
      </c>
      <c r="B101" s="45">
        <v>42890</v>
      </c>
      <c r="C101" s="45"/>
      <c r="D101" s="35" t="s">
        <v>10</v>
      </c>
      <c r="E101" s="35" t="s">
        <v>2</v>
      </c>
      <c r="F101" s="35"/>
      <c r="G101" s="44">
        <v>2</v>
      </c>
      <c r="H101" s="44">
        <v>0</v>
      </c>
      <c r="I101" s="44">
        <v>0</v>
      </c>
      <c r="J101" s="44">
        <v>2</v>
      </c>
      <c r="K101" s="44">
        <v>2</v>
      </c>
      <c r="L101" s="43">
        <v>0.45277777777777778</v>
      </c>
      <c r="M101" s="43">
        <v>0.53472222222222221</v>
      </c>
      <c r="N101" s="43">
        <v>0.76111111111111107</v>
      </c>
      <c r="O101" s="43">
        <v>0.7729166666666667</v>
      </c>
      <c r="P101" s="39"/>
      <c r="Q101" s="42" t="s">
        <v>431</v>
      </c>
      <c r="R101" s="44">
        <f>MIP_4[[#This Row],[PT-1]]+MIP_4[[#This Row],[PT-2]]*2+MIP_4[[#This Row],[PT-3]]*3+MIP_4[[#This Row],[PT &gt; 3 Pontos]]</f>
        <v>8</v>
      </c>
      <c r="S10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9.3750000000000056E-2</v>
      </c>
      <c r="T10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9.3750000000000056E-2</v>
      </c>
      <c r="U101" s="41">
        <f ca="1">MIP_4[[#This Row],[Eficiência]]</f>
        <v>0.89907634424224858</v>
      </c>
      <c r="V10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01" s="39">
        <f>IF(MIP_4[[#This Row],[P.S]]-MIP_4[[#This Row],[P.E]]&lt;0,1+MIP_4[[#This Row],[P.S]]-MIP_4[[#This Row],[P.E]]-1/24,MIP_4[[#This Row],[P.S]]-MIP_4[[#This Row],[P.E]]-1/24)</f>
        <v>0.27847222222222223</v>
      </c>
      <c r="X101" s="39">
        <f ca="1">MIP_4[[#This Row],[PT-1]]*$S$3+MIP_4[[#This Row],[PT-2]]*$T$3+MIP_4[[#This Row],[PT-3]]*$U$3+MIP_4[[#This Row],[PT &gt; 3 Pontos]]*$V$3</f>
        <v>0.16607938025585978</v>
      </c>
      <c r="Y101" s="39">
        <f>MIP_4[[#This Row],[HH disponível]]-MIP_4[[#This Row],[HH AC TOT]]</f>
        <v>0.18472222222222218</v>
      </c>
      <c r="Z101" s="38">
        <f ca="1">MIP_4[[#This Row],[HH Produtivo
Total]]/MIP_4[[#This Row],[HH Trabalhado]]</f>
        <v>0.89907634424224858</v>
      </c>
      <c r="AA101" s="38">
        <f ca="1">MIP_4[[#This Row],[HH Produtivo
Total]]/MIP_4[[#This Row],[HH disponível]]</f>
        <v>0.59639478196617968</v>
      </c>
      <c r="AB101" s="38">
        <f>MIP_4[[#This Row],[HH Trabalhado]]/MIP_4[[#This Row],[HH disponível]]</f>
        <v>0.66334164588528655</v>
      </c>
      <c r="AC101" s="37" t="str">
        <f>LEFT(MIP_4[[#This Row],[Equipe]], SEARCH("/",MIP_4[[#This Row],[Equipe]],1)-1)</f>
        <v xml:space="preserve">JOILSON </v>
      </c>
      <c r="AD101" s="37" t="str">
        <f>RIGHT(MIP_4[[#This Row],[Equipe]], LEN(MIP_4[[#This Row],[Equipe]])-SEARCH("/",MIP_4[[#This Row],[Equipe]],1))</f>
        <v xml:space="preserve"> VALDEI</v>
      </c>
      <c r="AE101" s="44">
        <f>COUNTIFS('[1]Tempo parado'!G:G,"&gt;="&amp;MIP_4[[#This Row],[S.B Sitrack]],'[1]Tempo parado'!H:H,"&lt;="&amp;MIP_4[[#This Row],[C.B Sitrack]],'[1]Tempo parado'!A:A,MIP_4[[#This Row],[Placa]])</f>
        <v>0</v>
      </c>
      <c r="AF101" s="36"/>
      <c r="AG101" s="35"/>
      <c r="AH101" s="34"/>
      <c r="AI101" s="34"/>
      <c r="AJ10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0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0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01" s="32" t="str">
        <f>IFERROR(MIP_4[[#This Row],[Tempo parado]]/(MIP_4[[#This Row],[C.B Sitrack]]-MIP_4[[#This Row],[S.B Sitrack]]),"")</f>
        <v/>
      </c>
      <c r="AN101" s="30"/>
      <c r="AO101" s="44">
        <f>IF(AND(MIP_4[Exc]=0,MIP_4[Previsto / Realizado]="Realizado"),MIP_4[Sem],0)</f>
        <v>23</v>
      </c>
      <c r="AP101" s="29">
        <f>IF(AND(MIP_4[Exc]=0,MIP_4[Previsto / Realizado]="Realizado",ISBLANK(MIP_4[[#This Row],[S.B Sitrack]])=FALSE,ISBLANK(MIP_4[[#This Row],[C.B Sitrack]])=FALSE),MIP_4[Sem],0)</f>
        <v>0</v>
      </c>
    </row>
    <row r="102" spans="1:42" ht="15.75" x14ac:dyDescent="0.25">
      <c r="A102" s="44">
        <f>WEEKNUM(MIP_4[[#This Row],[Data]])</f>
        <v>23</v>
      </c>
      <c r="B102" s="45">
        <v>42890</v>
      </c>
      <c r="C102" s="45"/>
      <c r="D102" s="35" t="s">
        <v>3</v>
      </c>
      <c r="E102" s="35" t="s">
        <v>5</v>
      </c>
      <c r="F102" s="35"/>
      <c r="G102" s="44">
        <v>2</v>
      </c>
      <c r="H102" s="44">
        <v>7</v>
      </c>
      <c r="I102" s="44">
        <v>5</v>
      </c>
      <c r="J102" s="44">
        <v>0</v>
      </c>
      <c r="K102" s="44">
        <v>0</v>
      </c>
      <c r="L102" s="43">
        <v>0.625</v>
      </c>
      <c r="M102" s="43">
        <v>0.64583333333333337</v>
      </c>
      <c r="N102" s="43">
        <f>1+18/24/60</f>
        <v>1.0125</v>
      </c>
      <c r="O102" s="43">
        <f>1+48/24/60</f>
        <v>1.0333333333333334</v>
      </c>
      <c r="P102" s="39"/>
      <c r="Q102" s="42"/>
      <c r="R102" s="44">
        <f>MIP_4[[#This Row],[PT-1]]+MIP_4[[#This Row],[PT-2]]*2+MIP_4[[#This Row],[PT-3]]*3+MIP_4[[#This Row],[PT &gt; 3 Pontos]]</f>
        <v>17</v>
      </c>
      <c r="S10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10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102" s="41">
        <f ca="1">MIP_4[[#This Row],[Eficiência]]</f>
        <v>1.2145378499318717</v>
      </c>
      <c r="V10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02" s="39">
        <f>IF(MIP_4[[#This Row],[P.S]]-MIP_4[[#This Row],[P.E]]&lt;0,1+MIP_4[[#This Row],[P.S]]-MIP_4[[#This Row],[P.E]]-1/24,MIP_4[[#This Row],[P.S]]-MIP_4[[#This Row],[P.E]]-1/24)</f>
        <v>0.36666666666666675</v>
      </c>
      <c r="X102" s="39">
        <f ca="1">MIP_4[[#This Row],[PT-1]]*$S$3+MIP_4[[#This Row],[PT-2]]*$T$3+MIP_4[[#This Row],[PT-3]]*$U$3+MIP_4[[#This Row],[PT &gt; 3 Pontos]]*$V$3</f>
        <v>0.39472480122785819</v>
      </c>
      <c r="Y102" s="39">
        <f>MIP_4[[#This Row],[HH disponível]]-MIP_4[[#This Row],[HH AC TOT]]</f>
        <v>0.3249999999999999</v>
      </c>
      <c r="Z102" s="38">
        <f ca="1">MIP_4[[#This Row],[HH Produtivo
Total]]/MIP_4[[#This Row],[HH Trabalhado]]</f>
        <v>1.2145378499318717</v>
      </c>
      <c r="AA102" s="38">
        <f ca="1">MIP_4[[#This Row],[HH Produtivo
Total]]/MIP_4[[#This Row],[HH disponível]]</f>
        <v>1.0765221851668858</v>
      </c>
      <c r="AB102" s="38">
        <f>MIP_4[[#This Row],[HH Trabalhado]]/MIP_4[[#This Row],[HH disponível]]</f>
        <v>0.88636363636363591</v>
      </c>
      <c r="AC102" s="37" t="str">
        <f>LEFT(MIP_4[[#This Row],[Equipe]], SEARCH("/",MIP_4[[#This Row],[Equipe]],1)-1)</f>
        <v xml:space="preserve">EDILTON </v>
      </c>
      <c r="AD102" s="37" t="str">
        <f>RIGHT(MIP_4[[#This Row],[Equipe]], LEN(MIP_4[[#This Row],[Equipe]])-SEARCH("/",MIP_4[[#This Row],[Equipe]],1))</f>
        <v xml:space="preserve"> GECIVALDO</v>
      </c>
      <c r="AE102" s="44">
        <f>COUNTIFS('[1]Tempo parado'!G:G,"&gt;="&amp;MIP_4[[#This Row],[S.B Sitrack]],'[1]Tempo parado'!H:H,"&lt;="&amp;MIP_4[[#This Row],[C.B Sitrack]],'[1]Tempo parado'!A:A,MIP_4[[#This Row],[Placa]])</f>
        <v>0</v>
      </c>
      <c r="AF102" s="36"/>
      <c r="AG102" s="35"/>
      <c r="AH102" s="34"/>
      <c r="AI102" s="34"/>
      <c r="AJ10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0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0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02" s="32" t="str">
        <f>IFERROR(MIP_4[[#This Row],[Tempo parado]]/(MIP_4[[#This Row],[C.B Sitrack]]-MIP_4[[#This Row],[S.B Sitrack]]),"")</f>
        <v/>
      </c>
      <c r="AN102" s="30"/>
      <c r="AO102" s="44">
        <f>IF(AND(MIP_4[Exc]=0,MIP_4[Previsto / Realizado]="Realizado"),MIP_4[Sem],0)</f>
        <v>0</v>
      </c>
      <c r="AP102" s="29">
        <f>IF(AND(MIP_4[Exc]=0,MIP_4[Previsto / Realizado]="Realizado",ISBLANK(MIP_4[[#This Row],[S.B Sitrack]])=FALSE,ISBLANK(MIP_4[[#This Row],[C.B Sitrack]])=FALSE),MIP_4[Sem],0)</f>
        <v>0</v>
      </c>
    </row>
    <row r="103" spans="1:42" ht="15.75" x14ac:dyDescent="0.25">
      <c r="A103" s="44">
        <f>WEEKNUM(MIP_4[[#This Row],[Data]])</f>
        <v>23</v>
      </c>
      <c r="B103" s="45">
        <v>42890</v>
      </c>
      <c r="C103" s="45"/>
      <c r="D103" s="35" t="s">
        <v>3</v>
      </c>
      <c r="E103" s="35" t="s">
        <v>2</v>
      </c>
      <c r="F103" s="35"/>
      <c r="G103" s="44">
        <v>2</v>
      </c>
      <c r="H103" s="44">
        <v>4</v>
      </c>
      <c r="I103" s="44">
        <v>3</v>
      </c>
      <c r="J103" s="44">
        <v>0</v>
      </c>
      <c r="K103" s="44">
        <v>0</v>
      </c>
      <c r="L103" s="43">
        <v>0.6333333333333333</v>
      </c>
      <c r="M103" s="43">
        <v>0.66666666666666663</v>
      </c>
      <c r="N103" s="43">
        <v>0.9916666666666667</v>
      </c>
      <c r="O103" s="43">
        <v>0.99305555555555547</v>
      </c>
      <c r="P103" s="39"/>
      <c r="Q103" s="42" t="s">
        <v>430</v>
      </c>
      <c r="R103" s="44">
        <f>MIP_4[[#This Row],[PT-1]]+MIP_4[[#This Row],[PT-2]]*2+MIP_4[[#This Row],[PT-3]]*3+MIP_4[[#This Row],[PT &gt; 3 Pontos]]</f>
        <v>10</v>
      </c>
      <c r="S10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3.4722222222222099E-2</v>
      </c>
      <c r="T10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3.4722222222222099E-2</v>
      </c>
      <c r="U103" s="41">
        <f ca="1">MIP_4[[#This Row],[Eficiência]]</f>
        <v>0.81822250639386152</v>
      </c>
      <c r="V10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03" s="39">
        <f>IF(MIP_4[[#This Row],[P.S]]-MIP_4[[#This Row],[P.E]]&lt;0,1+MIP_4[[#This Row],[P.S]]-MIP_4[[#This Row],[P.E]]-1/24,MIP_4[[#This Row],[P.S]]-MIP_4[[#This Row],[P.E]]-1/24)</f>
        <v>0.31805555555555548</v>
      </c>
      <c r="X103" s="39">
        <f ca="1">MIP_4[[#This Row],[PT-1]]*$S$3+MIP_4[[#This Row],[PT-2]]*$T$3+MIP_4[[#This Row],[PT-3]]*$U$3+MIP_4[[#This Row],[PT &gt; 3 Pontos]]*$V$3</f>
        <v>0.23182971014492748</v>
      </c>
      <c r="Y103" s="39">
        <f>MIP_4[[#This Row],[HH disponível]]-MIP_4[[#This Row],[HH AC TOT]]</f>
        <v>0.28333333333333338</v>
      </c>
      <c r="Z103" s="38">
        <f ca="1">MIP_4[[#This Row],[HH Produtivo
Total]]/MIP_4[[#This Row],[HH Trabalhado]]</f>
        <v>0.81822250639386152</v>
      </c>
      <c r="AA103" s="38">
        <f ca="1">MIP_4[[#This Row],[HH Produtivo
Total]]/MIP_4[[#This Row],[HH disponível]]</f>
        <v>0.72889690525916084</v>
      </c>
      <c r="AB103" s="38">
        <f>MIP_4[[#This Row],[HH Trabalhado]]/MIP_4[[#This Row],[HH disponível]]</f>
        <v>0.89082969432314452</v>
      </c>
      <c r="AC103" s="37" t="str">
        <f>LEFT(MIP_4[[#This Row],[Equipe]], SEARCH("/",MIP_4[[#This Row],[Equipe]],1)-1)</f>
        <v xml:space="preserve">EDILTON </v>
      </c>
      <c r="AD103" s="37" t="str">
        <f>RIGHT(MIP_4[[#This Row],[Equipe]], LEN(MIP_4[[#This Row],[Equipe]])-SEARCH("/",MIP_4[[#This Row],[Equipe]],1))</f>
        <v xml:space="preserve"> GECIVALDO</v>
      </c>
      <c r="AE103" s="44">
        <f>COUNTIFS('[1]Tempo parado'!G:G,"&gt;="&amp;MIP_4[[#This Row],[S.B Sitrack]],'[1]Tempo parado'!H:H,"&lt;="&amp;MIP_4[[#This Row],[C.B Sitrack]],'[1]Tempo parado'!A:A,MIP_4[[#This Row],[Placa]])</f>
        <v>0</v>
      </c>
      <c r="AF103" s="36"/>
      <c r="AG103" s="35"/>
      <c r="AH103" s="34"/>
      <c r="AI103" s="34"/>
      <c r="AJ10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0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0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03" s="32" t="str">
        <f>IFERROR(MIP_4[[#This Row],[Tempo parado]]/(MIP_4[[#This Row],[C.B Sitrack]]-MIP_4[[#This Row],[S.B Sitrack]]),"")</f>
        <v/>
      </c>
      <c r="AN103" s="30"/>
      <c r="AO103" s="44">
        <f>IF(AND(MIP_4[Exc]=0,MIP_4[Previsto / Realizado]="Realizado"),MIP_4[Sem],0)</f>
        <v>23</v>
      </c>
      <c r="AP103" s="29">
        <f>IF(AND(MIP_4[Exc]=0,MIP_4[Previsto / Realizado]="Realizado",ISBLANK(MIP_4[[#This Row],[S.B Sitrack]])=FALSE,ISBLANK(MIP_4[[#This Row],[C.B Sitrack]])=FALSE),MIP_4[Sem],0)</f>
        <v>0</v>
      </c>
    </row>
    <row r="104" spans="1:42" ht="15.75" x14ac:dyDescent="0.25">
      <c r="A104" s="44">
        <f>WEEKNUM(MIP_4[[#This Row],[Data]])</f>
        <v>23</v>
      </c>
      <c r="B104" s="45">
        <v>42891</v>
      </c>
      <c r="C104" s="45"/>
      <c r="D104" s="35" t="s">
        <v>7</v>
      </c>
      <c r="E104" s="35" t="s">
        <v>5</v>
      </c>
      <c r="F104" s="35"/>
      <c r="G104" s="44">
        <v>2</v>
      </c>
      <c r="H104" s="44">
        <v>12</v>
      </c>
      <c r="I104" s="44">
        <v>2</v>
      </c>
      <c r="J104" s="44">
        <v>0</v>
      </c>
      <c r="K104" s="44">
        <v>0</v>
      </c>
      <c r="L104" s="43">
        <v>0.625</v>
      </c>
      <c r="M104" s="43">
        <v>0.64583333333333337</v>
      </c>
      <c r="N104" s="43">
        <f>1+18/24/60</f>
        <v>1.0125</v>
      </c>
      <c r="O104" s="43">
        <f>1+48/24/60</f>
        <v>1.0333333333333334</v>
      </c>
      <c r="P104" s="39"/>
      <c r="Q104" s="42"/>
      <c r="R104" s="44">
        <f>MIP_4[[#This Row],[PT-1]]+MIP_4[[#This Row],[PT-2]]*2+MIP_4[[#This Row],[PT-3]]*3+MIP_4[[#This Row],[PT &gt; 3 Pontos]]</f>
        <v>16</v>
      </c>
      <c r="S10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10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104" s="41">
        <f ca="1">MIP_4[[#This Row],[Eficiência]]</f>
        <v>1.1942392852718937</v>
      </c>
      <c r="V10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04" s="39">
        <f>IF(MIP_4[[#This Row],[P.S]]-MIP_4[[#This Row],[P.E]]&lt;0,1+MIP_4[[#This Row],[P.S]]-MIP_4[[#This Row],[P.E]]-1/24,MIP_4[[#This Row],[P.S]]-MIP_4[[#This Row],[P.E]]-1/24)</f>
        <v>0.36666666666666675</v>
      </c>
      <c r="X104" s="39">
        <f ca="1">MIP_4[[#This Row],[PT-1]]*$S$3+MIP_4[[#This Row],[PT-2]]*$T$3+MIP_4[[#This Row],[PT-3]]*$U$3+MIP_4[[#This Row],[PT &gt; 3 Pontos]]*$V$3</f>
        <v>0.38812776771336532</v>
      </c>
      <c r="Y104" s="39">
        <f>MIP_4[[#This Row],[HH disponível]]-MIP_4[[#This Row],[HH AC TOT]]</f>
        <v>0.3249999999999999</v>
      </c>
      <c r="Z104" s="38">
        <f ca="1">MIP_4[[#This Row],[HH Produtivo
Total]]/MIP_4[[#This Row],[HH Trabalhado]]</f>
        <v>1.1942392852718937</v>
      </c>
      <c r="AA104" s="38">
        <f ca="1">MIP_4[[#This Row],[HH Produtivo
Total]]/MIP_4[[#This Row],[HH disponível]]</f>
        <v>1.0585302755819053</v>
      </c>
      <c r="AB104" s="38">
        <f>MIP_4[[#This Row],[HH Trabalhado]]/MIP_4[[#This Row],[HH disponível]]</f>
        <v>0.88636363636363591</v>
      </c>
      <c r="AC104" s="37" t="str">
        <f>LEFT(MIP_4[[#This Row],[Equipe]], SEARCH("/",MIP_4[[#This Row],[Equipe]],1)-1)</f>
        <v xml:space="preserve">ANDERSON </v>
      </c>
      <c r="AD104" s="37" t="str">
        <f>RIGHT(MIP_4[[#This Row],[Equipe]], LEN(MIP_4[[#This Row],[Equipe]])-SEARCH("/",MIP_4[[#This Row],[Equipe]],1))</f>
        <v xml:space="preserve"> MARCO</v>
      </c>
      <c r="AE104" s="44">
        <f>COUNTIFS('[1]Tempo parado'!G:G,"&gt;="&amp;MIP_4[[#This Row],[S.B Sitrack]],'[1]Tempo parado'!H:H,"&lt;="&amp;MIP_4[[#This Row],[C.B Sitrack]],'[1]Tempo parado'!A:A,MIP_4[[#This Row],[Placa]])</f>
        <v>0</v>
      </c>
      <c r="AF104" s="36"/>
      <c r="AG104" s="35"/>
      <c r="AH104" s="34"/>
      <c r="AI104" s="34"/>
      <c r="AJ10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0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0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04" s="32" t="str">
        <f>IFERROR(MIP_4[[#This Row],[Tempo parado]]/(MIP_4[[#This Row],[C.B Sitrack]]-MIP_4[[#This Row],[S.B Sitrack]]),"")</f>
        <v/>
      </c>
      <c r="AN104" s="30"/>
      <c r="AO104" s="44">
        <f>IF(AND(MIP_4[Exc]=0,MIP_4[Previsto / Realizado]="Realizado"),MIP_4[Sem],0)</f>
        <v>0</v>
      </c>
      <c r="AP104" s="29">
        <f>IF(AND(MIP_4[Exc]=0,MIP_4[Previsto / Realizado]="Realizado",ISBLANK(MIP_4[[#This Row],[S.B Sitrack]])=FALSE,ISBLANK(MIP_4[[#This Row],[C.B Sitrack]])=FALSE),MIP_4[Sem],0)</f>
        <v>0</v>
      </c>
    </row>
    <row r="105" spans="1:42" ht="15.75" x14ac:dyDescent="0.25">
      <c r="A105" s="44">
        <f>WEEKNUM(MIP_4[[#This Row],[Data]])</f>
        <v>23</v>
      </c>
      <c r="B105" s="45">
        <v>42891</v>
      </c>
      <c r="C105" s="45"/>
      <c r="D105" s="35" t="s">
        <v>7</v>
      </c>
      <c r="E105" s="35" t="s">
        <v>2</v>
      </c>
      <c r="F105" s="35"/>
      <c r="G105" s="44">
        <v>2</v>
      </c>
      <c r="H105" s="44">
        <v>8</v>
      </c>
      <c r="I105" s="44">
        <v>1</v>
      </c>
      <c r="J105" s="44">
        <v>0</v>
      </c>
      <c r="K105" s="44">
        <v>0</v>
      </c>
      <c r="L105" s="43">
        <v>0.62777777777777777</v>
      </c>
      <c r="M105" s="43">
        <v>0.65486111111111112</v>
      </c>
      <c r="N105" s="43">
        <f>1+25/24/60</f>
        <v>1.0173611111111112</v>
      </c>
      <c r="O105" s="43">
        <f>1+48/24/60</f>
        <v>1.0333333333333334</v>
      </c>
      <c r="P105" s="39"/>
      <c r="Q105" s="42"/>
      <c r="R105" s="44">
        <f>MIP_4[[#This Row],[PT-1]]+MIP_4[[#This Row],[PT-2]]*2+MIP_4[[#This Row],[PT-3]]*3+MIP_4[[#This Row],[PT &gt; 3 Pontos]]</f>
        <v>10</v>
      </c>
      <c r="S10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4.3055555555555625E-2</v>
      </c>
      <c r="T10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4.3055555555555625E-2</v>
      </c>
      <c r="U105" s="41">
        <f ca="1">MIP_4[[#This Row],[Eficiência]]</f>
        <v>0.76087976033628157</v>
      </c>
      <c r="V10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05" s="39">
        <f>IF(MIP_4[[#This Row],[P.S]]-MIP_4[[#This Row],[P.E]]&lt;0,1+MIP_4[[#This Row],[P.S]]-MIP_4[[#This Row],[P.E]]-1/24,MIP_4[[#This Row],[P.S]]-MIP_4[[#This Row],[P.E]]-1/24)</f>
        <v>0.36388888888888898</v>
      </c>
      <c r="X105" s="39">
        <f ca="1">MIP_4[[#This Row],[PT-1]]*$S$3+MIP_4[[#This Row],[PT-2]]*$T$3+MIP_4[[#This Row],[PT-3]]*$U$3+MIP_4[[#This Row],[PT &gt; 3 Pontos]]*$V$3</f>
        <v>0.24411558977455702</v>
      </c>
      <c r="Y105" s="39">
        <f>MIP_4[[#This Row],[HH disponível]]-MIP_4[[#This Row],[HH AC TOT]]</f>
        <v>0.32083333333333336</v>
      </c>
      <c r="Z105" s="38">
        <f ca="1">MIP_4[[#This Row],[HH Produtivo
Total]]/MIP_4[[#This Row],[HH Trabalhado]]</f>
        <v>0.76087976033628157</v>
      </c>
      <c r="AA105" s="38">
        <f ca="1">MIP_4[[#This Row],[HH Produtivo
Total]]/MIP_4[[#This Row],[HH disponível]]</f>
        <v>0.67085200243389698</v>
      </c>
      <c r="AB105" s="38">
        <f>MIP_4[[#This Row],[HH Trabalhado]]/MIP_4[[#This Row],[HH disponível]]</f>
        <v>0.88167938931297696</v>
      </c>
      <c r="AC105" s="37" t="str">
        <f>LEFT(MIP_4[[#This Row],[Equipe]], SEARCH("/",MIP_4[[#This Row],[Equipe]],1)-1)</f>
        <v xml:space="preserve">ANDERSON </v>
      </c>
      <c r="AD105" s="37" t="str">
        <f>RIGHT(MIP_4[[#This Row],[Equipe]], LEN(MIP_4[[#This Row],[Equipe]])-SEARCH("/",MIP_4[[#This Row],[Equipe]],1))</f>
        <v xml:space="preserve"> MARCO</v>
      </c>
      <c r="AE105" s="44">
        <f>COUNTIFS('[1]Tempo parado'!G:G,"&gt;="&amp;MIP_4[[#This Row],[S.B Sitrack]],'[1]Tempo parado'!H:H,"&lt;="&amp;MIP_4[[#This Row],[C.B Sitrack]],'[1]Tempo parado'!A:A,MIP_4[[#This Row],[Placa]])</f>
        <v>0</v>
      </c>
      <c r="AF105" s="36"/>
      <c r="AG105" s="35"/>
      <c r="AH105" s="34"/>
      <c r="AI105" s="34"/>
      <c r="AJ10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0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0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05" s="32" t="str">
        <f>IFERROR(MIP_4[[#This Row],[Tempo parado]]/(MIP_4[[#This Row],[C.B Sitrack]]-MIP_4[[#This Row],[S.B Sitrack]]),"")</f>
        <v/>
      </c>
      <c r="AN105" s="30"/>
      <c r="AO105" s="44">
        <f>IF(AND(MIP_4[Exc]=0,MIP_4[Previsto / Realizado]="Realizado"),MIP_4[Sem],0)</f>
        <v>23</v>
      </c>
      <c r="AP105" s="29">
        <f>IF(AND(MIP_4[Exc]=0,MIP_4[Previsto / Realizado]="Realizado",ISBLANK(MIP_4[[#This Row],[S.B Sitrack]])=FALSE,ISBLANK(MIP_4[[#This Row],[C.B Sitrack]])=FALSE),MIP_4[Sem],0)</f>
        <v>0</v>
      </c>
    </row>
    <row r="106" spans="1:42" ht="15.75" x14ac:dyDescent="0.25">
      <c r="A106" s="44">
        <f>WEEKNUM(MIP_4[[#This Row],[Data]])</f>
        <v>23</v>
      </c>
      <c r="B106" s="45">
        <v>42892</v>
      </c>
      <c r="C106" s="45"/>
      <c r="D106" s="35" t="s">
        <v>10</v>
      </c>
      <c r="E106" s="35" t="s">
        <v>5</v>
      </c>
      <c r="F106" s="35"/>
      <c r="G106" s="44">
        <v>2</v>
      </c>
      <c r="H106" s="44">
        <v>6</v>
      </c>
      <c r="I106" s="44">
        <v>4</v>
      </c>
      <c r="J106" s="44">
        <v>1</v>
      </c>
      <c r="K106" s="44">
        <v>0</v>
      </c>
      <c r="L106" s="43">
        <v>0.25</v>
      </c>
      <c r="M106" s="43">
        <v>0.27083333333333331</v>
      </c>
      <c r="N106" s="43">
        <v>0.63750000000000007</v>
      </c>
      <c r="O106" s="43">
        <v>0.65833333333333333</v>
      </c>
      <c r="P106" s="39"/>
      <c r="Q106" s="42"/>
      <c r="R106" s="44">
        <f>MIP_4[[#This Row],[PT-1]]+MIP_4[[#This Row],[PT-2]]*2+MIP_4[[#This Row],[PT-3]]*3+MIP_4[[#This Row],[PT &gt; 3 Pontos]]</f>
        <v>17</v>
      </c>
      <c r="S10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10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106" s="41">
        <f ca="1">MIP_4[[#This Row],[Eficiência]]</f>
        <v>1.195636496655518</v>
      </c>
      <c r="V10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06" s="39">
        <f>IF(MIP_4[[#This Row],[P.S]]-MIP_4[[#This Row],[P.E]]&lt;0,1+MIP_4[[#This Row],[P.S]]-MIP_4[[#This Row],[P.E]]-1/24,MIP_4[[#This Row],[P.S]]-MIP_4[[#This Row],[P.E]]-1/24)</f>
        <v>0.36666666666666664</v>
      </c>
      <c r="X106" s="39">
        <f ca="1">MIP_4[[#This Row],[PT-1]]*$S$3+MIP_4[[#This Row],[PT-2]]*$T$3+MIP_4[[#This Row],[PT-3]]*$U$3+MIP_4[[#This Row],[PT &gt; 3 Pontos]]*$V$3</f>
        <v>0.38858186141304341</v>
      </c>
      <c r="Y106" s="39">
        <f>MIP_4[[#This Row],[HH disponível]]-MIP_4[[#This Row],[HH AC TOT]]</f>
        <v>0.32500000000000007</v>
      </c>
      <c r="Z106" s="38">
        <f ca="1">MIP_4[[#This Row],[HH Produtivo
Total]]/MIP_4[[#This Row],[HH Trabalhado]]</f>
        <v>1.195636496655518</v>
      </c>
      <c r="AA106" s="38">
        <f ca="1">MIP_4[[#This Row],[HH Produtivo
Total]]/MIP_4[[#This Row],[HH disponível]]</f>
        <v>1.059768712944664</v>
      </c>
      <c r="AB106" s="38">
        <f>MIP_4[[#This Row],[HH Trabalhado]]/MIP_4[[#This Row],[HH disponível]]</f>
        <v>0.88636363636363658</v>
      </c>
      <c r="AC106" s="37" t="str">
        <f>LEFT(MIP_4[[#This Row],[Equipe]], SEARCH("/",MIP_4[[#This Row],[Equipe]],1)-1)</f>
        <v xml:space="preserve">JOILSON </v>
      </c>
      <c r="AD106" s="37" t="str">
        <f>RIGHT(MIP_4[[#This Row],[Equipe]], LEN(MIP_4[[#This Row],[Equipe]])-SEARCH("/",MIP_4[[#This Row],[Equipe]],1))</f>
        <v xml:space="preserve"> VALDEI</v>
      </c>
      <c r="AE106" s="44">
        <f>COUNTIFS('[1]Tempo parado'!G:G,"&gt;="&amp;MIP_4[[#This Row],[S.B Sitrack]],'[1]Tempo parado'!H:H,"&lt;="&amp;MIP_4[[#This Row],[C.B Sitrack]],'[1]Tempo parado'!A:A,MIP_4[[#This Row],[Placa]])</f>
        <v>0</v>
      </c>
      <c r="AF106" s="36"/>
      <c r="AG106" s="35"/>
      <c r="AH106" s="34"/>
      <c r="AI106" s="34"/>
      <c r="AJ10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0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0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06" s="32" t="str">
        <f>IFERROR(MIP_4[[#This Row],[Tempo parado]]/(MIP_4[[#This Row],[C.B Sitrack]]-MIP_4[[#This Row],[S.B Sitrack]]),"")</f>
        <v/>
      </c>
      <c r="AN106" s="30"/>
      <c r="AO106" s="44">
        <f>IF(AND(MIP_4[Exc]=0,MIP_4[Previsto / Realizado]="Realizado"),MIP_4[Sem],0)</f>
        <v>0</v>
      </c>
      <c r="AP106" s="29">
        <f>IF(AND(MIP_4[Exc]=0,MIP_4[Previsto / Realizado]="Realizado",ISBLANK(MIP_4[[#This Row],[S.B Sitrack]])=FALSE,ISBLANK(MIP_4[[#This Row],[C.B Sitrack]])=FALSE),MIP_4[Sem],0)</f>
        <v>0</v>
      </c>
    </row>
    <row r="107" spans="1:42" ht="15.75" x14ac:dyDescent="0.25">
      <c r="A107" s="44">
        <f>WEEKNUM(MIP_4[[#This Row],[Data]])</f>
        <v>23</v>
      </c>
      <c r="B107" s="45">
        <v>42892</v>
      </c>
      <c r="C107" s="45"/>
      <c r="D107" s="35" t="s">
        <v>10</v>
      </c>
      <c r="E107" s="35" t="s">
        <v>2</v>
      </c>
      <c r="F107" s="35"/>
      <c r="G107" s="44">
        <v>2</v>
      </c>
      <c r="H107" s="44">
        <v>4</v>
      </c>
      <c r="I107" s="44">
        <v>2</v>
      </c>
      <c r="J107" s="44">
        <v>1</v>
      </c>
      <c r="K107" s="44">
        <v>0</v>
      </c>
      <c r="L107" s="43">
        <v>0.25555555555555559</v>
      </c>
      <c r="M107" s="43">
        <v>0.28819444444444448</v>
      </c>
      <c r="N107" s="43">
        <v>0.63194444444444442</v>
      </c>
      <c r="O107" s="43">
        <v>0.68611111111111101</v>
      </c>
      <c r="P107" s="39"/>
      <c r="Q107" s="42" t="s">
        <v>429</v>
      </c>
      <c r="R107" s="44">
        <f>MIP_4[[#This Row],[PT-1]]+MIP_4[[#This Row],[PT-2]]*2+MIP_4[[#This Row],[PT-3]]*3+MIP_4[[#This Row],[PT &gt; 3 Pontos]]</f>
        <v>11</v>
      </c>
      <c r="S10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8.6805555555555469E-2</v>
      </c>
      <c r="T10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8.6805555555555469E-2</v>
      </c>
      <c r="U107" s="41">
        <f ca="1">MIP_4[[#This Row],[Eficiência]]</f>
        <v>0.82994523571547563</v>
      </c>
      <c r="V10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07" s="39">
        <f>IF(MIP_4[[#This Row],[P.S]]-MIP_4[[#This Row],[P.E]]&lt;0,1+MIP_4[[#This Row],[P.S]]-MIP_4[[#This Row],[P.E]]-1/24,MIP_4[[#This Row],[P.S]]-MIP_4[[#This Row],[P.E]]-1/24)</f>
        <v>0.38888888888888873</v>
      </c>
      <c r="X107" s="39">
        <f ca="1">MIP_4[[#This Row],[PT-1]]*$S$3+MIP_4[[#This Row],[PT-2]]*$T$3+MIP_4[[#This Row],[PT-3]]*$U$3+MIP_4[[#This Row],[PT &gt; 3 Pontos]]*$V$3</f>
        <v>0.25071262328904986</v>
      </c>
      <c r="Y107" s="39">
        <f>MIP_4[[#This Row],[HH disponível]]-MIP_4[[#This Row],[HH AC TOT]]</f>
        <v>0.30208333333333326</v>
      </c>
      <c r="Z107" s="38">
        <f ca="1">MIP_4[[#This Row],[HH Produtivo
Total]]/MIP_4[[#This Row],[HH Trabalhado]]</f>
        <v>0.82994523571547563</v>
      </c>
      <c r="AA107" s="38">
        <f ca="1">MIP_4[[#This Row],[HH Produtivo
Total]]/MIP_4[[#This Row],[HH disponível]]</f>
        <v>0.64468960274327136</v>
      </c>
      <c r="AB107" s="38">
        <f>MIP_4[[#This Row],[HH Trabalhado]]/MIP_4[[#This Row],[HH disponível]]</f>
        <v>0.77678571428571441</v>
      </c>
      <c r="AC107" s="37" t="str">
        <f>LEFT(MIP_4[[#This Row],[Equipe]], SEARCH("/",MIP_4[[#This Row],[Equipe]],1)-1)</f>
        <v xml:space="preserve">JOILSON </v>
      </c>
      <c r="AD107" s="37" t="str">
        <f>RIGHT(MIP_4[[#This Row],[Equipe]], LEN(MIP_4[[#This Row],[Equipe]])-SEARCH("/",MIP_4[[#This Row],[Equipe]],1))</f>
        <v xml:space="preserve"> VALDEI</v>
      </c>
      <c r="AE107" s="44">
        <f>COUNTIFS('[1]Tempo parado'!G:G,"&gt;="&amp;MIP_4[[#This Row],[S.B Sitrack]],'[1]Tempo parado'!H:H,"&lt;="&amp;MIP_4[[#This Row],[C.B Sitrack]],'[1]Tempo parado'!A:A,MIP_4[[#This Row],[Placa]])</f>
        <v>0</v>
      </c>
      <c r="AF107" s="36"/>
      <c r="AG107" s="35"/>
      <c r="AH107" s="34"/>
      <c r="AI107" s="34"/>
      <c r="AJ10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0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0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07" s="32" t="str">
        <f>IFERROR(MIP_4[[#This Row],[Tempo parado]]/(MIP_4[[#This Row],[C.B Sitrack]]-MIP_4[[#This Row],[S.B Sitrack]]),"")</f>
        <v/>
      </c>
      <c r="AN107" s="30"/>
      <c r="AO107" s="44">
        <f>IF(AND(MIP_4[Exc]=0,MIP_4[Previsto / Realizado]="Realizado"),MIP_4[Sem],0)</f>
        <v>23</v>
      </c>
      <c r="AP107" s="29">
        <f>IF(AND(MIP_4[Exc]=0,MIP_4[Previsto / Realizado]="Realizado",ISBLANK(MIP_4[[#This Row],[S.B Sitrack]])=FALSE,ISBLANK(MIP_4[[#This Row],[C.B Sitrack]])=FALSE),MIP_4[Sem],0)</f>
        <v>0</v>
      </c>
    </row>
    <row r="108" spans="1:42" ht="15.75" x14ac:dyDescent="0.25">
      <c r="A108" s="44">
        <f>WEEKNUM(MIP_4[[#This Row],[Data]])</f>
        <v>23</v>
      </c>
      <c r="B108" s="45">
        <v>42892</v>
      </c>
      <c r="C108" s="45"/>
      <c r="D108" s="35" t="s">
        <v>3</v>
      </c>
      <c r="E108" s="35" t="s">
        <v>5</v>
      </c>
      <c r="F108" s="35"/>
      <c r="G108" s="44">
        <v>2</v>
      </c>
      <c r="H108" s="44">
        <v>8</v>
      </c>
      <c r="I108" s="44">
        <v>2</v>
      </c>
      <c r="J108" s="44">
        <v>0</v>
      </c>
      <c r="K108" s="44">
        <v>4</v>
      </c>
      <c r="L108" s="43">
        <v>0.625</v>
      </c>
      <c r="M108" s="43">
        <v>0.64583333333333337</v>
      </c>
      <c r="N108" s="43">
        <f>1+18/24/60</f>
        <v>1.0125</v>
      </c>
      <c r="O108" s="43">
        <f>1+48/24/60</f>
        <v>1.0333333333333334</v>
      </c>
      <c r="P108" s="39"/>
      <c r="Q108" s="42"/>
      <c r="R108" s="44">
        <f>MIP_4[[#This Row],[PT-1]]+MIP_4[[#This Row],[PT-2]]*2+MIP_4[[#This Row],[PT-3]]*3+MIP_4[[#This Row],[PT &gt; 3 Pontos]]</f>
        <v>16</v>
      </c>
      <c r="S10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10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108" s="41">
        <f ca="1">MIP_4[[#This Row],[Eficiência]]</f>
        <v>1.1354350750787949</v>
      </c>
      <c r="V10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08" s="39">
        <f>IF(MIP_4[[#This Row],[P.S]]-MIP_4[[#This Row],[P.E]]&lt;0,1+MIP_4[[#This Row],[P.S]]-MIP_4[[#This Row],[P.E]]-1/24,MIP_4[[#This Row],[P.S]]-MIP_4[[#This Row],[P.E]]-1/24)</f>
        <v>0.36666666666666675</v>
      </c>
      <c r="X108" s="39">
        <f ca="1">MIP_4[[#This Row],[PT-1]]*$S$3+MIP_4[[#This Row],[PT-2]]*$T$3+MIP_4[[#This Row],[PT-3]]*$U$3+MIP_4[[#This Row],[PT &gt; 3 Pontos]]*$V$3</f>
        <v>0.36901639940060826</v>
      </c>
      <c r="Y108" s="39">
        <f>MIP_4[[#This Row],[HH disponível]]-MIP_4[[#This Row],[HH AC TOT]]</f>
        <v>0.3249999999999999</v>
      </c>
      <c r="Z108" s="38">
        <f ca="1">MIP_4[[#This Row],[HH Produtivo
Total]]/MIP_4[[#This Row],[HH Trabalhado]]</f>
        <v>1.1354350750787949</v>
      </c>
      <c r="AA108" s="38">
        <f ca="1">MIP_4[[#This Row],[HH Produtivo
Total]]/MIP_4[[#This Row],[HH disponível]]</f>
        <v>1.0064083620016586</v>
      </c>
      <c r="AB108" s="38">
        <f>MIP_4[[#This Row],[HH Trabalhado]]/MIP_4[[#This Row],[HH disponível]]</f>
        <v>0.88636363636363591</v>
      </c>
      <c r="AC108" s="37" t="str">
        <f>LEFT(MIP_4[[#This Row],[Equipe]], SEARCH("/",MIP_4[[#This Row],[Equipe]],1)-1)</f>
        <v xml:space="preserve">EDILTON </v>
      </c>
      <c r="AD108" s="37" t="str">
        <f>RIGHT(MIP_4[[#This Row],[Equipe]], LEN(MIP_4[[#This Row],[Equipe]])-SEARCH("/",MIP_4[[#This Row],[Equipe]],1))</f>
        <v xml:space="preserve"> GECIVALDO</v>
      </c>
      <c r="AE108" s="44">
        <f>COUNTIFS('[1]Tempo parado'!G:G,"&gt;="&amp;MIP_4[[#This Row],[S.B Sitrack]],'[1]Tempo parado'!H:H,"&lt;="&amp;MIP_4[[#This Row],[C.B Sitrack]],'[1]Tempo parado'!A:A,MIP_4[[#This Row],[Placa]])</f>
        <v>0</v>
      </c>
      <c r="AF108" s="36"/>
      <c r="AG108" s="35"/>
      <c r="AH108" s="34"/>
      <c r="AI108" s="34"/>
      <c r="AJ10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0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0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08" s="32" t="str">
        <f>IFERROR(MIP_4[[#This Row],[Tempo parado]]/(MIP_4[[#This Row],[C.B Sitrack]]-MIP_4[[#This Row],[S.B Sitrack]]),"")</f>
        <v/>
      </c>
      <c r="AN108" s="30"/>
      <c r="AO108" s="44">
        <f>IF(AND(MIP_4[Exc]=0,MIP_4[Previsto / Realizado]="Realizado"),MIP_4[Sem],0)</f>
        <v>0</v>
      </c>
      <c r="AP108" s="29">
        <f>IF(AND(MIP_4[Exc]=0,MIP_4[Previsto / Realizado]="Realizado",ISBLANK(MIP_4[[#This Row],[S.B Sitrack]])=FALSE,ISBLANK(MIP_4[[#This Row],[C.B Sitrack]])=FALSE),MIP_4[Sem],0)</f>
        <v>0</v>
      </c>
    </row>
    <row r="109" spans="1:42" ht="15.75" x14ac:dyDescent="0.25">
      <c r="A109" s="44">
        <f>WEEKNUM(MIP_4[[#This Row],[Data]])</f>
        <v>23</v>
      </c>
      <c r="B109" s="45">
        <v>42892</v>
      </c>
      <c r="C109" s="45"/>
      <c r="D109" s="35" t="s">
        <v>3</v>
      </c>
      <c r="E109" s="35" t="s">
        <v>2</v>
      </c>
      <c r="F109" s="35"/>
      <c r="G109" s="44">
        <v>2</v>
      </c>
      <c r="H109" s="44">
        <v>8</v>
      </c>
      <c r="I109" s="44">
        <v>2</v>
      </c>
      <c r="J109" s="44">
        <v>0</v>
      </c>
      <c r="K109" s="44">
        <v>0</v>
      </c>
      <c r="L109" s="43">
        <v>0.62222222222222223</v>
      </c>
      <c r="M109" s="43">
        <v>0.71944444444444444</v>
      </c>
      <c r="N109" s="43">
        <v>0.97013888888888899</v>
      </c>
      <c r="O109" s="43">
        <f>1+50/24/60</f>
        <v>1.0347222222222223</v>
      </c>
      <c r="P109" s="39"/>
      <c r="Q109" s="42" t="s">
        <v>428</v>
      </c>
      <c r="R109" s="44">
        <f>MIP_4[[#This Row],[PT-1]]+MIP_4[[#This Row],[PT-2]]*2+MIP_4[[#This Row],[PT-3]]*3+MIP_4[[#This Row],[PT &gt; 3 Pontos]]</f>
        <v>12</v>
      </c>
      <c r="S10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0.16180555555555554</v>
      </c>
      <c r="T10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0.16180555555555554</v>
      </c>
      <c r="U109" s="41">
        <f ca="1">MIP_4[[#This Row],[Eficiência]]</f>
        <v>1.3779238287832816</v>
      </c>
      <c r="V10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09" s="39">
        <f>IF(MIP_4[[#This Row],[P.S]]-MIP_4[[#This Row],[P.E]]&lt;0,1+MIP_4[[#This Row],[P.S]]-MIP_4[[#This Row],[P.E]]-1/24,MIP_4[[#This Row],[P.S]]-MIP_4[[#This Row],[P.E]]-1/24)</f>
        <v>0.3708333333333334</v>
      </c>
      <c r="X109" s="39">
        <f ca="1">MIP_4[[#This Row],[PT-1]]*$S$3+MIP_4[[#This Row],[PT-2]]*$T$3+MIP_4[[#This Row],[PT-3]]*$U$3+MIP_4[[#This Row],[PT &gt; 3 Pontos]]*$V$3</f>
        <v>0.2880243558776166</v>
      </c>
      <c r="Y109" s="39">
        <f>MIP_4[[#This Row],[HH disponível]]-MIP_4[[#This Row],[HH AC TOT]]</f>
        <v>0.20902777777777787</v>
      </c>
      <c r="Z109" s="38">
        <f ca="1">MIP_4[[#This Row],[HH Produtivo
Total]]/MIP_4[[#This Row],[HH Trabalhado]]</f>
        <v>1.3779238287832816</v>
      </c>
      <c r="AA109" s="38">
        <f ca="1">MIP_4[[#This Row],[HH Produtivo
Total]]/MIP_4[[#This Row],[HH disponível]]</f>
        <v>0.77669489225424682</v>
      </c>
      <c r="AB109" s="38">
        <f>MIP_4[[#This Row],[HH Trabalhado]]/MIP_4[[#This Row],[HH disponível]]</f>
        <v>0.56367041198501888</v>
      </c>
      <c r="AC109" s="37" t="str">
        <f>LEFT(MIP_4[[#This Row],[Equipe]], SEARCH("/",MIP_4[[#This Row],[Equipe]],1)-1)</f>
        <v xml:space="preserve">EDILTON </v>
      </c>
      <c r="AD109" s="37" t="str">
        <f>RIGHT(MIP_4[[#This Row],[Equipe]], LEN(MIP_4[[#This Row],[Equipe]])-SEARCH("/",MIP_4[[#This Row],[Equipe]],1))</f>
        <v xml:space="preserve"> GECIVALDO</v>
      </c>
      <c r="AE109" s="44">
        <f>COUNTIFS('[1]Tempo parado'!G:G,"&gt;="&amp;MIP_4[[#This Row],[S.B Sitrack]],'[1]Tempo parado'!H:H,"&lt;="&amp;MIP_4[[#This Row],[C.B Sitrack]],'[1]Tempo parado'!A:A,MIP_4[[#This Row],[Placa]])</f>
        <v>0</v>
      </c>
      <c r="AF109" s="36"/>
      <c r="AG109" s="35"/>
      <c r="AH109" s="34"/>
      <c r="AI109" s="34"/>
      <c r="AJ10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0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0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09" s="32" t="str">
        <f>IFERROR(MIP_4[[#This Row],[Tempo parado]]/(MIP_4[[#This Row],[C.B Sitrack]]-MIP_4[[#This Row],[S.B Sitrack]]),"")</f>
        <v/>
      </c>
      <c r="AN109" s="30"/>
      <c r="AO109" s="44">
        <f>IF(AND(MIP_4[Exc]=0,MIP_4[Previsto / Realizado]="Realizado"),MIP_4[Sem],0)</f>
        <v>23</v>
      </c>
      <c r="AP109" s="29">
        <f>IF(AND(MIP_4[Exc]=0,MIP_4[Previsto / Realizado]="Realizado",ISBLANK(MIP_4[[#This Row],[S.B Sitrack]])=FALSE,ISBLANK(MIP_4[[#This Row],[C.B Sitrack]])=FALSE),MIP_4[Sem],0)</f>
        <v>0</v>
      </c>
    </row>
    <row r="110" spans="1:42" ht="15.75" x14ac:dyDescent="0.25">
      <c r="A110" s="44">
        <f>WEEKNUM(MIP_4[[#This Row],[Data]])</f>
        <v>23</v>
      </c>
      <c r="B110" s="45">
        <v>42892</v>
      </c>
      <c r="C110" s="45"/>
      <c r="D110" s="35" t="s">
        <v>19</v>
      </c>
      <c r="E110" s="35" t="s">
        <v>5</v>
      </c>
      <c r="F110" s="35"/>
      <c r="G110" s="44">
        <v>2</v>
      </c>
      <c r="H110" s="44">
        <v>2</v>
      </c>
      <c r="I110" s="44">
        <v>3</v>
      </c>
      <c r="J110" s="44">
        <v>3</v>
      </c>
      <c r="K110" s="44">
        <v>0</v>
      </c>
      <c r="L110" s="43">
        <v>0.625</v>
      </c>
      <c r="M110" s="43">
        <v>0.64583333333333337</v>
      </c>
      <c r="N110" s="43">
        <f>1+18/24/60</f>
        <v>1.0125</v>
      </c>
      <c r="O110" s="43">
        <f>1+48/24/60</f>
        <v>1.0333333333333334</v>
      </c>
      <c r="P110" s="39"/>
      <c r="Q110" s="42" t="s">
        <v>427</v>
      </c>
      <c r="R110" s="44">
        <f>MIP_4[[#This Row],[PT-1]]+MIP_4[[#This Row],[PT-2]]*2+MIP_4[[#This Row],[PT-3]]*3+MIP_4[[#This Row],[PT &gt; 3 Pontos]]</f>
        <v>17</v>
      </c>
      <c r="S11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11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110" s="41">
        <f ca="1">MIP_4[[#This Row],[Eficiência]]</f>
        <v>1.1389324368264591</v>
      </c>
      <c r="V11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10" s="39">
        <f>IF(MIP_4[[#This Row],[P.S]]-MIP_4[[#This Row],[P.E]]&lt;0,1+MIP_4[[#This Row],[P.S]]-MIP_4[[#This Row],[P.E]]-1/24,MIP_4[[#This Row],[P.S]]-MIP_4[[#This Row],[P.E]]-1/24)</f>
        <v>0.36666666666666675</v>
      </c>
      <c r="X110" s="39">
        <f ca="1">MIP_4[[#This Row],[PT-1]]*$S$3+MIP_4[[#This Row],[PT-2]]*$T$3+MIP_4[[#This Row],[PT-3]]*$U$3+MIP_4[[#This Row],[PT &gt; 3 Pontos]]*$V$3</f>
        <v>0.37015304196859911</v>
      </c>
      <c r="Y110" s="39">
        <f>MIP_4[[#This Row],[HH disponível]]-MIP_4[[#This Row],[HH AC TOT]]</f>
        <v>0.3249999999999999</v>
      </c>
      <c r="Z110" s="38">
        <f ca="1">MIP_4[[#This Row],[HH Produtivo
Total]]/MIP_4[[#This Row],[HH Trabalhado]]</f>
        <v>1.1389324368264591</v>
      </c>
      <c r="AA110" s="38">
        <f ca="1">MIP_4[[#This Row],[HH Produtivo
Total]]/MIP_4[[#This Row],[HH disponível]]</f>
        <v>1.0095082962779973</v>
      </c>
      <c r="AB110" s="38">
        <f>MIP_4[[#This Row],[HH Trabalhado]]/MIP_4[[#This Row],[HH disponível]]</f>
        <v>0.88636363636363591</v>
      </c>
      <c r="AC110" s="37" t="str">
        <f>LEFT(MIP_4[[#This Row],[Equipe]], SEARCH("/",MIP_4[[#This Row],[Equipe]],1)-1)</f>
        <v xml:space="preserve">ADEMÁRIO </v>
      </c>
      <c r="AD110" s="37" t="str">
        <f>RIGHT(MIP_4[[#This Row],[Equipe]], LEN(MIP_4[[#This Row],[Equipe]])-SEARCH("/",MIP_4[[#This Row],[Equipe]],1))</f>
        <v xml:space="preserve"> RONALDO</v>
      </c>
      <c r="AE110" s="44">
        <f>COUNTIFS('[1]Tempo parado'!G:G,"&gt;="&amp;MIP_4[[#This Row],[S.B Sitrack]],'[1]Tempo parado'!H:H,"&lt;="&amp;MIP_4[[#This Row],[C.B Sitrack]],'[1]Tempo parado'!A:A,MIP_4[[#This Row],[Placa]])</f>
        <v>0</v>
      </c>
      <c r="AF110" s="36"/>
      <c r="AG110" s="35"/>
      <c r="AH110" s="34"/>
      <c r="AI110" s="34"/>
      <c r="AJ11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1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1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10" s="32" t="str">
        <f>IFERROR(MIP_4[[#This Row],[Tempo parado]]/(MIP_4[[#This Row],[C.B Sitrack]]-MIP_4[[#This Row],[S.B Sitrack]]),"")</f>
        <v/>
      </c>
      <c r="AN110" s="30"/>
      <c r="AO110" s="44">
        <f>IF(AND(MIP_4[Exc]=0,MIP_4[Previsto / Realizado]="Realizado"),MIP_4[Sem],0)</f>
        <v>0</v>
      </c>
      <c r="AP110" s="29">
        <f>IF(AND(MIP_4[Exc]=0,MIP_4[Previsto / Realizado]="Realizado",ISBLANK(MIP_4[[#This Row],[S.B Sitrack]])=FALSE,ISBLANK(MIP_4[[#This Row],[C.B Sitrack]])=FALSE),MIP_4[Sem],0)</f>
        <v>0</v>
      </c>
    </row>
    <row r="111" spans="1:42" ht="15.75" x14ac:dyDescent="0.25">
      <c r="A111" s="44">
        <f>WEEKNUM(MIP_4[[#This Row],[Data]])</f>
        <v>23</v>
      </c>
      <c r="B111" s="45">
        <v>42892</v>
      </c>
      <c r="C111" s="45"/>
      <c r="D111" s="35" t="s">
        <v>19</v>
      </c>
      <c r="E111" s="35" t="s">
        <v>2</v>
      </c>
      <c r="F111" s="35"/>
      <c r="G111" s="44">
        <v>2</v>
      </c>
      <c r="H111" s="44">
        <v>0</v>
      </c>
      <c r="I111" s="44">
        <v>0</v>
      </c>
      <c r="J111" s="44">
        <v>0</v>
      </c>
      <c r="K111" s="44">
        <v>0</v>
      </c>
      <c r="L111" s="43">
        <v>0.63472222222222219</v>
      </c>
      <c r="M111" s="43">
        <v>0.70138888888888884</v>
      </c>
      <c r="N111" s="43">
        <f>1+40/24/60</f>
        <v>1.0277777777777777</v>
      </c>
      <c r="O111" s="43">
        <f>1+59/24/60</f>
        <v>1.0409722222222222</v>
      </c>
      <c r="P111" s="39"/>
      <c r="Q111" s="42" t="s">
        <v>426</v>
      </c>
      <c r="R111" s="44">
        <f>MIP_4[[#This Row],[PT-1]]+MIP_4[[#This Row],[PT-2]]*2+MIP_4[[#This Row],[PT-3]]*3+MIP_4[[#This Row],[PT &gt; 3 Pontos]]</f>
        <v>0</v>
      </c>
      <c r="S11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7.986111111111116E-2</v>
      </c>
      <c r="T11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7.986111111111116E-2</v>
      </c>
      <c r="U111" s="41">
        <f ca="1">MIP_4[[#This Row],[Eficiência]]</f>
        <v>0</v>
      </c>
      <c r="V11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11" s="39">
        <f>IF(MIP_4[[#This Row],[P.S]]-MIP_4[[#This Row],[P.E]]&lt;0,1+MIP_4[[#This Row],[P.S]]-MIP_4[[#This Row],[P.E]]-1/24,MIP_4[[#This Row],[P.S]]-MIP_4[[#This Row],[P.E]]-1/24)</f>
        <v>0.36458333333333331</v>
      </c>
      <c r="X111" s="39">
        <f ca="1">MIP_4[[#This Row],[PT-1]]*$S$3+MIP_4[[#This Row],[PT-2]]*$T$3+MIP_4[[#This Row],[PT-3]]*$U$3+MIP_4[[#This Row],[PT &gt; 3 Pontos]]*$V$3</f>
        <v>0</v>
      </c>
      <c r="Y111" s="39">
        <f>MIP_4[[#This Row],[HH disponível]]-MIP_4[[#This Row],[HH AC TOT]]</f>
        <v>0.28472222222222215</v>
      </c>
      <c r="Z111" s="38">
        <f ca="1">MIP_4[[#This Row],[HH Produtivo
Total]]/MIP_4[[#This Row],[HH Trabalhado]]</f>
        <v>0</v>
      </c>
      <c r="AA111" s="38">
        <f ca="1">MIP_4[[#This Row],[HH Produtivo
Total]]/MIP_4[[#This Row],[HH disponível]]</f>
        <v>0</v>
      </c>
      <c r="AB111" s="38">
        <f>MIP_4[[#This Row],[HH Trabalhado]]/MIP_4[[#This Row],[HH disponível]]</f>
        <v>0.78095238095238084</v>
      </c>
      <c r="AC111" s="37" t="str">
        <f>LEFT(MIP_4[[#This Row],[Equipe]], SEARCH("/",MIP_4[[#This Row],[Equipe]],1)-1)</f>
        <v xml:space="preserve">ADEMÁRIO </v>
      </c>
      <c r="AD111" s="37" t="str">
        <f>RIGHT(MIP_4[[#This Row],[Equipe]], LEN(MIP_4[[#This Row],[Equipe]])-SEARCH("/",MIP_4[[#This Row],[Equipe]],1))</f>
        <v xml:space="preserve"> RONALDO</v>
      </c>
      <c r="AE111" s="44">
        <f>COUNTIFS('[1]Tempo parado'!G:G,"&gt;="&amp;MIP_4[[#This Row],[S.B Sitrack]],'[1]Tempo parado'!H:H,"&lt;="&amp;MIP_4[[#This Row],[C.B Sitrack]],'[1]Tempo parado'!A:A,MIP_4[[#This Row],[Placa]])</f>
        <v>0</v>
      </c>
      <c r="AF111" s="36"/>
      <c r="AG111" s="35"/>
      <c r="AH111" s="34"/>
      <c r="AI111" s="34"/>
      <c r="AJ11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1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1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11" s="32" t="str">
        <f>IFERROR(MIP_4[[#This Row],[Tempo parado]]/(MIP_4[[#This Row],[C.B Sitrack]]-MIP_4[[#This Row],[S.B Sitrack]]),"")</f>
        <v/>
      </c>
      <c r="AN111" s="30"/>
      <c r="AO111" s="44">
        <f>IF(AND(MIP_4[Exc]=0,MIP_4[Previsto / Realizado]="Realizado"),MIP_4[Sem],0)</f>
        <v>23</v>
      </c>
      <c r="AP111" s="29">
        <f>IF(AND(MIP_4[Exc]=0,MIP_4[Previsto / Realizado]="Realizado",ISBLANK(MIP_4[[#This Row],[S.B Sitrack]])=FALSE,ISBLANK(MIP_4[[#This Row],[C.B Sitrack]])=FALSE),MIP_4[Sem],0)</f>
        <v>0</v>
      </c>
    </row>
    <row r="112" spans="1:42" ht="15.75" x14ac:dyDescent="0.25">
      <c r="A112" s="44">
        <f>WEEKNUM(MIP_4[[#This Row],[Data]])</f>
        <v>23</v>
      </c>
      <c r="B112" s="45">
        <v>42893</v>
      </c>
      <c r="C112" s="45"/>
      <c r="D112" s="35" t="s">
        <v>3</v>
      </c>
      <c r="E112" s="35" t="s">
        <v>5</v>
      </c>
      <c r="F112" s="35"/>
      <c r="G112" s="44">
        <v>2</v>
      </c>
      <c r="H112" s="44">
        <v>5</v>
      </c>
      <c r="I112" s="44">
        <v>6</v>
      </c>
      <c r="J112" s="44">
        <v>0</v>
      </c>
      <c r="K112" s="44">
        <v>0</v>
      </c>
      <c r="L112" s="43">
        <v>0.625</v>
      </c>
      <c r="M112" s="43">
        <v>0.64583333333333337</v>
      </c>
      <c r="N112" s="43">
        <f>1+18/24/60</f>
        <v>1.0125</v>
      </c>
      <c r="O112" s="43">
        <f>1+48/24/60</f>
        <v>1.0333333333333334</v>
      </c>
      <c r="P112" s="39"/>
      <c r="Q112" s="42"/>
      <c r="R112" s="44">
        <f>MIP_4[[#This Row],[PT-1]]+MIP_4[[#This Row],[PT-2]]*2+MIP_4[[#This Row],[PT-3]]*3+MIP_4[[#This Row],[PT &gt; 3 Pontos]]</f>
        <v>17</v>
      </c>
      <c r="S11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11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112" s="41">
        <f ca="1">MIP_4[[#This Row],[Eficiência]]</f>
        <v>1.1956364966555186</v>
      </c>
      <c r="V11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12" s="39">
        <f>IF(MIP_4[[#This Row],[P.S]]-MIP_4[[#This Row],[P.E]]&lt;0,1+MIP_4[[#This Row],[P.S]]-MIP_4[[#This Row],[P.E]]-1/24,MIP_4[[#This Row],[P.S]]-MIP_4[[#This Row],[P.E]]-1/24)</f>
        <v>0.36666666666666675</v>
      </c>
      <c r="X112" s="39">
        <f ca="1">MIP_4[[#This Row],[PT-1]]*$S$3+MIP_4[[#This Row],[PT-2]]*$T$3+MIP_4[[#This Row],[PT-3]]*$U$3+MIP_4[[#This Row],[PT &gt; 3 Pontos]]*$V$3</f>
        <v>0.38858186141304341</v>
      </c>
      <c r="Y112" s="39">
        <f>MIP_4[[#This Row],[HH disponível]]-MIP_4[[#This Row],[HH AC TOT]]</f>
        <v>0.3249999999999999</v>
      </c>
      <c r="Z112" s="38">
        <f ca="1">MIP_4[[#This Row],[HH Produtivo
Total]]/MIP_4[[#This Row],[HH Trabalhado]]</f>
        <v>1.1956364966555186</v>
      </c>
      <c r="AA112" s="38">
        <f ca="1">MIP_4[[#This Row],[HH Produtivo
Total]]/MIP_4[[#This Row],[HH disponível]]</f>
        <v>1.0597687129446636</v>
      </c>
      <c r="AB112" s="38">
        <f>MIP_4[[#This Row],[HH Trabalhado]]/MIP_4[[#This Row],[HH disponível]]</f>
        <v>0.88636363636363591</v>
      </c>
      <c r="AC112" s="37" t="str">
        <f>LEFT(MIP_4[[#This Row],[Equipe]], SEARCH("/",MIP_4[[#This Row],[Equipe]],1)-1)</f>
        <v xml:space="preserve">EDILTON </v>
      </c>
      <c r="AD112" s="37" t="str">
        <f>RIGHT(MIP_4[[#This Row],[Equipe]], LEN(MIP_4[[#This Row],[Equipe]])-SEARCH("/",MIP_4[[#This Row],[Equipe]],1))</f>
        <v xml:space="preserve"> GECIVALDO</v>
      </c>
      <c r="AE112" s="44">
        <f>COUNTIFS('[1]Tempo parado'!G:G,"&gt;="&amp;MIP_4[[#This Row],[S.B Sitrack]],'[1]Tempo parado'!H:H,"&lt;="&amp;MIP_4[[#This Row],[C.B Sitrack]],'[1]Tempo parado'!A:A,MIP_4[[#This Row],[Placa]])</f>
        <v>0</v>
      </c>
      <c r="AF112" s="36"/>
      <c r="AG112" s="35"/>
      <c r="AH112" s="34"/>
      <c r="AI112" s="34"/>
      <c r="AJ11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1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1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12" s="32" t="str">
        <f>IFERROR(MIP_4[[#This Row],[Tempo parado]]/(MIP_4[[#This Row],[C.B Sitrack]]-MIP_4[[#This Row],[S.B Sitrack]]),"")</f>
        <v/>
      </c>
      <c r="AN112" s="30"/>
      <c r="AO112" s="44">
        <f>IF(AND(MIP_4[Exc]=0,MIP_4[Previsto / Realizado]="Realizado"),MIP_4[Sem],0)</f>
        <v>0</v>
      </c>
      <c r="AP112" s="29">
        <f>IF(AND(MIP_4[Exc]=0,MIP_4[Previsto / Realizado]="Realizado",ISBLANK(MIP_4[[#This Row],[S.B Sitrack]])=FALSE,ISBLANK(MIP_4[[#This Row],[C.B Sitrack]])=FALSE),MIP_4[Sem],0)</f>
        <v>0</v>
      </c>
    </row>
    <row r="113" spans="1:42" ht="15.75" x14ac:dyDescent="0.25">
      <c r="A113" s="44">
        <f>WEEKNUM(MIP_4[[#This Row],[Data]])</f>
        <v>23</v>
      </c>
      <c r="B113" s="45">
        <v>42893</v>
      </c>
      <c r="C113" s="45"/>
      <c r="D113" s="35" t="s">
        <v>3</v>
      </c>
      <c r="E113" s="35" t="s">
        <v>2</v>
      </c>
      <c r="F113" s="35"/>
      <c r="G113" s="44">
        <v>2</v>
      </c>
      <c r="H113" s="44">
        <v>4</v>
      </c>
      <c r="I113" s="44">
        <v>4</v>
      </c>
      <c r="J113" s="44">
        <v>0</v>
      </c>
      <c r="K113" s="44">
        <v>0</v>
      </c>
      <c r="L113" s="43">
        <v>0.63055555555555554</v>
      </c>
      <c r="M113" s="43">
        <v>0.66527777777777775</v>
      </c>
      <c r="N113" s="43">
        <v>0.97638888888888886</v>
      </c>
      <c r="O113" s="43">
        <f>1+52/24/60</f>
        <v>1.0361111111111112</v>
      </c>
      <c r="P113" s="39"/>
      <c r="Q113" s="42" t="s">
        <v>425</v>
      </c>
      <c r="R113" s="44">
        <f>MIP_4[[#This Row],[PT-1]]+MIP_4[[#This Row],[PT-2]]*2+MIP_4[[#This Row],[PT-3]]*3+MIP_4[[#This Row],[PT &gt; 3 Pontos]]</f>
        <v>12</v>
      </c>
      <c r="S11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9.4444444444444553E-2</v>
      </c>
      <c r="T11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9.4444444444444553E-2</v>
      </c>
      <c r="U113" s="41">
        <f ca="1">MIP_4[[#This Row],[Eficiência]]</f>
        <v>1.0233592932914986</v>
      </c>
      <c r="V11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13" s="39">
        <f>IF(MIP_4[[#This Row],[P.S]]-MIP_4[[#This Row],[P.E]]&lt;0,1+MIP_4[[#This Row],[P.S]]-MIP_4[[#This Row],[P.E]]-1/24,MIP_4[[#This Row],[P.S]]-MIP_4[[#This Row],[P.E]]-1/24)</f>
        <v>0.36388888888888898</v>
      </c>
      <c r="X113" s="39">
        <f ca="1">MIP_4[[#This Row],[PT-1]]*$S$3+MIP_4[[#This Row],[PT-2]]*$T$3+MIP_4[[#This Row],[PT-3]]*$U$3+MIP_4[[#This Row],[PT &gt; 3 Pontos]]*$V$3</f>
        <v>0.27573847624798709</v>
      </c>
      <c r="Y113" s="39">
        <f>MIP_4[[#This Row],[HH disponível]]-MIP_4[[#This Row],[HH AC TOT]]</f>
        <v>0.26944444444444443</v>
      </c>
      <c r="Z113" s="38">
        <f ca="1">MIP_4[[#This Row],[HH Produtivo
Total]]/MIP_4[[#This Row],[HH Trabalhado]]</f>
        <v>1.0233592932914986</v>
      </c>
      <c r="AA113" s="38">
        <f ca="1">MIP_4[[#This Row],[HH Produtivo
Total]]/MIP_4[[#This Row],[HH disponível]]</f>
        <v>0.75775459121584221</v>
      </c>
      <c r="AB113" s="38">
        <f>MIP_4[[#This Row],[HH Trabalhado]]/MIP_4[[#This Row],[HH disponível]]</f>
        <v>0.74045801526717536</v>
      </c>
      <c r="AC113" s="37" t="str">
        <f>LEFT(MIP_4[[#This Row],[Equipe]], SEARCH("/",MIP_4[[#This Row],[Equipe]],1)-1)</f>
        <v xml:space="preserve">EDILTON </v>
      </c>
      <c r="AD113" s="37" t="str">
        <f>RIGHT(MIP_4[[#This Row],[Equipe]], LEN(MIP_4[[#This Row],[Equipe]])-SEARCH("/",MIP_4[[#This Row],[Equipe]],1))</f>
        <v xml:space="preserve"> GECIVALDO</v>
      </c>
      <c r="AE113" s="44">
        <f>COUNTIFS('[1]Tempo parado'!G:G,"&gt;="&amp;MIP_4[[#This Row],[S.B Sitrack]],'[1]Tempo parado'!H:H,"&lt;="&amp;MIP_4[[#This Row],[C.B Sitrack]],'[1]Tempo parado'!A:A,MIP_4[[#This Row],[Placa]])</f>
        <v>0</v>
      </c>
      <c r="AF113" s="36"/>
      <c r="AG113" s="35"/>
      <c r="AH113" s="34"/>
      <c r="AI113" s="34"/>
      <c r="AJ11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1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1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13" s="32" t="str">
        <f>IFERROR(MIP_4[[#This Row],[Tempo parado]]/(MIP_4[[#This Row],[C.B Sitrack]]-MIP_4[[#This Row],[S.B Sitrack]]),"")</f>
        <v/>
      </c>
      <c r="AN113" s="30"/>
      <c r="AO113" s="44">
        <f>IF(AND(MIP_4[Exc]=0,MIP_4[Previsto / Realizado]="Realizado"),MIP_4[Sem],0)</f>
        <v>23</v>
      </c>
      <c r="AP113" s="29">
        <f>IF(AND(MIP_4[Exc]=0,MIP_4[Previsto / Realizado]="Realizado",ISBLANK(MIP_4[[#This Row],[S.B Sitrack]])=FALSE,ISBLANK(MIP_4[[#This Row],[C.B Sitrack]])=FALSE),MIP_4[Sem],0)</f>
        <v>0</v>
      </c>
    </row>
    <row r="114" spans="1:42" ht="15.75" x14ac:dyDescent="0.25">
      <c r="A114" s="44">
        <f>WEEKNUM(MIP_4[[#This Row],[Data]])</f>
        <v>23</v>
      </c>
      <c r="B114" s="45">
        <v>42893</v>
      </c>
      <c r="C114" s="45"/>
      <c r="D114" s="35" t="s">
        <v>7</v>
      </c>
      <c r="E114" s="35" t="s">
        <v>5</v>
      </c>
      <c r="F114" s="35"/>
      <c r="G114" s="44">
        <v>2</v>
      </c>
      <c r="H114" s="44">
        <v>13</v>
      </c>
      <c r="I114" s="44">
        <v>0</v>
      </c>
      <c r="J114" s="44">
        <v>1</v>
      </c>
      <c r="K114" s="44">
        <v>0</v>
      </c>
      <c r="L114" s="43">
        <v>0.625</v>
      </c>
      <c r="M114" s="43">
        <v>0.64583333333333337</v>
      </c>
      <c r="N114" s="43">
        <f>1+18/24/60</f>
        <v>1.0125</v>
      </c>
      <c r="O114" s="43">
        <f>1+48/24/60</f>
        <v>1.0333333333333334</v>
      </c>
      <c r="P114" s="39"/>
      <c r="Q114" s="42"/>
      <c r="R114" s="44">
        <f>MIP_4[[#This Row],[PT-1]]+MIP_4[[#This Row],[PT-2]]*2+MIP_4[[#This Row],[PT-3]]*3+MIP_4[[#This Row],[PT &gt; 3 Pontos]]</f>
        <v>16</v>
      </c>
      <c r="S11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11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114" s="41">
        <f ca="1">MIP_4[[#This Row],[Eficiência]]</f>
        <v>1.1942392852718937</v>
      </c>
      <c r="V11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14" s="39">
        <f>IF(MIP_4[[#This Row],[P.S]]-MIP_4[[#This Row],[P.E]]&lt;0,1+MIP_4[[#This Row],[P.S]]-MIP_4[[#This Row],[P.E]]-1/24,MIP_4[[#This Row],[P.S]]-MIP_4[[#This Row],[P.E]]-1/24)</f>
        <v>0.36666666666666675</v>
      </c>
      <c r="X114" s="39">
        <f ca="1">MIP_4[[#This Row],[PT-1]]*$S$3+MIP_4[[#This Row],[PT-2]]*$T$3+MIP_4[[#This Row],[PT-3]]*$U$3+MIP_4[[#This Row],[PT &gt; 3 Pontos]]*$V$3</f>
        <v>0.38812776771336532</v>
      </c>
      <c r="Y114" s="39">
        <f>MIP_4[[#This Row],[HH disponível]]-MIP_4[[#This Row],[HH AC TOT]]</f>
        <v>0.3249999999999999</v>
      </c>
      <c r="Z114" s="38">
        <f ca="1">MIP_4[[#This Row],[HH Produtivo
Total]]/MIP_4[[#This Row],[HH Trabalhado]]</f>
        <v>1.1942392852718937</v>
      </c>
      <c r="AA114" s="38">
        <f ca="1">MIP_4[[#This Row],[HH Produtivo
Total]]/MIP_4[[#This Row],[HH disponível]]</f>
        <v>1.0585302755819053</v>
      </c>
      <c r="AB114" s="38">
        <f>MIP_4[[#This Row],[HH Trabalhado]]/MIP_4[[#This Row],[HH disponível]]</f>
        <v>0.88636363636363591</v>
      </c>
      <c r="AC114" s="37" t="str">
        <f>LEFT(MIP_4[[#This Row],[Equipe]], SEARCH("/",MIP_4[[#This Row],[Equipe]],1)-1)</f>
        <v xml:space="preserve">ANDERSON </v>
      </c>
      <c r="AD114" s="37" t="str">
        <f>RIGHT(MIP_4[[#This Row],[Equipe]], LEN(MIP_4[[#This Row],[Equipe]])-SEARCH("/",MIP_4[[#This Row],[Equipe]],1))</f>
        <v xml:space="preserve"> MARCO</v>
      </c>
      <c r="AE114" s="44">
        <f>COUNTIFS('[1]Tempo parado'!G:G,"&gt;="&amp;MIP_4[[#This Row],[S.B Sitrack]],'[1]Tempo parado'!H:H,"&lt;="&amp;MIP_4[[#This Row],[C.B Sitrack]],'[1]Tempo parado'!A:A,MIP_4[[#This Row],[Placa]])</f>
        <v>0</v>
      </c>
      <c r="AF114" s="36"/>
      <c r="AG114" s="35"/>
      <c r="AH114" s="34"/>
      <c r="AI114" s="34"/>
      <c r="AJ11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1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1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14" s="32" t="str">
        <f>IFERROR(MIP_4[[#This Row],[Tempo parado]]/(MIP_4[[#This Row],[C.B Sitrack]]-MIP_4[[#This Row],[S.B Sitrack]]),"")</f>
        <v/>
      </c>
      <c r="AN114" s="30"/>
      <c r="AO114" s="44">
        <f>IF(AND(MIP_4[Exc]=0,MIP_4[Previsto / Realizado]="Realizado"),MIP_4[Sem],0)</f>
        <v>0</v>
      </c>
      <c r="AP114" s="29">
        <f>IF(AND(MIP_4[Exc]=0,MIP_4[Previsto / Realizado]="Realizado",ISBLANK(MIP_4[[#This Row],[S.B Sitrack]])=FALSE,ISBLANK(MIP_4[[#This Row],[C.B Sitrack]])=FALSE),MIP_4[Sem],0)</f>
        <v>0</v>
      </c>
    </row>
    <row r="115" spans="1:42" ht="15.75" x14ac:dyDescent="0.25">
      <c r="A115" s="44">
        <f>WEEKNUM(MIP_4[[#This Row],[Data]])</f>
        <v>23</v>
      </c>
      <c r="B115" s="45">
        <v>42893</v>
      </c>
      <c r="C115" s="45"/>
      <c r="D115" s="35" t="s">
        <v>7</v>
      </c>
      <c r="E115" s="35" t="s">
        <v>2</v>
      </c>
      <c r="F115" s="35"/>
      <c r="G115" s="44">
        <v>2</v>
      </c>
      <c r="H115" s="44">
        <v>9</v>
      </c>
      <c r="I115" s="44">
        <v>0</v>
      </c>
      <c r="J115" s="44">
        <v>0</v>
      </c>
      <c r="K115" s="44">
        <v>0</v>
      </c>
      <c r="L115" s="43">
        <v>0.62708333333333333</v>
      </c>
      <c r="M115" s="43">
        <v>0.65694444444444444</v>
      </c>
      <c r="N115" s="43">
        <f>1+30/24/60</f>
        <v>1.0208333333333333</v>
      </c>
      <c r="O115" s="43">
        <f>1+48/24/60</f>
        <v>1.0333333333333334</v>
      </c>
      <c r="P115" s="39"/>
      <c r="Q115" s="42" t="s">
        <v>424</v>
      </c>
      <c r="R115" s="44">
        <f>MIP_4[[#This Row],[PT-1]]+MIP_4[[#This Row],[PT-2]]*2+MIP_4[[#This Row],[PT-3]]*3+MIP_4[[#This Row],[PT &gt; 3 Pontos]]</f>
        <v>9</v>
      </c>
      <c r="S11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4.2361111111111294E-2</v>
      </c>
      <c r="T11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4.2361111111111294E-2</v>
      </c>
      <c r="U115" s="41">
        <f ca="1">MIP_4[[#This Row],[Eficiência]]</f>
        <v>0.69899796195652142</v>
      </c>
      <c r="V11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15" s="39">
        <f>IF(MIP_4[[#This Row],[P.S]]-MIP_4[[#This Row],[P.E]]&lt;0,1+MIP_4[[#This Row],[P.S]]-MIP_4[[#This Row],[P.E]]-1/24,MIP_4[[#This Row],[P.S]]-MIP_4[[#This Row],[P.E]]-1/24)</f>
        <v>0.36458333333333343</v>
      </c>
      <c r="X115" s="39">
        <f ca="1">MIP_4[[#This Row],[PT-1]]*$S$3+MIP_4[[#This Row],[PT-2]]*$T$3+MIP_4[[#This Row],[PT-3]]*$U$3+MIP_4[[#This Row],[PT &gt; 3 Pontos]]*$V$3</f>
        <v>0.22523267663043461</v>
      </c>
      <c r="Y115" s="39">
        <f>MIP_4[[#This Row],[HH disponível]]-MIP_4[[#This Row],[HH AC TOT]]</f>
        <v>0.32222222222222213</v>
      </c>
      <c r="Z115" s="38">
        <f ca="1">MIP_4[[#This Row],[HH Produtivo
Total]]/MIP_4[[#This Row],[HH Trabalhado]]</f>
        <v>0.69899796195652142</v>
      </c>
      <c r="AA115" s="38">
        <f ca="1">MIP_4[[#This Row],[HH Produtivo
Total]]/MIP_4[[#This Row],[HH disponível]]</f>
        <v>0.61778105590062049</v>
      </c>
      <c r="AB115" s="38">
        <f>MIP_4[[#This Row],[HH Trabalhado]]/MIP_4[[#This Row],[HH disponível]]</f>
        <v>0.88380952380952338</v>
      </c>
      <c r="AC115" s="37" t="str">
        <f>LEFT(MIP_4[[#This Row],[Equipe]], SEARCH("/",MIP_4[[#This Row],[Equipe]],1)-1)</f>
        <v xml:space="preserve">ANDERSON </v>
      </c>
      <c r="AD115" s="37" t="str">
        <f>RIGHT(MIP_4[[#This Row],[Equipe]], LEN(MIP_4[[#This Row],[Equipe]])-SEARCH("/",MIP_4[[#This Row],[Equipe]],1))</f>
        <v xml:space="preserve"> MARCO</v>
      </c>
      <c r="AE115" s="44">
        <f>COUNTIFS('[1]Tempo parado'!G:G,"&gt;="&amp;MIP_4[[#This Row],[S.B Sitrack]],'[1]Tempo parado'!H:H,"&lt;="&amp;MIP_4[[#This Row],[C.B Sitrack]],'[1]Tempo parado'!A:A,MIP_4[[#This Row],[Placa]])</f>
        <v>0</v>
      </c>
      <c r="AF115" s="36"/>
      <c r="AG115" s="35"/>
      <c r="AH115" s="34"/>
      <c r="AI115" s="34"/>
      <c r="AJ11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1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1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15" s="32" t="str">
        <f>IFERROR(MIP_4[[#This Row],[Tempo parado]]/(MIP_4[[#This Row],[C.B Sitrack]]-MIP_4[[#This Row],[S.B Sitrack]]),"")</f>
        <v/>
      </c>
      <c r="AN115" s="30"/>
      <c r="AO115" s="44">
        <f>IF(AND(MIP_4[Exc]=0,MIP_4[Previsto / Realizado]="Realizado"),MIP_4[Sem],0)</f>
        <v>23</v>
      </c>
      <c r="AP115" s="29">
        <f>IF(AND(MIP_4[Exc]=0,MIP_4[Previsto / Realizado]="Realizado",ISBLANK(MIP_4[[#This Row],[S.B Sitrack]])=FALSE,ISBLANK(MIP_4[[#This Row],[C.B Sitrack]])=FALSE),MIP_4[Sem],0)</f>
        <v>0</v>
      </c>
    </row>
    <row r="116" spans="1:42" ht="15.75" x14ac:dyDescent="0.25">
      <c r="A116" s="44">
        <f>WEEKNUM(MIP_4[[#This Row],[Data]])</f>
        <v>23</v>
      </c>
      <c r="B116" s="45">
        <v>42895</v>
      </c>
      <c r="C116" s="45"/>
      <c r="D116" s="35" t="s">
        <v>3</v>
      </c>
      <c r="E116" s="35" t="s">
        <v>5</v>
      </c>
      <c r="F116" s="35"/>
      <c r="G116" s="44">
        <v>2</v>
      </c>
      <c r="H116" s="44">
        <v>0</v>
      </c>
      <c r="I116" s="44">
        <v>2</v>
      </c>
      <c r="J116" s="44">
        <v>2</v>
      </c>
      <c r="K116" s="44">
        <v>9</v>
      </c>
      <c r="L116" s="43">
        <v>0.625</v>
      </c>
      <c r="M116" s="43">
        <v>0.64583333333333337</v>
      </c>
      <c r="N116" s="43">
        <f>1+18/24/60</f>
        <v>1.0125</v>
      </c>
      <c r="O116" s="43">
        <f>1+48/24/60</f>
        <v>1.0333333333333334</v>
      </c>
      <c r="P116" s="39"/>
      <c r="Q116" s="42"/>
      <c r="R116" s="44">
        <f>MIP_4[[#This Row],[PT-1]]+MIP_4[[#This Row],[PT-2]]*2+MIP_4[[#This Row],[PT-3]]*3+MIP_4[[#This Row],[PT &gt; 3 Pontos]]</f>
        <v>19</v>
      </c>
      <c r="S11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11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116" s="41">
        <f ca="1">MIP_4[[#This Row],[Eficiência]]</f>
        <v>1.2173322726991214</v>
      </c>
      <c r="V11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16" s="39">
        <f>IF(MIP_4[[#This Row],[P.S]]-MIP_4[[#This Row],[P.E]]&lt;0,1+MIP_4[[#This Row],[P.S]]-MIP_4[[#This Row],[P.E]]-1/24,MIP_4[[#This Row],[P.S]]-MIP_4[[#This Row],[P.E]]-1/24)</f>
        <v>0.36666666666666675</v>
      </c>
      <c r="X116" s="39">
        <f ca="1">MIP_4[[#This Row],[PT-1]]*$S$3+MIP_4[[#This Row],[PT-2]]*$T$3+MIP_4[[#This Row],[PT-3]]*$U$3+MIP_4[[#This Row],[PT &gt; 3 Pontos]]*$V$3</f>
        <v>0.3956329886272143</v>
      </c>
      <c r="Y116" s="39">
        <f>MIP_4[[#This Row],[HH disponível]]-MIP_4[[#This Row],[HH AC TOT]]</f>
        <v>0.3249999999999999</v>
      </c>
      <c r="Z116" s="38">
        <f ca="1">MIP_4[[#This Row],[HH Produtivo
Total]]/MIP_4[[#This Row],[HH Trabalhado]]</f>
        <v>1.2173322726991214</v>
      </c>
      <c r="AA116" s="38">
        <f ca="1">MIP_4[[#This Row],[HH Produtivo
Total]]/MIP_4[[#This Row],[HH disponível]]</f>
        <v>1.0789990598924024</v>
      </c>
      <c r="AB116" s="38">
        <f>MIP_4[[#This Row],[HH Trabalhado]]/MIP_4[[#This Row],[HH disponível]]</f>
        <v>0.88636363636363591</v>
      </c>
      <c r="AC116" s="37" t="str">
        <f>LEFT(MIP_4[[#This Row],[Equipe]], SEARCH("/",MIP_4[[#This Row],[Equipe]],1)-1)</f>
        <v xml:space="preserve">EDILTON </v>
      </c>
      <c r="AD116" s="37" t="str">
        <f>RIGHT(MIP_4[[#This Row],[Equipe]], LEN(MIP_4[[#This Row],[Equipe]])-SEARCH("/",MIP_4[[#This Row],[Equipe]],1))</f>
        <v xml:space="preserve"> GECIVALDO</v>
      </c>
      <c r="AE116" s="44">
        <f>COUNTIFS('[1]Tempo parado'!G:G,"&gt;="&amp;MIP_4[[#This Row],[S.B Sitrack]],'[1]Tempo parado'!H:H,"&lt;="&amp;MIP_4[[#This Row],[C.B Sitrack]],'[1]Tempo parado'!A:A,MIP_4[[#This Row],[Placa]])</f>
        <v>0</v>
      </c>
      <c r="AF116" s="36"/>
      <c r="AG116" s="35"/>
      <c r="AH116" s="34"/>
      <c r="AI116" s="34"/>
      <c r="AJ11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1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1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16" s="32" t="str">
        <f>IFERROR(MIP_4[[#This Row],[Tempo parado]]/(MIP_4[[#This Row],[C.B Sitrack]]-MIP_4[[#This Row],[S.B Sitrack]]),"")</f>
        <v/>
      </c>
      <c r="AN116" s="30"/>
      <c r="AO116" s="44">
        <f>IF(AND(MIP_4[Exc]=0,MIP_4[Previsto / Realizado]="Realizado"),MIP_4[Sem],0)</f>
        <v>0</v>
      </c>
      <c r="AP116" s="29">
        <f>IF(AND(MIP_4[Exc]=0,MIP_4[Previsto / Realizado]="Realizado",ISBLANK(MIP_4[[#This Row],[S.B Sitrack]])=FALSE,ISBLANK(MIP_4[[#This Row],[C.B Sitrack]])=FALSE),MIP_4[Sem],0)</f>
        <v>0</v>
      </c>
    </row>
    <row r="117" spans="1:42" ht="15.75" x14ac:dyDescent="0.25">
      <c r="A117" s="44">
        <f>WEEKNUM(MIP_4[[#This Row],[Data]])</f>
        <v>23</v>
      </c>
      <c r="B117" s="45">
        <v>42895</v>
      </c>
      <c r="C117" s="45"/>
      <c r="D117" s="35" t="s">
        <v>3</v>
      </c>
      <c r="E117" s="35" t="s">
        <v>2</v>
      </c>
      <c r="F117" s="35"/>
      <c r="G117" s="44">
        <v>2</v>
      </c>
      <c r="H117" s="44">
        <v>0</v>
      </c>
      <c r="I117" s="44">
        <v>1</v>
      </c>
      <c r="J117" s="44">
        <v>1</v>
      </c>
      <c r="K117" s="44">
        <v>9</v>
      </c>
      <c r="L117" s="43">
        <v>0.62847222222222221</v>
      </c>
      <c r="M117" s="43">
        <v>0.68055555555555547</v>
      </c>
      <c r="N117" s="43">
        <f>1+42/24/60</f>
        <v>1.0291666666666666</v>
      </c>
      <c r="O117" s="43">
        <f>1+50/24/60</f>
        <v>1.0347222222222223</v>
      </c>
      <c r="P117" s="39"/>
      <c r="Q117" s="42"/>
      <c r="R117" s="44">
        <f>MIP_4[[#This Row],[PT-1]]+MIP_4[[#This Row],[PT-2]]*2+MIP_4[[#This Row],[PT-3]]*3+MIP_4[[#This Row],[PT &gt; 3 Pontos]]</f>
        <v>14</v>
      </c>
      <c r="S11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5.7638888888889017E-2</v>
      </c>
      <c r="T11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5.7638888888889017E-2</v>
      </c>
      <c r="U117" s="41">
        <f ca="1">MIP_4[[#This Row],[Eficiência]]</f>
        <v>0.94131869302905147</v>
      </c>
      <c r="V11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17" s="39">
        <f>IF(MIP_4[[#This Row],[P.S]]-MIP_4[[#This Row],[P.E]]&lt;0,1+MIP_4[[#This Row],[P.S]]-MIP_4[[#This Row],[P.E]]-1/24,MIP_4[[#This Row],[P.S]]-MIP_4[[#This Row],[P.E]]-1/24)</f>
        <v>0.36458333333333343</v>
      </c>
      <c r="X117" s="39">
        <f ca="1">MIP_4[[#This Row],[PT-1]]*$S$3+MIP_4[[#This Row],[PT-2]]*$T$3+MIP_4[[#This Row],[PT-3]]*$U$3+MIP_4[[#This Row],[PT &gt; 3 Pontos]]*$V$3</f>
        <v>0.28893254327697271</v>
      </c>
      <c r="Y117" s="39">
        <f>MIP_4[[#This Row],[HH disponível]]-MIP_4[[#This Row],[HH AC TOT]]</f>
        <v>0.30694444444444441</v>
      </c>
      <c r="Z117" s="38">
        <f ca="1">MIP_4[[#This Row],[HH Produtivo
Total]]/MIP_4[[#This Row],[HH Trabalhado]]</f>
        <v>0.94131869302905147</v>
      </c>
      <c r="AA117" s="38">
        <f ca="1">MIP_4[[#This Row],[HH Produtivo
Total]]/MIP_4[[#This Row],[HH disponível]]</f>
        <v>0.7925006901311249</v>
      </c>
      <c r="AB117" s="38">
        <f>MIP_4[[#This Row],[HH Trabalhado]]/MIP_4[[#This Row],[HH disponível]]</f>
        <v>0.8419047619047616</v>
      </c>
      <c r="AC117" s="37" t="str">
        <f>LEFT(MIP_4[[#This Row],[Equipe]], SEARCH("/",MIP_4[[#This Row],[Equipe]],1)-1)</f>
        <v xml:space="preserve">EDILTON </v>
      </c>
      <c r="AD117" s="37" t="str">
        <f>RIGHT(MIP_4[[#This Row],[Equipe]], LEN(MIP_4[[#This Row],[Equipe]])-SEARCH("/",MIP_4[[#This Row],[Equipe]],1))</f>
        <v xml:space="preserve"> GECIVALDO</v>
      </c>
      <c r="AE117" s="44">
        <f>COUNTIFS('[1]Tempo parado'!G:G,"&gt;="&amp;MIP_4[[#This Row],[S.B Sitrack]],'[1]Tempo parado'!H:H,"&lt;="&amp;MIP_4[[#This Row],[C.B Sitrack]],'[1]Tempo parado'!A:A,MIP_4[[#This Row],[Placa]])</f>
        <v>0</v>
      </c>
      <c r="AF117" s="36"/>
      <c r="AG117" s="35"/>
      <c r="AH117" s="34"/>
      <c r="AI117" s="34"/>
      <c r="AJ11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1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1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17" s="32" t="str">
        <f>IFERROR(MIP_4[[#This Row],[Tempo parado]]/(MIP_4[[#This Row],[C.B Sitrack]]-MIP_4[[#This Row],[S.B Sitrack]]),"")</f>
        <v/>
      </c>
      <c r="AN117" s="30"/>
      <c r="AO117" s="44">
        <f>IF(AND(MIP_4[Exc]=0,MIP_4[Previsto / Realizado]="Realizado"),MIP_4[Sem],0)</f>
        <v>23</v>
      </c>
      <c r="AP117" s="29">
        <f>IF(AND(MIP_4[Exc]=0,MIP_4[Previsto / Realizado]="Realizado",ISBLANK(MIP_4[[#This Row],[S.B Sitrack]])=FALSE,ISBLANK(MIP_4[[#This Row],[C.B Sitrack]])=FALSE),MIP_4[Sem],0)</f>
        <v>0</v>
      </c>
    </row>
    <row r="118" spans="1:42" ht="15.75" x14ac:dyDescent="0.25">
      <c r="A118" s="44">
        <f>WEEKNUM(MIP_4[[#This Row],[Data]])</f>
        <v>23</v>
      </c>
      <c r="B118" s="45">
        <v>42895</v>
      </c>
      <c r="C118" s="45"/>
      <c r="D118" s="35" t="s">
        <v>7</v>
      </c>
      <c r="E118" s="35" t="s">
        <v>5</v>
      </c>
      <c r="F118" s="35"/>
      <c r="G118" s="44">
        <v>2</v>
      </c>
      <c r="H118" s="44">
        <v>8</v>
      </c>
      <c r="I118" s="44">
        <v>1</v>
      </c>
      <c r="J118" s="44">
        <v>2</v>
      </c>
      <c r="K118" s="44">
        <v>0</v>
      </c>
      <c r="L118" s="43">
        <v>0.625</v>
      </c>
      <c r="M118" s="43">
        <v>0.64583333333333337</v>
      </c>
      <c r="N118" s="43">
        <f>1+18/24/60</f>
        <v>1.0125</v>
      </c>
      <c r="O118" s="43">
        <f>1+48/24/60</f>
        <v>1.0333333333333334</v>
      </c>
      <c r="P118" s="39"/>
      <c r="Q118" s="42"/>
      <c r="R118" s="44">
        <f>MIP_4[[#This Row],[PT-1]]+MIP_4[[#This Row],[PT-2]]*2+MIP_4[[#This Row],[PT-3]]*3+MIP_4[[#This Row],[PT &gt; 3 Pontos]]</f>
        <v>16</v>
      </c>
      <c r="S11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11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118" s="41">
        <f ca="1">MIP_4[[#This Row],[Eficiência]]</f>
        <v>1.1375352254428344</v>
      </c>
      <c r="V11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18" s="39">
        <f>IF(MIP_4[[#This Row],[P.S]]-MIP_4[[#This Row],[P.E]]&lt;0,1+MIP_4[[#This Row],[P.S]]-MIP_4[[#This Row],[P.E]]-1/24,MIP_4[[#This Row],[P.S]]-MIP_4[[#This Row],[P.E]]-1/24)</f>
        <v>0.36666666666666675</v>
      </c>
      <c r="X118" s="39">
        <f ca="1">MIP_4[[#This Row],[PT-1]]*$S$3+MIP_4[[#This Row],[PT-2]]*$T$3+MIP_4[[#This Row],[PT-3]]*$U$3+MIP_4[[#This Row],[PT &gt; 3 Pontos]]*$V$3</f>
        <v>0.36969894826892102</v>
      </c>
      <c r="Y118" s="39">
        <f>MIP_4[[#This Row],[HH disponível]]-MIP_4[[#This Row],[HH AC TOT]]</f>
        <v>0.3249999999999999</v>
      </c>
      <c r="Z118" s="38">
        <f ca="1">MIP_4[[#This Row],[HH Produtivo
Total]]/MIP_4[[#This Row],[HH Trabalhado]]</f>
        <v>1.1375352254428344</v>
      </c>
      <c r="AA118" s="38">
        <f ca="1">MIP_4[[#This Row],[HH Produtivo
Total]]/MIP_4[[#This Row],[HH disponível]]</f>
        <v>1.008269858915239</v>
      </c>
      <c r="AB118" s="38">
        <f>MIP_4[[#This Row],[HH Trabalhado]]/MIP_4[[#This Row],[HH disponível]]</f>
        <v>0.88636363636363591</v>
      </c>
      <c r="AC118" s="37" t="str">
        <f>LEFT(MIP_4[[#This Row],[Equipe]], SEARCH("/",MIP_4[[#This Row],[Equipe]],1)-1)</f>
        <v xml:space="preserve">ANDERSON </v>
      </c>
      <c r="AD118" s="37" t="str">
        <f>RIGHT(MIP_4[[#This Row],[Equipe]], LEN(MIP_4[[#This Row],[Equipe]])-SEARCH("/",MIP_4[[#This Row],[Equipe]],1))</f>
        <v xml:space="preserve"> MARCO</v>
      </c>
      <c r="AE118" s="44">
        <f>COUNTIFS('[1]Tempo parado'!G:G,"&gt;="&amp;MIP_4[[#This Row],[S.B Sitrack]],'[1]Tempo parado'!H:H,"&lt;="&amp;MIP_4[[#This Row],[C.B Sitrack]],'[1]Tempo parado'!A:A,MIP_4[[#This Row],[Placa]])</f>
        <v>0</v>
      </c>
      <c r="AF118" s="36"/>
      <c r="AG118" s="35"/>
      <c r="AH118" s="34"/>
      <c r="AI118" s="34"/>
      <c r="AJ11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1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1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18" s="32" t="str">
        <f>IFERROR(MIP_4[[#This Row],[Tempo parado]]/(MIP_4[[#This Row],[C.B Sitrack]]-MIP_4[[#This Row],[S.B Sitrack]]),"")</f>
        <v/>
      </c>
      <c r="AN118" s="30"/>
      <c r="AO118" s="44">
        <f>IF(AND(MIP_4[Exc]=0,MIP_4[Previsto / Realizado]="Realizado"),MIP_4[Sem],0)</f>
        <v>0</v>
      </c>
      <c r="AP118" s="29">
        <f>IF(AND(MIP_4[Exc]=0,MIP_4[Previsto / Realizado]="Realizado",ISBLANK(MIP_4[[#This Row],[S.B Sitrack]])=FALSE,ISBLANK(MIP_4[[#This Row],[C.B Sitrack]])=FALSE),MIP_4[Sem],0)</f>
        <v>0</v>
      </c>
    </row>
    <row r="119" spans="1:42" ht="15.75" x14ac:dyDescent="0.25">
      <c r="A119" s="44">
        <f>WEEKNUM(MIP_4[[#This Row],[Data]])</f>
        <v>23</v>
      </c>
      <c r="B119" s="45">
        <v>42895</v>
      </c>
      <c r="C119" s="45"/>
      <c r="D119" s="35" t="s">
        <v>7</v>
      </c>
      <c r="E119" s="35" t="s">
        <v>2</v>
      </c>
      <c r="F119" s="35"/>
      <c r="G119" s="44">
        <v>2</v>
      </c>
      <c r="H119" s="44">
        <v>6</v>
      </c>
      <c r="I119" s="44">
        <v>1</v>
      </c>
      <c r="J119" s="44">
        <v>1</v>
      </c>
      <c r="K119" s="44">
        <v>0</v>
      </c>
      <c r="L119" s="43">
        <v>0.625</v>
      </c>
      <c r="M119" s="43">
        <v>0.68611111111111101</v>
      </c>
      <c r="N119" s="43">
        <f>1+56/24/60</f>
        <v>1.038888888888889</v>
      </c>
      <c r="O119" s="43">
        <f>1+72/24/60</f>
        <v>1.05</v>
      </c>
      <c r="P119" s="39"/>
      <c r="Q119" s="42"/>
      <c r="R119" s="44">
        <f>MIP_4[[#This Row],[PT-1]]+MIP_4[[#This Row],[PT-2]]*2+MIP_4[[#This Row],[PT-3]]*3+MIP_4[[#This Row],[PT &gt; 3 Pontos]]</f>
        <v>11</v>
      </c>
      <c r="S11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7.2222222222222077E-2</v>
      </c>
      <c r="T11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7.2222222222222077E-2</v>
      </c>
      <c r="U119" s="41">
        <f ca="1">MIP_4[[#This Row],[Eficiência]]</f>
        <v>0.8256071671195645</v>
      </c>
      <c r="V11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19" s="39">
        <f>IF(MIP_4[[#This Row],[P.S]]-MIP_4[[#This Row],[P.E]]&lt;0,1+MIP_4[[#This Row],[P.S]]-MIP_4[[#This Row],[P.E]]-1/24,MIP_4[[#This Row],[P.S]]-MIP_4[[#This Row],[P.E]]-1/24)</f>
        <v>0.38333333333333336</v>
      </c>
      <c r="X119" s="39">
        <f ca="1">MIP_4[[#This Row],[PT-1]]*$S$3+MIP_4[[#This Row],[PT-2]]*$T$3+MIP_4[[#This Row],[PT-3]]*$U$3+MIP_4[[#This Row],[PT &gt; 3 Pontos]]*$V$3</f>
        <v>0.25685556310386465</v>
      </c>
      <c r="Y119" s="39">
        <f>MIP_4[[#This Row],[HH disponível]]-MIP_4[[#This Row],[HH AC TOT]]</f>
        <v>0.31111111111111128</v>
      </c>
      <c r="Z119" s="38">
        <f ca="1">MIP_4[[#This Row],[HH Produtivo
Total]]/MIP_4[[#This Row],[HH Trabalhado]]</f>
        <v>0.8256071671195645</v>
      </c>
      <c r="AA119" s="38">
        <f ca="1">MIP_4[[#This Row],[HH Produtivo
Total]]/MIP_4[[#This Row],[HH disponível]]</f>
        <v>0.6700579907057338</v>
      </c>
      <c r="AB119" s="38">
        <f>MIP_4[[#This Row],[HH Trabalhado]]/MIP_4[[#This Row],[HH disponível]]</f>
        <v>0.81159420289855111</v>
      </c>
      <c r="AC119" s="37" t="str">
        <f>LEFT(MIP_4[[#This Row],[Equipe]], SEARCH("/",MIP_4[[#This Row],[Equipe]],1)-1)</f>
        <v xml:space="preserve">ANDERSON </v>
      </c>
      <c r="AD119" s="37" t="str">
        <f>RIGHT(MIP_4[[#This Row],[Equipe]], LEN(MIP_4[[#This Row],[Equipe]])-SEARCH("/",MIP_4[[#This Row],[Equipe]],1))</f>
        <v xml:space="preserve"> MARCO</v>
      </c>
      <c r="AE119" s="44">
        <f>COUNTIFS('[1]Tempo parado'!G:G,"&gt;="&amp;MIP_4[[#This Row],[S.B Sitrack]],'[1]Tempo parado'!H:H,"&lt;="&amp;MIP_4[[#This Row],[C.B Sitrack]],'[1]Tempo parado'!A:A,MIP_4[[#This Row],[Placa]])</f>
        <v>0</v>
      </c>
      <c r="AF119" s="36"/>
      <c r="AG119" s="35"/>
      <c r="AH119" s="34"/>
      <c r="AI119" s="34"/>
      <c r="AJ11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1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1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19" s="32" t="str">
        <f>IFERROR(MIP_4[[#This Row],[Tempo parado]]/(MIP_4[[#This Row],[C.B Sitrack]]-MIP_4[[#This Row],[S.B Sitrack]]),"")</f>
        <v/>
      </c>
      <c r="AN119" s="30"/>
      <c r="AO119" s="44">
        <f>IF(AND(MIP_4[Exc]=0,MIP_4[Previsto / Realizado]="Realizado"),MIP_4[Sem],0)</f>
        <v>23</v>
      </c>
      <c r="AP119" s="29">
        <f>IF(AND(MIP_4[Exc]=0,MIP_4[Previsto / Realizado]="Realizado",ISBLANK(MIP_4[[#This Row],[S.B Sitrack]])=FALSE,ISBLANK(MIP_4[[#This Row],[C.B Sitrack]])=FALSE),MIP_4[Sem],0)</f>
        <v>0</v>
      </c>
    </row>
    <row r="120" spans="1:42" ht="15.75" x14ac:dyDescent="0.25">
      <c r="A120" s="44">
        <f>WEEKNUM(MIP_4[[#This Row],[Data]])</f>
        <v>24</v>
      </c>
      <c r="B120" s="45">
        <v>42897</v>
      </c>
      <c r="C120" s="45"/>
      <c r="D120" s="35" t="s">
        <v>19</v>
      </c>
      <c r="E120" s="35" t="s">
        <v>5</v>
      </c>
      <c r="F120" s="35"/>
      <c r="G120" s="44">
        <v>2</v>
      </c>
      <c r="H120" s="44">
        <v>1</v>
      </c>
      <c r="I120" s="44">
        <v>2</v>
      </c>
      <c r="J120" s="44">
        <v>2</v>
      </c>
      <c r="K120" s="44">
        <v>5</v>
      </c>
      <c r="L120" s="43">
        <v>0.625</v>
      </c>
      <c r="M120" s="43">
        <v>0.64583333333333337</v>
      </c>
      <c r="N120" s="43">
        <f>1+18/24/60</f>
        <v>1.0125</v>
      </c>
      <c r="O120" s="43">
        <f>1+48/24/60</f>
        <v>1.0333333333333334</v>
      </c>
      <c r="P120" s="39"/>
      <c r="Q120" s="42"/>
      <c r="R120" s="44">
        <f>MIP_4[[#This Row],[PT-1]]+MIP_4[[#This Row],[PT-2]]*2+MIP_4[[#This Row],[PT-3]]*3+MIP_4[[#This Row],[PT &gt; 3 Pontos]]</f>
        <v>16</v>
      </c>
      <c r="S12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12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120" s="41">
        <f ca="1">MIP_4[[#This Row],[Eficiência]]</f>
        <v>1.0451286094251075</v>
      </c>
      <c r="V12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20" s="39">
        <f>IF(MIP_4[[#This Row],[P.S]]-MIP_4[[#This Row],[P.E]]&lt;0,1+MIP_4[[#This Row],[P.S]]-MIP_4[[#This Row],[P.E]]-1/24,MIP_4[[#This Row],[P.S]]-MIP_4[[#This Row],[P.E]]-1/24)</f>
        <v>0.36666666666666675</v>
      </c>
      <c r="X120" s="39">
        <f ca="1">MIP_4[[#This Row],[PT-1]]*$S$3+MIP_4[[#This Row],[PT-2]]*$T$3+MIP_4[[#This Row],[PT-3]]*$U$3+MIP_4[[#This Row],[PT &gt; 3 Pontos]]*$V$3</f>
        <v>0.33966679806315986</v>
      </c>
      <c r="Y120" s="39">
        <f>MIP_4[[#This Row],[HH disponível]]-MIP_4[[#This Row],[HH AC TOT]]</f>
        <v>0.3249999999999999</v>
      </c>
      <c r="Z120" s="38">
        <f ca="1">MIP_4[[#This Row],[HH Produtivo
Total]]/MIP_4[[#This Row],[HH Trabalhado]]</f>
        <v>1.0451286094251075</v>
      </c>
      <c r="AA120" s="38">
        <f ca="1">MIP_4[[#This Row],[HH Produtivo
Total]]/MIP_4[[#This Row],[HH disponível]]</f>
        <v>0.92636399471770847</v>
      </c>
      <c r="AB120" s="38">
        <f>MIP_4[[#This Row],[HH Trabalhado]]/MIP_4[[#This Row],[HH disponível]]</f>
        <v>0.88636363636363591</v>
      </c>
      <c r="AC120" s="37" t="str">
        <f>LEFT(MIP_4[[#This Row],[Equipe]], SEARCH("/",MIP_4[[#This Row],[Equipe]],1)-1)</f>
        <v xml:space="preserve">ADEMÁRIO </v>
      </c>
      <c r="AD120" s="37" t="str">
        <f>RIGHT(MIP_4[[#This Row],[Equipe]], LEN(MIP_4[[#This Row],[Equipe]])-SEARCH("/",MIP_4[[#This Row],[Equipe]],1))</f>
        <v xml:space="preserve"> RONALDO</v>
      </c>
      <c r="AE120" s="44">
        <f>COUNTIFS('[1]Tempo parado'!G:G,"&gt;="&amp;MIP_4[[#This Row],[S.B Sitrack]],'[1]Tempo parado'!H:H,"&lt;="&amp;MIP_4[[#This Row],[C.B Sitrack]],'[1]Tempo parado'!A:A,MIP_4[[#This Row],[Placa]])</f>
        <v>0</v>
      </c>
      <c r="AF120" s="36"/>
      <c r="AG120" s="35"/>
      <c r="AH120" s="34"/>
      <c r="AI120" s="34"/>
      <c r="AJ12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2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2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20" s="32" t="str">
        <f>IFERROR(MIP_4[[#This Row],[Tempo parado]]/(MIP_4[[#This Row],[C.B Sitrack]]-MIP_4[[#This Row],[S.B Sitrack]]),"")</f>
        <v/>
      </c>
      <c r="AN120" s="30"/>
      <c r="AO120" s="44">
        <f>IF(AND(MIP_4[Exc]=0,MIP_4[Previsto / Realizado]="Realizado"),MIP_4[Sem],0)</f>
        <v>0</v>
      </c>
      <c r="AP120" s="29">
        <f>IF(AND(MIP_4[Exc]=0,MIP_4[Previsto / Realizado]="Realizado",ISBLANK(MIP_4[[#This Row],[S.B Sitrack]])=FALSE,ISBLANK(MIP_4[[#This Row],[C.B Sitrack]])=FALSE),MIP_4[Sem],0)</f>
        <v>0</v>
      </c>
    </row>
    <row r="121" spans="1:42" ht="15.75" x14ac:dyDescent="0.25">
      <c r="A121" s="44">
        <f>WEEKNUM(MIP_4[[#This Row],[Data]])</f>
        <v>24</v>
      </c>
      <c r="B121" s="45">
        <v>42897</v>
      </c>
      <c r="C121" s="45"/>
      <c r="D121" s="35" t="s">
        <v>19</v>
      </c>
      <c r="E121" s="35" t="s">
        <v>2</v>
      </c>
      <c r="F121" s="35"/>
      <c r="G121" s="44">
        <v>2</v>
      </c>
      <c r="H121" s="44">
        <v>0</v>
      </c>
      <c r="I121" s="44">
        <v>1</v>
      </c>
      <c r="J121" s="44">
        <v>2</v>
      </c>
      <c r="K121" s="44">
        <v>4</v>
      </c>
      <c r="L121" s="43">
        <v>0.65208333333333335</v>
      </c>
      <c r="M121" s="43">
        <v>0.66666666666666663</v>
      </c>
      <c r="N121" s="43">
        <f>1+27/24/60</f>
        <v>1.01875</v>
      </c>
      <c r="O121" s="43">
        <f>1+64/24/60</f>
        <v>1.0444444444444445</v>
      </c>
      <c r="P121" s="39"/>
      <c r="Q121" s="42" t="s">
        <v>423</v>
      </c>
      <c r="R121" s="44">
        <f>MIP_4[[#This Row],[PT-1]]+MIP_4[[#This Row],[PT-2]]*2+MIP_4[[#This Row],[PT-3]]*3+MIP_4[[#This Row],[PT &gt; 3 Pontos]]</f>
        <v>12</v>
      </c>
      <c r="S12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4.0277777777777746E-2</v>
      </c>
      <c r="T12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4.0277777777777746E-2</v>
      </c>
      <c r="U121" s="41">
        <f ca="1">MIP_4[[#This Row],[Eficiência]]</f>
        <v>0.80692886374361927</v>
      </c>
      <c r="V12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21" s="39">
        <f>IF(MIP_4[[#This Row],[P.S]]-MIP_4[[#This Row],[P.E]]&lt;0,1+MIP_4[[#This Row],[P.S]]-MIP_4[[#This Row],[P.E]]-1/24,MIP_4[[#This Row],[P.S]]-MIP_4[[#This Row],[P.E]]-1/24)</f>
        <v>0.35069444444444448</v>
      </c>
      <c r="X121" s="39">
        <f ca="1">MIP_4[[#This Row],[PT-1]]*$S$3+MIP_4[[#This Row],[PT-2]]*$T$3+MIP_4[[#This Row],[PT-3]]*$U$3+MIP_4[[#This Row],[PT &gt; 3 Pontos]]*$V$3</f>
        <v>0.25048416812041518</v>
      </c>
      <c r="Y121" s="39">
        <f>MIP_4[[#This Row],[HH disponível]]-MIP_4[[#This Row],[HH AC TOT]]</f>
        <v>0.31041666666666673</v>
      </c>
      <c r="Z121" s="38">
        <f ca="1">MIP_4[[#This Row],[HH Produtivo
Total]]/MIP_4[[#This Row],[HH Trabalhado]]</f>
        <v>0.80692886374361927</v>
      </c>
      <c r="AA121" s="38">
        <f ca="1">MIP_4[[#This Row],[HH Produtivo
Total]]/MIP_4[[#This Row],[HH disponível]]</f>
        <v>0.71425188533346107</v>
      </c>
      <c r="AB121" s="38">
        <f>MIP_4[[#This Row],[HH Trabalhado]]/MIP_4[[#This Row],[HH disponível]]</f>
        <v>0.88514851485148527</v>
      </c>
      <c r="AC121" s="37" t="str">
        <f>LEFT(MIP_4[[#This Row],[Equipe]], SEARCH("/",MIP_4[[#This Row],[Equipe]],1)-1)</f>
        <v xml:space="preserve">ADEMÁRIO </v>
      </c>
      <c r="AD121" s="37" t="str">
        <f>RIGHT(MIP_4[[#This Row],[Equipe]], LEN(MIP_4[[#This Row],[Equipe]])-SEARCH("/",MIP_4[[#This Row],[Equipe]],1))</f>
        <v xml:space="preserve"> RONALDO</v>
      </c>
      <c r="AE121" s="44">
        <f>COUNTIFS('[1]Tempo parado'!G:G,"&gt;="&amp;MIP_4[[#This Row],[S.B Sitrack]],'[1]Tempo parado'!H:H,"&lt;="&amp;MIP_4[[#This Row],[C.B Sitrack]],'[1]Tempo parado'!A:A,MIP_4[[#This Row],[Placa]])</f>
        <v>0</v>
      </c>
      <c r="AF121" s="36"/>
      <c r="AG121" s="35"/>
      <c r="AH121" s="34"/>
      <c r="AI121" s="34"/>
      <c r="AJ12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2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2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21" s="32" t="str">
        <f>IFERROR(MIP_4[[#This Row],[Tempo parado]]/(MIP_4[[#This Row],[C.B Sitrack]]-MIP_4[[#This Row],[S.B Sitrack]]),"")</f>
        <v/>
      </c>
      <c r="AN121" s="30"/>
      <c r="AO121" s="44">
        <f>IF(AND(MIP_4[Exc]=0,MIP_4[Previsto / Realizado]="Realizado"),MIP_4[Sem],0)</f>
        <v>24</v>
      </c>
      <c r="AP121" s="29">
        <f>IF(AND(MIP_4[Exc]=0,MIP_4[Previsto / Realizado]="Realizado",ISBLANK(MIP_4[[#This Row],[S.B Sitrack]])=FALSE,ISBLANK(MIP_4[[#This Row],[C.B Sitrack]])=FALSE),MIP_4[Sem],0)</f>
        <v>0</v>
      </c>
    </row>
    <row r="122" spans="1:42" ht="15.75" x14ac:dyDescent="0.25">
      <c r="A122" s="44">
        <f>WEEKNUM(MIP_4[[#This Row],[Data]])</f>
        <v>24</v>
      </c>
      <c r="B122" s="45">
        <v>42898</v>
      </c>
      <c r="C122" s="45"/>
      <c r="D122" s="35" t="s">
        <v>3</v>
      </c>
      <c r="E122" s="35" t="s">
        <v>5</v>
      </c>
      <c r="F122" s="35"/>
      <c r="G122" s="44">
        <v>2</v>
      </c>
      <c r="H122" s="44">
        <v>4</v>
      </c>
      <c r="I122" s="44">
        <v>2</v>
      </c>
      <c r="J122" s="44">
        <v>2</v>
      </c>
      <c r="K122" s="44">
        <v>4</v>
      </c>
      <c r="L122" s="43">
        <v>0.625</v>
      </c>
      <c r="M122" s="43">
        <v>0.64583333333333337</v>
      </c>
      <c r="N122" s="43">
        <f>1+18/24/60</f>
        <v>1.0125</v>
      </c>
      <c r="O122" s="43">
        <f>1+48/24/60</f>
        <v>1.0333333333333334</v>
      </c>
      <c r="P122" s="39"/>
      <c r="Q122" s="42"/>
      <c r="R122" s="44">
        <f>MIP_4[[#This Row],[PT-1]]+MIP_4[[#This Row],[PT-2]]*2+MIP_4[[#This Row],[PT-3]]*3+MIP_4[[#This Row],[PT &gt; 3 Pontos]]</f>
        <v>18</v>
      </c>
      <c r="S12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12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122" s="41">
        <f ca="1">MIP_4[[#This Row],[Eficiência]]</f>
        <v>1.2138349109514572</v>
      </c>
      <c r="V12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22" s="39">
        <f>IF(MIP_4[[#This Row],[P.S]]-MIP_4[[#This Row],[P.E]]&lt;0,1+MIP_4[[#This Row],[P.S]]-MIP_4[[#This Row],[P.E]]-1/24,MIP_4[[#This Row],[P.S]]-MIP_4[[#This Row],[P.E]]-1/24)</f>
        <v>0.36666666666666675</v>
      </c>
      <c r="X122" s="39">
        <f ca="1">MIP_4[[#This Row],[PT-1]]*$S$3+MIP_4[[#This Row],[PT-2]]*$T$3+MIP_4[[#This Row],[PT-3]]*$U$3+MIP_4[[#This Row],[PT &gt; 3 Pontos]]*$V$3</f>
        <v>0.39449634605922346</v>
      </c>
      <c r="Y122" s="39">
        <f>MIP_4[[#This Row],[HH disponível]]-MIP_4[[#This Row],[HH AC TOT]]</f>
        <v>0.3249999999999999</v>
      </c>
      <c r="Z122" s="38">
        <f ca="1">MIP_4[[#This Row],[HH Produtivo
Total]]/MIP_4[[#This Row],[HH Trabalhado]]</f>
        <v>1.2138349109514572</v>
      </c>
      <c r="AA122" s="38">
        <f ca="1">MIP_4[[#This Row],[HH Produtivo
Total]]/MIP_4[[#This Row],[HH disponível]]</f>
        <v>1.0758991256160637</v>
      </c>
      <c r="AB122" s="38">
        <f>MIP_4[[#This Row],[HH Trabalhado]]/MIP_4[[#This Row],[HH disponível]]</f>
        <v>0.88636363636363591</v>
      </c>
      <c r="AC122" s="37" t="str">
        <f>LEFT(MIP_4[[#This Row],[Equipe]], SEARCH("/",MIP_4[[#This Row],[Equipe]],1)-1)</f>
        <v xml:space="preserve">EDILTON </v>
      </c>
      <c r="AD122" s="37" t="str">
        <f>RIGHT(MIP_4[[#This Row],[Equipe]], LEN(MIP_4[[#This Row],[Equipe]])-SEARCH("/",MIP_4[[#This Row],[Equipe]],1))</f>
        <v xml:space="preserve"> GECIVALDO</v>
      </c>
      <c r="AE122" s="44">
        <f>COUNTIFS('[1]Tempo parado'!G:G,"&gt;="&amp;MIP_4[[#This Row],[S.B Sitrack]],'[1]Tempo parado'!H:H,"&lt;="&amp;MIP_4[[#This Row],[C.B Sitrack]],'[1]Tempo parado'!A:A,MIP_4[[#This Row],[Placa]])</f>
        <v>0</v>
      </c>
      <c r="AF122" s="36"/>
      <c r="AG122" s="35"/>
      <c r="AH122" s="34"/>
      <c r="AI122" s="34"/>
      <c r="AJ12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2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2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22" s="32" t="str">
        <f>IFERROR(MIP_4[[#This Row],[Tempo parado]]/(MIP_4[[#This Row],[C.B Sitrack]]-MIP_4[[#This Row],[S.B Sitrack]]),"")</f>
        <v/>
      </c>
      <c r="AN122" s="30"/>
      <c r="AO122" s="44">
        <f>IF(AND(MIP_4[Exc]=0,MIP_4[Previsto / Realizado]="Realizado"),MIP_4[Sem],0)</f>
        <v>0</v>
      </c>
      <c r="AP122" s="29">
        <f>IF(AND(MIP_4[Exc]=0,MIP_4[Previsto / Realizado]="Realizado",ISBLANK(MIP_4[[#This Row],[S.B Sitrack]])=FALSE,ISBLANK(MIP_4[[#This Row],[C.B Sitrack]])=FALSE),MIP_4[Sem],0)</f>
        <v>0</v>
      </c>
    </row>
    <row r="123" spans="1:42" ht="15.75" x14ac:dyDescent="0.25">
      <c r="A123" s="44">
        <f>WEEKNUM(MIP_4[[#This Row],[Data]])</f>
        <v>24</v>
      </c>
      <c r="B123" s="45">
        <v>42898</v>
      </c>
      <c r="C123" s="45"/>
      <c r="D123" s="35" t="s">
        <v>3</v>
      </c>
      <c r="E123" s="35" t="s">
        <v>2</v>
      </c>
      <c r="F123" s="35"/>
      <c r="G123" s="44">
        <v>2</v>
      </c>
      <c r="H123" s="44">
        <v>4</v>
      </c>
      <c r="I123" s="44">
        <v>1</v>
      </c>
      <c r="J123" s="44">
        <v>2</v>
      </c>
      <c r="K123" s="44">
        <v>0</v>
      </c>
      <c r="L123" s="43">
        <v>0.61944444444444446</v>
      </c>
      <c r="M123" s="43">
        <v>0.65972222222222221</v>
      </c>
      <c r="N123" s="43">
        <f>1+23/24/60</f>
        <v>1.0159722222222223</v>
      </c>
      <c r="O123" s="43">
        <f>1+48/24/60</f>
        <v>1.0333333333333334</v>
      </c>
      <c r="P123" s="39"/>
      <c r="Q123" s="42" t="s">
        <v>422</v>
      </c>
      <c r="R123" s="44">
        <f>MIP_4[[#This Row],[PT-1]]+MIP_4[[#This Row],[PT-2]]*2+MIP_4[[#This Row],[PT-3]]*3+MIP_4[[#This Row],[PT &gt; 3 Pontos]]</f>
        <v>12</v>
      </c>
      <c r="S12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5.7638888888888906E-2</v>
      </c>
      <c r="T12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5.7638888888888906E-2</v>
      </c>
      <c r="U123" s="41">
        <f ca="1">MIP_4[[#This Row],[Eficiência]]</f>
        <v>0.85699243369485201</v>
      </c>
      <c r="V12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23" s="39">
        <f>IF(MIP_4[[#This Row],[P.S]]-MIP_4[[#This Row],[P.E]]&lt;0,1+MIP_4[[#This Row],[P.S]]-MIP_4[[#This Row],[P.E]]-1/24,MIP_4[[#This Row],[P.S]]-MIP_4[[#This Row],[P.E]]-1/24)</f>
        <v>0.37222222222222229</v>
      </c>
      <c r="X123" s="39">
        <f ca="1">MIP_4[[#This Row],[PT-1]]*$S$3+MIP_4[[#This Row],[PT-2]]*$T$3+MIP_4[[#This Row],[PT-3]]*$U$3+MIP_4[[#This Row],[PT &gt; 3 Pontos]]*$V$3</f>
        <v>0.26959553643317224</v>
      </c>
      <c r="Y123" s="39">
        <f>MIP_4[[#This Row],[HH disponível]]-MIP_4[[#This Row],[HH AC TOT]]</f>
        <v>0.31458333333333338</v>
      </c>
      <c r="Z123" s="38">
        <f ca="1">MIP_4[[#This Row],[HH Produtivo
Total]]/MIP_4[[#This Row],[HH Trabalhado]]</f>
        <v>0.85699243369485201</v>
      </c>
      <c r="AA123" s="38">
        <f ca="1">MIP_4[[#This Row],[HH Produtivo
Total]]/MIP_4[[#This Row],[HH disponível]]</f>
        <v>0.72428651579061187</v>
      </c>
      <c r="AB123" s="38">
        <f>MIP_4[[#This Row],[HH Trabalhado]]/MIP_4[[#This Row],[HH disponível]]</f>
        <v>0.84514925373134331</v>
      </c>
      <c r="AC123" s="37" t="str">
        <f>LEFT(MIP_4[[#This Row],[Equipe]], SEARCH("/",MIP_4[[#This Row],[Equipe]],1)-1)</f>
        <v xml:space="preserve">EDILTON </v>
      </c>
      <c r="AD123" s="37" t="str">
        <f>RIGHT(MIP_4[[#This Row],[Equipe]], LEN(MIP_4[[#This Row],[Equipe]])-SEARCH("/",MIP_4[[#This Row],[Equipe]],1))</f>
        <v xml:space="preserve"> GECIVALDO</v>
      </c>
      <c r="AE123" s="44">
        <f>COUNTIFS('[1]Tempo parado'!G:G,"&gt;="&amp;MIP_4[[#This Row],[S.B Sitrack]],'[1]Tempo parado'!H:H,"&lt;="&amp;MIP_4[[#This Row],[C.B Sitrack]],'[1]Tempo parado'!A:A,MIP_4[[#This Row],[Placa]])</f>
        <v>0</v>
      </c>
      <c r="AF123" s="36"/>
      <c r="AG123" s="35"/>
      <c r="AH123" s="34"/>
      <c r="AI123" s="34"/>
      <c r="AJ12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2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2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23" s="32" t="str">
        <f>IFERROR(MIP_4[[#This Row],[Tempo parado]]/(MIP_4[[#This Row],[C.B Sitrack]]-MIP_4[[#This Row],[S.B Sitrack]]),"")</f>
        <v/>
      </c>
      <c r="AN123" s="30"/>
      <c r="AO123" s="44">
        <f>IF(AND(MIP_4[Exc]=0,MIP_4[Previsto / Realizado]="Realizado"),MIP_4[Sem],0)</f>
        <v>24</v>
      </c>
      <c r="AP123" s="29">
        <f>IF(AND(MIP_4[Exc]=0,MIP_4[Previsto / Realizado]="Realizado",ISBLANK(MIP_4[[#This Row],[S.B Sitrack]])=FALSE,ISBLANK(MIP_4[[#This Row],[C.B Sitrack]])=FALSE),MIP_4[Sem],0)</f>
        <v>0</v>
      </c>
    </row>
    <row r="124" spans="1:42" ht="15.75" x14ac:dyDescent="0.25">
      <c r="A124" s="44">
        <f>WEEKNUM(MIP_4[[#This Row],[Data]])</f>
        <v>24</v>
      </c>
      <c r="B124" s="45">
        <v>42898</v>
      </c>
      <c r="C124" s="45"/>
      <c r="D124" s="35" t="s">
        <v>7</v>
      </c>
      <c r="E124" s="35" t="s">
        <v>5</v>
      </c>
      <c r="F124" s="35"/>
      <c r="G124" s="44">
        <v>2</v>
      </c>
      <c r="H124" s="44">
        <v>1</v>
      </c>
      <c r="I124" s="44">
        <v>1</v>
      </c>
      <c r="J124" s="44">
        <v>1</v>
      </c>
      <c r="K124" s="44">
        <v>10</v>
      </c>
      <c r="L124" s="43">
        <v>0.625</v>
      </c>
      <c r="M124" s="43">
        <v>0.64583333333333337</v>
      </c>
      <c r="N124" s="43">
        <f>1+18/24/60</f>
        <v>1.0125</v>
      </c>
      <c r="O124" s="43">
        <f>1+48/24/60</f>
        <v>1.0333333333333334</v>
      </c>
      <c r="P124" s="39"/>
      <c r="Q124" s="42"/>
      <c r="R124" s="44">
        <f>MIP_4[[#This Row],[PT-1]]+MIP_4[[#This Row],[PT-2]]*2+MIP_4[[#This Row],[PT-3]]*3+MIP_4[[#This Row],[PT &gt; 3 Pontos]]</f>
        <v>16</v>
      </c>
      <c r="S12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12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124" s="41">
        <f ca="1">MIP_4[[#This Row],[Eficiência]]</f>
        <v>1.0283274065127936</v>
      </c>
      <c r="V12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24" s="39">
        <f>IF(MIP_4[[#This Row],[P.S]]-MIP_4[[#This Row],[P.E]]&lt;0,1+MIP_4[[#This Row],[P.S]]-MIP_4[[#This Row],[P.E]]-1/24,MIP_4[[#This Row],[P.S]]-MIP_4[[#This Row],[P.E]]-1/24)</f>
        <v>0.36666666666666675</v>
      </c>
      <c r="X124" s="39">
        <f ca="1">MIP_4[[#This Row],[PT-1]]*$S$3+MIP_4[[#This Row],[PT-2]]*$T$3+MIP_4[[#This Row],[PT-3]]*$U$3+MIP_4[[#This Row],[PT &gt; 3 Pontos]]*$V$3</f>
        <v>0.33420640711665783</v>
      </c>
      <c r="Y124" s="39">
        <f>MIP_4[[#This Row],[HH disponível]]-MIP_4[[#This Row],[HH AC TOT]]</f>
        <v>0.3249999999999999</v>
      </c>
      <c r="Z124" s="38">
        <f ca="1">MIP_4[[#This Row],[HH Produtivo
Total]]/MIP_4[[#This Row],[HH Trabalhado]]</f>
        <v>1.0283274065127936</v>
      </c>
      <c r="AA124" s="38">
        <f ca="1">MIP_4[[#This Row],[HH Produtivo
Total]]/MIP_4[[#This Row],[HH disponível]]</f>
        <v>0.91147201940906664</v>
      </c>
      <c r="AB124" s="38">
        <f>MIP_4[[#This Row],[HH Trabalhado]]/MIP_4[[#This Row],[HH disponível]]</f>
        <v>0.88636363636363591</v>
      </c>
      <c r="AC124" s="37" t="str">
        <f>LEFT(MIP_4[[#This Row],[Equipe]], SEARCH("/",MIP_4[[#This Row],[Equipe]],1)-1)</f>
        <v xml:space="preserve">ANDERSON </v>
      </c>
      <c r="AD124" s="37" t="str">
        <f>RIGHT(MIP_4[[#This Row],[Equipe]], LEN(MIP_4[[#This Row],[Equipe]])-SEARCH("/",MIP_4[[#This Row],[Equipe]],1))</f>
        <v xml:space="preserve"> MARCO</v>
      </c>
      <c r="AE124" s="44">
        <f>COUNTIFS('[1]Tempo parado'!G:G,"&gt;="&amp;MIP_4[[#This Row],[S.B Sitrack]],'[1]Tempo parado'!H:H,"&lt;="&amp;MIP_4[[#This Row],[C.B Sitrack]],'[1]Tempo parado'!A:A,MIP_4[[#This Row],[Placa]])</f>
        <v>0</v>
      </c>
      <c r="AF124" s="36"/>
      <c r="AG124" s="35"/>
      <c r="AH124" s="34"/>
      <c r="AI124" s="34"/>
      <c r="AJ12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2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2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24" s="32" t="str">
        <f>IFERROR(MIP_4[[#This Row],[Tempo parado]]/(MIP_4[[#This Row],[C.B Sitrack]]-MIP_4[[#This Row],[S.B Sitrack]]),"")</f>
        <v/>
      </c>
      <c r="AN124" s="30"/>
      <c r="AO124" s="44">
        <f>IF(AND(MIP_4[Exc]=0,MIP_4[Previsto / Realizado]="Realizado"),MIP_4[Sem],0)</f>
        <v>0</v>
      </c>
      <c r="AP124" s="29">
        <f>IF(AND(MIP_4[Exc]=0,MIP_4[Previsto / Realizado]="Realizado",ISBLANK(MIP_4[[#This Row],[S.B Sitrack]])=FALSE,ISBLANK(MIP_4[[#This Row],[C.B Sitrack]])=FALSE),MIP_4[Sem],0)</f>
        <v>0</v>
      </c>
    </row>
    <row r="125" spans="1:42" ht="15.75" x14ac:dyDescent="0.25">
      <c r="A125" s="44">
        <f>WEEKNUM(MIP_4[[#This Row],[Data]])</f>
        <v>24</v>
      </c>
      <c r="B125" s="45">
        <v>42898</v>
      </c>
      <c r="C125" s="45"/>
      <c r="D125" s="35" t="s">
        <v>7</v>
      </c>
      <c r="E125" s="35" t="s">
        <v>2</v>
      </c>
      <c r="F125" s="35"/>
      <c r="G125" s="44">
        <v>2</v>
      </c>
      <c r="H125" s="44">
        <v>3</v>
      </c>
      <c r="I125" s="44">
        <v>1</v>
      </c>
      <c r="J125" s="44">
        <v>1</v>
      </c>
      <c r="K125" s="44">
        <v>4</v>
      </c>
      <c r="L125" s="43">
        <v>0.64861111111111114</v>
      </c>
      <c r="M125" s="43">
        <v>0.66666666666666663</v>
      </c>
      <c r="N125" s="43">
        <f>1+28/24/60</f>
        <v>1.0194444444444444</v>
      </c>
      <c r="O125" s="43">
        <f>1+48/24/60</f>
        <v>1.0333333333333334</v>
      </c>
      <c r="P125" s="39"/>
      <c r="Q125" s="42" t="s">
        <v>421</v>
      </c>
      <c r="R125" s="44">
        <f>MIP_4[[#This Row],[PT-1]]+MIP_4[[#This Row],[PT-2]]*2+MIP_4[[#This Row],[PT-3]]*3+MIP_4[[#This Row],[PT &gt; 3 Pontos]]</f>
        <v>12</v>
      </c>
      <c r="S12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3.1944444444444553E-2</v>
      </c>
      <c r="T12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3.1944444444444553E-2</v>
      </c>
      <c r="U125" s="41">
        <f ca="1">MIP_4[[#This Row],[Eficiência]]</f>
        <v>0.84461801062514397</v>
      </c>
      <c r="V12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25" s="39">
        <f>IF(MIP_4[[#This Row],[P.S]]-MIP_4[[#This Row],[P.E]]&lt;0,1+MIP_4[[#This Row],[P.S]]-MIP_4[[#This Row],[P.E]]-1/24,MIP_4[[#This Row],[P.S]]-MIP_4[[#This Row],[P.E]]-1/24)</f>
        <v>0.34305555555555561</v>
      </c>
      <c r="X125" s="39">
        <f ca="1">MIP_4[[#This Row],[PT-1]]*$S$3+MIP_4[[#This Row],[PT-2]]*$T$3+MIP_4[[#This Row],[PT-3]]*$U$3+MIP_4[[#This Row],[PT &gt; 3 Pontos]]*$V$3</f>
        <v>0.26277004775004476</v>
      </c>
      <c r="Y125" s="39">
        <f>MIP_4[[#This Row],[HH disponível]]-MIP_4[[#This Row],[HH AC TOT]]</f>
        <v>0.31111111111111106</v>
      </c>
      <c r="Z125" s="38">
        <f ca="1">MIP_4[[#This Row],[HH Produtivo
Total]]/MIP_4[[#This Row],[HH Trabalhado]]</f>
        <v>0.84461801062514397</v>
      </c>
      <c r="AA125" s="38">
        <f ca="1">MIP_4[[#This Row],[HH Produtivo
Total]]/MIP_4[[#This Row],[HH disponível]]</f>
        <v>0.76596936995964449</v>
      </c>
      <c r="AB125" s="38">
        <f>MIP_4[[#This Row],[HH Trabalhado]]/MIP_4[[#This Row],[HH disponível]]</f>
        <v>0.90688259109311709</v>
      </c>
      <c r="AC125" s="37" t="str">
        <f>LEFT(MIP_4[[#This Row],[Equipe]], SEARCH("/",MIP_4[[#This Row],[Equipe]],1)-1)</f>
        <v xml:space="preserve">ANDERSON </v>
      </c>
      <c r="AD125" s="37" t="str">
        <f>RIGHT(MIP_4[[#This Row],[Equipe]], LEN(MIP_4[[#This Row],[Equipe]])-SEARCH("/",MIP_4[[#This Row],[Equipe]],1))</f>
        <v xml:space="preserve"> MARCO</v>
      </c>
      <c r="AE125" s="44">
        <f>COUNTIFS('[1]Tempo parado'!G:G,"&gt;="&amp;MIP_4[[#This Row],[S.B Sitrack]],'[1]Tempo parado'!H:H,"&lt;="&amp;MIP_4[[#This Row],[C.B Sitrack]],'[1]Tempo parado'!A:A,MIP_4[[#This Row],[Placa]])</f>
        <v>0</v>
      </c>
      <c r="AF125" s="36"/>
      <c r="AG125" s="35"/>
      <c r="AH125" s="34"/>
      <c r="AI125" s="34"/>
      <c r="AJ12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2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2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25" s="32" t="str">
        <f>IFERROR(MIP_4[[#This Row],[Tempo parado]]/(MIP_4[[#This Row],[C.B Sitrack]]-MIP_4[[#This Row],[S.B Sitrack]]),"")</f>
        <v/>
      </c>
      <c r="AN125" s="30"/>
      <c r="AO125" s="44">
        <f>IF(AND(MIP_4[Exc]=0,MIP_4[Previsto / Realizado]="Realizado"),MIP_4[Sem],0)</f>
        <v>24</v>
      </c>
      <c r="AP125" s="29">
        <f>IF(AND(MIP_4[Exc]=0,MIP_4[Previsto / Realizado]="Realizado",ISBLANK(MIP_4[[#This Row],[S.B Sitrack]])=FALSE,ISBLANK(MIP_4[[#This Row],[C.B Sitrack]])=FALSE),MIP_4[Sem],0)</f>
        <v>0</v>
      </c>
    </row>
    <row r="126" spans="1:42" ht="15.75" x14ac:dyDescent="0.25">
      <c r="A126" s="44">
        <f>WEEKNUM(MIP_4[[#This Row],[Data]])</f>
        <v>24</v>
      </c>
      <c r="B126" s="45">
        <v>42899</v>
      </c>
      <c r="C126" s="45"/>
      <c r="D126" s="35" t="s">
        <v>7</v>
      </c>
      <c r="E126" s="35" t="s">
        <v>5</v>
      </c>
      <c r="F126" s="35"/>
      <c r="G126" s="44">
        <v>2</v>
      </c>
      <c r="H126" s="44">
        <v>2</v>
      </c>
      <c r="I126" s="44">
        <v>0</v>
      </c>
      <c r="J126" s="44">
        <v>0</v>
      </c>
      <c r="K126" s="44">
        <v>10</v>
      </c>
      <c r="L126" s="43">
        <v>0.625</v>
      </c>
      <c r="M126" s="43">
        <v>0.64583333333333337</v>
      </c>
      <c r="N126" s="43">
        <f>1+18/24/60</f>
        <v>1.0125</v>
      </c>
      <c r="O126" s="43">
        <f>1+48/24/60</f>
        <v>1.0333333333333334</v>
      </c>
      <c r="P126" s="39"/>
      <c r="Q126" s="42" t="s">
        <v>420</v>
      </c>
      <c r="R126" s="44">
        <f>MIP_4[[#This Row],[PT-1]]+MIP_4[[#This Row],[PT-2]]*2+MIP_4[[#This Row],[PT-3]]*3+MIP_4[[#This Row],[PT &gt; 3 Pontos]]</f>
        <v>12</v>
      </c>
      <c r="S12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12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126" s="41">
        <f ca="1">MIP_4[[#This Row],[Eficiência]]</f>
        <v>0.77702096838570323</v>
      </c>
      <c r="V12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26" s="39">
        <f>IF(MIP_4[[#This Row],[P.S]]-MIP_4[[#This Row],[P.E]]&lt;0,1+MIP_4[[#This Row],[P.S]]-MIP_4[[#This Row],[P.E]]-1/24,MIP_4[[#This Row],[P.S]]-MIP_4[[#This Row],[P.E]]-1/24)</f>
        <v>0.36666666666666675</v>
      </c>
      <c r="X126" s="39">
        <f ca="1">MIP_4[[#This Row],[PT-1]]*$S$3+MIP_4[[#This Row],[PT-2]]*$T$3+MIP_4[[#This Row],[PT-3]]*$U$3+MIP_4[[#This Row],[PT &gt; 3 Pontos]]*$V$3</f>
        <v>0.25253181472535347</v>
      </c>
      <c r="Y126" s="39">
        <f>MIP_4[[#This Row],[HH disponível]]-MIP_4[[#This Row],[HH AC TOT]]</f>
        <v>0.3249999999999999</v>
      </c>
      <c r="Z126" s="38">
        <f ca="1">MIP_4[[#This Row],[HH Produtivo
Total]]/MIP_4[[#This Row],[HH Trabalhado]]</f>
        <v>0.77702096838570323</v>
      </c>
      <c r="AA126" s="38">
        <f ca="1">MIP_4[[#This Row],[HH Produtivo
Total]]/MIP_4[[#This Row],[HH disponível]]</f>
        <v>0.68872313106914562</v>
      </c>
      <c r="AB126" s="38">
        <f>MIP_4[[#This Row],[HH Trabalhado]]/MIP_4[[#This Row],[HH disponível]]</f>
        <v>0.88636363636363591</v>
      </c>
      <c r="AC126" s="37" t="str">
        <f>LEFT(MIP_4[[#This Row],[Equipe]], SEARCH("/",MIP_4[[#This Row],[Equipe]],1)-1)</f>
        <v xml:space="preserve">ANDERSON </v>
      </c>
      <c r="AD126" s="37" t="str">
        <f>RIGHT(MIP_4[[#This Row],[Equipe]], LEN(MIP_4[[#This Row],[Equipe]])-SEARCH("/",MIP_4[[#This Row],[Equipe]],1))</f>
        <v xml:space="preserve"> MARCO</v>
      </c>
      <c r="AE126" s="44">
        <f>COUNTIFS('[1]Tempo parado'!G:G,"&gt;="&amp;MIP_4[[#This Row],[S.B Sitrack]],'[1]Tempo parado'!H:H,"&lt;="&amp;MIP_4[[#This Row],[C.B Sitrack]],'[1]Tempo parado'!A:A,MIP_4[[#This Row],[Placa]])</f>
        <v>0</v>
      </c>
      <c r="AF126" s="36"/>
      <c r="AG126" s="35"/>
      <c r="AH126" s="34"/>
      <c r="AI126" s="34"/>
      <c r="AJ12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2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2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26" s="32" t="str">
        <f>IFERROR(MIP_4[[#This Row],[Tempo parado]]/(MIP_4[[#This Row],[C.B Sitrack]]-MIP_4[[#This Row],[S.B Sitrack]]),"")</f>
        <v/>
      </c>
      <c r="AN126" s="30"/>
      <c r="AO126" s="44">
        <f>IF(AND(MIP_4[Exc]=0,MIP_4[Previsto / Realizado]="Realizado"),MIP_4[Sem],0)</f>
        <v>0</v>
      </c>
      <c r="AP126" s="29">
        <f>IF(AND(MIP_4[Exc]=0,MIP_4[Previsto / Realizado]="Realizado",ISBLANK(MIP_4[[#This Row],[S.B Sitrack]])=FALSE,ISBLANK(MIP_4[[#This Row],[C.B Sitrack]])=FALSE),MIP_4[Sem],0)</f>
        <v>0</v>
      </c>
    </row>
    <row r="127" spans="1:42" ht="15.75" x14ac:dyDescent="0.25">
      <c r="A127" s="44">
        <f>WEEKNUM(MIP_4[[#This Row],[Data]])</f>
        <v>24</v>
      </c>
      <c r="B127" s="45">
        <v>42899</v>
      </c>
      <c r="C127" s="45"/>
      <c r="D127" s="35" t="s">
        <v>7</v>
      </c>
      <c r="E127" s="35" t="s">
        <v>2</v>
      </c>
      <c r="F127" s="35"/>
      <c r="G127" s="44">
        <v>2</v>
      </c>
      <c r="H127" s="44">
        <v>1</v>
      </c>
      <c r="I127" s="44">
        <v>0</v>
      </c>
      <c r="J127" s="44">
        <v>0</v>
      </c>
      <c r="K127" s="44">
        <v>11</v>
      </c>
      <c r="L127" s="43">
        <v>0.62708333333333333</v>
      </c>
      <c r="M127" s="43">
        <v>0.67291666666666661</v>
      </c>
      <c r="N127" s="43">
        <f>1+35/24/60</f>
        <v>1.0243055555555556</v>
      </c>
      <c r="O127" s="43">
        <f>1+48/24/60</f>
        <v>1.0333333333333334</v>
      </c>
      <c r="P127" s="39"/>
      <c r="Q127" s="42"/>
      <c r="R127" s="44">
        <f>MIP_4[[#This Row],[PT-1]]+MIP_4[[#This Row],[PT-2]]*2+MIP_4[[#This Row],[PT-3]]*3+MIP_4[[#This Row],[PT &gt; 3 Pontos]]</f>
        <v>12</v>
      </c>
      <c r="S12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5.4861111111111138E-2</v>
      </c>
      <c r="T12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5.4861111111111138E-2</v>
      </c>
      <c r="U127" s="41">
        <f ca="1">MIP_4[[#This Row],[Eficiência]]</f>
        <v>0.79992314038546275</v>
      </c>
      <c r="V12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27" s="39">
        <f>IF(MIP_4[[#This Row],[P.S]]-MIP_4[[#This Row],[P.E]]&lt;0,1+MIP_4[[#This Row],[P.S]]-MIP_4[[#This Row],[P.E]]-1/24,MIP_4[[#This Row],[P.S]]-MIP_4[[#This Row],[P.E]]-1/24)</f>
        <v>0.36458333333333343</v>
      </c>
      <c r="X127" s="39">
        <f ca="1">MIP_4[[#This Row],[PT-1]]*$S$3+MIP_4[[#This Row],[PT-2]]*$T$3+MIP_4[[#This Row],[PT-3]]*$U$3+MIP_4[[#This Row],[PT &gt; 3 Pontos]]*$V$3</f>
        <v>0.2477539726471642</v>
      </c>
      <c r="Y127" s="39">
        <f>MIP_4[[#This Row],[HH disponível]]-MIP_4[[#This Row],[HH AC TOT]]</f>
        <v>0.30972222222222229</v>
      </c>
      <c r="Z127" s="38">
        <f ca="1">MIP_4[[#This Row],[HH Produtivo
Total]]/MIP_4[[#This Row],[HH Trabalhado]]</f>
        <v>0.79992314038546275</v>
      </c>
      <c r="AA127" s="38">
        <f ca="1">MIP_4[[#This Row],[HH Produtivo
Total]]/MIP_4[[#This Row],[HH disponível]]</f>
        <v>0.67955375354650738</v>
      </c>
      <c r="AB127" s="38">
        <f>MIP_4[[#This Row],[HH Trabalhado]]/MIP_4[[#This Row],[HH disponível]]</f>
        <v>0.84952380952380946</v>
      </c>
      <c r="AC127" s="37" t="str">
        <f>LEFT(MIP_4[[#This Row],[Equipe]], SEARCH("/",MIP_4[[#This Row],[Equipe]],1)-1)</f>
        <v xml:space="preserve">ANDERSON </v>
      </c>
      <c r="AD127" s="37" t="str">
        <f>RIGHT(MIP_4[[#This Row],[Equipe]], LEN(MIP_4[[#This Row],[Equipe]])-SEARCH("/",MIP_4[[#This Row],[Equipe]],1))</f>
        <v xml:space="preserve"> MARCO</v>
      </c>
      <c r="AE127" s="44">
        <f>COUNTIFS('[1]Tempo parado'!G:G,"&gt;="&amp;MIP_4[[#This Row],[S.B Sitrack]],'[1]Tempo parado'!H:H,"&lt;="&amp;MIP_4[[#This Row],[C.B Sitrack]],'[1]Tempo parado'!A:A,MIP_4[[#This Row],[Placa]])</f>
        <v>0</v>
      </c>
      <c r="AF127" s="36"/>
      <c r="AG127" s="35"/>
      <c r="AH127" s="34"/>
      <c r="AI127" s="34"/>
      <c r="AJ12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2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2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27" s="32" t="str">
        <f>IFERROR(MIP_4[[#This Row],[Tempo parado]]/(MIP_4[[#This Row],[C.B Sitrack]]-MIP_4[[#This Row],[S.B Sitrack]]),"")</f>
        <v/>
      </c>
      <c r="AN127" s="30"/>
      <c r="AO127" s="44">
        <f>IF(AND(MIP_4[Exc]=0,MIP_4[Previsto / Realizado]="Realizado"),MIP_4[Sem],0)</f>
        <v>24</v>
      </c>
      <c r="AP127" s="29">
        <f>IF(AND(MIP_4[Exc]=0,MIP_4[Previsto / Realizado]="Realizado",ISBLANK(MIP_4[[#This Row],[S.B Sitrack]])=FALSE,ISBLANK(MIP_4[[#This Row],[C.B Sitrack]])=FALSE),MIP_4[Sem],0)</f>
        <v>0</v>
      </c>
    </row>
    <row r="128" spans="1:42" ht="15.75" x14ac:dyDescent="0.25">
      <c r="A128" s="44">
        <f>WEEKNUM(MIP_4[[#This Row],[Data]])</f>
        <v>24</v>
      </c>
      <c r="B128" s="45">
        <v>42900</v>
      </c>
      <c r="C128" s="45"/>
      <c r="D128" s="35" t="s">
        <v>7</v>
      </c>
      <c r="E128" s="35" t="s">
        <v>5</v>
      </c>
      <c r="F128" s="35"/>
      <c r="G128" s="44">
        <v>2</v>
      </c>
      <c r="H128" s="44">
        <v>5</v>
      </c>
      <c r="I128" s="44">
        <v>1</v>
      </c>
      <c r="J128" s="44">
        <v>2</v>
      </c>
      <c r="K128" s="44">
        <v>0</v>
      </c>
      <c r="L128" s="43">
        <v>0.625</v>
      </c>
      <c r="M128" s="43">
        <v>0.64583333333333337</v>
      </c>
      <c r="N128" s="43">
        <f>1+18/24/60</f>
        <v>1.0125</v>
      </c>
      <c r="O128" s="43">
        <f>1+48/24/60</f>
        <v>1.0333333333333334</v>
      </c>
      <c r="P128" s="39"/>
      <c r="Q128" s="42" t="s">
        <v>419</v>
      </c>
      <c r="R128" s="44">
        <f>MIP_4[[#This Row],[PT-1]]+MIP_4[[#This Row],[PT-2]]*2+MIP_4[[#This Row],[PT-3]]*3+MIP_4[[#This Row],[PT &gt; 3 Pontos]]</f>
        <v>13</v>
      </c>
      <c r="S12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12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128" s="41">
        <f ca="1">MIP_4[[#This Row],[Eficiência]]</f>
        <v>0.90652735197572176</v>
      </c>
      <c r="V12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28" s="39">
        <f>IF(MIP_4[[#This Row],[P.S]]-MIP_4[[#This Row],[P.E]]&lt;0,1+MIP_4[[#This Row],[P.S]]-MIP_4[[#This Row],[P.E]]-1/24,MIP_4[[#This Row],[P.S]]-MIP_4[[#This Row],[P.E]]-1/24)</f>
        <v>0.36666666666666675</v>
      </c>
      <c r="X128" s="39">
        <f ca="1">MIP_4[[#This Row],[PT-1]]*$S$3+MIP_4[[#This Row],[PT-2]]*$T$3+MIP_4[[#This Row],[PT-3]]*$U$3+MIP_4[[#This Row],[PT &gt; 3 Pontos]]*$V$3</f>
        <v>0.29462138939210947</v>
      </c>
      <c r="Y128" s="39">
        <f>MIP_4[[#This Row],[HH disponível]]-MIP_4[[#This Row],[HH AC TOT]]</f>
        <v>0.3249999999999999</v>
      </c>
      <c r="Z128" s="38">
        <f ca="1">MIP_4[[#This Row],[HH Produtivo
Total]]/MIP_4[[#This Row],[HH Trabalhado]]</f>
        <v>0.90652735197572176</v>
      </c>
      <c r="AA128" s="38">
        <f ca="1">MIP_4[[#This Row],[HH Produtivo
Total]]/MIP_4[[#This Row],[HH disponível]]</f>
        <v>0.80351288016029832</v>
      </c>
      <c r="AB128" s="38">
        <f>MIP_4[[#This Row],[HH Trabalhado]]/MIP_4[[#This Row],[HH disponível]]</f>
        <v>0.88636363636363591</v>
      </c>
      <c r="AC128" s="37" t="str">
        <f>LEFT(MIP_4[[#This Row],[Equipe]], SEARCH("/",MIP_4[[#This Row],[Equipe]],1)-1)</f>
        <v xml:space="preserve">ANDERSON </v>
      </c>
      <c r="AD128" s="37" t="str">
        <f>RIGHT(MIP_4[[#This Row],[Equipe]], LEN(MIP_4[[#This Row],[Equipe]])-SEARCH("/",MIP_4[[#This Row],[Equipe]],1))</f>
        <v xml:space="preserve"> MARCO</v>
      </c>
      <c r="AE128" s="44">
        <f>COUNTIFS('[1]Tempo parado'!G:G,"&gt;="&amp;MIP_4[[#This Row],[S.B Sitrack]],'[1]Tempo parado'!H:H,"&lt;="&amp;MIP_4[[#This Row],[C.B Sitrack]],'[1]Tempo parado'!A:A,MIP_4[[#This Row],[Placa]])</f>
        <v>0</v>
      </c>
      <c r="AF128" s="36"/>
      <c r="AG128" s="35"/>
      <c r="AH128" s="34"/>
      <c r="AI128" s="34"/>
      <c r="AJ12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2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2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28" s="32" t="str">
        <f>IFERROR(MIP_4[[#This Row],[Tempo parado]]/(MIP_4[[#This Row],[C.B Sitrack]]-MIP_4[[#This Row],[S.B Sitrack]]),"")</f>
        <v/>
      </c>
      <c r="AN128" s="30"/>
      <c r="AO128" s="44">
        <f>IF(AND(MIP_4[Exc]=0,MIP_4[Previsto / Realizado]="Realizado"),MIP_4[Sem],0)</f>
        <v>0</v>
      </c>
      <c r="AP128" s="29">
        <f>IF(AND(MIP_4[Exc]=0,MIP_4[Previsto / Realizado]="Realizado",ISBLANK(MIP_4[[#This Row],[S.B Sitrack]])=FALSE,ISBLANK(MIP_4[[#This Row],[C.B Sitrack]])=FALSE),MIP_4[Sem],0)</f>
        <v>0</v>
      </c>
    </row>
    <row r="129" spans="1:42" ht="15.75" x14ac:dyDescent="0.25">
      <c r="A129" s="44">
        <f>WEEKNUM(MIP_4[[#This Row],[Data]])</f>
        <v>24</v>
      </c>
      <c r="B129" s="45">
        <v>42900</v>
      </c>
      <c r="C129" s="45"/>
      <c r="D129" s="35" t="s">
        <v>7</v>
      </c>
      <c r="E129" s="35" t="s">
        <v>2</v>
      </c>
      <c r="F129" s="35"/>
      <c r="G129" s="44">
        <v>2</v>
      </c>
      <c r="H129" s="44">
        <v>0</v>
      </c>
      <c r="I129" s="44">
        <v>1</v>
      </c>
      <c r="J129" s="44">
        <v>1</v>
      </c>
      <c r="K129" s="44">
        <v>0</v>
      </c>
      <c r="L129" s="43">
        <v>0.63750000000000007</v>
      </c>
      <c r="M129" s="43">
        <v>0.69444444444444453</v>
      </c>
      <c r="N129" s="43">
        <f>1+35/24/60</f>
        <v>1.0243055555555556</v>
      </c>
      <c r="O129" s="43">
        <f>1+48/24/60</f>
        <v>1.0333333333333334</v>
      </c>
      <c r="P129" s="39"/>
      <c r="Q129" s="42"/>
      <c r="R129" s="44">
        <f>MIP_4[[#This Row],[PT-1]]+MIP_4[[#This Row],[PT-2]]*2+MIP_4[[#This Row],[PT-3]]*3+MIP_4[[#This Row],[PT &gt; 3 Pontos]]</f>
        <v>5</v>
      </c>
      <c r="S12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6.5972222222222321E-2</v>
      </c>
      <c r="T12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6.5972222222222321E-2</v>
      </c>
      <c r="U129" s="41">
        <f ca="1">MIP_4[[#This Row],[Eficiência]]</f>
        <v>0.37023768988999495</v>
      </c>
      <c r="V12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29" s="39">
        <f>IF(MIP_4[[#This Row],[P.S]]-MIP_4[[#This Row],[P.E]]&lt;0,1+MIP_4[[#This Row],[P.S]]-MIP_4[[#This Row],[P.E]]-1/24,MIP_4[[#This Row],[P.S]]-MIP_4[[#This Row],[P.E]]-1/24)</f>
        <v>0.35416666666666669</v>
      </c>
      <c r="X129" s="39">
        <f ca="1">MIP_4[[#This Row],[PT-1]]*$S$3+MIP_4[[#This Row],[PT-2]]*$T$3+MIP_4[[#This Row],[PT-3]]*$U$3+MIP_4[[#This Row],[PT &gt; 3 Pontos]]*$V$3</f>
        <v>0.10670044535024156</v>
      </c>
      <c r="Y129" s="39">
        <f>MIP_4[[#This Row],[HH disponível]]-MIP_4[[#This Row],[HH AC TOT]]</f>
        <v>0.28819444444444436</v>
      </c>
      <c r="Z129" s="38">
        <f ca="1">MIP_4[[#This Row],[HH Produtivo
Total]]/MIP_4[[#This Row],[HH Trabalhado]]</f>
        <v>0.37023768988999495</v>
      </c>
      <c r="AA129" s="38">
        <f ca="1">MIP_4[[#This Row],[HH Produtivo
Total]]/MIP_4[[#This Row],[HH disponível]]</f>
        <v>0.3012718456947997</v>
      </c>
      <c r="AB129" s="38">
        <f>MIP_4[[#This Row],[HH Trabalhado]]/MIP_4[[#This Row],[HH disponível]]</f>
        <v>0.8137254901960782</v>
      </c>
      <c r="AC129" s="37" t="str">
        <f>LEFT(MIP_4[[#This Row],[Equipe]], SEARCH("/",MIP_4[[#This Row],[Equipe]],1)-1)</f>
        <v xml:space="preserve">ANDERSON </v>
      </c>
      <c r="AD129" s="37" t="str">
        <f>RIGHT(MIP_4[[#This Row],[Equipe]], LEN(MIP_4[[#This Row],[Equipe]])-SEARCH("/",MIP_4[[#This Row],[Equipe]],1))</f>
        <v xml:space="preserve"> MARCO</v>
      </c>
      <c r="AE129" s="44">
        <f>COUNTIFS('[1]Tempo parado'!G:G,"&gt;="&amp;MIP_4[[#This Row],[S.B Sitrack]],'[1]Tempo parado'!H:H,"&lt;="&amp;MIP_4[[#This Row],[C.B Sitrack]],'[1]Tempo parado'!A:A,MIP_4[[#This Row],[Placa]])</f>
        <v>0</v>
      </c>
      <c r="AF129" s="36"/>
      <c r="AG129" s="35"/>
      <c r="AH129" s="34"/>
      <c r="AI129" s="34"/>
      <c r="AJ12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2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2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29" s="32" t="str">
        <f>IFERROR(MIP_4[[#This Row],[Tempo parado]]/(MIP_4[[#This Row],[C.B Sitrack]]-MIP_4[[#This Row],[S.B Sitrack]]),"")</f>
        <v/>
      </c>
      <c r="AN129" s="30"/>
      <c r="AO129" s="44">
        <f>IF(AND(MIP_4[Exc]=0,MIP_4[Previsto / Realizado]="Realizado"),MIP_4[Sem],0)</f>
        <v>24</v>
      </c>
      <c r="AP129" s="29">
        <f>IF(AND(MIP_4[Exc]=0,MIP_4[Previsto / Realizado]="Realizado",ISBLANK(MIP_4[[#This Row],[S.B Sitrack]])=FALSE,ISBLANK(MIP_4[[#This Row],[C.B Sitrack]])=FALSE),MIP_4[Sem],0)</f>
        <v>0</v>
      </c>
    </row>
    <row r="130" spans="1:42" ht="15.75" x14ac:dyDescent="0.25">
      <c r="A130" s="44">
        <f>WEEKNUM(MIP_4[[#This Row],[Data]])</f>
        <v>24</v>
      </c>
      <c r="B130" s="45">
        <v>42901</v>
      </c>
      <c r="C130" s="45"/>
      <c r="D130" s="35" t="s">
        <v>10</v>
      </c>
      <c r="E130" s="35" t="s">
        <v>5</v>
      </c>
      <c r="F130" s="35"/>
      <c r="G130" s="44">
        <v>2</v>
      </c>
      <c r="H130" s="44">
        <v>7</v>
      </c>
      <c r="I130" s="44">
        <v>3</v>
      </c>
      <c r="J130" s="44">
        <v>1</v>
      </c>
      <c r="K130" s="44">
        <v>0</v>
      </c>
      <c r="L130" s="43">
        <v>0.25</v>
      </c>
      <c r="M130" s="43">
        <v>0.27083333333333331</v>
      </c>
      <c r="N130" s="43">
        <v>0.63750000000000007</v>
      </c>
      <c r="O130" s="43">
        <v>0.65833333333333333</v>
      </c>
      <c r="P130" s="39"/>
      <c r="Q130" s="42"/>
      <c r="R130" s="44">
        <f>MIP_4[[#This Row],[PT-1]]+MIP_4[[#This Row],[PT-2]]*2+MIP_4[[#This Row],[PT-3]]*3+MIP_4[[#This Row],[PT &gt; 3 Pontos]]</f>
        <v>16</v>
      </c>
      <c r="S13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13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130" s="41">
        <f ca="1">MIP_4[[#This Row],[Eficiência]]</f>
        <v>1.1375352254428337</v>
      </c>
      <c r="V13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30" s="39">
        <f>IF(MIP_4[[#This Row],[P.S]]-MIP_4[[#This Row],[P.E]]&lt;0,1+MIP_4[[#This Row],[P.S]]-MIP_4[[#This Row],[P.E]]-1/24,MIP_4[[#This Row],[P.S]]-MIP_4[[#This Row],[P.E]]-1/24)</f>
        <v>0.36666666666666664</v>
      </c>
      <c r="X130" s="39">
        <f ca="1">MIP_4[[#This Row],[PT-1]]*$S$3+MIP_4[[#This Row],[PT-2]]*$T$3+MIP_4[[#This Row],[PT-3]]*$U$3+MIP_4[[#This Row],[PT &gt; 3 Pontos]]*$V$3</f>
        <v>0.36969894826892102</v>
      </c>
      <c r="Y130" s="39">
        <f>MIP_4[[#This Row],[HH disponível]]-MIP_4[[#This Row],[HH AC TOT]]</f>
        <v>0.32500000000000007</v>
      </c>
      <c r="Z130" s="38">
        <f ca="1">MIP_4[[#This Row],[HH Produtivo
Total]]/MIP_4[[#This Row],[HH Trabalhado]]</f>
        <v>1.1375352254428337</v>
      </c>
      <c r="AA130" s="38">
        <f ca="1">MIP_4[[#This Row],[HH Produtivo
Total]]/MIP_4[[#This Row],[HH disponível]]</f>
        <v>1.0082698589152392</v>
      </c>
      <c r="AB130" s="38">
        <f>MIP_4[[#This Row],[HH Trabalhado]]/MIP_4[[#This Row],[HH disponível]]</f>
        <v>0.88636363636363658</v>
      </c>
      <c r="AC130" s="37" t="str">
        <f>LEFT(MIP_4[[#This Row],[Equipe]], SEARCH("/",MIP_4[[#This Row],[Equipe]],1)-1)</f>
        <v xml:space="preserve">JOILSON </v>
      </c>
      <c r="AD130" s="37" t="str">
        <f>RIGHT(MIP_4[[#This Row],[Equipe]], LEN(MIP_4[[#This Row],[Equipe]])-SEARCH("/",MIP_4[[#This Row],[Equipe]],1))</f>
        <v xml:space="preserve"> VALDEI</v>
      </c>
      <c r="AE130" s="44">
        <f>COUNTIFS('[1]Tempo parado'!G:G,"&gt;="&amp;MIP_4[[#This Row],[S.B Sitrack]],'[1]Tempo parado'!H:H,"&lt;="&amp;MIP_4[[#This Row],[C.B Sitrack]],'[1]Tempo parado'!A:A,MIP_4[[#This Row],[Placa]])</f>
        <v>0</v>
      </c>
      <c r="AF130" s="36"/>
      <c r="AG130" s="35"/>
      <c r="AH130" s="34"/>
      <c r="AI130" s="34"/>
      <c r="AJ13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3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3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30" s="32" t="str">
        <f>IFERROR(MIP_4[[#This Row],[Tempo parado]]/(MIP_4[[#This Row],[C.B Sitrack]]-MIP_4[[#This Row],[S.B Sitrack]]),"")</f>
        <v/>
      </c>
      <c r="AN130" s="30"/>
      <c r="AO130" s="44">
        <f>IF(AND(MIP_4[Exc]=0,MIP_4[Previsto / Realizado]="Realizado"),MIP_4[Sem],0)</f>
        <v>0</v>
      </c>
      <c r="AP130" s="29">
        <f>IF(AND(MIP_4[Exc]=0,MIP_4[Previsto / Realizado]="Realizado",ISBLANK(MIP_4[[#This Row],[S.B Sitrack]])=FALSE,ISBLANK(MIP_4[[#This Row],[C.B Sitrack]])=FALSE),MIP_4[Sem],0)</f>
        <v>0</v>
      </c>
    </row>
    <row r="131" spans="1:42" ht="15.75" x14ac:dyDescent="0.25">
      <c r="A131" s="44">
        <f>WEEKNUM(MIP_4[[#This Row],[Data]])</f>
        <v>24</v>
      </c>
      <c r="B131" s="45">
        <v>42901</v>
      </c>
      <c r="C131" s="45"/>
      <c r="D131" s="35" t="s">
        <v>10</v>
      </c>
      <c r="E131" s="35" t="s">
        <v>2</v>
      </c>
      <c r="F131" s="35"/>
      <c r="G131" s="44">
        <v>2</v>
      </c>
      <c r="H131" s="44">
        <v>5</v>
      </c>
      <c r="I131" s="44">
        <v>2</v>
      </c>
      <c r="J131" s="44">
        <v>1</v>
      </c>
      <c r="K131" s="44">
        <v>0</v>
      </c>
      <c r="L131" s="43">
        <v>0.25</v>
      </c>
      <c r="M131" s="43">
        <v>0.2986111111111111</v>
      </c>
      <c r="N131" s="43">
        <v>0.61319444444444449</v>
      </c>
      <c r="O131" s="43">
        <v>0.65833333333333333</v>
      </c>
      <c r="P131" s="39"/>
      <c r="Q131" s="42"/>
      <c r="R131" s="44">
        <f>MIP_4[[#This Row],[PT-1]]+MIP_4[[#This Row],[PT-2]]*2+MIP_4[[#This Row],[PT-3]]*3+MIP_4[[#This Row],[PT &gt; 3 Pontos]]</f>
        <v>12</v>
      </c>
      <c r="S13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9.3749999999999944E-2</v>
      </c>
      <c r="T13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9.3749999999999944E-2</v>
      </c>
      <c r="U131" s="41">
        <f ca="1">MIP_4[[#This Row],[Eficiência]]</f>
        <v>1.0103394549544562</v>
      </c>
      <c r="V13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31" s="39">
        <f>IF(MIP_4[[#This Row],[P.S]]-MIP_4[[#This Row],[P.E]]&lt;0,1+MIP_4[[#This Row],[P.S]]-MIP_4[[#This Row],[P.E]]-1/24,MIP_4[[#This Row],[P.S]]-MIP_4[[#This Row],[P.E]]-1/24)</f>
        <v>0.36666666666666664</v>
      </c>
      <c r="X131" s="39">
        <f ca="1">MIP_4[[#This Row],[PT-1]]*$S$3+MIP_4[[#This Row],[PT-2]]*$T$3+MIP_4[[#This Row],[PT-3]]*$U$3+MIP_4[[#This Row],[PT &gt; 3 Pontos]]*$V$3</f>
        <v>0.27573847624798703</v>
      </c>
      <c r="Y131" s="39">
        <f>MIP_4[[#This Row],[HH disponível]]-MIP_4[[#This Row],[HH AC TOT]]</f>
        <v>0.2729166666666667</v>
      </c>
      <c r="Z131" s="38">
        <f ca="1">MIP_4[[#This Row],[HH Produtivo
Total]]/MIP_4[[#This Row],[HH Trabalhado]]</f>
        <v>1.0103394549544562</v>
      </c>
      <c r="AA131" s="38">
        <f ca="1">MIP_4[[#This Row],[HH Produtivo
Total]]/MIP_4[[#This Row],[HH disponível]]</f>
        <v>0.75201402613087376</v>
      </c>
      <c r="AB131" s="38">
        <f>MIP_4[[#This Row],[HH Trabalhado]]/MIP_4[[#This Row],[HH disponível]]</f>
        <v>0.74431818181818199</v>
      </c>
      <c r="AC131" s="37" t="str">
        <f>LEFT(MIP_4[[#This Row],[Equipe]], SEARCH("/",MIP_4[[#This Row],[Equipe]],1)-1)</f>
        <v xml:space="preserve">JOILSON </v>
      </c>
      <c r="AD131" s="37" t="str">
        <f>RIGHT(MIP_4[[#This Row],[Equipe]], LEN(MIP_4[[#This Row],[Equipe]])-SEARCH("/",MIP_4[[#This Row],[Equipe]],1))</f>
        <v xml:space="preserve"> VALDEI</v>
      </c>
      <c r="AE131" s="44">
        <f>COUNTIFS('[1]Tempo parado'!G:G,"&gt;="&amp;MIP_4[[#This Row],[S.B Sitrack]],'[1]Tempo parado'!H:H,"&lt;="&amp;MIP_4[[#This Row],[C.B Sitrack]],'[1]Tempo parado'!A:A,MIP_4[[#This Row],[Placa]])</f>
        <v>0</v>
      </c>
      <c r="AF131" s="36"/>
      <c r="AG131" s="35"/>
      <c r="AH131" s="34"/>
      <c r="AI131" s="34"/>
      <c r="AJ13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3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3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31" s="32" t="str">
        <f>IFERROR(MIP_4[[#This Row],[Tempo parado]]/(MIP_4[[#This Row],[C.B Sitrack]]-MIP_4[[#This Row],[S.B Sitrack]]),"")</f>
        <v/>
      </c>
      <c r="AN131" s="30"/>
      <c r="AO131" s="44">
        <f>IF(AND(MIP_4[Exc]=0,MIP_4[Previsto / Realizado]="Realizado"),MIP_4[Sem],0)</f>
        <v>24</v>
      </c>
      <c r="AP131" s="29">
        <f>IF(AND(MIP_4[Exc]=0,MIP_4[Previsto / Realizado]="Realizado",ISBLANK(MIP_4[[#This Row],[S.B Sitrack]])=FALSE,ISBLANK(MIP_4[[#This Row],[C.B Sitrack]])=FALSE),MIP_4[Sem],0)</f>
        <v>0</v>
      </c>
    </row>
    <row r="132" spans="1:42" ht="15.75" x14ac:dyDescent="0.25">
      <c r="A132" s="44">
        <f>WEEKNUM(MIP_4[[#This Row],[Data]])</f>
        <v>24</v>
      </c>
      <c r="B132" s="45">
        <v>42901</v>
      </c>
      <c r="C132" s="45"/>
      <c r="D132" s="35" t="s">
        <v>7</v>
      </c>
      <c r="E132" s="35" t="s">
        <v>5</v>
      </c>
      <c r="F132" s="35"/>
      <c r="G132" s="44">
        <v>2</v>
      </c>
      <c r="H132" s="44">
        <v>6</v>
      </c>
      <c r="I132" s="44">
        <v>1</v>
      </c>
      <c r="J132" s="44">
        <v>2</v>
      </c>
      <c r="K132" s="44">
        <v>4</v>
      </c>
      <c r="L132" s="43">
        <v>0.625</v>
      </c>
      <c r="M132" s="43">
        <v>0.64583333333333337</v>
      </c>
      <c r="N132" s="43">
        <f>1+18/24/60</f>
        <v>1.0125</v>
      </c>
      <c r="O132" s="43">
        <f>1+48/24/60</f>
        <v>1.0333333333333334</v>
      </c>
      <c r="P132" s="39"/>
      <c r="Q132" s="42"/>
      <c r="R132" s="44">
        <f>MIP_4[[#This Row],[PT-1]]+MIP_4[[#This Row],[PT-2]]*2+MIP_4[[#This Row],[PT-3]]*3+MIP_4[[#This Row],[PT &gt; 3 Pontos]]</f>
        <v>18</v>
      </c>
      <c r="S13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13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132" s="41">
        <f ca="1">MIP_4[[#This Row],[Eficiência]]</f>
        <v>1.2327362642278106</v>
      </c>
      <c r="V13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32" s="39">
        <f>IF(MIP_4[[#This Row],[P.S]]-MIP_4[[#This Row],[P.E]]&lt;0,1+MIP_4[[#This Row],[P.S]]-MIP_4[[#This Row],[P.E]]-1/24,MIP_4[[#This Row],[P.S]]-MIP_4[[#This Row],[P.E]]-1/24)</f>
        <v>0.36666666666666675</v>
      </c>
      <c r="X132" s="39">
        <f ca="1">MIP_4[[#This Row],[PT-1]]*$S$3+MIP_4[[#This Row],[PT-2]]*$T$3+MIP_4[[#This Row],[PT-3]]*$U$3+MIP_4[[#This Row],[PT &gt; 3 Pontos]]*$V$3</f>
        <v>0.4006392858740383</v>
      </c>
      <c r="Y132" s="39">
        <f>MIP_4[[#This Row],[HH disponível]]-MIP_4[[#This Row],[HH AC TOT]]</f>
        <v>0.3249999999999999</v>
      </c>
      <c r="Z132" s="38">
        <f ca="1">MIP_4[[#This Row],[HH Produtivo
Total]]/MIP_4[[#This Row],[HH Trabalhado]]</f>
        <v>1.2327362642278106</v>
      </c>
      <c r="AA132" s="38">
        <f ca="1">MIP_4[[#This Row],[HH Produtivo
Total]]/MIP_4[[#This Row],[HH disponível]]</f>
        <v>1.0926525978382859</v>
      </c>
      <c r="AB132" s="38">
        <f>MIP_4[[#This Row],[HH Trabalhado]]/MIP_4[[#This Row],[HH disponível]]</f>
        <v>0.88636363636363591</v>
      </c>
      <c r="AC132" s="37" t="str">
        <f>LEFT(MIP_4[[#This Row],[Equipe]], SEARCH("/",MIP_4[[#This Row],[Equipe]],1)-1)</f>
        <v xml:space="preserve">ANDERSON </v>
      </c>
      <c r="AD132" s="37" t="str">
        <f>RIGHT(MIP_4[[#This Row],[Equipe]], LEN(MIP_4[[#This Row],[Equipe]])-SEARCH("/",MIP_4[[#This Row],[Equipe]],1))</f>
        <v xml:space="preserve"> MARCO</v>
      </c>
      <c r="AE132" s="44">
        <f>COUNTIFS('[1]Tempo parado'!G:G,"&gt;="&amp;MIP_4[[#This Row],[S.B Sitrack]],'[1]Tempo parado'!H:H,"&lt;="&amp;MIP_4[[#This Row],[C.B Sitrack]],'[1]Tempo parado'!A:A,MIP_4[[#This Row],[Placa]])</f>
        <v>0</v>
      </c>
      <c r="AF132" s="36"/>
      <c r="AG132" s="35"/>
      <c r="AH132" s="34"/>
      <c r="AI132" s="34"/>
      <c r="AJ13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3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3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32" s="32" t="str">
        <f>IFERROR(MIP_4[[#This Row],[Tempo parado]]/(MIP_4[[#This Row],[C.B Sitrack]]-MIP_4[[#This Row],[S.B Sitrack]]),"")</f>
        <v/>
      </c>
      <c r="AN132" s="30"/>
      <c r="AO132" s="44">
        <f>IF(AND(MIP_4[Exc]=0,MIP_4[Previsto / Realizado]="Realizado"),MIP_4[Sem],0)</f>
        <v>0</v>
      </c>
      <c r="AP132" s="29">
        <f>IF(AND(MIP_4[Exc]=0,MIP_4[Previsto / Realizado]="Realizado",ISBLANK(MIP_4[[#This Row],[S.B Sitrack]])=FALSE,ISBLANK(MIP_4[[#This Row],[C.B Sitrack]])=FALSE),MIP_4[Sem],0)</f>
        <v>0</v>
      </c>
    </row>
    <row r="133" spans="1:42" ht="15.75" x14ac:dyDescent="0.25">
      <c r="A133" s="44">
        <f>WEEKNUM(MIP_4[[#This Row],[Data]])</f>
        <v>24</v>
      </c>
      <c r="B133" s="45">
        <v>42901</v>
      </c>
      <c r="C133" s="45"/>
      <c r="D133" s="35" t="s">
        <v>7</v>
      </c>
      <c r="E133" s="35" t="s">
        <v>2</v>
      </c>
      <c r="F133" s="35"/>
      <c r="G133" s="44">
        <v>2</v>
      </c>
      <c r="H133" s="44">
        <v>3</v>
      </c>
      <c r="I133" s="44">
        <v>0</v>
      </c>
      <c r="J133" s="44">
        <v>1</v>
      </c>
      <c r="K133" s="44">
        <v>3</v>
      </c>
      <c r="L133" s="43">
        <v>0.64027777777777783</v>
      </c>
      <c r="M133" s="43">
        <v>0.65625</v>
      </c>
      <c r="N133" s="43">
        <f>1+42/24/60</f>
        <v>1.0291666666666666</v>
      </c>
      <c r="O133" s="43">
        <f>1+49/24/60</f>
        <v>1.0340277777777778</v>
      </c>
      <c r="P133" s="39"/>
      <c r="Q133" s="42" t="s">
        <v>418</v>
      </c>
      <c r="R133" s="44">
        <f>MIP_4[[#This Row],[PT-1]]+MIP_4[[#This Row],[PT-2]]*2+MIP_4[[#This Row],[PT-3]]*3+MIP_4[[#This Row],[PT &gt; 3 Pontos]]</f>
        <v>9</v>
      </c>
      <c r="S13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2.083333333333337E-2</v>
      </c>
      <c r="T13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2.083333333333337E-2</v>
      </c>
      <c r="U133" s="41">
        <f ca="1">MIP_4[[#This Row],[Eficiência]]</f>
        <v>0.59958723250184864</v>
      </c>
      <c r="V13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33" s="39">
        <f>IF(MIP_4[[#This Row],[P.S]]-MIP_4[[#This Row],[P.E]]&lt;0,1+MIP_4[[#This Row],[P.S]]-MIP_4[[#This Row],[P.E]]-1/24,MIP_4[[#This Row],[P.S]]-MIP_4[[#This Row],[P.E]]-1/24)</f>
        <v>0.35208333333333325</v>
      </c>
      <c r="X133" s="39">
        <f ca="1">MIP_4[[#This Row],[PT-1]]*$S$3+MIP_4[[#This Row],[PT-2]]*$T$3+MIP_4[[#This Row],[PT-3]]*$U$3+MIP_4[[#This Row],[PT &gt; 3 Pontos]]*$V$3</f>
        <v>0.19861327076623728</v>
      </c>
      <c r="Y133" s="39">
        <f>MIP_4[[#This Row],[HH disponível]]-MIP_4[[#This Row],[HH AC TOT]]</f>
        <v>0.33124999999999988</v>
      </c>
      <c r="Z133" s="38">
        <f ca="1">MIP_4[[#This Row],[HH Produtivo
Total]]/MIP_4[[#This Row],[HH Trabalhado]]</f>
        <v>0.59958723250184864</v>
      </c>
      <c r="AA133" s="38">
        <f ca="1">MIP_4[[#This Row],[HH Produtivo
Total]]/MIP_4[[#This Row],[HH disponível]]</f>
        <v>0.56410869803428354</v>
      </c>
      <c r="AB133" s="38">
        <f>MIP_4[[#This Row],[HH Trabalhado]]/MIP_4[[#This Row],[HH disponível]]</f>
        <v>0.94082840236686383</v>
      </c>
      <c r="AC133" s="37" t="str">
        <f>LEFT(MIP_4[[#This Row],[Equipe]], SEARCH("/",MIP_4[[#This Row],[Equipe]],1)-1)</f>
        <v xml:space="preserve">ANDERSON </v>
      </c>
      <c r="AD133" s="37" t="str">
        <f>RIGHT(MIP_4[[#This Row],[Equipe]], LEN(MIP_4[[#This Row],[Equipe]])-SEARCH("/",MIP_4[[#This Row],[Equipe]],1))</f>
        <v xml:space="preserve"> MARCO</v>
      </c>
      <c r="AE133" s="44">
        <f>COUNTIFS('[1]Tempo parado'!G:G,"&gt;="&amp;MIP_4[[#This Row],[S.B Sitrack]],'[1]Tempo parado'!H:H,"&lt;="&amp;MIP_4[[#This Row],[C.B Sitrack]],'[1]Tempo parado'!A:A,MIP_4[[#This Row],[Placa]])</f>
        <v>0</v>
      </c>
      <c r="AF133" s="36"/>
      <c r="AG133" s="35"/>
      <c r="AH133" s="34"/>
      <c r="AI133" s="34"/>
      <c r="AJ13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3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3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33" s="32" t="str">
        <f>IFERROR(MIP_4[[#This Row],[Tempo parado]]/(MIP_4[[#This Row],[C.B Sitrack]]-MIP_4[[#This Row],[S.B Sitrack]]),"")</f>
        <v/>
      </c>
      <c r="AN133" s="30"/>
      <c r="AO133" s="44">
        <f>IF(AND(MIP_4[Exc]=0,MIP_4[Previsto / Realizado]="Realizado"),MIP_4[Sem],0)</f>
        <v>24</v>
      </c>
      <c r="AP133" s="29">
        <f>IF(AND(MIP_4[Exc]=0,MIP_4[Previsto / Realizado]="Realizado",ISBLANK(MIP_4[[#This Row],[S.B Sitrack]])=FALSE,ISBLANK(MIP_4[[#This Row],[C.B Sitrack]])=FALSE),MIP_4[Sem],0)</f>
        <v>0</v>
      </c>
    </row>
    <row r="134" spans="1:42" ht="15.75" x14ac:dyDescent="0.25">
      <c r="A134" s="44">
        <f>WEEKNUM(MIP_4[[#This Row],[Data]])</f>
        <v>24</v>
      </c>
      <c r="B134" s="45">
        <v>42902</v>
      </c>
      <c r="C134" s="45"/>
      <c r="D134" s="35" t="s">
        <v>3</v>
      </c>
      <c r="E134" s="35" t="s">
        <v>5</v>
      </c>
      <c r="F134" s="35"/>
      <c r="G134" s="44">
        <v>2</v>
      </c>
      <c r="H134" s="44">
        <v>4</v>
      </c>
      <c r="I134" s="44">
        <v>3</v>
      </c>
      <c r="J134" s="44">
        <v>1</v>
      </c>
      <c r="K134" s="44">
        <v>4</v>
      </c>
      <c r="L134" s="43">
        <v>0.625</v>
      </c>
      <c r="M134" s="43">
        <v>0.64583333333333337</v>
      </c>
      <c r="N134" s="43">
        <f>1+18/24/60</f>
        <v>1.0125</v>
      </c>
      <c r="O134" s="43">
        <f>1+48/24/60</f>
        <v>1.0333333333333334</v>
      </c>
      <c r="P134" s="39"/>
      <c r="Q134" s="42"/>
      <c r="R134" s="44">
        <f>MIP_4[[#This Row],[PT-1]]+MIP_4[[#This Row],[PT-2]]*2+MIP_4[[#This Row],[PT-3]]*3+MIP_4[[#This Row],[PT &gt; 3 Pontos]]</f>
        <v>17</v>
      </c>
      <c r="S13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13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134" s="41">
        <f ca="1">MIP_4[[#This Row],[Eficiência]]</f>
        <v>1.155733639738773</v>
      </c>
      <c r="V13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34" s="39">
        <f>IF(MIP_4[[#This Row],[P.S]]-MIP_4[[#This Row],[P.E]]&lt;0,1+MIP_4[[#This Row],[P.S]]-MIP_4[[#This Row],[P.E]]-1/24,MIP_4[[#This Row],[P.S]]-MIP_4[[#This Row],[P.E]]-1/24)</f>
        <v>0.36666666666666675</v>
      </c>
      <c r="X134" s="39">
        <f ca="1">MIP_4[[#This Row],[PT-1]]*$S$3+MIP_4[[#This Row],[PT-2]]*$T$3+MIP_4[[#This Row],[PT-3]]*$U$3+MIP_4[[#This Row],[PT &gt; 3 Pontos]]*$V$3</f>
        <v>0.37561343291510108</v>
      </c>
      <c r="Y134" s="39">
        <f>MIP_4[[#This Row],[HH disponível]]-MIP_4[[#This Row],[HH AC TOT]]</f>
        <v>0.3249999999999999</v>
      </c>
      <c r="Z134" s="38">
        <f ca="1">MIP_4[[#This Row],[HH Produtivo
Total]]/MIP_4[[#This Row],[HH Trabalhado]]</f>
        <v>1.155733639738773</v>
      </c>
      <c r="AA134" s="38">
        <f ca="1">MIP_4[[#This Row],[HH Produtivo
Total]]/MIP_4[[#This Row],[HH disponível]]</f>
        <v>1.0244002715866392</v>
      </c>
      <c r="AB134" s="38">
        <f>MIP_4[[#This Row],[HH Trabalhado]]/MIP_4[[#This Row],[HH disponível]]</f>
        <v>0.88636363636363591</v>
      </c>
      <c r="AC134" s="37" t="str">
        <f>LEFT(MIP_4[[#This Row],[Equipe]], SEARCH("/",MIP_4[[#This Row],[Equipe]],1)-1)</f>
        <v xml:space="preserve">EDILTON </v>
      </c>
      <c r="AD134" s="37" t="str">
        <f>RIGHT(MIP_4[[#This Row],[Equipe]], LEN(MIP_4[[#This Row],[Equipe]])-SEARCH("/",MIP_4[[#This Row],[Equipe]],1))</f>
        <v xml:space="preserve"> GECIVALDO</v>
      </c>
      <c r="AE134" s="44">
        <f>COUNTIFS('[1]Tempo parado'!G:G,"&gt;="&amp;MIP_4[[#This Row],[S.B Sitrack]],'[1]Tempo parado'!H:H,"&lt;="&amp;MIP_4[[#This Row],[C.B Sitrack]],'[1]Tempo parado'!A:A,MIP_4[[#This Row],[Placa]])</f>
        <v>0</v>
      </c>
      <c r="AF134" s="36"/>
      <c r="AG134" s="35"/>
      <c r="AH134" s="34"/>
      <c r="AI134" s="34"/>
      <c r="AJ13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3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3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34" s="32" t="str">
        <f>IFERROR(MIP_4[[#This Row],[Tempo parado]]/(MIP_4[[#This Row],[C.B Sitrack]]-MIP_4[[#This Row],[S.B Sitrack]]),"")</f>
        <v/>
      </c>
      <c r="AN134" s="30"/>
      <c r="AO134" s="44">
        <f>IF(AND(MIP_4[Exc]=0,MIP_4[Previsto / Realizado]="Realizado"),MIP_4[Sem],0)</f>
        <v>0</v>
      </c>
      <c r="AP134" s="29">
        <f>IF(AND(MIP_4[Exc]=0,MIP_4[Previsto / Realizado]="Realizado",ISBLANK(MIP_4[[#This Row],[S.B Sitrack]])=FALSE,ISBLANK(MIP_4[[#This Row],[C.B Sitrack]])=FALSE),MIP_4[Sem],0)</f>
        <v>0</v>
      </c>
    </row>
    <row r="135" spans="1:42" ht="15.75" x14ac:dyDescent="0.25">
      <c r="A135" s="44">
        <f>WEEKNUM(MIP_4[[#This Row],[Data]])</f>
        <v>24</v>
      </c>
      <c r="B135" s="45">
        <v>42902</v>
      </c>
      <c r="C135" s="45"/>
      <c r="D135" s="35" t="s">
        <v>3</v>
      </c>
      <c r="E135" s="35" t="s">
        <v>2</v>
      </c>
      <c r="F135" s="35"/>
      <c r="G135" s="44">
        <v>2</v>
      </c>
      <c r="H135" s="44">
        <v>4</v>
      </c>
      <c r="I135" s="44">
        <v>3</v>
      </c>
      <c r="J135" s="44">
        <v>0</v>
      </c>
      <c r="K135" s="44">
        <v>0</v>
      </c>
      <c r="L135" s="43">
        <v>0.62083333333333335</v>
      </c>
      <c r="M135" s="43">
        <v>0.66666666666666663</v>
      </c>
      <c r="N135" s="43">
        <f>1+45/24/60</f>
        <v>1.03125</v>
      </c>
      <c r="O135" s="43">
        <f>1+61/24/60</f>
        <v>1.0423611111111111</v>
      </c>
      <c r="P135" s="39"/>
      <c r="Q135" s="42" t="s">
        <v>417</v>
      </c>
      <c r="R135" s="44">
        <f>MIP_4[[#This Row],[PT-1]]+MIP_4[[#This Row],[PT-2]]*2+MIP_4[[#This Row],[PT-3]]*3+MIP_4[[#This Row],[PT &gt; 3 Pontos]]</f>
        <v>10</v>
      </c>
      <c r="S13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5.6944444444444353E-2</v>
      </c>
      <c r="T13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5.6944444444444353E-2</v>
      </c>
      <c r="U135" s="41">
        <f ca="1">MIP_4[[#This Row],[Eficiência]]</f>
        <v>0.71792426367461415</v>
      </c>
      <c r="V13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35" s="39">
        <f>IF(MIP_4[[#This Row],[P.S]]-MIP_4[[#This Row],[P.E]]&lt;0,1+MIP_4[[#This Row],[P.S]]-MIP_4[[#This Row],[P.E]]-1/24,MIP_4[[#This Row],[P.S]]-MIP_4[[#This Row],[P.E]]-1/24)</f>
        <v>0.37986111111111104</v>
      </c>
      <c r="X135" s="39">
        <f ca="1">MIP_4[[#This Row],[PT-1]]*$S$3+MIP_4[[#This Row],[PT-2]]*$T$3+MIP_4[[#This Row],[PT-3]]*$U$3+MIP_4[[#This Row],[PT &gt; 3 Pontos]]*$V$3</f>
        <v>0.23182971014492748</v>
      </c>
      <c r="Y135" s="39">
        <f>MIP_4[[#This Row],[HH disponível]]-MIP_4[[#This Row],[HH AC TOT]]</f>
        <v>0.32291666666666669</v>
      </c>
      <c r="Z135" s="38">
        <f ca="1">MIP_4[[#This Row],[HH Produtivo
Total]]/MIP_4[[#This Row],[HH Trabalhado]]</f>
        <v>0.71792426367461415</v>
      </c>
      <c r="AA135" s="38">
        <f ca="1">MIP_4[[#This Row],[HH Produtivo
Total]]/MIP_4[[#This Row],[HH disponível]]</f>
        <v>0.61030124791352036</v>
      </c>
      <c r="AB135" s="38">
        <f>MIP_4[[#This Row],[HH Trabalhado]]/MIP_4[[#This Row],[HH disponível]]</f>
        <v>0.8500914076782452</v>
      </c>
      <c r="AC135" s="37" t="str">
        <f>LEFT(MIP_4[[#This Row],[Equipe]], SEARCH("/",MIP_4[[#This Row],[Equipe]],1)-1)</f>
        <v xml:space="preserve">EDILTON </v>
      </c>
      <c r="AD135" s="37" t="str">
        <f>RIGHT(MIP_4[[#This Row],[Equipe]], LEN(MIP_4[[#This Row],[Equipe]])-SEARCH("/",MIP_4[[#This Row],[Equipe]],1))</f>
        <v xml:space="preserve"> GECIVALDO</v>
      </c>
      <c r="AE135" s="44">
        <f>COUNTIFS('[1]Tempo parado'!G:G,"&gt;="&amp;MIP_4[[#This Row],[S.B Sitrack]],'[1]Tempo parado'!H:H,"&lt;="&amp;MIP_4[[#This Row],[C.B Sitrack]],'[1]Tempo parado'!A:A,MIP_4[[#This Row],[Placa]])</f>
        <v>0</v>
      </c>
      <c r="AF135" s="36"/>
      <c r="AG135" s="35"/>
      <c r="AH135" s="34"/>
      <c r="AI135" s="34"/>
      <c r="AJ13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3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3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35" s="32" t="str">
        <f>IFERROR(MIP_4[[#This Row],[Tempo parado]]/(MIP_4[[#This Row],[C.B Sitrack]]-MIP_4[[#This Row],[S.B Sitrack]]),"")</f>
        <v/>
      </c>
      <c r="AN135" s="30"/>
      <c r="AO135" s="44">
        <f>IF(AND(MIP_4[Exc]=0,MIP_4[Previsto / Realizado]="Realizado"),MIP_4[Sem],0)</f>
        <v>24</v>
      </c>
      <c r="AP135" s="29">
        <f>IF(AND(MIP_4[Exc]=0,MIP_4[Previsto / Realizado]="Realizado",ISBLANK(MIP_4[[#This Row],[S.B Sitrack]])=FALSE,ISBLANK(MIP_4[[#This Row],[C.B Sitrack]])=FALSE),MIP_4[Sem],0)</f>
        <v>0</v>
      </c>
    </row>
    <row r="136" spans="1:42" ht="15.75" x14ac:dyDescent="0.25">
      <c r="A136" s="44">
        <f>WEEKNUM(MIP_4[[#This Row],[Data]])</f>
        <v>24</v>
      </c>
      <c r="B136" s="45">
        <v>42903</v>
      </c>
      <c r="C136" s="45"/>
      <c r="D136" s="35" t="s">
        <v>156</v>
      </c>
      <c r="E136" s="35" t="s">
        <v>5</v>
      </c>
      <c r="F136" s="35"/>
      <c r="G136" s="44">
        <v>2</v>
      </c>
      <c r="H136" s="44">
        <v>8</v>
      </c>
      <c r="I136" s="44">
        <v>1</v>
      </c>
      <c r="J136" s="44">
        <v>1</v>
      </c>
      <c r="K136" s="44">
        <v>0</v>
      </c>
      <c r="L136" s="43">
        <v>0.625</v>
      </c>
      <c r="M136" s="43">
        <v>0.64583333333333337</v>
      </c>
      <c r="N136" s="43">
        <f>1+18/24/60</f>
        <v>1.0125</v>
      </c>
      <c r="O136" s="43">
        <f>1+48/24/60</f>
        <v>1.0333333333333334</v>
      </c>
      <c r="P136" s="39"/>
      <c r="Q136" s="42"/>
      <c r="R136" s="44">
        <f>MIP_4[[#This Row],[PT-1]]+MIP_4[[#This Row],[PT-2]]*2+MIP_4[[#This Row],[PT-3]]*3+MIP_4[[#This Row],[PT &gt; 3 Pontos]]</f>
        <v>13</v>
      </c>
      <c r="S13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13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136" s="41">
        <f ca="1">MIP_4[[#This Row],[Eficiência]]</f>
        <v>0.94433005852842811</v>
      </c>
      <c r="V13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36" s="39">
        <f>IF(MIP_4[[#This Row],[P.S]]-MIP_4[[#This Row],[P.E]]&lt;0,1+MIP_4[[#This Row],[P.S]]-MIP_4[[#This Row],[P.E]]-1/24,MIP_4[[#This Row],[P.S]]-MIP_4[[#This Row],[P.E]]-1/24)</f>
        <v>0.36666666666666675</v>
      </c>
      <c r="X136" s="39">
        <f ca="1">MIP_4[[#This Row],[PT-1]]*$S$3+MIP_4[[#This Row],[PT-2]]*$T$3+MIP_4[[#This Row],[PT-3]]*$U$3+MIP_4[[#This Row],[PT &gt; 3 Pontos]]*$V$3</f>
        <v>0.30690726902173904</v>
      </c>
      <c r="Y136" s="39">
        <f>MIP_4[[#This Row],[HH disponível]]-MIP_4[[#This Row],[HH AC TOT]]</f>
        <v>0.3249999999999999</v>
      </c>
      <c r="Z136" s="38">
        <f ca="1">MIP_4[[#This Row],[HH Produtivo
Total]]/MIP_4[[#This Row],[HH Trabalhado]]</f>
        <v>0.94433005852842811</v>
      </c>
      <c r="AA136" s="38">
        <f ca="1">MIP_4[[#This Row],[HH Produtivo
Total]]/MIP_4[[#This Row],[HH disponível]]</f>
        <v>0.83701982460474267</v>
      </c>
      <c r="AB136" s="38">
        <f>MIP_4[[#This Row],[HH Trabalhado]]/MIP_4[[#This Row],[HH disponível]]</f>
        <v>0.88636363636363591</v>
      </c>
      <c r="AC136" s="37" t="str">
        <f>LEFT(MIP_4[[#This Row],[Equipe]], SEARCH("/",MIP_4[[#This Row],[Equipe]],1)-1)</f>
        <v xml:space="preserve">ADEMÁRIO </v>
      </c>
      <c r="AD136" s="37" t="str">
        <f>RIGHT(MIP_4[[#This Row],[Equipe]], LEN(MIP_4[[#This Row],[Equipe]])-SEARCH("/",MIP_4[[#This Row],[Equipe]],1))</f>
        <v xml:space="preserve"> MARCO</v>
      </c>
      <c r="AE136" s="44">
        <f>COUNTIFS('[1]Tempo parado'!G:G,"&gt;="&amp;MIP_4[[#This Row],[S.B Sitrack]],'[1]Tempo parado'!H:H,"&lt;="&amp;MIP_4[[#This Row],[C.B Sitrack]],'[1]Tempo parado'!A:A,MIP_4[[#This Row],[Placa]])</f>
        <v>0</v>
      </c>
      <c r="AF136" s="36"/>
      <c r="AG136" s="35"/>
      <c r="AH136" s="34"/>
      <c r="AI136" s="34"/>
      <c r="AJ13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3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3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36" s="32" t="str">
        <f>IFERROR(MIP_4[[#This Row],[Tempo parado]]/(MIP_4[[#This Row],[C.B Sitrack]]-MIP_4[[#This Row],[S.B Sitrack]]),"")</f>
        <v/>
      </c>
      <c r="AN136" s="30"/>
      <c r="AO136" s="44">
        <f>IF(AND(MIP_4[Exc]=0,MIP_4[Previsto / Realizado]="Realizado"),MIP_4[Sem],0)</f>
        <v>0</v>
      </c>
      <c r="AP136" s="29">
        <f>IF(AND(MIP_4[Exc]=0,MIP_4[Previsto / Realizado]="Realizado",ISBLANK(MIP_4[[#This Row],[S.B Sitrack]])=FALSE,ISBLANK(MIP_4[[#This Row],[C.B Sitrack]])=FALSE),MIP_4[Sem],0)</f>
        <v>0</v>
      </c>
    </row>
    <row r="137" spans="1:42" ht="15.75" x14ac:dyDescent="0.25">
      <c r="A137" s="44">
        <f>WEEKNUM(MIP_4[[#This Row],[Data]])</f>
        <v>24</v>
      </c>
      <c r="B137" s="45">
        <v>42903</v>
      </c>
      <c r="C137" s="45"/>
      <c r="D137" s="35" t="s">
        <v>156</v>
      </c>
      <c r="E137" s="35" t="s">
        <v>2</v>
      </c>
      <c r="F137" s="35"/>
      <c r="G137" s="44">
        <v>2</v>
      </c>
      <c r="H137" s="44">
        <v>7</v>
      </c>
      <c r="I137" s="44">
        <v>1</v>
      </c>
      <c r="J137" s="44">
        <v>1</v>
      </c>
      <c r="K137" s="44">
        <v>0</v>
      </c>
      <c r="L137" s="43">
        <v>0.72430555555555554</v>
      </c>
      <c r="M137" s="43">
        <v>0.73958333333333337</v>
      </c>
      <c r="N137" s="43">
        <f>1+120/24/60</f>
        <v>1.0833333333333333</v>
      </c>
      <c r="O137" s="43">
        <f>1+133/24/60</f>
        <v>1.0923611111111111</v>
      </c>
      <c r="P137" s="39"/>
      <c r="Q137" s="42"/>
      <c r="R137" s="44">
        <f>MIP_4[[#This Row],[PT-1]]+MIP_4[[#This Row],[PT-2]]*2+MIP_4[[#This Row],[PT-3]]*3+MIP_4[[#This Row],[PT &gt; 3 Pontos]]</f>
        <v>12</v>
      </c>
      <c r="S13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2.4305555555555691E-2</v>
      </c>
      <c r="T13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2.4305555555555691E-2</v>
      </c>
      <c r="U137" s="41">
        <f ca="1">MIP_4[[#This Row],[Eficiência]]</f>
        <v>0.93312468765617196</v>
      </c>
      <c r="V13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37" s="39">
        <f>IF(MIP_4[[#This Row],[P.S]]-MIP_4[[#This Row],[P.E]]&lt;0,1+MIP_4[[#This Row],[P.S]]-MIP_4[[#This Row],[P.E]]-1/24,MIP_4[[#This Row],[P.S]]-MIP_4[[#This Row],[P.E]]-1/24)</f>
        <v>0.3263888888888889</v>
      </c>
      <c r="X137" s="39">
        <f ca="1">MIP_4[[#This Row],[PT-1]]*$S$3+MIP_4[[#This Row],[PT-2]]*$T$3+MIP_4[[#This Row],[PT-3]]*$U$3+MIP_4[[#This Row],[PT &gt; 3 Pontos]]*$V$3</f>
        <v>0.28188141606280182</v>
      </c>
      <c r="Y137" s="39">
        <f>MIP_4[[#This Row],[HH disponível]]-MIP_4[[#This Row],[HH AC TOT]]</f>
        <v>0.3020833333333332</v>
      </c>
      <c r="Z137" s="38">
        <f ca="1">MIP_4[[#This Row],[HH Produtivo
Total]]/MIP_4[[#This Row],[HH Trabalhado]]</f>
        <v>0.93312468765617196</v>
      </c>
      <c r="AA137" s="38">
        <f ca="1">MIP_4[[#This Row],[HH Produtivo
Total]]/MIP_4[[#This Row],[HH disponível]]</f>
        <v>0.86363667900092467</v>
      </c>
      <c r="AB137" s="38">
        <f>MIP_4[[#This Row],[HH Trabalhado]]/MIP_4[[#This Row],[HH disponível]]</f>
        <v>0.92553191489361664</v>
      </c>
      <c r="AC137" s="37" t="str">
        <f>LEFT(MIP_4[[#This Row],[Equipe]], SEARCH("/",MIP_4[[#This Row],[Equipe]],1)-1)</f>
        <v xml:space="preserve">ADEMÁRIO </v>
      </c>
      <c r="AD137" s="37" t="str">
        <f>RIGHT(MIP_4[[#This Row],[Equipe]], LEN(MIP_4[[#This Row],[Equipe]])-SEARCH("/",MIP_4[[#This Row],[Equipe]],1))</f>
        <v xml:space="preserve"> MARCO</v>
      </c>
      <c r="AE137" s="44">
        <f>COUNTIFS('[1]Tempo parado'!G:G,"&gt;="&amp;MIP_4[[#This Row],[S.B Sitrack]],'[1]Tempo parado'!H:H,"&lt;="&amp;MIP_4[[#This Row],[C.B Sitrack]],'[1]Tempo parado'!A:A,MIP_4[[#This Row],[Placa]])</f>
        <v>0</v>
      </c>
      <c r="AF137" s="36"/>
      <c r="AG137" s="35"/>
      <c r="AH137" s="34"/>
      <c r="AI137" s="34"/>
      <c r="AJ13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3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3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37" s="32" t="str">
        <f>IFERROR(MIP_4[[#This Row],[Tempo parado]]/(MIP_4[[#This Row],[C.B Sitrack]]-MIP_4[[#This Row],[S.B Sitrack]]),"")</f>
        <v/>
      </c>
      <c r="AN137" s="30"/>
      <c r="AO137" s="44">
        <f>IF(AND(MIP_4[Exc]=0,MIP_4[Previsto / Realizado]="Realizado"),MIP_4[Sem],0)</f>
        <v>24</v>
      </c>
      <c r="AP137" s="29">
        <f>IF(AND(MIP_4[Exc]=0,MIP_4[Previsto / Realizado]="Realizado",ISBLANK(MIP_4[[#This Row],[S.B Sitrack]])=FALSE,ISBLANK(MIP_4[[#This Row],[C.B Sitrack]])=FALSE),MIP_4[Sem],0)</f>
        <v>0</v>
      </c>
    </row>
    <row r="138" spans="1:42" ht="15.75" x14ac:dyDescent="0.25">
      <c r="A138" s="44">
        <f>WEEKNUM(MIP_4[[#This Row],[Data]])</f>
        <v>25</v>
      </c>
      <c r="B138" s="45">
        <v>42904</v>
      </c>
      <c r="C138" s="45"/>
      <c r="D138" s="35" t="s">
        <v>3</v>
      </c>
      <c r="E138" s="35" t="s">
        <v>5</v>
      </c>
      <c r="F138" s="35"/>
      <c r="G138" s="44">
        <v>2</v>
      </c>
      <c r="H138" s="44">
        <v>10</v>
      </c>
      <c r="I138" s="44">
        <v>2</v>
      </c>
      <c r="J138" s="44">
        <v>0</v>
      </c>
      <c r="K138" s="44">
        <v>4</v>
      </c>
      <c r="L138" s="43">
        <v>0.625</v>
      </c>
      <c r="M138" s="43">
        <v>0.64583333333333337</v>
      </c>
      <c r="N138" s="43">
        <f>1+18/24/60</f>
        <v>1.0125</v>
      </c>
      <c r="O138" s="43">
        <f>1+48/24/60</f>
        <v>1.0333333333333334</v>
      </c>
      <c r="P138" s="39"/>
      <c r="Q138" s="42"/>
      <c r="R138" s="44">
        <f>MIP_4[[#This Row],[PT-1]]+MIP_4[[#This Row],[PT-2]]*2+MIP_4[[#This Row],[PT-3]]*3+MIP_4[[#This Row],[PT &gt; 3 Pontos]]</f>
        <v>18</v>
      </c>
      <c r="S13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13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138" s="41">
        <f ca="1">MIP_4[[#This Row],[Eficiência]]</f>
        <v>1.2894403240568699</v>
      </c>
      <c r="V13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38" s="39">
        <f>IF(MIP_4[[#This Row],[P.S]]-MIP_4[[#This Row],[P.E]]&lt;0,1+MIP_4[[#This Row],[P.S]]-MIP_4[[#This Row],[P.E]]-1/24,MIP_4[[#This Row],[P.S]]-MIP_4[[#This Row],[P.E]]-1/24)</f>
        <v>0.36666666666666675</v>
      </c>
      <c r="X138" s="39">
        <f ca="1">MIP_4[[#This Row],[PT-1]]*$S$3+MIP_4[[#This Row],[PT-2]]*$T$3+MIP_4[[#This Row],[PT-3]]*$U$3+MIP_4[[#This Row],[PT &gt; 3 Pontos]]*$V$3</f>
        <v>0.4190681053184826</v>
      </c>
      <c r="Y138" s="39">
        <f>MIP_4[[#This Row],[HH disponível]]-MIP_4[[#This Row],[HH AC TOT]]</f>
        <v>0.3249999999999999</v>
      </c>
      <c r="Z138" s="38">
        <f ca="1">MIP_4[[#This Row],[HH Produtivo
Total]]/MIP_4[[#This Row],[HH Trabalhado]]</f>
        <v>1.2894403240568699</v>
      </c>
      <c r="AA138" s="38">
        <f ca="1">MIP_4[[#This Row],[HH Produtivo
Total]]/MIP_4[[#This Row],[HH disponível]]</f>
        <v>1.1429130145049522</v>
      </c>
      <c r="AB138" s="38">
        <f>MIP_4[[#This Row],[HH Trabalhado]]/MIP_4[[#This Row],[HH disponível]]</f>
        <v>0.88636363636363591</v>
      </c>
      <c r="AC138" s="37" t="str">
        <f>LEFT(MIP_4[[#This Row],[Equipe]], SEARCH("/",MIP_4[[#This Row],[Equipe]],1)-1)</f>
        <v xml:space="preserve">EDILTON </v>
      </c>
      <c r="AD138" s="37" t="str">
        <f>RIGHT(MIP_4[[#This Row],[Equipe]], LEN(MIP_4[[#This Row],[Equipe]])-SEARCH("/",MIP_4[[#This Row],[Equipe]],1))</f>
        <v xml:space="preserve"> GECIVALDO</v>
      </c>
      <c r="AE138" s="44">
        <f>COUNTIFS('[1]Tempo parado'!G:G,"&gt;="&amp;MIP_4[[#This Row],[S.B Sitrack]],'[1]Tempo parado'!H:H,"&lt;="&amp;MIP_4[[#This Row],[C.B Sitrack]],'[1]Tempo parado'!A:A,MIP_4[[#This Row],[Placa]])</f>
        <v>0</v>
      </c>
      <c r="AF138" s="36"/>
      <c r="AG138" s="35"/>
      <c r="AH138" s="34"/>
      <c r="AI138" s="34"/>
      <c r="AJ13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3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3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38" s="32" t="str">
        <f>IFERROR(MIP_4[[#This Row],[Tempo parado]]/(MIP_4[[#This Row],[C.B Sitrack]]-MIP_4[[#This Row],[S.B Sitrack]]),"")</f>
        <v/>
      </c>
      <c r="AN138" s="30"/>
      <c r="AO138" s="44">
        <f>IF(AND(MIP_4[Exc]=0,MIP_4[Previsto / Realizado]="Realizado"),MIP_4[Sem],0)</f>
        <v>0</v>
      </c>
      <c r="AP138" s="29">
        <f>IF(AND(MIP_4[Exc]=0,MIP_4[Previsto / Realizado]="Realizado",ISBLANK(MIP_4[[#This Row],[S.B Sitrack]])=FALSE,ISBLANK(MIP_4[[#This Row],[C.B Sitrack]])=FALSE),MIP_4[Sem],0)</f>
        <v>0</v>
      </c>
    </row>
    <row r="139" spans="1:42" ht="15.75" x14ac:dyDescent="0.25">
      <c r="A139" s="44">
        <f>WEEKNUM(MIP_4[[#This Row],[Data]])</f>
        <v>25</v>
      </c>
      <c r="B139" s="45">
        <v>42904</v>
      </c>
      <c r="C139" s="45"/>
      <c r="D139" s="35" t="s">
        <v>3</v>
      </c>
      <c r="E139" s="35" t="s">
        <v>2</v>
      </c>
      <c r="F139" s="35"/>
      <c r="G139" s="44">
        <v>2</v>
      </c>
      <c r="H139" s="44">
        <v>7</v>
      </c>
      <c r="I139" s="44">
        <v>2</v>
      </c>
      <c r="J139" s="44">
        <v>0</v>
      </c>
      <c r="K139" s="44">
        <v>2</v>
      </c>
      <c r="L139" s="43">
        <v>0.62708333333333333</v>
      </c>
      <c r="M139" s="43">
        <v>0.64930555555555558</v>
      </c>
      <c r="N139" s="43">
        <f>1+5/24/60</f>
        <v>1.0034722222222223</v>
      </c>
      <c r="O139" s="43">
        <f>1+48/24/60</f>
        <v>1.0333333333333334</v>
      </c>
      <c r="P139" s="39"/>
      <c r="Q139" s="42"/>
      <c r="R139" s="44">
        <f>MIP_4[[#This Row],[PT-1]]+MIP_4[[#This Row],[PT-2]]*2+MIP_4[[#This Row],[PT-3]]*3+MIP_4[[#This Row],[PT &gt; 3 Pontos]]</f>
        <v>13</v>
      </c>
      <c r="S13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5.208333333333337E-2</v>
      </c>
      <c r="T13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5.208333333333337E-2</v>
      </c>
      <c r="U139" s="41">
        <f ca="1">MIP_4[[#This Row],[Eficiência]]</f>
        <v>0.97118247897656063</v>
      </c>
      <c r="V13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39" s="39">
        <f>IF(MIP_4[[#This Row],[P.S]]-MIP_4[[#This Row],[P.E]]&lt;0,1+MIP_4[[#This Row],[P.S]]-MIP_4[[#This Row],[P.E]]-1/24,MIP_4[[#This Row],[P.S]]-MIP_4[[#This Row],[P.E]]-1/24)</f>
        <v>0.36458333333333343</v>
      </c>
      <c r="X139" s="39">
        <f ca="1">MIP_4[[#This Row],[PT-1]]*$S$3+MIP_4[[#This Row],[PT-2]]*$T$3+MIP_4[[#This Row],[PT-3]]*$U$3+MIP_4[[#This Row],[PT &gt; 3 Pontos]]*$V$3</f>
        <v>0.30349452468017524</v>
      </c>
      <c r="Y139" s="39">
        <f>MIP_4[[#This Row],[HH disponível]]-MIP_4[[#This Row],[HH AC TOT]]</f>
        <v>0.31250000000000006</v>
      </c>
      <c r="Z139" s="38">
        <f ca="1">MIP_4[[#This Row],[HH Produtivo
Total]]/MIP_4[[#This Row],[HH Trabalhado]]</f>
        <v>0.97118247897656063</v>
      </c>
      <c r="AA139" s="38">
        <f ca="1">MIP_4[[#This Row],[HH Produtivo
Total]]/MIP_4[[#This Row],[HH disponível]]</f>
        <v>0.83244212483705182</v>
      </c>
      <c r="AB139" s="38">
        <f>MIP_4[[#This Row],[HH Trabalhado]]/MIP_4[[#This Row],[HH disponível]]</f>
        <v>0.8571428571428571</v>
      </c>
      <c r="AC139" s="37" t="str">
        <f>LEFT(MIP_4[[#This Row],[Equipe]], SEARCH("/",MIP_4[[#This Row],[Equipe]],1)-1)</f>
        <v xml:space="preserve">EDILTON </v>
      </c>
      <c r="AD139" s="37" t="str">
        <f>RIGHT(MIP_4[[#This Row],[Equipe]], LEN(MIP_4[[#This Row],[Equipe]])-SEARCH("/",MIP_4[[#This Row],[Equipe]],1))</f>
        <v xml:space="preserve"> GECIVALDO</v>
      </c>
      <c r="AE139" s="44">
        <f>COUNTIFS('[1]Tempo parado'!G:G,"&gt;="&amp;MIP_4[[#This Row],[S.B Sitrack]],'[1]Tempo parado'!H:H,"&lt;="&amp;MIP_4[[#This Row],[C.B Sitrack]],'[1]Tempo parado'!A:A,MIP_4[[#This Row],[Placa]])</f>
        <v>0</v>
      </c>
      <c r="AF139" s="36"/>
      <c r="AG139" s="35"/>
      <c r="AH139" s="34"/>
      <c r="AI139" s="34"/>
      <c r="AJ13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3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3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39" s="32" t="str">
        <f>IFERROR(MIP_4[[#This Row],[Tempo parado]]/(MIP_4[[#This Row],[C.B Sitrack]]-MIP_4[[#This Row],[S.B Sitrack]]),"")</f>
        <v/>
      </c>
      <c r="AN139" s="30"/>
      <c r="AO139" s="44">
        <f>IF(AND(MIP_4[Exc]=0,MIP_4[Previsto / Realizado]="Realizado"),MIP_4[Sem],0)</f>
        <v>25</v>
      </c>
      <c r="AP139" s="29">
        <f>IF(AND(MIP_4[Exc]=0,MIP_4[Previsto / Realizado]="Realizado",ISBLANK(MIP_4[[#This Row],[S.B Sitrack]])=FALSE,ISBLANK(MIP_4[[#This Row],[C.B Sitrack]])=FALSE),MIP_4[Sem],0)</f>
        <v>0</v>
      </c>
    </row>
    <row r="140" spans="1:42" ht="15.75" x14ac:dyDescent="0.25">
      <c r="A140" s="44">
        <f>WEEKNUM(MIP_4[[#This Row],[Data]])</f>
        <v>25</v>
      </c>
      <c r="B140" s="45">
        <v>42906</v>
      </c>
      <c r="C140" s="45"/>
      <c r="D140" s="35" t="s">
        <v>3</v>
      </c>
      <c r="E140" s="35" t="s">
        <v>5</v>
      </c>
      <c r="F140" s="35"/>
      <c r="G140" s="44">
        <v>2</v>
      </c>
      <c r="H140" s="44">
        <v>9</v>
      </c>
      <c r="I140" s="44">
        <v>3</v>
      </c>
      <c r="J140" s="44">
        <v>0</v>
      </c>
      <c r="K140" s="44">
        <v>0</v>
      </c>
      <c r="L140" s="43">
        <v>0.625</v>
      </c>
      <c r="M140" s="43">
        <v>0.64583333333333337</v>
      </c>
      <c r="N140" s="43">
        <f>1+18/24/60</f>
        <v>1.0125</v>
      </c>
      <c r="O140" s="43">
        <f>1+48/24/60</f>
        <v>1.0333333333333334</v>
      </c>
      <c r="P140" s="39"/>
      <c r="Q140" s="42"/>
      <c r="R140" s="44">
        <f>MIP_4[[#This Row],[PT-1]]+MIP_4[[#This Row],[PT-2]]*2+MIP_4[[#This Row],[PT-3]]*3+MIP_4[[#This Row],[PT &gt; 3 Pontos]]</f>
        <v>15</v>
      </c>
      <c r="S14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14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140" s="41">
        <f ca="1">MIP_4[[#This Row],[Eficiência]]</f>
        <v>1.098335307506503</v>
      </c>
      <c r="V14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40" s="39">
        <f>IF(MIP_4[[#This Row],[P.S]]-MIP_4[[#This Row],[P.E]]&lt;0,1+MIP_4[[#This Row],[P.S]]-MIP_4[[#This Row],[P.E]]-1/24,MIP_4[[#This Row],[P.S]]-MIP_4[[#This Row],[P.E]]-1/24)</f>
        <v>0.36666666666666675</v>
      </c>
      <c r="X140" s="39">
        <f ca="1">MIP_4[[#This Row],[PT-1]]*$S$3+MIP_4[[#This Row],[PT-2]]*$T$3+MIP_4[[#This Row],[PT-3]]*$U$3+MIP_4[[#This Row],[PT &gt; 3 Pontos]]*$V$3</f>
        <v>0.35695897493961337</v>
      </c>
      <c r="Y140" s="39">
        <f>MIP_4[[#This Row],[HH disponível]]-MIP_4[[#This Row],[HH AC TOT]]</f>
        <v>0.3249999999999999</v>
      </c>
      <c r="Z140" s="38">
        <f ca="1">MIP_4[[#This Row],[HH Produtivo
Total]]/MIP_4[[#This Row],[HH Trabalhado]]</f>
        <v>1.098335307506503</v>
      </c>
      <c r="AA140" s="38">
        <f ca="1">MIP_4[[#This Row],[HH Produtivo
Total]]/MIP_4[[#This Row],[HH disponível]]</f>
        <v>0.97352447710803625</v>
      </c>
      <c r="AB140" s="38">
        <f>MIP_4[[#This Row],[HH Trabalhado]]/MIP_4[[#This Row],[HH disponível]]</f>
        <v>0.88636363636363591</v>
      </c>
      <c r="AC140" s="37" t="str">
        <f>LEFT(MIP_4[[#This Row],[Equipe]], SEARCH("/",MIP_4[[#This Row],[Equipe]],1)-1)</f>
        <v xml:space="preserve">EDILTON </v>
      </c>
      <c r="AD140" s="37" t="str">
        <f>RIGHT(MIP_4[[#This Row],[Equipe]], LEN(MIP_4[[#This Row],[Equipe]])-SEARCH("/",MIP_4[[#This Row],[Equipe]],1))</f>
        <v xml:space="preserve"> GECIVALDO</v>
      </c>
      <c r="AE140" s="44">
        <f>COUNTIFS('[1]Tempo parado'!G:G,"&gt;="&amp;MIP_4[[#This Row],[S.B Sitrack]],'[1]Tempo parado'!H:H,"&lt;="&amp;MIP_4[[#This Row],[C.B Sitrack]],'[1]Tempo parado'!A:A,MIP_4[[#This Row],[Placa]])</f>
        <v>0</v>
      </c>
      <c r="AF140" s="36"/>
      <c r="AG140" s="35"/>
      <c r="AH140" s="34"/>
      <c r="AI140" s="34"/>
      <c r="AJ14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4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4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40" s="32" t="str">
        <f>IFERROR(MIP_4[[#This Row],[Tempo parado]]/(MIP_4[[#This Row],[C.B Sitrack]]-MIP_4[[#This Row],[S.B Sitrack]]),"")</f>
        <v/>
      </c>
      <c r="AN140" s="30"/>
      <c r="AO140" s="44">
        <f>IF(AND(MIP_4[Exc]=0,MIP_4[Previsto / Realizado]="Realizado"),MIP_4[Sem],0)</f>
        <v>0</v>
      </c>
      <c r="AP140" s="29">
        <f>IF(AND(MIP_4[Exc]=0,MIP_4[Previsto / Realizado]="Realizado",ISBLANK(MIP_4[[#This Row],[S.B Sitrack]])=FALSE,ISBLANK(MIP_4[[#This Row],[C.B Sitrack]])=FALSE),MIP_4[Sem],0)</f>
        <v>0</v>
      </c>
    </row>
    <row r="141" spans="1:42" ht="15.75" x14ac:dyDescent="0.25">
      <c r="A141" s="44">
        <f>WEEKNUM(MIP_4[[#This Row],[Data]])</f>
        <v>25</v>
      </c>
      <c r="B141" s="45">
        <v>42906</v>
      </c>
      <c r="C141" s="45"/>
      <c r="D141" s="35" t="s">
        <v>3</v>
      </c>
      <c r="E141" s="35" t="s">
        <v>2</v>
      </c>
      <c r="F141" s="35"/>
      <c r="G141" s="44">
        <v>2</v>
      </c>
      <c r="H141" s="44">
        <v>5</v>
      </c>
      <c r="I141" s="44">
        <v>2</v>
      </c>
      <c r="J141" s="44">
        <v>0</v>
      </c>
      <c r="K141" s="44">
        <v>0</v>
      </c>
      <c r="L141" s="43">
        <v>0.62291666666666667</v>
      </c>
      <c r="M141" s="43">
        <v>0.65694444444444444</v>
      </c>
      <c r="N141" s="43">
        <f>1+30/24/60</f>
        <v>1.0208333333333333</v>
      </c>
      <c r="O141" s="43">
        <f>1+45/24/60</f>
        <v>1.03125</v>
      </c>
      <c r="P141" s="39"/>
      <c r="Q141" s="42" t="s">
        <v>416</v>
      </c>
      <c r="R141" s="44">
        <f>MIP_4[[#This Row],[PT-1]]+MIP_4[[#This Row],[PT-2]]*2+MIP_4[[#This Row],[PT-3]]*3+MIP_4[[#This Row],[PT &gt; 3 Pontos]]</f>
        <v>9</v>
      </c>
      <c r="S14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4.4444444444444509E-2</v>
      </c>
      <c r="T14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4.4444444444444509E-2</v>
      </c>
      <c r="U141" s="41">
        <f ca="1">MIP_4[[#This Row],[Eficiência]]</f>
        <v>0.66086937000249857</v>
      </c>
      <c r="V14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41" s="39">
        <f>IF(MIP_4[[#This Row],[P.S]]-MIP_4[[#This Row],[P.E]]&lt;0,1+MIP_4[[#This Row],[P.S]]-MIP_4[[#This Row],[P.E]]-1/24,MIP_4[[#This Row],[P.S]]-MIP_4[[#This Row],[P.E]]-1/24)</f>
        <v>0.36666666666666664</v>
      </c>
      <c r="X141" s="39">
        <f ca="1">MIP_4[[#This Row],[PT-1]]*$S$3+MIP_4[[#This Row],[PT-2]]*$T$3+MIP_4[[#This Row],[PT-3]]*$U$3+MIP_4[[#This Row],[PT &gt; 3 Pontos]]*$V$3</f>
        <v>0.21294679700080504</v>
      </c>
      <c r="Y141" s="39">
        <f>MIP_4[[#This Row],[HH disponível]]-MIP_4[[#This Row],[HH AC TOT]]</f>
        <v>0.32222222222222213</v>
      </c>
      <c r="Z141" s="38">
        <f ca="1">MIP_4[[#This Row],[HH Produtivo
Total]]/MIP_4[[#This Row],[HH Trabalhado]]</f>
        <v>0.66086937000249857</v>
      </c>
      <c r="AA141" s="38">
        <f ca="1">MIP_4[[#This Row],[HH Produtivo
Total]]/MIP_4[[#This Row],[HH disponível]]</f>
        <v>0.58076399182037741</v>
      </c>
      <c r="AB141" s="38">
        <f>MIP_4[[#This Row],[HH Trabalhado]]/MIP_4[[#This Row],[HH disponível]]</f>
        <v>0.87878787878787856</v>
      </c>
      <c r="AC141" s="37" t="str">
        <f>LEFT(MIP_4[[#This Row],[Equipe]], SEARCH("/",MIP_4[[#This Row],[Equipe]],1)-1)</f>
        <v xml:space="preserve">EDILTON </v>
      </c>
      <c r="AD141" s="37" t="str">
        <f>RIGHT(MIP_4[[#This Row],[Equipe]], LEN(MIP_4[[#This Row],[Equipe]])-SEARCH("/",MIP_4[[#This Row],[Equipe]],1))</f>
        <v xml:space="preserve"> GECIVALDO</v>
      </c>
      <c r="AE141" s="44">
        <f>COUNTIFS('[1]Tempo parado'!G:G,"&gt;="&amp;MIP_4[[#This Row],[S.B Sitrack]],'[1]Tempo parado'!H:H,"&lt;="&amp;MIP_4[[#This Row],[C.B Sitrack]],'[1]Tempo parado'!A:A,MIP_4[[#This Row],[Placa]])</f>
        <v>0</v>
      </c>
      <c r="AF141" s="36"/>
      <c r="AG141" s="35"/>
      <c r="AH141" s="34"/>
      <c r="AI141" s="34"/>
      <c r="AJ14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4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4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41" s="32" t="str">
        <f>IFERROR(MIP_4[[#This Row],[Tempo parado]]/(MIP_4[[#This Row],[C.B Sitrack]]-MIP_4[[#This Row],[S.B Sitrack]]),"")</f>
        <v/>
      </c>
      <c r="AN141" s="30"/>
      <c r="AO141" s="44">
        <f>IF(AND(MIP_4[Exc]=0,MIP_4[Previsto / Realizado]="Realizado"),MIP_4[Sem],0)</f>
        <v>25</v>
      </c>
      <c r="AP141" s="29">
        <f>IF(AND(MIP_4[Exc]=0,MIP_4[Previsto / Realizado]="Realizado",ISBLANK(MIP_4[[#This Row],[S.B Sitrack]])=FALSE,ISBLANK(MIP_4[[#This Row],[C.B Sitrack]])=FALSE),MIP_4[Sem],0)</f>
        <v>0</v>
      </c>
    </row>
    <row r="142" spans="1:42" ht="15.75" x14ac:dyDescent="0.25">
      <c r="A142" s="44">
        <f>WEEKNUM(MIP_4[[#This Row],[Data]])</f>
        <v>25</v>
      </c>
      <c r="B142" s="45">
        <v>42910</v>
      </c>
      <c r="C142" s="45"/>
      <c r="D142" s="35" t="s">
        <v>178</v>
      </c>
      <c r="E142" s="35" t="s">
        <v>5</v>
      </c>
      <c r="F142" s="35"/>
      <c r="G142" s="44">
        <v>2</v>
      </c>
      <c r="H142" s="44">
        <v>8</v>
      </c>
      <c r="I142" s="44">
        <v>1</v>
      </c>
      <c r="J142" s="44">
        <v>1</v>
      </c>
      <c r="K142" s="44">
        <v>4</v>
      </c>
      <c r="L142" s="43">
        <v>0.625</v>
      </c>
      <c r="M142" s="43">
        <v>0.64583333333333337</v>
      </c>
      <c r="N142" s="43">
        <f>1+18/24/60</f>
        <v>1.0125</v>
      </c>
      <c r="O142" s="43">
        <f>1+48/24/60</f>
        <v>1.0333333333333334</v>
      </c>
      <c r="P142" s="39"/>
      <c r="Q142" s="42"/>
      <c r="R142" s="44">
        <f>MIP_4[[#This Row],[PT-1]]+MIP_4[[#This Row],[PT-2]]*2+MIP_4[[#This Row],[PT-3]]*3+MIP_4[[#This Row],[PT &gt; 3 Pontos]]</f>
        <v>17</v>
      </c>
      <c r="S14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14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142" s="41">
        <f ca="1">MIP_4[[#This Row],[Eficiência]]</f>
        <v>1.1935363462914792</v>
      </c>
      <c r="V14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42" s="39">
        <f>IF(MIP_4[[#This Row],[P.S]]-MIP_4[[#This Row],[P.E]]&lt;0,1+MIP_4[[#This Row],[P.S]]-MIP_4[[#This Row],[P.E]]-1/24,MIP_4[[#This Row],[P.S]]-MIP_4[[#This Row],[P.E]]-1/24)</f>
        <v>0.36666666666666675</v>
      </c>
      <c r="X142" s="39">
        <f ca="1">MIP_4[[#This Row],[PT-1]]*$S$3+MIP_4[[#This Row],[PT-2]]*$T$3+MIP_4[[#This Row],[PT-3]]*$U$3+MIP_4[[#This Row],[PT &gt; 3 Pontos]]*$V$3</f>
        <v>0.38789931254473065</v>
      </c>
      <c r="Y142" s="39">
        <f>MIP_4[[#This Row],[HH disponível]]-MIP_4[[#This Row],[HH AC TOT]]</f>
        <v>0.3249999999999999</v>
      </c>
      <c r="Z142" s="38">
        <f ca="1">MIP_4[[#This Row],[HH Produtivo
Total]]/MIP_4[[#This Row],[HH Trabalhado]]</f>
        <v>1.1935363462914792</v>
      </c>
      <c r="AA142" s="38">
        <f ca="1">MIP_4[[#This Row],[HH Produtivo
Total]]/MIP_4[[#This Row],[HH disponível]]</f>
        <v>1.0579072160310834</v>
      </c>
      <c r="AB142" s="38">
        <f>MIP_4[[#This Row],[HH Trabalhado]]/MIP_4[[#This Row],[HH disponível]]</f>
        <v>0.88636363636363591</v>
      </c>
      <c r="AC142" s="37" t="str">
        <f>LEFT(MIP_4[[#This Row],[Equipe]], SEARCH("/",MIP_4[[#This Row],[Equipe]],1)-1)</f>
        <v xml:space="preserve">HERVAL </v>
      </c>
      <c r="AD142" s="37" t="str">
        <f>RIGHT(MIP_4[[#This Row],[Equipe]], LEN(MIP_4[[#This Row],[Equipe]])-SEARCH("/",MIP_4[[#This Row],[Equipe]],1))</f>
        <v xml:space="preserve"> VALDEI</v>
      </c>
      <c r="AE142" s="44">
        <f>COUNTIFS('[1]Tempo parado'!G:G,"&gt;="&amp;MIP_4[[#This Row],[S.B Sitrack]],'[1]Tempo parado'!H:H,"&lt;="&amp;MIP_4[[#This Row],[C.B Sitrack]],'[1]Tempo parado'!A:A,MIP_4[[#This Row],[Placa]])</f>
        <v>0</v>
      </c>
      <c r="AF142" s="36"/>
      <c r="AG142" s="35"/>
      <c r="AH142" s="34"/>
      <c r="AI142" s="34"/>
      <c r="AJ14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4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4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42" s="32" t="str">
        <f>IFERROR(MIP_4[[#This Row],[Tempo parado]]/(MIP_4[[#This Row],[C.B Sitrack]]-MIP_4[[#This Row],[S.B Sitrack]]),"")</f>
        <v/>
      </c>
      <c r="AN142" s="30"/>
      <c r="AO142" s="44">
        <f>IF(AND(MIP_4[Exc]=0,MIP_4[Previsto / Realizado]="Realizado"),MIP_4[Sem],0)</f>
        <v>0</v>
      </c>
      <c r="AP142" s="29">
        <f>IF(AND(MIP_4[Exc]=0,MIP_4[Previsto / Realizado]="Realizado",ISBLANK(MIP_4[[#This Row],[S.B Sitrack]])=FALSE,ISBLANK(MIP_4[[#This Row],[C.B Sitrack]])=FALSE),MIP_4[Sem],0)</f>
        <v>0</v>
      </c>
    </row>
    <row r="143" spans="1:42" ht="15.75" x14ac:dyDescent="0.25">
      <c r="A143" s="44">
        <f>WEEKNUM(MIP_4[[#This Row],[Data]])</f>
        <v>25</v>
      </c>
      <c r="B143" s="45">
        <v>42910</v>
      </c>
      <c r="C143" s="45"/>
      <c r="D143" s="35" t="s">
        <v>178</v>
      </c>
      <c r="E143" s="35" t="s">
        <v>2</v>
      </c>
      <c r="F143" s="35"/>
      <c r="G143" s="44">
        <v>2</v>
      </c>
      <c r="H143" s="44">
        <v>3</v>
      </c>
      <c r="I143" s="44">
        <v>1</v>
      </c>
      <c r="J143" s="44">
        <v>1</v>
      </c>
      <c r="K143" s="44">
        <v>2</v>
      </c>
      <c r="L143" s="43">
        <v>0.26944444444444443</v>
      </c>
      <c r="M143" s="43">
        <v>0.31597222222222221</v>
      </c>
      <c r="N143" s="43">
        <v>0.58333333333333337</v>
      </c>
      <c r="O143" s="43">
        <v>0.61388888888888882</v>
      </c>
      <c r="P143" s="39"/>
      <c r="Q143" s="42" t="s">
        <v>415</v>
      </c>
      <c r="R143" s="44">
        <f>MIP_4[[#This Row],[PT-1]]+MIP_4[[#This Row],[PT-2]]*2+MIP_4[[#This Row],[PT-3]]*3+MIP_4[[#This Row],[PT &gt; 3 Pontos]]</f>
        <v>10</v>
      </c>
      <c r="S14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7.7083333333333226E-2</v>
      </c>
      <c r="T14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7.7083333333333226E-2</v>
      </c>
      <c r="U143" s="41">
        <f ca="1">MIP_4[[#This Row],[Eficiência]]</f>
        <v>0.98484491514926287</v>
      </c>
      <c r="V14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43" s="39">
        <f>IF(MIP_4[[#This Row],[P.S]]-MIP_4[[#This Row],[P.E]]&lt;0,1+MIP_4[[#This Row],[P.S]]-MIP_4[[#This Row],[P.E]]-1/24,MIP_4[[#This Row],[P.S]]-MIP_4[[#This Row],[P.E]]-1/24)</f>
        <v>0.3027777777777777</v>
      </c>
      <c r="X143" s="39">
        <f ca="1">MIP_4[[#This Row],[PT-1]]*$S$3+MIP_4[[#This Row],[PT-2]]*$T$3+MIP_4[[#This Row],[PT-3]]*$U$3+MIP_4[[#This Row],[PT &gt; 3 Pontos]]*$V$3</f>
        <v>0.22227402598854895</v>
      </c>
      <c r="Y143" s="39">
        <f>MIP_4[[#This Row],[HH disponível]]-MIP_4[[#This Row],[HH AC TOT]]</f>
        <v>0.22569444444444448</v>
      </c>
      <c r="Z143" s="38">
        <f ca="1">MIP_4[[#This Row],[HH Produtivo
Total]]/MIP_4[[#This Row],[HH Trabalhado]]</f>
        <v>0.98484491514926287</v>
      </c>
      <c r="AA143" s="38">
        <f ca="1">MIP_4[[#This Row],[HH Produtivo
Total]]/MIP_4[[#This Row],[HH disponível]]</f>
        <v>0.73411604913649209</v>
      </c>
      <c r="AB143" s="38">
        <f>MIP_4[[#This Row],[HH Trabalhado]]/MIP_4[[#This Row],[HH disponível]]</f>
        <v>0.7454128440366975</v>
      </c>
      <c r="AC143" s="37" t="str">
        <f>LEFT(MIP_4[[#This Row],[Equipe]], SEARCH("/",MIP_4[[#This Row],[Equipe]],1)-1)</f>
        <v xml:space="preserve">HERVAL </v>
      </c>
      <c r="AD143" s="37" t="str">
        <f>RIGHT(MIP_4[[#This Row],[Equipe]], LEN(MIP_4[[#This Row],[Equipe]])-SEARCH("/",MIP_4[[#This Row],[Equipe]],1))</f>
        <v xml:space="preserve"> VALDEI</v>
      </c>
      <c r="AE143" s="44">
        <f>COUNTIFS('[1]Tempo parado'!G:G,"&gt;="&amp;MIP_4[[#This Row],[S.B Sitrack]],'[1]Tempo parado'!H:H,"&lt;="&amp;MIP_4[[#This Row],[C.B Sitrack]],'[1]Tempo parado'!A:A,MIP_4[[#This Row],[Placa]])</f>
        <v>0</v>
      </c>
      <c r="AF143" s="36"/>
      <c r="AG143" s="35"/>
      <c r="AH143" s="34"/>
      <c r="AI143" s="34"/>
      <c r="AJ14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4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4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43" s="32" t="str">
        <f>IFERROR(MIP_4[[#This Row],[Tempo parado]]/(MIP_4[[#This Row],[C.B Sitrack]]-MIP_4[[#This Row],[S.B Sitrack]]),"")</f>
        <v/>
      </c>
      <c r="AN143" s="30"/>
      <c r="AO143" s="44">
        <f>IF(AND(MIP_4[Exc]=0,MIP_4[Previsto / Realizado]="Realizado"),MIP_4[Sem],0)</f>
        <v>25</v>
      </c>
      <c r="AP143" s="29">
        <f>IF(AND(MIP_4[Exc]=0,MIP_4[Previsto / Realizado]="Realizado",ISBLANK(MIP_4[[#This Row],[S.B Sitrack]])=FALSE,ISBLANK(MIP_4[[#This Row],[C.B Sitrack]])=FALSE),MIP_4[Sem],0)</f>
        <v>0</v>
      </c>
    </row>
    <row r="144" spans="1:42" ht="15.75" x14ac:dyDescent="0.25">
      <c r="A144" s="44">
        <f>WEEKNUM(MIP_4[[#This Row],[Data]])</f>
        <v>26</v>
      </c>
      <c r="B144" s="45">
        <v>42911</v>
      </c>
      <c r="C144" s="45"/>
      <c r="D144" s="35" t="s">
        <v>414</v>
      </c>
      <c r="E144" s="35" t="s">
        <v>5</v>
      </c>
      <c r="F144" s="35"/>
      <c r="G144" s="44">
        <v>2</v>
      </c>
      <c r="H144" s="44">
        <v>6</v>
      </c>
      <c r="I144" s="44">
        <v>3</v>
      </c>
      <c r="J144" s="44">
        <v>1</v>
      </c>
      <c r="K144" s="44">
        <v>0</v>
      </c>
      <c r="L144" s="43">
        <v>0.625</v>
      </c>
      <c r="M144" s="43">
        <v>0.64583333333333337</v>
      </c>
      <c r="N144" s="43">
        <f>1+18/24/60</f>
        <v>1.0125</v>
      </c>
      <c r="O144" s="43">
        <f>1+48/24/60</f>
        <v>1.0333333333333334</v>
      </c>
      <c r="P144" s="39"/>
      <c r="Q144" s="42"/>
      <c r="R144" s="44">
        <f>MIP_4[[#This Row],[PT-1]]+MIP_4[[#This Row],[PT-2]]*2+MIP_4[[#This Row],[PT-3]]*3+MIP_4[[#This Row],[PT &gt; 3 Pontos]]</f>
        <v>15</v>
      </c>
      <c r="S14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14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144" s="41">
        <f ca="1">MIP_4[[#This Row],[Eficiência]]</f>
        <v>1.0605326009537965</v>
      </c>
      <c r="V14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44" s="39">
        <f>IF(MIP_4[[#This Row],[P.S]]-MIP_4[[#This Row],[P.E]]&lt;0,1+MIP_4[[#This Row],[P.S]]-MIP_4[[#This Row],[P.E]]-1/24,MIP_4[[#This Row],[P.S]]-MIP_4[[#This Row],[P.E]]-1/24)</f>
        <v>0.36666666666666675</v>
      </c>
      <c r="X144" s="39">
        <f ca="1">MIP_4[[#This Row],[PT-1]]*$S$3+MIP_4[[#This Row],[PT-2]]*$T$3+MIP_4[[#This Row],[PT-3]]*$U$3+MIP_4[[#This Row],[PT &gt; 3 Pontos]]*$V$3</f>
        <v>0.3446730953099838</v>
      </c>
      <c r="Y144" s="39">
        <f>MIP_4[[#This Row],[HH disponível]]-MIP_4[[#This Row],[HH AC TOT]]</f>
        <v>0.3249999999999999</v>
      </c>
      <c r="Z144" s="38">
        <f ca="1">MIP_4[[#This Row],[HH Produtivo
Total]]/MIP_4[[#This Row],[HH Trabalhado]]</f>
        <v>1.0605326009537965</v>
      </c>
      <c r="AA144" s="38">
        <f ca="1">MIP_4[[#This Row],[HH Produtivo
Total]]/MIP_4[[#This Row],[HH disponível]]</f>
        <v>0.940017532663592</v>
      </c>
      <c r="AB144" s="38">
        <f>MIP_4[[#This Row],[HH Trabalhado]]/MIP_4[[#This Row],[HH disponível]]</f>
        <v>0.88636363636363591</v>
      </c>
      <c r="AC144" s="37" t="str">
        <f>LEFT(MIP_4[[#This Row],[Equipe]], SEARCH("/",MIP_4[[#This Row],[Equipe]],1)-1)</f>
        <v xml:space="preserve">EDILTON </v>
      </c>
      <c r="AD144" s="37" t="str">
        <f>RIGHT(MIP_4[[#This Row],[Equipe]], LEN(MIP_4[[#This Row],[Equipe]])-SEARCH("/",MIP_4[[#This Row],[Equipe]],1))</f>
        <v xml:space="preserve"> VALDEI</v>
      </c>
      <c r="AE144" s="44">
        <f>COUNTIFS('[1]Tempo parado'!G:G,"&gt;="&amp;MIP_4[[#This Row],[S.B Sitrack]],'[1]Tempo parado'!H:H,"&lt;="&amp;MIP_4[[#This Row],[C.B Sitrack]],'[1]Tempo parado'!A:A,MIP_4[[#This Row],[Placa]])</f>
        <v>0</v>
      </c>
      <c r="AF144" s="36"/>
      <c r="AG144" s="35"/>
      <c r="AH144" s="34"/>
      <c r="AI144" s="34"/>
      <c r="AJ14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4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4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44" s="32" t="str">
        <f>IFERROR(MIP_4[[#This Row],[Tempo parado]]/(MIP_4[[#This Row],[C.B Sitrack]]-MIP_4[[#This Row],[S.B Sitrack]]),"")</f>
        <v/>
      </c>
      <c r="AN144" s="30"/>
      <c r="AO144" s="44">
        <f>IF(AND(MIP_4[Exc]=0,MIP_4[Previsto / Realizado]="Realizado"),MIP_4[Sem],0)</f>
        <v>0</v>
      </c>
      <c r="AP144" s="29">
        <f>IF(AND(MIP_4[Exc]=0,MIP_4[Previsto / Realizado]="Realizado",ISBLANK(MIP_4[[#This Row],[S.B Sitrack]])=FALSE,ISBLANK(MIP_4[[#This Row],[C.B Sitrack]])=FALSE),MIP_4[Sem],0)</f>
        <v>0</v>
      </c>
    </row>
    <row r="145" spans="1:42" ht="15.75" x14ac:dyDescent="0.25">
      <c r="A145" s="44">
        <f>WEEKNUM(MIP_4[[#This Row],[Data]])</f>
        <v>26</v>
      </c>
      <c r="B145" s="45">
        <v>42911</v>
      </c>
      <c r="C145" s="45"/>
      <c r="D145" s="35" t="s">
        <v>414</v>
      </c>
      <c r="E145" s="35" t="s">
        <v>2</v>
      </c>
      <c r="F145" s="35"/>
      <c r="G145" s="44">
        <v>2</v>
      </c>
      <c r="H145" s="44">
        <v>2</v>
      </c>
      <c r="I145" s="44">
        <v>3</v>
      </c>
      <c r="J145" s="44">
        <v>1</v>
      </c>
      <c r="K145" s="44">
        <v>0</v>
      </c>
      <c r="L145" s="43">
        <v>0.26111111111111113</v>
      </c>
      <c r="M145" s="43">
        <v>0.3125</v>
      </c>
      <c r="N145" s="43">
        <v>0.48402777777777778</v>
      </c>
      <c r="O145" s="43">
        <v>0.62708333333333333</v>
      </c>
      <c r="P145" s="39"/>
      <c r="Q145" s="42"/>
      <c r="R145" s="44">
        <f>MIP_4[[#This Row],[PT-1]]+MIP_4[[#This Row],[PT-2]]*2+MIP_4[[#This Row],[PT-3]]*3+MIP_4[[#This Row],[PT &gt; 3 Pontos]]</f>
        <v>11</v>
      </c>
      <c r="S14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0.19444444444444442</v>
      </c>
      <c r="T14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0.19444444444444442</v>
      </c>
      <c r="U145" s="41">
        <f ca="1">MIP_4[[#This Row],[Eficiência]]</f>
        <v>1.8833173486786021</v>
      </c>
      <c r="V14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45" s="39">
        <f>IF(MIP_4[[#This Row],[P.S]]-MIP_4[[#This Row],[P.E]]&lt;0,1+MIP_4[[#This Row],[P.S]]-MIP_4[[#This Row],[P.E]]-1/24,MIP_4[[#This Row],[P.S]]-MIP_4[[#This Row],[P.E]]-1/24)</f>
        <v>0.32430555555555551</v>
      </c>
      <c r="X145" s="39">
        <f ca="1">MIP_4[[#This Row],[PT-1]]*$S$3+MIP_4[[#This Row],[PT-2]]*$T$3+MIP_4[[#This Row],[PT-3]]*$U$3+MIP_4[[#This Row],[PT &gt; 3 Pontos]]*$V$3</f>
        <v>0.24456968347423511</v>
      </c>
      <c r="Y145" s="39">
        <f>MIP_4[[#This Row],[HH disponível]]-MIP_4[[#This Row],[HH AC TOT]]</f>
        <v>0.12986111111111109</v>
      </c>
      <c r="Z145" s="38">
        <f ca="1">MIP_4[[#This Row],[HH Produtivo
Total]]/MIP_4[[#This Row],[HH Trabalhado]]</f>
        <v>1.8833173486786021</v>
      </c>
      <c r="AA145" s="38">
        <f ca="1">MIP_4[[#This Row],[HH Produtivo
Total]]/MIP_4[[#This Row],[HH disponível]]</f>
        <v>0.75413349936380858</v>
      </c>
      <c r="AB145" s="38">
        <f>MIP_4[[#This Row],[HH Trabalhado]]/MIP_4[[#This Row],[HH disponível]]</f>
        <v>0.40042826552462529</v>
      </c>
      <c r="AC145" s="37" t="str">
        <f>LEFT(MIP_4[[#This Row],[Equipe]], SEARCH("/",MIP_4[[#This Row],[Equipe]],1)-1)</f>
        <v xml:space="preserve">EDILTON </v>
      </c>
      <c r="AD145" s="37" t="str">
        <f>RIGHT(MIP_4[[#This Row],[Equipe]], LEN(MIP_4[[#This Row],[Equipe]])-SEARCH("/",MIP_4[[#This Row],[Equipe]],1))</f>
        <v xml:space="preserve"> VALDEI</v>
      </c>
      <c r="AE145" s="44">
        <f>COUNTIFS('[1]Tempo parado'!G:G,"&gt;="&amp;MIP_4[[#This Row],[S.B Sitrack]],'[1]Tempo parado'!H:H,"&lt;="&amp;MIP_4[[#This Row],[C.B Sitrack]],'[1]Tempo parado'!A:A,MIP_4[[#This Row],[Placa]])</f>
        <v>0</v>
      </c>
      <c r="AF145" s="36"/>
      <c r="AG145" s="35"/>
      <c r="AH145" s="34"/>
      <c r="AI145" s="34"/>
      <c r="AJ14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4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4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45" s="32" t="str">
        <f>IFERROR(MIP_4[[#This Row],[Tempo parado]]/(MIP_4[[#This Row],[C.B Sitrack]]-MIP_4[[#This Row],[S.B Sitrack]]),"")</f>
        <v/>
      </c>
      <c r="AN145" s="30"/>
      <c r="AO145" s="44">
        <f>IF(AND(MIP_4[Exc]=0,MIP_4[Previsto / Realizado]="Realizado"),MIP_4[Sem],0)</f>
        <v>26</v>
      </c>
      <c r="AP145" s="29">
        <f>IF(AND(MIP_4[Exc]=0,MIP_4[Previsto / Realizado]="Realizado",ISBLANK(MIP_4[[#This Row],[S.B Sitrack]])=FALSE,ISBLANK(MIP_4[[#This Row],[C.B Sitrack]])=FALSE),MIP_4[Sem],0)</f>
        <v>0</v>
      </c>
    </row>
    <row r="146" spans="1:42" ht="15.75" x14ac:dyDescent="0.25">
      <c r="A146" s="44">
        <f>WEEKNUM(MIP_4[[#This Row],[Data]])</f>
        <v>26</v>
      </c>
      <c r="B146" s="45">
        <v>42911</v>
      </c>
      <c r="C146" s="45"/>
      <c r="D146" s="35" t="s">
        <v>19</v>
      </c>
      <c r="E146" s="35" t="s">
        <v>5</v>
      </c>
      <c r="F146" s="35"/>
      <c r="G146" s="44">
        <v>2</v>
      </c>
      <c r="H146" s="44">
        <v>8</v>
      </c>
      <c r="I146" s="44">
        <v>2</v>
      </c>
      <c r="J146" s="44">
        <v>1</v>
      </c>
      <c r="K146" s="44">
        <v>0</v>
      </c>
      <c r="L146" s="43">
        <v>0.625</v>
      </c>
      <c r="M146" s="43">
        <v>0.64583333333333337</v>
      </c>
      <c r="N146" s="43">
        <f>1+18/24/60</f>
        <v>1.0125</v>
      </c>
      <c r="O146" s="43">
        <f>1+48/24/60</f>
        <v>1.0333333333333334</v>
      </c>
      <c r="P146" s="39"/>
      <c r="Q146" s="42"/>
      <c r="R146" s="44">
        <f>MIP_4[[#This Row],[PT-1]]+MIP_4[[#This Row],[PT-2]]*2+MIP_4[[#This Row],[PT-3]]*3+MIP_4[[#This Row],[PT &gt; 3 Pontos]]</f>
        <v>15</v>
      </c>
      <c r="S14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14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146" s="41">
        <f ca="1">MIP_4[[#This Row],[Eficiência]]</f>
        <v>1.0794339542301499</v>
      </c>
      <c r="V14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46" s="39">
        <f>IF(MIP_4[[#This Row],[P.S]]-MIP_4[[#This Row],[P.E]]&lt;0,1+MIP_4[[#This Row],[P.S]]-MIP_4[[#This Row],[P.E]]-1/24,MIP_4[[#This Row],[P.S]]-MIP_4[[#This Row],[P.E]]-1/24)</f>
        <v>0.36666666666666675</v>
      </c>
      <c r="X146" s="39">
        <f ca="1">MIP_4[[#This Row],[PT-1]]*$S$3+MIP_4[[#This Row],[PT-2]]*$T$3+MIP_4[[#This Row],[PT-3]]*$U$3+MIP_4[[#This Row],[PT &gt; 3 Pontos]]*$V$3</f>
        <v>0.35081603512479859</v>
      </c>
      <c r="Y146" s="39">
        <f>MIP_4[[#This Row],[HH disponível]]-MIP_4[[#This Row],[HH AC TOT]]</f>
        <v>0.3249999999999999</v>
      </c>
      <c r="Z146" s="38">
        <f ca="1">MIP_4[[#This Row],[HH Produtivo
Total]]/MIP_4[[#This Row],[HH Trabalhado]]</f>
        <v>1.0794339542301499</v>
      </c>
      <c r="AA146" s="38">
        <f ca="1">MIP_4[[#This Row],[HH Produtivo
Total]]/MIP_4[[#This Row],[HH disponível]]</f>
        <v>0.95677100488581412</v>
      </c>
      <c r="AB146" s="38">
        <f>MIP_4[[#This Row],[HH Trabalhado]]/MIP_4[[#This Row],[HH disponível]]</f>
        <v>0.88636363636363591</v>
      </c>
      <c r="AC146" s="37" t="str">
        <f>LEFT(MIP_4[[#This Row],[Equipe]], SEARCH("/",MIP_4[[#This Row],[Equipe]],1)-1)</f>
        <v xml:space="preserve">ADEMÁRIO </v>
      </c>
      <c r="AD146" s="37" t="str">
        <f>RIGHT(MIP_4[[#This Row],[Equipe]], LEN(MIP_4[[#This Row],[Equipe]])-SEARCH("/",MIP_4[[#This Row],[Equipe]],1))</f>
        <v xml:space="preserve"> RONALDO</v>
      </c>
      <c r="AE146" s="44">
        <f>COUNTIFS('[1]Tempo parado'!G:G,"&gt;="&amp;MIP_4[[#This Row],[S.B Sitrack]],'[1]Tempo parado'!H:H,"&lt;="&amp;MIP_4[[#This Row],[C.B Sitrack]],'[1]Tempo parado'!A:A,MIP_4[[#This Row],[Placa]])</f>
        <v>0</v>
      </c>
      <c r="AF146" s="36"/>
      <c r="AG146" s="35"/>
      <c r="AH146" s="34"/>
      <c r="AI146" s="34"/>
      <c r="AJ14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4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4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46" s="32" t="str">
        <f>IFERROR(MIP_4[[#This Row],[Tempo parado]]/(MIP_4[[#This Row],[C.B Sitrack]]-MIP_4[[#This Row],[S.B Sitrack]]),"")</f>
        <v/>
      </c>
      <c r="AN146" s="30"/>
      <c r="AO146" s="44">
        <f>IF(AND(MIP_4[Exc]=0,MIP_4[Previsto / Realizado]="Realizado"),MIP_4[Sem],0)</f>
        <v>0</v>
      </c>
      <c r="AP146" s="29">
        <f>IF(AND(MIP_4[Exc]=0,MIP_4[Previsto / Realizado]="Realizado",ISBLANK(MIP_4[[#This Row],[S.B Sitrack]])=FALSE,ISBLANK(MIP_4[[#This Row],[C.B Sitrack]])=FALSE),MIP_4[Sem],0)</f>
        <v>0</v>
      </c>
    </row>
    <row r="147" spans="1:42" ht="15.75" x14ac:dyDescent="0.25">
      <c r="A147" s="44">
        <f>WEEKNUM(MIP_4[[#This Row],[Data]])</f>
        <v>26</v>
      </c>
      <c r="B147" s="45">
        <v>42911</v>
      </c>
      <c r="C147" s="45"/>
      <c r="D147" s="35" t="s">
        <v>19</v>
      </c>
      <c r="E147" s="35" t="s">
        <v>2</v>
      </c>
      <c r="F147" s="35"/>
      <c r="G147" s="44">
        <v>2</v>
      </c>
      <c r="H147" s="44">
        <v>7</v>
      </c>
      <c r="I147" s="44">
        <v>2</v>
      </c>
      <c r="J147" s="44">
        <v>0</v>
      </c>
      <c r="K147" s="44">
        <v>0</v>
      </c>
      <c r="L147" s="43">
        <v>0.63958333333333328</v>
      </c>
      <c r="M147" s="43">
        <v>0.64583333333333337</v>
      </c>
      <c r="N147" s="43">
        <f>1+8/24/60</f>
        <v>1.0055555555555555</v>
      </c>
      <c r="O147" s="43">
        <f>1+48/24/60</f>
        <v>1.0333333333333334</v>
      </c>
      <c r="P147" s="39"/>
      <c r="Q147" s="42"/>
      <c r="R147" s="44">
        <f>MIP_4[[#This Row],[PT-1]]+MIP_4[[#This Row],[PT-2]]*2+MIP_4[[#This Row],[PT-3]]*3+MIP_4[[#This Row],[PT &gt; 3 Pontos]]</f>
        <v>11</v>
      </c>
      <c r="S14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3.402777777777799E-2</v>
      </c>
      <c r="T14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3.402777777777799E-2</v>
      </c>
      <c r="U147" s="41">
        <f ca="1">MIP_4[[#This Row],[Eficiência]]</f>
        <v>0.82689485633820625</v>
      </c>
      <c r="V14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47" s="39">
        <f>IF(MIP_4[[#This Row],[P.S]]-MIP_4[[#This Row],[P.E]]&lt;0,1+MIP_4[[#This Row],[P.S]]-MIP_4[[#This Row],[P.E]]-1/24,MIP_4[[#This Row],[P.S]]-MIP_4[[#This Row],[P.E]]-1/24)</f>
        <v>0.35208333333333347</v>
      </c>
      <c r="X147" s="39">
        <f ca="1">MIP_4[[#This Row],[PT-1]]*$S$3+MIP_4[[#This Row],[PT-2]]*$T$3+MIP_4[[#This Row],[PT-3]]*$U$3+MIP_4[[#This Row],[PT &gt; 3 Pontos]]*$V$3</f>
        <v>0.26299850291867943</v>
      </c>
      <c r="Y147" s="39">
        <f>MIP_4[[#This Row],[HH disponível]]-MIP_4[[#This Row],[HH AC TOT]]</f>
        <v>0.31805555555555548</v>
      </c>
      <c r="Z147" s="38">
        <f ca="1">MIP_4[[#This Row],[HH Produtivo
Total]]/MIP_4[[#This Row],[HH Trabalhado]]</f>
        <v>0.82689485633820625</v>
      </c>
      <c r="AA147" s="38">
        <f ca="1">MIP_4[[#This Row],[HH Produtivo
Total]]/MIP_4[[#This Row],[HH disponível]]</f>
        <v>0.74697799645542062</v>
      </c>
      <c r="AB147" s="38">
        <f>MIP_4[[#This Row],[HH Trabalhado]]/MIP_4[[#This Row],[HH disponível]]</f>
        <v>0.90335305719921044</v>
      </c>
      <c r="AC147" s="37" t="str">
        <f>LEFT(MIP_4[[#This Row],[Equipe]], SEARCH("/",MIP_4[[#This Row],[Equipe]],1)-1)</f>
        <v xml:space="preserve">ADEMÁRIO </v>
      </c>
      <c r="AD147" s="37" t="str">
        <f>RIGHT(MIP_4[[#This Row],[Equipe]], LEN(MIP_4[[#This Row],[Equipe]])-SEARCH("/",MIP_4[[#This Row],[Equipe]],1))</f>
        <v xml:space="preserve"> RONALDO</v>
      </c>
      <c r="AE147" s="44">
        <f>COUNTIFS('[1]Tempo parado'!G:G,"&gt;="&amp;MIP_4[[#This Row],[S.B Sitrack]],'[1]Tempo parado'!H:H,"&lt;="&amp;MIP_4[[#This Row],[C.B Sitrack]],'[1]Tempo parado'!A:A,MIP_4[[#This Row],[Placa]])</f>
        <v>0</v>
      </c>
      <c r="AF147" s="36"/>
      <c r="AG147" s="35"/>
      <c r="AH147" s="34"/>
      <c r="AI147" s="34"/>
      <c r="AJ14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4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4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47" s="32" t="str">
        <f>IFERROR(MIP_4[[#This Row],[Tempo parado]]/(MIP_4[[#This Row],[C.B Sitrack]]-MIP_4[[#This Row],[S.B Sitrack]]),"")</f>
        <v/>
      </c>
      <c r="AN147" s="30"/>
      <c r="AO147" s="44">
        <f>IF(AND(MIP_4[Exc]=0,MIP_4[Previsto / Realizado]="Realizado"),MIP_4[Sem],0)</f>
        <v>26</v>
      </c>
      <c r="AP147" s="29">
        <f>IF(AND(MIP_4[Exc]=0,MIP_4[Previsto / Realizado]="Realizado",ISBLANK(MIP_4[[#This Row],[S.B Sitrack]])=FALSE,ISBLANK(MIP_4[[#This Row],[C.B Sitrack]])=FALSE),MIP_4[Sem],0)</f>
        <v>0</v>
      </c>
    </row>
    <row r="148" spans="1:42" ht="15.75" x14ac:dyDescent="0.25">
      <c r="A148" s="44">
        <f>WEEKNUM(MIP_4[[#This Row],[Data]])</f>
        <v>26</v>
      </c>
      <c r="B148" s="45">
        <v>42912</v>
      </c>
      <c r="C148" s="45"/>
      <c r="D148" s="35" t="s">
        <v>3</v>
      </c>
      <c r="E148" s="35" t="s">
        <v>5</v>
      </c>
      <c r="F148" s="35"/>
      <c r="G148" s="44">
        <v>2</v>
      </c>
      <c r="H148" s="44">
        <v>12</v>
      </c>
      <c r="I148" s="44">
        <v>0</v>
      </c>
      <c r="J148" s="44">
        <v>1</v>
      </c>
      <c r="K148" s="44">
        <v>0</v>
      </c>
      <c r="L148" s="43">
        <v>0.625</v>
      </c>
      <c r="M148" s="43">
        <v>0.64583333333333337</v>
      </c>
      <c r="N148" s="43">
        <f>1+18/24/60</f>
        <v>1.0125</v>
      </c>
      <c r="O148" s="43">
        <f>1+48/24/60</f>
        <v>1.0333333333333334</v>
      </c>
      <c r="P148" s="39"/>
      <c r="Q148" s="42"/>
      <c r="R148" s="44">
        <f>MIP_4[[#This Row],[PT-1]]+MIP_4[[#This Row],[PT-2]]*2+MIP_4[[#This Row],[PT-3]]*3+MIP_4[[#This Row],[PT &gt; 3 Pontos]]</f>
        <v>15</v>
      </c>
      <c r="S14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14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148" s="41">
        <f ca="1">MIP_4[[#This Row],[Eficiência]]</f>
        <v>1.1172366607828561</v>
      </c>
      <c r="V14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48" s="39">
        <f>IF(MIP_4[[#This Row],[P.S]]-MIP_4[[#This Row],[P.E]]&lt;0,1+MIP_4[[#This Row],[P.S]]-MIP_4[[#This Row],[P.E]]-1/24,MIP_4[[#This Row],[P.S]]-MIP_4[[#This Row],[P.E]]-1/24)</f>
        <v>0.36666666666666675</v>
      </c>
      <c r="X148" s="39">
        <f ca="1">MIP_4[[#This Row],[PT-1]]*$S$3+MIP_4[[#This Row],[PT-2]]*$T$3+MIP_4[[#This Row],[PT-3]]*$U$3+MIP_4[[#This Row],[PT &gt; 3 Pontos]]*$V$3</f>
        <v>0.36310191475442816</v>
      </c>
      <c r="Y148" s="39">
        <f>MIP_4[[#This Row],[HH disponível]]-MIP_4[[#This Row],[HH AC TOT]]</f>
        <v>0.3249999999999999</v>
      </c>
      <c r="Z148" s="38">
        <f ca="1">MIP_4[[#This Row],[HH Produtivo
Total]]/MIP_4[[#This Row],[HH Trabalhado]]</f>
        <v>1.1172366607828561</v>
      </c>
      <c r="AA148" s="38">
        <f ca="1">MIP_4[[#This Row],[HH Produtivo
Total]]/MIP_4[[#This Row],[HH disponível]]</f>
        <v>0.99027794933025837</v>
      </c>
      <c r="AB148" s="38">
        <f>MIP_4[[#This Row],[HH Trabalhado]]/MIP_4[[#This Row],[HH disponível]]</f>
        <v>0.88636363636363591</v>
      </c>
      <c r="AC148" s="37" t="str">
        <f>LEFT(MIP_4[[#This Row],[Equipe]], SEARCH("/",MIP_4[[#This Row],[Equipe]],1)-1)</f>
        <v xml:space="preserve">EDILTON </v>
      </c>
      <c r="AD148" s="37" t="str">
        <f>RIGHT(MIP_4[[#This Row],[Equipe]], LEN(MIP_4[[#This Row],[Equipe]])-SEARCH("/",MIP_4[[#This Row],[Equipe]],1))</f>
        <v xml:space="preserve"> GECIVALDO</v>
      </c>
      <c r="AE148" s="44">
        <f>COUNTIFS('[1]Tempo parado'!G:G,"&gt;="&amp;MIP_4[[#This Row],[S.B Sitrack]],'[1]Tempo parado'!H:H,"&lt;="&amp;MIP_4[[#This Row],[C.B Sitrack]],'[1]Tempo parado'!A:A,MIP_4[[#This Row],[Placa]])</f>
        <v>0</v>
      </c>
      <c r="AF148" s="36"/>
      <c r="AG148" s="35"/>
      <c r="AH148" s="34"/>
      <c r="AI148" s="34"/>
      <c r="AJ14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4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4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48" s="32" t="str">
        <f>IFERROR(MIP_4[[#This Row],[Tempo parado]]/(MIP_4[[#This Row],[C.B Sitrack]]-MIP_4[[#This Row],[S.B Sitrack]]),"")</f>
        <v/>
      </c>
      <c r="AN148" s="30"/>
      <c r="AO148" s="44">
        <f>IF(AND(MIP_4[Exc]=0,MIP_4[Previsto / Realizado]="Realizado"),MIP_4[Sem],0)</f>
        <v>0</v>
      </c>
      <c r="AP148" s="29">
        <f>IF(AND(MIP_4[Exc]=0,MIP_4[Previsto / Realizado]="Realizado",ISBLANK(MIP_4[[#This Row],[S.B Sitrack]])=FALSE,ISBLANK(MIP_4[[#This Row],[C.B Sitrack]])=FALSE),MIP_4[Sem],0)</f>
        <v>0</v>
      </c>
    </row>
    <row r="149" spans="1:42" ht="15.75" x14ac:dyDescent="0.25">
      <c r="A149" s="44">
        <f>WEEKNUM(MIP_4[[#This Row],[Data]])</f>
        <v>26</v>
      </c>
      <c r="B149" s="45">
        <v>42912</v>
      </c>
      <c r="C149" s="45"/>
      <c r="D149" s="35" t="s">
        <v>3</v>
      </c>
      <c r="E149" s="35" t="s">
        <v>2</v>
      </c>
      <c r="F149" s="35"/>
      <c r="G149" s="44">
        <v>2</v>
      </c>
      <c r="H149" s="44">
        <v>11</v>
      </c>
      <c r="I149" s="44">
        <v>0</v>
      </c>
      <c r="J149" s="44">
        <v>0</v>
      </c>
      <c r="K149" s="44">
        <v>0</v>
      </c>
      <c r="L149" s="43">
        <v>0.62083333333333335</v>
      </c>
      <c r="M149" s="43">
        <v>0.64930555555555558</v>
      </c>
      <c r="N149" s="43">
        <f>1+25/24/60</f>
        <v>1.0173611111111112</v>
      </c>
      <c r="O149" s="43">
        <f>1+48/24/60</f>
        <v>1.0333333333333334</v>
      </c>
      <c r="P149" s="39"/>
      <c r="Q149" s="42" t="s">
        <v>413</v>
      </c>
      <c r="R149" s="44">
        <f>MIP_4[[#This Row],[PT-1]]+MIP_4[[#This Row],[PT-2]]*2+MIP_4[[#This Row],[PT-3]]*3+MIP_4[[#This Row],[PT &gt; 3 Pontos]]</f>
        <v>11</v>
      </c>
      <c r="S14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4.4444444444444509E-2</v>
      </c>
      <c r="T14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4.4444444444444509E-2</v>
      </c>
      <c r="U149" s="41">
        <f ca="1">MIP_4[[#This Row],[Eficiência]]</f>
        <v>0.84342449121184038</v>
      </c>
      <c r="V14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49" s="39">
        <f>IF(MIP_4[[#This Row],[P.S]]-MIP_4[[#This Row],[P.E]]&lt;0,1+MIP_4[[#This Row],[P.S]]-MIP_4[[#This Row],[P.E]]-1/24,MIP_4[[#This Row],[P.S]]-MIP_4[[#This Row],[P.E]]-1/24)</f>
        <v>0.3708333333333334</v>
      </c>
      <c r="X149" s="39">
        <f ca="1">MIP_4[[#This Row],[PT-1]]*$S$3+MIP_4[[#This Row],[PT-2]]*$T$3+MIP_4[[#This Row],[PT-3]]*$U$3+MIP_4[[#This Row],[PT &gt; 3 Pontos]]*$V$3</f>
        <v>0.275284382548309</v>
      </c>
      <c r="Y149" s="39">
        <f>MIP_4[[#This Row],[HH disponível]]-MIP_4[[#This Row],[HH AC TOT]]</f>
        <v>0.3263888888888889</v>
      </c>
      <c r="Z149" s="38">
        <f ca="1">MIP_4[[#This Row],[HH Produtivo
Total]]/MIP_4[[#This Row],[HH Trabalhado]]</f>
        <v>0.84342449121184038</v>
      </c>
      <c r="AA149" s="38">
        <f ca="1">MIP_4[[#This Row],[HH Produtivo
Total]]/MIP_4[[#This Row],[HH disponível]]</f>
        <v>0.74233990799543992</v>
      </c>
      <c r="AB149" s="38">
        <f>MIP_4[[#This Row],[HH Trabalhado]]/MIP_4[[#This Row],[HH disponível]]</f>
        <v>0.88014981273408222</v>
      </c>
      <c r="AC149" s="37" t="str">
        <f>LEFT(MIP_4[[#This Row],[Equipe]], SEARCH("/",MIP_4[[#This Row],[Equipe]],1)-1)</f>
        <v xml:space="preserve">EDILTON </v>
      </c>
      <c r="AD149" s="37" t="str">
        <f>RIGHT(MIP_4[[#This Row],[Equipe]], LEN(MIP_4[[#This Row],[Equipe]])-SEARCH("/",MIP_4[[#This Row],[Equipe]],1))</f>
        <v xml:space="preserve"> GECIVALDO</v>
      </c>
      <c r="AE149" s="44">
        <f>COUNTIFS('[1]Tempo parado'!G:G,"&gt;="&amp;MIP_4[[#This Row],[S.B Sitrack]],'[1]Tempo parado'!H:H,"&lt;="&amp;MIP_4[[#This Row],[C.B Sitrack]],'[1]Tempo parado'!A:A,MIP_4[[#This Row],[Placa]])</f>
        <v>0</v>
      </c>
      <c r="AF149" s="36"/>
      <c r="AG149" s="35"/>
      <c r="AH149" s="34"/>
      <c r="AI149" s="34"/>
      <c r="AJ14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4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4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49" s="32" t="str">
        <f>IFERROR(MIP_4[[#This Row],[Tempo parado]]/(MIP_4[[#This Row],[C.B Sitrack]]-MIP_4[[#This Row],[S.B Sitrack]]),"")</f>
        <v/>
      </c>
      <c r="AN149" s="30"/>
      <c r="AO149" s="44">
        <f>IF(AND(MIP_4[Exc]=0,MIP_4[Previsto / Realizado]="Realizado"),MIP_4[Sem],0)</f>
        <v>26</v>
      </c>
      <c r="AP149" s="29">
        <f>IF(AND(MIP_4[Exc]=0,MIP_4[Previsto / Realizado]="Realizado",ISBLANK(MIP_4[[#This Row],[S.B Sitrack]])=FALSE,ISBLANK(MIP_4[[#This Row],[C.B Sitrack]])=FALSE),MIP_4[Sem],0)</f>
        <v>0</v>
      </c>
    </row>
    <row r="150" spans="1:42" ht="15.75" x14ac:dyDescent="0.25">
      <c r="A150" s="44">
        <f>WEEKNUM(MIP_4[[#This Row],[Data]])</f>
        <v>26</v>
      </c>
      <c r="B150" s="45">
        <v>42912</v>
      </c>
      <c r="C150" s="45"/>
      <c r="D150" s="35" t="s">
        <v>7</v>
      </c>
      <c r="E150" s="35" t="s">
        <v>5</v>
      </c>
      <c r="F150" s="35"/>
      <c r="G150" s="44">
        <v>2</v>
      </c>
      <c r="H150" s="44">
        <v>6</v>
      </c>
      <c r="I150" s="44">
        <v>2</v>
      </c>
      <c r="J150" s="44">
        <v>2</v>
      </c>
      <c r="K150" s="44">
        <v>0</v>
      </c>
      <c r="L150" s="43">
        <v>0.625</v>
      </c>
      <c r="M150" s="43">
        <v>0.64583333333333337</v>
      </c>
      <c r="N150" s="43">
        <f>1+18/24/60</f>
        <v>1.0125</v>
      </c>
      <c r="O150" s="43">
        <f>1+48/24/60</f>
        <v>1.0333333333333334</v>
      </c>
      <c r="P150" s="39"/>
      <c r="Q150" s="42"/>
      <c r="R150" s="44">
        <f>MIP_4[[#This Row],[PT-1]]+MIP_4[[#This Row],[PT-2]]*2+MIP_4[[#This Row],[PT-3]]*3+MIP_4[[#This Row],[PT &gt; 3 Pontos]]</f>
        <v>16</v>
      </c>
      <c r="S15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15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150" s="41">
        <f ca="1">MIP_4[[#This Row],[Eficiência]]</f>
        <v>1.118633872166481</v>
      </c>
      <c r="V15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50" s="39">
        <f>IF(MIP_4[[#This Row],[P.S]]-MIP_4[[#This Row],[P.E]]&lt;0,1+MIP_4[[#This Row],[P.S]]-MIP_4[[#This Row],[P.E]]-1/24,MIP_4[[#This Row],[P.S]]-MIP_4[[#This Row],[P.E]]-1/24)</f>
        <v>0.36666666666666675</v>
      </c>
      <c r="X150" s="39">
        <f ca="1">MIP_4[[#This Row],[PT-1]]*$S$3+MIP_4[[#This Row],[PT-2]]*$T$3+MIP_4[[#This Row],[PT-3]]*$U$3+MIP_4[[#This Row],[PT &gt; 3 Pontos]]*$V$3</f>
        <v>0.36355600845410624</v>
      </c>
      <c r="Y150" s="39">
        <f>MIP_4[[#This Row],[HH disponível]]-MIP_4[[#This Row],[HH AC TOT]]</f>
        <v>0.3249999999999999</v>
      </c>
      <c r="Z150" s="38">
        <f ca="1">MIP_4[[#This Row],[HH Produtivo
Total]]/MIP_4[[#This Row],[HH Trabalhado]]</f>
        <v>1.118633872166481</v>
      </c>
      <c r="AA150" s="38">
        <f ca="1">MIP_4[[#This Row],[HH Produtivo
Total]]/MIP_4[[#This Row],[HH disponível]]</f>
        <v>0.99151638669301678</v>
      </c>
      <c r="AB150" s="38">
        <f>MIP_4[[#This Row],[HH Trabalhado]]/MIP_4[[#This Row],[HH disponível]]</f>
        <v>0.88636363636363591</v>
      </c>
      <c r="AC150" s="37" t="str">
        <f>LEFT(MIP_4[[#This Row],[Equipe]], SEARCH("/",MIP_4[[#This Row],[Equipe]],1)-1)</f>
        <v xml:space="preserve">ANDERSON </v>
      </c>
      <c r="AD150" s="37" t="str">
        <f>RIGHT(MIP_4[[#This Row],[Equipe]], LEN(MIP_4[[#This Row],[Equipe]])-SEARCH("/",MIP_4[[#This Row],[Equipe]],1))</f>
        <v xml:space="preserve"> MARCO</v>
      </c>
      <c r="AE150" s="44">
        <f>COUNTIFS('[1]Tempo parado'!G:G,"&gt;="&amp;MIP_4[[#This Row],[S.B Sitrack]],'[1]Tempo parado'!H:H,"&lt;="&amp;MIP_4[[#This Row],[C.B Sitrack]],'[1]Tempo parado'!A:A,MIP_4[[#This Row],[Placa]])</f>
        <v>0</v>
      </c>
      <c r="AF150" s="36"/>
      <c r="AG150" s="35"/>
      <c r="AH150" s="34"/>
      <c r="AI150" s="34"/>
      <c r="AJ15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5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5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50" s="32" t="str">
        <f>IFERROR(MIP_4[[#This Row],[Tempo parado]]/(MIP_4[[#This Row],[C.B Sitrack]]-MIP_4[[#This Row],[S.B Sitrack]]),"")</f>
        <v/>
      </c>
      <c r="AN150" s="30"/>
      <c r="AO150" s="44">
        <f>IF(AND(MIP_4[Exc]=0,MIP_4[Previsto / Realizado]="Realizado"),MIP_4[Sem],0)</f>
        <v>0</v>
      </c>
      <c r="AP150" s="29">
        <f>IF(AND(MIP_4[Exc]=0,MIP_4[Previsto / Realizado]="Realizado",ISBLANK(MIP_4[[#This Row],[S.B Sitrack]])=FALSE,ISBLANK(MIP_4[[#This Row],[C.B Sitrack]])=FALSE),MIP_4[Sem],0)</f>
        <v>0</v>
      </c>
    </row>
    <row r="151" spans="1:42" ht="15.75" x14ac:dyDescent="0.25">
      <c r="A151" s="44">
        <f>WEEKNUM(MIP_4[[#This Row],[Data]])</f>
        <v>26</v>
      </c>
      <c r="B151" s="45">
        <v>42912</v>
      </c>
      <c r="C151" s="45"/>
      <c r="D151" s="35" t="s">
        <v>7</v>
      </c>
      <c r="E151" s="35" t="s">
        <v>2</v>
      </c>
      <c r="F151" s="35"/>
      <c r="G151" s="44">
        <v>2</v>
      </c>
      <c r="H151" s="44">
        <v>2</v>
      </c>
      <c r="I151" s="44">
        <v>1</v>
      </c>
      <c r="J151" s="44">
        <v>2</v>
      </c>
      <c r="K151" s="44">
        <v>0</v>
      </c>
      <c r="L151" s="43">
        <v>0.62430555555555556</v>
      </c>
      <c r="M151" s="43">
        <v>0.6645833333333333</v>
      </c>
      <c r="N151" s="43">
        <f>1+30/24/60</f>
        <v>1.0208333333333333</v>
      </c>
      <c r="O151" s="43">
        <f>1+48/24/60</f>
        <v>1.0333333333333334</v>
      </c>
      <c r="P151" s="39"/>
      <c r="Q151" s="42" t="s">
        <v>412</v>
      </c>
      <c r="R151" s="44">
        <f>MIP_4[[#This Row],[PT-1]]+MIP_4[[#This Row],[PT-2]]*2+MIP_4[[#This Row],[PT-3]]*3+MIP_4[[#This Row],[PT &gt; 3 Pontos]]</f>
        <v>10</v>
      </c>
      <c r="S15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5.2777777777777923E-2</v>
      </c>
      <c r="T15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5.2777777777777923E-2</v>
      </c>
      <c r="U151" s="41">
        <f ca="1">MIP_4[[#This Row],[Eficiência]]</f>
        <v>0.69788767316121203</v>
      </c>
      <c r="V15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51" s="39">
        <f>IF(MIP_4[[#This Row],[P.S]]-MIP_4[[#This Row],[P.E]]&lt;0,1+MIP_4[[#This Row],[P.S]]-MIP_4[[#This Row],[P.E]]-1/24,MIP_4[[#This Row],[P.S]]-MIP_4[[#This Row],[P.E]]-1/24)</f>
        <v>0.36736111111111119</v>
      </c>
      <c r="X151" s="39">
        <f ca="1">MIP_4[[#This Row],[PT-1]]*$S$3+MIP_4[[#This Row],[PT-2]]*$T$3+MIP_4[[#This Row],[PT-3]]*$U$3+MIP_4[[#This Row],[PT &gt; 3 Pontos]]*$V$3</f>
        <v>0.21954383051529791</v>
      </c>
      <c r="Y151" s="39">
        <f>MIP_4[[#This Row],[HH disponível]]-MIP_4[[#This Row],[HH AC TOT]]</f>
        <v>0.31458333333333327</v>
      </c>
      <c r="Z151" s="38">
        <f ca="1">MIP_4[[#This Row],[HH Produtivo
Total]]/MIP_4[[#This Row],[HH Trabalhado]]</f>
        <v>0.69788767316121203</v>
      </c>
      <c r="AA151" s="38">
        <f ca="1">MIP_4[[#This Row],[HH Produtivo
Total]]/MIP_4[[#This Row],[HH disponível]]</f>
        <v>0.5976240376975972</v>
      </c>
      <c r="AB151" s="38">
        <f>MIP_4[[#This Row],[HH Trabalhado]]/MIP_4[[#This Row],[HH disponível]]</f>
        <v>0.85633270321361021</v>
      </c>
      <c r="AC151" s="37" t="str">
        <f>LEFT(MIP_4[[#This Row],[Equipe]], SEARCH("/",MIP_4[[#This Row],[Equipe]],1)-1)</f>
        <v xml:space="preserve">ANDERSON </v>
      </c>
      <c r="AD151" s="37" t="str">
        <f>RIGHT(MIP_4[[#This Row],[Equipe]], LEN(MIP_4[[#This Row],[Equipe]])-SEARCH("/",MIP_4[[#This Row],[Equipe]],1))</f>
        <v xml:space="preserve"> MARCO</v>
      </c>
      <c r="AE151" s="44">
        <f>COUNTIFS('[1]Tempo parado'!G:G,"&gt;="&amp;MIP_4[[#This Row],[S.B Sitrack]],'[1]Tempo parado'!H:H,"&lt;="&amp;MIP_4[[#This Row],[C.B Sitrack]],'[1]Tempo parado'!A:A,MIP_4[[#This Row],[Placa]])</f>
        <v>0</v>
      </c>
      <c r="AF151" s="36"/>
      <c r="AG151" s="35"/>
      <c r="AH151" s="34"/>
      <c r="AI151" s="34"/>
      <c r="AJ15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5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5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51" s="32" t="str">
        <f>IFERROR(MIP_4[[#This Row],[Tempo parado]]/(MIP_4[[#This Row],[C.B Sitrack]]-MIP_4[[#This Row],[S.B Sitrack]]),"")</f>
        <v/>
      </c>
      <c r="AN151" s="30"/>
      <c r="AO151" s="44">
        <f>IF(AND(MIP_4[Exc]=0,MIP_4[Previsto / Realizado]="Realizado"),MIP_4[Sem],0)</f>
        <v>26</v>
      </c>
      <c r="AP151" s="29">
        <f>IF(AND(MIP_4[Exc]=0,MIP_4[Previsto / Realizado]="Realizado",ISBLANK(MIP_4[[#This Row],[S.B Sitrack]])=FALSE,ISBLANK(MIP_4[[#This Row],[C.B Sitrack]])=FALSE),MIP_4[Sem],0)</f>
        <v>0</v>
      </c>
    </row>
    <row r="152" spans="1:42" ht="15.75" x14ac:dyDescent="0.25">
      <c r="A152" s="44">
        <f>WEEKNUM(MIP_4[[#This Row],[Data]])</f>
        <v>26</v>
      </c>
      <c r="B152" s="45">
        <v>42914</v>
      </c>
      <c r="C152" s="45"/>
      <c r="D152" s="35" t="s">
        <v>10</v>
      </c>
      <c r="E152" s="35" t="s">
        <v>5</v>
      </c>
      <c r="F152" s="35"/>
      <c r="G152" s="44">
        <v>2</v>
      </c>
      <c r="H152" s="44">
        <v>7</v>
      </c>
      <c r="I152" s="44">
        <v>3</v>
      </c>
      <c r="J152" s="44">
        <v>1</v>
      </c>
      <c r="K152" s="44">
        <v>0</v>
      </c>
      <c r="L152" s="43">
        <v>0.25</v>
      </c>
      <c r="M152" s="43">
        <v>0.27083333333333331</v>
      </c>
      <c r="N152" s="43">
        <v>0.63750000000000007</v>
      </c>
      <c r="O152" s="43">
        <v>0.65833333333333333</v>
      </c>
      <c r="P152" s="39"/>
      <c r="Q152" s="42"/>
      <c r="R152" s="44">
        <f>MIP_4[[#This Row],[PT-1]]+MIP_4[[#This Row],[PT-2]]*2+MIP_4[[#This Row],[PT-3]]*3+MIP_4[[#This Row],[PT &gt; 3 Pontos]]</f>
        <v>16</v>
      </c>
      <c r="S15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15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152" s="41">
        <f ca="1">MIP_4[[#This Row],[Eficiência]]</f>
        <v>1.1375352254428337</v>
      </c>
      <c r="V15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52" s="39">
        <f>IF(MIP_4[[#This Row],[P.S]]-MIP_4[[#This Row],[P.E]]&lt;0,1+MIP_4[[#This Row],[P.S]]-MIP_4[[#This Row],[P.E]]-1/24,MIP_4[[#This Row],[P.S]]-MIP_4[[#This Row],[P.E]]-1/24)</f>
        <v>0.36666666666666664</v>
      </c>
      <c r="X152" s="39">
        <f ca="1">MIP_4[[#This Row],[PT-1]]*$S$3+MIP_4[[#This Row],[PT-2]]*$T$3+MIP_4[[#This Row],[PT-3]]*$U$3+MIP_4[[#This Row],[PT &gt; 3 Pontos]]*$V$3</f>
        <v>0.36969894826892102</v>
      </c>
      <c r="Y152" s="39">
        <f>MIP_4[[#This Row],[HH disponível]]-MIP_4[[#This Row],[HH AC TOT]]</f>
        <v>0.32500000000000007</v>
      </c>
      <c r="Z152" s="38">
        <f ca="1">MIP_4[[#This Row],[HH Produtivo
Total]]/MIP_4[[#This Row],[HH Trabalhado]]</f>
        <v>1.1375352254428337</v>
      </c>
      <c r="AA152" s="38">
        <f ca="1">MIP_4[[#This Row],[HH Produtivo
Total]]/MIP_4[[#This Row],[HH disponível]]</f>
        <v>1.0082698589152392</v>
      </c>
      <c r="AB152" s="38">
        <f>MIP_4[[#This Row],[HH Trabalhado]]/MIP_4[[#This Row],[HH disponível]]</f>
        <v>0.88636363636363658</v>
      </c>
      <c r="AC152" s="37" t="str">
        <f>LEFT(MIP_4[[#This Row],[Equipe]], SEARCH("/",MIP_4[[#This Row],[Equipe]],1)-1)</f>
        <v xml:space="preserve">JOILSON </v>
      </c>
      <c r="AD152" s="37" t="str">
        <f>RIGHT(MIP_4[[#This Row],[Equipe]], LEN(MIP_4[[#This Row],[Equipe]])-SEARCH("/",MIP_4[[#This Row],[Equipe]],1))</f>
        <v xml:space="preserve"> VALDEI</v>
      </c>
      <c r="AE152" s="44">
        <f>COUNTIFS('[1]Tempo parado'!G:G,"&gt;="&amp;MIP_4[[#This Row],[S.B Sitrack]],'[1]Tempo parado'!H:H,"&lt;="&amp;MIP_4[[#This Row],[C.B Sitrack]],'[1]Tempo parado'!A:A,MIP_4[[#This Row],[Placa]])</f>
        <v>0</v>
      </c>
      <c r="AF152" s="36"/>
      <c r="AG152" s="35"/>
      <c r="AH152" s="34"/>
      <c r="AI152" s="34"/>
      <c r="AJ15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5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5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52" s="32" t="str">
        <f>IFERROR(MIP_4[[#This Row],[Tempo parado]]/(MIP_4[[#This Row],[C.B Sitrack]]-MIP_4[[#This Row],[S.B Sitrack]]),"")</f>
        <v/>
      </c>
      <c r="AN152" s="30"/>
      <c r="AO152" s="44">
        <f>IF(AND(MIP_4[Exc]=0,MIP_4[Previsto / Realizado]="Realizado"),MIP_4[Sem],0)</f>
        <v>0</v>
      </c>
      <c r="AP152" s="29">
        <f>IF(AND(MIP_4[Exc]=0,MIP_4[Previsto / Realizado]="Realizado",ISBLANK(MIP_4[[#This Row],[S.B Sitrack]])=FALSE,ISBLANK(MIP_4[[#This Row],[C.B Sitrack]])=FALSE),MIP_4[Sem],0)</f>
        <v>0</v>
      </c>
    </row>
    <row r="153" spans="1:42" ht="15.75" x14ac:dyDescent="0.25">
      <c r="A153" s="44">
        <f>WEEKNUM(MIP_4[[#This Row],[Data]])</f>
        <v>26</v>
      </c>
      <c r="B153" s="45">
        <v>42914</v>
      </c>
      <c r="C153" s="45"/>
      <c r="D153" s="35" t="s">
        <v>10</v>
      </c>
      <c r="E153" s="35" t="s">
        <v>2</v>
      </c>
      <c r="F153" s="35"/>
      <c r="G153" s="44">
        <v>2</v>
      </c>
      <c r="H153" s="44">
        <v>4</v>
      </c>
      <c r="I153" s="44">
        <v>3</v>
      </c>
      <c r="J153" s="44">
        <v>0</v>
      </c>
      <c r="K153" s="44">
        <v>0</v>
      </c>
      <c r="L153" s="43">
        <v>0.25069444444444444</v>
      </c>
      <c r="M153" s="43">
        <v>0.30416666666666664</v>
      </c>
      <c r="N153" s="43">
        <v>0.61805555555555558</v>
      </c>
      <c r="O153" s="43">
        <v>0.65972222222222221</v>
      </c>
      <c r="P153" s="39"/>
      <c r="Q153" s="42"/>
      <c r="R153" s="44">
        <f>MIP_4[[#This Row],[PT-1]]+MIP_4[[#This Row],[PT-2]]*2+MIP_4[[#This Row],[PT-3]]*3+MIP_4[[#This Row],[PT &gt; 3 Pontos]]</f>
        <v>10</v>
      </c>
      <c r="S15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9.5138888888888828E-2</v>
      </c>
      <c r="T15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9.5138888888888828E-2</v>
      </c>
      <c r="U153" s="41">
        <f ca="1">MIP_4[[#This Row],[Eficiência]]</f>
        <v>0.85161934338952938</v>
      </c>
      <c r="V15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53" s="39">
        <f>IF(MIP_4[[#This Row],[P.S]]-MIP_4[[#This Row],[P.E]]&lt;0,1+MIP_4[[#This Row],[P.S]]-MIP_4[[#This Row],[P.E]]-1/24,MIP_4[[#This Row],[P.S]]-MIP_4[[#This Row],[P.E]]-1/24)</f>
        <v>0.36736111111111108</v>
      </c>
      <c r="X153" s="39">
        <f ca="1">MIP_4[[#This Row],[PT-1]]*$S$3+MIP_4[[#This Row],[PT-2]]*$T$3+MIP_4[[#This Row],[PT-3]]*$U$3+MIP_4[[#This Row],[PT &gt; 3 Pontos]]*$V$3</f>
        <v>0.23182971014492748</v>
      </c>
      <c r="Y153" s="39">
        <f>MIP_4[[#This Row],[HH disponível]]-MIP_4[[#This Row],[HH AC TOT]]</f>
        <v>0.27222222222222225</v>
      </c>
      <c r="Z153" s="38">
        <f ca="1">MIP_4[[#This Row],[HH Produtivo
Total]]/MIP_4[[#This Row],[HH Trabalhado]]</f>
        <v>0.85161934338952938</v>
      </c>
      <c r="AA153" s="38">
        <f ca="1">MIP_4[[#This Row],[HH Produtivo
Total]]/MIP_4[[#This Row],[HH disponível]]</f>
        <v>0.63106764198241139</v>
      </c>
      <c r="AB153" s="38">
        <f>MIP_4[[#This Row],[HH Trabalhado]]/MIP_4[[#This Row],[HH disponível]]</f>
        <v>0.74102079395085085</v>
      </c>
      <c r="AC153" s="37" t="str">
        <f>LEFT(MIP_4[[#This Row],[Equipe]], SEARCH("/",MIP_4[[#This Row],[Equipe]],1)-1)</f>
        <v xml:space="preserve">JOILSON </v>
      </c>
      <c r="AD153" s="37" t="str">
        <f>RIGHT(MIP_4[[#This Row],[Equipe]], LEN(MIP_4[[#This Row],[Equipe]])-SEARCH("/",MIP_4[[#This Row],[Equipe]],1))</f>
        <v xml:space="preserve"> VALDEI</v>
      </c>
      <c r="AE153" s="44">
        <f>COUNTIFS('[1]Tempo parado'!G:G,"&gt;="&amp;MIP_4[[#This Row],[S.B Sitrack]],'[1]Tempo parado'!H:H,"&lt;="&amp;MIP_4[[#This Row],[C.B Sitrack]],'[1]Tempo parado'!A:A,MIP_4[[#This Row],[Placa]])</f>
        <v>0</v>
      </c>
      <c r="AF153" s="36"/>
      <c r="AG153" s="35"/>
      <c r="AH153" s="34"/>
      <c r="AI153" s="34"/>
      <c r="AJ15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5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5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53" s="32" t="str">
        <f>IFERROR(MIP_4[[#This Row],[Tempo parado]]/(MIP_4[[#This Row],[C.B Sitrack]]-MIP_4[[#This Row],[S.B Sitrack]]),"")</f>
        <v/>
      </c>
      <c r="AN153" s="30"/>
      <c r="AO153" s="44">
        <f>IF(AND(MIP_4[Exc]=0,MIP_4[Previsto / Realizado]="Realizado"),MIP_4[Sem],0)</f>
        <v>26</v>
      </c>
      <c r="AP153" s="29">
        <f>IF(AND(MIP_4[Exc]=0,MIP_4[Previsto / Realizado]="Realizado",ISBLANK(MIP_4[[#This Row],[S.B Sitrack]])=FALSE,ISBLANK(MIP_4[[#This Row],[C.B Sitrack]])=FALSE),MIP_4[Sem],0)</f>
        <v>0</v>
      </c>
    </row>
    <row r="154" spans="1:42" ht="15.75" x14ac:dyDescent="0.25">
      <c r="A154" s="44">
        <f>WEEKNUM(MIP_4[[#This Row],[Data]])</f>
        <v>26</v>
      </c>
      <c r="B154" s="45">
        <v>42914</v>
      </c>
      <c r="C154" s="45"/>
      <c r="D154" s="35" t="s">
        <v>83</v>
      </c>
      <c r="E154" s="35" t="s">
        <v>5</v>
      </c>
      <c r="F154" s="35"/>
      <c r="G154" s="44">
        <v>3</v>
      </c>
      <c r="H154" s="44">
        <v>6</v>
      </c>
      <c r="I154" s="44">
        <v>1</v>
      </c>
      <c r="J154" s="44">
        <v>1</v>
      </c>
      <c r="K154" s="44">
        <v>5</v>
      </c>
      <c r="L154" s="43">
        <v>0.625</v>
      </c>
      <c r="M154" s="43">
        <v>0.64583333333333337</v>
      </c>
      <c r="N154" s="43">
        <f>1+18/24/60</f>
        <v>1.0125</v>
      </c>
      <c r="O154" s="43">
        <f>1+48/24/60</f>
        <v>1.0333333333333334</v>
      </c>
      <c r="P154" s="39"/>
      <c r="Q154" s="42"/>
      <c r="R154" s="44">
        <f>MIP_4[[#This Row],[PT-1]]+MIP_4[[#This Row],[PT-2]]*2+MIP_4[[#This Row],[PT-3]]*3+MIP_4[[#This Row],[PT &gt; 3 Pontos]]</f>
        <v>16</v>
      </c>
      <c r="S15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15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154" s="41">
        <f ca="1">MIP_4[[#This Row],[Eficiência]]</f>
        <v>1.1018326692541671</v>
      </c>
      <c r="V15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54" s="39">
        <f>IF(MIP_4[[#This Row],[P.S]]-MIP_4[[#This Row],[P.E]]&lt;0,1+MIP_4[[#This Row],[P.S]]-MIP_4[[#This Row],[P.E]]-1/24,MIP_4[[#This Row],[P.S]]-MIP_4[[#This Row],[P.E]]-1/24)</f>
        <v>0.36666666666666675</v>
      </c>
      <c r="X154" s="39">
        <f ca="1">MIP_4[[#This Row],[PT-1]]*$S$3+MIP_4[[#This Row],[PT-2]]*$T$3+MIP_4[[#This Row],[PT-3]]*$U$3+MIP_4[[#This Row],[PT &gt; 3 Pontos]]*$V$3</f>
        <v>0.35809561750760421</v>
      </c>
      <c r="Y154" s="39">
        <f>MIP_4[[#This Row],[HH disponível]]-MIP_4[[#This Row],[HH AC TOT]]</f>
        <v>0.3249999999999999</v>
      </c>
      <c r="Z154" s="38">
        <f ca="1">MIP_4[[#This Row],[HH Produtivo
Total]]/MIP_4[[#This Row],[HH Trabalhado]]</f>
        <v>1.1018326692541671</v>
      </c>
      <c r="AA154" s="38">
        <f ca="1">MIP_4[[#This Row],[HH Produtivo
Total]]/MIP_4[[#This Row],[HH disponível]]</f>
        <v>0.97662441138437495</v>
      </c>
      <c r="AB154" s="38">
        <f>MIP_4[[#This Row],[HH Trabalhado]]/MIP_4[[#This Row],[HH disponível]]</f>
        <v>0.88636363636363591</v>
      </c>
      <c r="AC154" s="37" t="str">
        <f>LEFT(MIP_4[[#This Row],[Equipe]], SEARCH("/",MIP_4[[#This Row],[Equipe]],1)-1)</f>
        <v xml:space="preserve">ADEMÁRIO </v>
      </c>
      <c r="AD154" s="37" t="str">
        <f>RIGHT(MIP_4[[#This Row],[Equipe]], LEN(MIP_4[[#This Row],[Equipe]])-SEARCH("/",MIP_4[[#This Row],[Equipe]],1))</f>
        <v xml:space="preserve"> GECIVALDO / RONALDO</v>
      </c>
      <c r="AE154" s="44">
        <f>COUNTIFS('[1]Tempo parado'!G:G,"&gt;="&amp;MIP_4[[#This Row],[S.B Sitrack]],'[1]Tempo parado'!H:H,"&lt;="&amp;MIP_4[[#This Row],[C.B Sitrack]],'[1]Tempo parado'!A:A,MIP_4[[#This Row],[Placa]])</f>
        <v>0</v>
      </c>
      <c r="AF154" s="36"/>
      <c r="AG154" s="35"/>
      <c r="AH154" s="34"/>
      <c r="AI154" s="34"/>
      <c r="AJ15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5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5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54" s="32" t="str">
        <f>IFERROR(MIP_4[[#This Row],[Tempo parado]]/(MIP_4[[#This Row],[C.B Sitrack]]-MIP_4[[#This Row],[S.B Sitrack]]),"")</f>
        <v/>
      </c>
      <c r="AN154" s="30"/>
      <c r="AO154" s="44">
        <f>IF(AND(MIP_4[Exc]=0,MIP_4[Previsto / Realizado]="Realizado"),MIP_4[Sem],0)</f>
        <v>0</v>
      </c>
      <c r="AP154" s="29">
        <f>IF(AND(MIP_4[Exc]=0,MIP_4[Previsto / Realizado]="Realizado",ISBLANK(MIP_4[[#This Row],[S.B Sitrack]])=FALSE,ISBLANK(MIP_4[[#This Row],[C.B Sitrack]])=FALSE),MIP_4[Sem],0)</f>
        <v>0</v>
      </c>
    </row>
    <row r="155" spans="1:42" ht="15.75" x14ac:dyDescent="0.25">
      <c r="A155" s="44">
        <f>WEEKNUM(MIP_4[[#This Row],[Data]])</f>
        <v>26</v>
      </c>
      <c r="B155" s="45">
        <v>42914</v>
      </c>
      <c r="C155" s="45"/>
      <c r="D155" s="35" t="s">
        <v>83</v>
      </c>
      <c r="E155" s="35" t="s">
        <v>2</v>
      </c>
      <c r="F155" s="35"/>
      <c r="G155" s="44">
        <v>3</v>
      </c>
      <c r="H155" s="44">
        <v>2</v>
      </c>
      <c r="I155" s="44">
        <v>1</v>
      </c>
      <c r="J155" s="44">
        <v>1</v>
      </c>
      <c r="K155" s="44">
        <v>5</v>
      </c>
      <c r="L155" s="43">
        <v>0.6479166666666667</v>
      </c>
      <c r="M155" s="43">
        <v>0.66666666666666663</v>
      </c>
      <c r="N155" s="43">
        <f>1+25/24/60</f>
        <v>1.0173611111111112</v>
      </c>
      <c r="O155" s="43">
        <f>1+49/24/60</f>
        <v>1.0340277777777778</v>
      </c>
      <c r="P155" s="39"/>
      <c r="Q155" s="42" t="s">
        <v>411</v>
      </c>
      <c r="R155" s="44">
        <f>MIP_4[[#This Row],[PT-1]]+MIP_4[[#This Row],[PT-2]]*2+MIP_4[[#This Row],[PT-3]]*3+MIP_4[[#This Row],[PT &gt; 3 Pontos]]</f>
        <v>12</v>
      </c>
      <c r="S15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3.5416666666666541E-2</v>
      </c>
      <c r="T15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3.5416666666666541E-2</v>
      </c>
      <c r="U155" s="41">
        <f ca="1">MIP_4[[#This Row],[Eficiência]]</f>
        <v>0.83485118239881295</v>
      </c>
      <c r="V15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55" s="39">
        <f>IF(MIP_4[[#This Row],[P.S]]-MIP_4[[#This Row],[P.E]]&lt;0,1+MIP_4[[#This Row],[P.S]]-MIP_4[[#This Row],[P.E]]-1/24,MIP_4[[#This Row],[P.S]]-MIP_4[[#This Row],[P.E]]-1/24)</f>
        <v>0.34444444444444439</v>
      </c>
      <c r="X155" s="39">
        <f ca="1">MIP_4[[#This Row],[PT-1]]*$S$3+MIP_4[[#This Row],[PT-2]]*$T$3+MIP_4[[#This Row],[PT-3]]*$U$3+MIP_4[[#This Row],[PT &gt; 3 Pontos]]*$V$3</f>
        <v>0.25799220567185543</v>
      </c>
      <c r="Y155" s="39">
        <f>MIP_4[[#This Row],[HH disponível]]-MIP_4[[#This Row],[HH AC TOT]]</f>
        <v>0.30902777777777785</v>
      </c>
      <c r="Z155" s="38">
        <f ca="1">MIP_4[[#This Row],[HH Produtivo
Total]]/MIP_4[[#This Row],[HH Trabalhado]]</f>
        <v>0.83485118239881295</v>
      </c>
      <c r="AA155" s="38">
        <f ca="1">MIP_4[[#This Row],[HH Produtivo
Total]]/MIP_4[[#This Row],[HH disponível]]</f>
        <v>0.74900962936990301</v>
      </c>
      <c r="AB155" s="38">
        <f>MIP_4[[#This Row],[HH Trabalhado]]/MIP_4[[#This Row],[HH disponível]]</f>
        <v>0.89717741935483908</v>
      </c>
      <c r="AC155" s="37" t="str">
        <f>LEFT(MIP_4[[#This Row],[Equipe]], SEARCH("/",MIP_4[[#This Row],[Equipe]],1)-1)</f>
        <v xml:space="preserve">ADEMÁRIO </v>
      </c>
      <c r="AD155" s="37" t="str">
        <f>RIGHT(MIP_4[[#This Row],[Equipe]], LEN(MIP_4[[#This Row],[Equipe]])-SEARCH("/",MIP_4[[#This Row],[Equipe]],1))</f>
        <v xml:space="preserve"> GECIVALDO / RONALDO</v>
      </c>
      <c r="AE155" s="44">
        <f>COUNTIFS('[1]Tempo parado'!G:G,"&gt;="&amp;MIP_4[[#This Row],[S.B Sitrack]],'[1]Tempo parado'!H:H,"&lt;="&amp;MIP_4[[#This Row],[C.B Sitrack]],'[1]Tempo parado'!A:A,MIP_4[[#This Row],[Placa]])</f>
        <v>0</v>
      </c>
      <c r="AF155" s="36"/>
      <c r="AG155" s="35"/>
      <c r="AH155" s="34"/>
      <c r="AI155" s="34"/>
      <c r="AJ15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5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5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55" s="32" t="str">
        <f>IFERROR(MIP_4[[#This Row],[Tempo parado]]/(MIP_4[[#This Row],[C.B Sitrack]]-MIP_4[[#This Row],[S.B Sitrack]]),"")</f>
        <v/>
      </c>
      <c r="AN155" s="30"/>
      <c r="AO155" s="44">
        <f>IF(AND(MIP_4[Exc]=0,MIP_4[Previsto / Realizado]="Realizado"),MIP_4[Sem],0)</f>
        <v>26</v>
      </c>
      <c r="AP155" s="29">
        <f>IF(AND(MIP_4[Exc]=0,MIP_4[Previsto / Realizado]="Realizado",ISBLANK(MIP_4[[#This Row],[S.B Sitrack]])=FALSE,ISBLANK(MIP_4[[#This Row],[C.B Sitrack]])=FALSE),MIP_4[Sem],0)</f>
        <v>0</v>
      </c>
    </row>
    <row r="156" spans="1:42" ht="15.75" x14ac:dyDescent="0.25">
      <c r="A156" s="44">
        <f>WEEKNUM(MIP_4[[#This Row],[Data]])</f>
        <v>26</v>
      </c>
      <c r="B156" s="45">
        <v>42915</v>
      </c>
      <c r="C156" s="45"/>
      <c r="D156" s="35" t="s">
        <v>10</v>
      </c>
      <c r="E156" s="35" t="s">
        <v>5</v>
      </c>
      <c r="F156" s="35"/>
      <c r="G156" s="44">
        <v>2</v>
      </c>
      <c r="H156" s="44">
        <v>12</v>
      </c>
      <c r="I156" s="44">
        <v>1</v>
      </c>
      <c r="J156" s="44">
        <v>0</v>
      </c>
      <c r="K156" s="44">
        <v>0</v>
      </c>
      <c r="L156" s="43">
        <v>0.25</v>
      </c>
      <c r="M156" s="43">
        <v>0.27083333333333331</v>
      </c>
      <c r="N156" s="43">
        <v>0.63750000000000007</v>
      </c>
      <c r="O156" s="43">
        <v>0.65833333333333333</v>
      </c>
      <c r="P156" s="39"/>
      <c r="Q156" s="42" t="s">
        <v>410</v>
      </c>
      <c r="R156" s="44">
        <f>MIP_4[[#This Row],[PT-1]]+MIP_4[[#This Row],[PT-2]]*2+MIP_4[[#This Row],[PT-3]]*3+MIP_4[[#This Row],[PT &gt; 3 Pontos]]</f>
        <v>14</v>
      </c>
      <c r="S15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15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156" s="41">
        <f ca="1">MIP_4[[#This Row],[Eficiência]]</f>
        <v>1.0591353895701714</v>
      </c>
      <c r="V15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56" s="39">
        <f>IF(MIP_4[[#This Row],[P.S]]-MIP_4[[#This Row],[P.E]]&lt;0,1+MIP_4[[#This Row],[P.S]]-MIP_4[[#This Row],[P.E]]-1/24,MIP_4[[#This Row],[P.S]]-MIP_4[[#This Row],[P.E]]-1/24)</f>
        <v>0.36666666666666664</v>
      </c>
      <c r="X156" s="39">
        <f ca="1">MIP_4[[#This Row],[PT-1]]*$S$3+MIP_4[[#This Row],[PT-2]]*$T$3+MIP_4[[#This Row],[PT-3]]*$U$3+MIP_4[[#This Row],[PT &gt; 3 Pontos]]*$V$3</f>
        <v>0.34421900161030577</v>
      </c>
      <c r="Y156" s="39">
        <f>MIP_4[[#This Row],[HH disponível]]-MIP_4[[#This Row],[HH AC TOT]]</f>
        <v>0.32500000000000007</v>
      </c>
      <c r="Z156" s="38">
        <f ca="1">MIP_4[[#This Row],[HH Produtivo
Total]]/MIP_4[[#This Row],[HH Trabalhado]]</f>
        <v>1.0591353895701714</v>
      </c>
      <c r="AA156" s="38">
        <f ca="1">MIP_4[[#This Row],[HH Produtivo
Total]]/MIP_4[[#This Row],[HH disponível]]</f>
        <v>0.93877909530083403</v>
      </c>
      <c r="AB156" s="38">
        <f>MIP_4[[#This Row],[HH Trabalhado]]/MIP_4[[#This Row],[HH disponível]]</f>
        <v>0.88636363636363658</v>
      </c>
      <c r="AC156" s="37" t="str">
        <f>LEFT(MIP_4[[#This Row],[Equipe]], SEARCH("/",MIP_4[[#This Row],[Equipe]],1)-1)</f>
        <v xml:space="preserve">JOILSON </v>
      </c>
      <c r="AD156" s="37" t="str">
        <f>RIGHT(MIP_4[[#This Row],[Equipe]], LEN(MIP_4[[#This Row],[Equipe]])-SEARCH("/",MIP_4[[#This Row],[Equipe]],1))</f>
        <v xml:space="preserve"> VALDEI</v>
      </c>
      <c r="AE156" s="44">
        <f>COUNTIFS('[1]Tempo parado'!G:G,"&gt;="&amp;MIP_4[[#This Row],[S.B Sitrack]],'[1]Tempo parado'!H:H,"&lt;="&amp;MIP_4[[#This Row],[C.B Sitrack]],'[1]Tempo parado'!A:A,MIP_4[[#This Row],[Placa]])</f>
        <v>0</v>
      </c>
      <c r="AF156" s="36"/>
      <c r="AG156" s="35"/>
      <c r="AH156" s="34"/>
      <c r="AI156" s="34"/>
      <c r="AJ15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5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5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56" s="32" t="str">
        <f>IFERROR(MIP_4[[#This Row],[Tempo parado]]/(MIP_4[[#This Row],[C.B Sitrack]]-MIP_4[[#This Row],[S.B Sitrack]]),"")</f>
        <v/>
      </c>
      <c r="AN156" s="30"/>
      <c r="AO156" s="44">
        <f>IF(AND(MIP_4[Exc]=0,MIP_4[Previsto / Realizado]="Realizado"),MIP_4[Sem],0)</f>
        <v>0</v>
      </c>
      <c r="AP156" s="29">
        <f>IF(AND(MIP_4[Exc]=0,MIP_4[Previsto / Realizado]="Realizado",ISBLANK(MIP_4[[#This Row],[S.B Sitrack]])=FALSE,ISBLANK(MIP_4[[#This Row],[C.B Sitrack]])=FALSE),MIP_4[Sem],0)</f>
        <v>0</v>
      </c>
    </row>
    <row r="157" spans="1:42" ht="15.75" x14ac:dyDescent="0.25">
      <c r="A157" s="44">
        <f>WEEKNUM(MIP_4[[#This Row],[Data]])</f>
        <v>26</v>
      </c>
      <c r="B157" s="45">
        <v>42915</v>
      </c>
      <c r="C157" s="45"/>
      <c r="D157" s="35" t="s">
        <v>10</v>
      </c>
      <c r="E157" s="35" t="s">
        <v>2</v>
      </c>
      <c r="F157" s="35"/>
      <c r="G157" s="44">
        <v>2</v>
      </c>
      <c r="H157" s="44">
        <v>7</v>
      </c>
      <c r="I157" s="44">
        <v>1</v>
      </c>
      <c r="J157" s="44">
        <v>0</v>
      </c>
      <c r="K157" s="44">
        <v>0</v>
      </c>
      <c r="L157" s="43">
        <v>0.24791666666666667</v>
      </c>
      <c r="M157" s="43">
        <v>0.3034722222222222</v>
      </c>
      <c r="N157" s="43">
        <v>0.625</v>
      </c>
      <c r="O157" s="43">
        <v>0.65833333333333333</v>
      </c>
      <c r="P157" s="39"/>
      <c r="Q157" s="42" t="s">
        <v>409</v>
      </c>
      <c r="R157" s="44">
        <f>MIP_4[[#This Row],[PT-1]]+MIP_4[[#This Row],[PT-2]]*2+MIP_4[[#This Row],[PT-3]]*3+MIP_4[[#This Row],[PT &gt; 3 Pontos]]</f>
        <v>9</v>
      </c>
      <c r="S15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8.8888888888888851E-2</v>
      </c>
      <c r="T15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8.8888888888888851E-2</v>
      </c>
      <c r="U157" s="41">
        <f ca="1">MIP_4[[#This Row],[Eficiência]]</f>
        <v>0.78285166504836867</v>
      </c>
      <c r="V15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57" s="39">
        <f>IF(MIP_4[[#This Row],[P.S]]-MIP_4[[#This Row],[P.E]]&lt;0,1+MIP_4[[#This Row],[P.S]]-MIP_4[[#This Row],[P.E]]-1/24,MIP_4[[#This Row],[P.S]]-MIP_4[[#This Row],[P.E]]-1/24)</f>
        <v>0.36874999999999997</v>
      </c>
      <c r="X157" s="39">
        <f ca="1">MIP_4[[#This Row],[PT-1]]*$S$3+MIP_4[[#This Row],[PT-2]]*$T$3+MIP_4[[#This Row],[PT-3]]*$U$3+MIP_4[[#This Row],[PT &gt; 3 Pontos]]*$V$3</f>
        <v>0.21908973681561986</v>
      </c>
      <c r="Y157" s="39">
        <f>MIP_4[[#This Row],[HH disponível]]-MIP_4[[#This Row],[HH AC TOT]]</f>
        <v>0.27986111111111112</v>
      </c>
      <c r="Z157" s="38">
        <f ca="1">MIP_4[[#This Row],[HH Produtivo
Total]]/MIP_4[[#This Row],[HH Trabalhado]]</f>
        <v>0.78285166504836867</v>
      </c>
      <c r="AA157" s="38">
        <f ca="1">MIP_4[[#This Row],[HH Produtivo
Total]]/MIP_4[[#This Row],[HH disponível]]</f>
        <v>0.59414165916100303</v>
      </c>
      <c r="AB157" s="38">
        <f>MIP_4[[#This Row],[HH Trabalhado]]/MIP_4[[#This Row],[HH disponível]]</f>
        <v>0.75894538606403017</v>
      </c>
      <c r="AC157" s="37" t="str">
        <f>LEFT(MIP_4[[#This Row],[Equipe]], SEARCH("/",MIP_4[[#This Row],[Equipe]],1)-1)</f>
        <v xml:space="preserve">JOILSON </v>
      </c>
      <c r="AD157" s="37" t="str">
        <f>RIGHT(MIP_4[[#This Row],[Equipe]], LEN(MIP_4[[#This Row],[Equipe]])-SEARCH("/",MIP_4[[#This Row],[Equipe]],1))</f>
        <v xml:space="preserve"> VALDEI</v>
      </c>
      <c r="AE157" s="44">
        <f>COUNTIFS('[1]Tempo parado'!G:G,"&gt;="&amp;MIP_4[[#This Row],[S.B Sitrack]],'[1]Tempo parado'!H:H,"&lt;="&amp;MIP_4[[#This Row],[C.B Sitrack]],'[1]Tempo parado'!A:A,MIP_4[[#This Row],[Placa]])</f>
        <v>0</v>
      </c>
      <c r="AF157" s="36"/>
      <c r="AG157" s="35"/>
      <c r="AH157" s="34"/>
      <c r="AI157" s="34"/>
      <c r="AJ15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5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5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57" s="32" t="str">
        <f>IFERROR(MIP_4[[#This Row],[Tempo parado]]/(MIP_4[[#This Row],[C.B Sitrack]]-MIP_4[[#This Row],[S.B Sitrack]]),"")</f>
        <v/>
      </c>
      <c r="AN157" s="30"/>
      <c r="AO157" s="44">
        <f>IF(AND(MIP_4[Exc]=0,MIP_4[Previsto / Realizado]="Realizado"),MIP_4[Sem],0)</f>
        <v>26</v>
      </c>
      <c r="AP157" s="29">
        <f>IF(AND(MIP_4[Exc]=0,MIP_4[Previsto / Realizado]="Realizado",ISBLANK(MIP_4[[#This Row],[S.B Sitrack]])=FALSE,ISBLANK(MIP_4[[#This Row],[C.B Sitrack]])=FALSE),MIP_4[Sem],0)</f>
        <v>0</v>
      </c>
    </row>
    <row r="158" spans="1:42" ht="15.75" x14ac:dyDescent="0.25">
      <c r="A158" s="44">
        <f>WEEKNUM(MIP_4[[#This Row],[Data]])</f>
        <v>26</v>
      </c>
      <c r="B158" s="45">
        <v>42915</v>
      </c>
      <c r="C158" s="45"/>
      <c r="D158" s="35" t="s">
        <v>19</v>
      </c>
      <c r="E158" s="35" t="s">
        <v>5</v>
      </c>
      <c r="F158" s="35"/>
      <c r="G158" s="44">
        <v>2</v>
      </c>
      <c r="H158" s="44">
        <v>8</v>
      </c>
      <c r="I158" s="44">
        <v>0</v>
      </c>
      <c r="J158" s="44">
        <v>1</v>
      </c>
      <c r="K158" s="44">
        <v>5</v>
      </c>
      <c r="L158" s="43">
        <v>0.625</v>
      </c>
      <c r="M158" s="43">
        <v>0.64583333333333337</v>
      </c>
      <c r="N158" s="43">
        <f>1+18/24/60</f>
        <v>1.0125</v>
      </c>
      <c r="O158" s="43">
        <f>1+48/24/60</f>
        <v>1.0333333333333334</v>
      </c>
      <c r="P158" s="39"/>
      <c r="Q158" s="42"/>
      <c r="R158" s="44">
        <f>MIP_4[[#This Row],[PT-1]]+MIP_4[[#This Row],[PT-2]]*2+MIP_4[[#This Row],[PT-3]]*3+MIP_4[[#This Row],[PT &gt; 3 Pontos]]</f>
        <v>16</v>
      </c>
      <c r="S15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15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158" s="41">
        <f ca="1">MIP_4[[#This Row],[Eficiência]]</f>
        <v>1.1207340225305202</v>
      </c>
      <c r="V15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58" s="39">
        <f>IF(MIP_4[[#This Row],[P.S]]-MIP_4[[#This Row],[P.E]]&lt;0,1+MIP_4[[#This Row],[P.S]]-MIP_4[[#This Row],[P.E]]-1/24,MIP_4[[#This Row],[P.S]]-MIP_4[[#This Row],[P.E]]-1/24)</f>
        <v>0.36666666666666675</v>
      </c>
      <c r="X158" s="39">
        <f ca="1">MIP_4[[#This Row],[PT-1]]*$S$3+MIP_4[[#This Row],[PT-2]]*$T$3+MIP_4[[#This Row],[PT-3]]*$U$3+MIP_4[[#This Row],[PT &gt; 3 Pontos]]*$V$3</f>
        <v>0.36423855732241894</v>
      </c>
      <c r="Y158" s="39">
        <f>MIP_4[[#This Row],[HH disponível]]-MIP_4[[#This Row],[HH AC TOT]]</f>
        <v>0.3249999999999999</v>
      </c>
      <c r="Z158" s="38">
        <f ca="1">MIP_4[[#This Row],[HH Produtivo
Total]]/MIP_4[[#This Row],[HH Trabalhado]]</f>
        <v>1.1207340225305202</v>
      </c>
      <c r="AA158" s="38">
        <f ca="1">MIP_4[[#This Row],[HH Produtivo
Total]]/MIP_4[[#This Row],[HH disponível]]</f>
        <v>0.99337788360659685</v>
      </c>
      <c r="AB158" s="38">
        <f>MIP_4[[#This Row],[HH Trabalhado]]/MIP_4[[#This Row],[HH disponível]]</f>
        <v>0.88636363636363591</v>
      </c>
      <c r="AC158" s="37" t="str">
        <f>LEFT(MIP_4[[#This Row],[Equipe]], SEARCH("/",MIP_4[[#This Row],[Equipe]],1)-1)</f>
        <v xml:space="preserve">ADEMÁRIO </v>
      </c>
      <c r="AD158" s="37" t="str">
        <f>RIGHT(MIP_4[[#This Row],[Equipe]], LEN(MIP_4[[#This Row],[Equipe]])-SEARCH("/",MIP_4[[#This Row],[Equipe]],1))</f>
        <v xml:space="preserve"> RONALDO</v>
      </c>
      <c r="AE158" s="44">
        <f>COUNTIFS('[1]Tempo parado'!G:G,"&gt;="&amp;MIP_4[[#This Row],[S.B Sitrack]],'[1]Tempo parado'!H:H,"&lt;="&amp;MIP_4[[#This Row],[C.B Sitrack]],'[1]Tempo parado'!A:A,MIP_4[[#This Row],[Placa]])</f>
        <v>0</v>
      </c>
      <c r="AF158" s="36"/>
      <c r="AG158" s="35"/>
      <c r="AH158" s="34"/>
      <c r="AI158" s="34"/>
      <c r="AJ15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5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5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58" s="32" t="str">
        <f>IFERROR(MIP_4[[#This Row],[Tempo parado]]/(MIP_4[[#This Row],[C.B Sitrack]]-MIP_4[[#This Row],[S.B Sitrack]]),"")</f>
        <v/>
      </c>
      <c r="AN158" s="30"/>
      <c r="AO158" s="44">
        <f>IF(AND(MIP_4[Exc]=0,MIP_4[Previsto / Realizado]="Realizado"),MIP_4[Sem],0)</f>
        <v>0</v>
      </c>
      <c r="AP158" s="29">
        <f>IF(AND(MIP_4[Exc]=0,MIP_4[Previsto / Realizado]="Realizado",ISBLANK(MIP_4[[#This Row],[S.B Sitrack]])=FALSE,ISBLANK(MIP_4[[#This Row],[C.B Sitrack]])=FALSE),MIP_4[Sem],0)</f>
        <v>0</v>
      </c>
    </row>
    <row r="159" spans="1:42" ht="15.75" x14ac:dyDescent="0.25">
      <c r="A159" s="44">
        <f>WEEKNUM(MIP_4[[#This Row],[Data]])</f>
        <v>26</v>
      </c>
      <c r="B159" s="45">
        <v>42915</v>
      </c>
      <c r="C159" s="45"/>
      <c r="D159" s="35" t="s">
        <v>19</v>
      </c>
      <c r="E159" s="35" t="s">
        <v>2</v>
      </c>
      <c r="F159" s="35"/>
      <c r="G159" s="44">
        <v>2</v>
      </c>
      <c r="H159" s="44">
        <v>7</v>
      </c>
      <c r="I159" s="44">
        <v>0</v>
      </c>
      <c r="J159" s="44">
        <v>1</v>
      </c>
      <c r="K159" s="44">
        <v>0</v>
      </c>
      <c r="L159" s="43">
        <v>0.63888888888888895</v>
      </c>
      <c r="M159" s="43">
        <v>0.68333333333333324</v>
      </c>
      <c r="N159" s="43">
        <f>1+35/24/60</f>
        <v>1.0243055555555556</v>
      </c>
      <c r="O159" s="43">
        <f>1+53/24/60</f>
        <v>1.0368055555555555</v>
      </c>
      <c r="P159" s="39"/>
      <c r="Q159" s="42" t="s">
        <v>408</v>
      </c>
      <c r="R159" s="44">
        <f>MIP_4[[#This Row],[PT-1]]+MIP_4[[#This Row],[PT-2]]*2+MIP_4[[#This Row],[PT-3]]*3+MIP_4[[#This Row],[PT &gt; 3 Pontos]]</f>
        <v>10</v>
      </c>
      <c r="S15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5.6944444444444242E-2</v>
      </c>
      <c r="T15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5.6944444444444242E-2</v>
      </c>
      <c r="U159" s="41">
        <f ca="1">MIP_4[[#This Row],[Eficiência]]</f>
        <v>0.79508263559635439</v>
      </c>
      <c r="V15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59" s="39">
        <f>IF(MIP_4[[#This Row],[P.S]]-MIP_4[[#This Row],[P.E]]&lt;0,1+MIP_4[[#This Row],[P.S]]-MIP_4[[#This Row],[P.E]]-1/24,MIP_4[[#This Row],[P.S]]-MIP_4[[#This Row],[P.E]]-1/24)</f>
        <v>0.3562499999999999</v>
      </c>
      <c r="X159" s="39">
        <f ca="1">MIP_4[[#This Row],[PT-1]]*$S$3+MIP_4[[#This Row],[PT-2]]*$T$3+MIP_4[[#This Row],[PT-3]]*$U$3+MIP_4[[#This Row],[PT &gt; 3 Pontos]]*$V$3</f>
        <v>0.23797264995974227</v>
      </c>
      <c r="Y159" s="39">
        <f>MIP_4[[#This Row],[HH disponível]]-MIP_4[[#This Row],[HH AC TOT]]</f>
        <v>0.29930555555555566</v>
      </c>
      <c r="Z159" s="38">
        <f ca="1">MIP_4[[#This Row],[HH Produtivo
Total]]/MIP_4[[#This Row],[HH Trabalhado]]</f>
        <v>0.79508263559635439</v>
      </c>
      <c r="AA159" s="38">
        <f ca="1">MIP_4[[#This Row],[HH Produtivo
Total]]/MIP_4[[#This Row],[HH disponível]]</f>
        <v>0.66799340339576796</v>
      </c>
      <c r="AB159" s="38">
        <f>MIP_4[[#This Row],[HH Trabalhado]]/MIP_4[[#This Row],[HH disponível]]</f>
        <v>0.84015594541910388</v>
      </c>
      <c r="AC159" s="37" t="str">
        <f>LEFT(MIP_4[[#This Row],[Equipe]], SEARCH("/",MIP_4[[#This Row],[Equipe]],1)-1)</f>
        <v xml:space="preserve">ADEMÁRIO </v>
      </c>
      <c r="AD159" s="37" t="str">
        <f>RIGHT(MIP_4[[#This Row],[Equipe]], LEN(MIP_4[[#This Row],[Equipe]])-SEARCH("/",MIP_4[[#This Row],[Equipe]],1))</f>
        <v xml:space="preserve"> RONALDO</v>
      </c>
      <c r="AE159" s="44">
        <f>COUNTIFS('[1]Tempo parado'!G:G,"&gt;="&amp;MIP_4[[#This Row],[S.B Sitrack]],'[1]Tempo parado'!H:H,"&lt;="&amp;MIP_4[[#This Row],[C.B Sitrack]],'[1]Tempo parado'!A:A,MIP_4[[#This Row],[Placa]])</f>
        <v>0</v>
      </c>
      <c r="AF159" s="36"/>
      <c r="AG159" s="35"/>
      <c r="AH159" s="34"/>
      <c r="AI159" s="34"/>
      <c r="AJ15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5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5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59" s="32" t="str">
        <f>IFERROR(MIP_4[[#This Row],[Tempo parado]]/(MIP_4[[#This Row],[C.B Sitrack]]-MIP_4[[#This Row],[S.B Sitrack]]),"")</f>
        <v/>
      </c>
      <c r="AN159" s="30"/>
      <c r="AO159" s="44">
        <f>IF(AND(MIP_4[Exc]=0,MIP_4[Previsto / Realizado]="Realizado"),MIP_4[Sem],0)</f>
        <v>26</v>
      </c>
      <c r="AP159" s="29">
        <f>IF(AND(MIP_4[Exc]=0,MIP_4[Previsto / Realizado]="Realizado",ISBLANK(MIP_4[[#This Row],[S.B Sitrack]])=FALSE,ISBLANK(MIP_4[[#This Row],[C.B Sitrack]])=FALSE),MIP_4[Sem],0)</f>
        <v>0</v>
      </c>
    </row>
    <row r="160" spans="1:42" ht="15.75" x14ac:dyDescent="0.25">
      <c r="A160" s="44">
        <f>WEEKNUM(MIP_4[[#This Row],[Data]])</f>
        <v>26</v>
      </c>
      <c r="B160" s="45">
        <v>42915</v>
      </c>
      <c r="C160" s="45"/>
      <c r="D160" s="35" t="s">
        <v>7</v>
      </c>
      <c r="E160" s="35" t="s">
        <v>5</v>
      </c>
      <c r="F160" s="35"/>
      <c r="G160" s="44">
        <v>2</v>
      </c>
      <c r="H160" s="44">
        <v>12</v>
      </c>
      <c r="I160" s="44">
        <v>2</v>
      </c>
      <c r="J160" s="44">
        <v>0</v>
      </c>
      <c r="K160" s="44">
        <v>0</v>
      </c>
      <c r="L160" s="43">
        <v>0.625</v>
      </c>
      <c r="M160" s="43">
        <v>0.64583333333333337</v>
      </c>
      <c r="N160" s="43">
        <f>1+18/24/60</f>
        <v>1.0125</v>
      </c>
      <c r="O160" s="43">
        <f>1+48/24/60</f>
        <v>1.0333333333333334</v>
      </c>
      <c r="P160" s="39"/>
      <c r="Q160" s="42"/>
      <c r="R160" s="44">
        <f>MIP_4[[#This Row],[PT-1]]+MIP_4[[#This Row],[PT-2]]*2+MIP_4[[#This Row],[PT-3]]*3+MIP_4[[#This Row],[PT &gt; 3 Pontos]]</f>
        <v>16</v>
      </c>
      <c r="S16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16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160" s="41">
        <f ca="1">MIP_4[[#This Row],[Eficiência]]</f>
        <v>1.1942392852718937</v>
      </c>
      <c r="V16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60" s="39">
        <f>IF(MIP_4[[#This Row],[P.S]]-MIP_4[[#This Row],[P.E]]&lt;0,1+MIP_4[[#This Row],[P.S]]-MIP_4[[#This Row],[P.E]]-1/24,MIP_4[[#This Row],[P.S]]-MIP_4[[#This Row],[P.E]]-1/24)</f>
        <v>0.36666666666666675</v>
      </c>
      <c r="X160" s="39">
        <f ca="1">MIP_4[[#This Row],[PT-1]]*$S$3+MIP_4[[#This Row],[PT-2]]*$T$3+MIP_4[[#This Row],[PT-3]]*$U$3+MIP_4[[#This Row],[PT &gt; 3 Pontos]]*$V$3</f>
        <v>0.38812776771336532</v>
      </c>
      <c r="Y160" s="39">
        <f>MIP_4[[#This Row],[HH disponível]]-MIP_4[[#This Row],[HH AC TOT]]</f>
        <v>0.3249999999999999</v>
      </c>
      <c r="Z160" s="38">
        <f ca="1">MIP_4[[#This Row],[HH Produtivo
Total]]/MIP_4[[#This Row],[HH Trabalhado]]</f>
        <v>1.1942392852718937</v>
      </c>
      <c r="AA160" s="38">
        <f ca="1">MIP_4[[#This Row],[HH Produtivo
Total]]/MIP_4[[#This Row],[HH disponível]]</f>
        <v>1.0585302755819053</v>
      </c>
      <c r="AB160" s="38">
        <f>MIP_4[[#This Row],[HH Trabalhado]]/MIP_4[[#This Row],[HH disponível]]</f>
        <v>0.88636363636363591</v>
      </c>
      <c r="AC160" s="37" t="str">
        <f>LEFT(MIP_4[[#This Row],[Equipe]], SEARCH("/",MIP_4[[#This Row],[Equipe]],1)-1)</f>
        <v xml:space="preserve">ANDERSON </v>
      </c>
      <c r="AD160" s="37" t="str">
        <f>RIGHT(MIP_4[[#This Row],[Equipe]], LEN(MIP_4[[#This Row],[Equipe]])-SEARCH("/",MIP_4[[#This Row],[Equipe]],1))</f>
        <v xml:space="preserve"> MARCO</v>
      </c>
      <c r="AE160" s="44">
        <f>COUNTIFS('[1]Tempo parado'!G:G,"&gt;="&amp;MIP_4[[#This Row],[S.B Sitrack]],'[1]Tempo parado'!H:H,"&lt;="&amp;MIP_4[[#This Row],[C.B Sitrack]],'[1]Tempo parado'!A:A,MIP_4[[#This Row],[Placa]])</f>
        <v>0</v>
      </c>
      <c r="AF160" s="36"/>
      <c r="AG160" s="35"/>
      <c r="AH160" s="34"/>
      <c r="AI160" s="34"/>
      <c r="AJ16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6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6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60" s="32" t="str">
        <f>IFERROR(MIP_4[[#This Row],[Tempo parado]]/(MIP_4[[#This Row],[C.B Sitrack]]-MIP_4[[#This Row],[S.B Sitrack]]),"")</f>
        <v/>
      </c>
      <c r="AN160" s="30"/>
      <c r="AO160" s="44">
        <f>IF(AND(MIP_4[Exc]=0,MIP_4[Previsto / Realizado]="Realizado"),MIP_4[Sem],0)</f>
        <v>0</v>
      </c>
      <c r="AP160" s="29">
        <f>IF(AND(MIP_4[Exc]=0,MIP_4[Previsto / Realizado]="Realizado",ISBLANK(MIP_4[[#This Row],[S.B Sitrack]])=FALSE,ISBLANK(MIP_4[[#This Row],[C.B Sitrack]])=FALSE),MIP_4[Sem],0)</f>
        <v>0</v>
      </c>
    </row>
    <row r="161" spans="1:42" ht="15.75" x14ac:dyDescent="0.25">
      <c r="A161" s="44">
        <f>WEEKNUM(MIP_4[[#This Row],[Data]])</f>
        <v>26</v>
      </c>
      <c r="B161" s="45">
        <v>42915</v>
      </c>
      <c r="C161" s="45"/>
      <c r="D161" s="35" t="s">
        <v>7</v>
      </c>
      <c r="E161" s="35" t="s">
        <v>2</v>
      </c>
      <c r="F161" s="35"/>
      <c r="G161" s="44">
        <v>2</v>
      </c>
      <c r="H161" s="44">
        <v>10</v>
      </c>
      <c r="I161" s="44">
        <v>1</v>
      </c>
      <c r="J161" s="44">
        <v>0</v>
      </c>
      <c r="K161" s="44">
        <v>0</v>
      </c>
      <c r="L161" s="43">
        <v>0.62222222222222223</v>
      </c>
      <c r="M161" s="43">
        <v>0.67986111111111114</v>
      </c>
      <c r="N161" s="43">
        <f>1+10/24/60</f>
        <v>1.0069444444444444</v>
      </c>
      <c r="O161" s="43">
        <f>1+48/24/60</f>
        <v>1.0333333333333334</v>
      </c>
      <c r="P161" s="39"/>
      <c r="Q161" s="42"/>
      <c r="R161" s="44">
        <f>MIP_4[[#This Row],[PT-1]]+MIP_4[[#This Row],[PT-2]]*2+MIP_4[[#This Row],[PT-3]]*3+MIP_4[[#This Row],[PT &gt; 3 Pontos]]</f>
        <v>12</v>
      </c>
      <c r="S16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8.4027777777777923E-2</v>
      </c>
      <c r="T16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8.4027777777777923E-2</v>
      </c>
      <c r="U161" s="41">
        <f ca="1">MIP_4[[#This Row],[Eficiência]]</f>
        <v>1.0306591381924606</v>
      </c>
      <c r="V16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61" s="39">
        <f>IF(MIP_4[[#This Row],[P.S]]-MIP_4[[#This Row],[P.E]]&lt;0,1+MIP_4[[#This Row],[P.S]]-MIP_4[[#This Row],[P.E]]-1/24,MIP_4[[#This Row],[P.S]]-MIP_4[[#This Row],[P.E]]-1/24)</f>
        <v>0.36944444444444452</v>
      </c>
      <c r="X161" s="39">
        <f ca="1">MIP_4[[#This Row],[PT-1]]*$S$3+MIP_4[[#This Row],[PT-2]]*$T$3+MIP_4[[#This Row],[PT-3]]*$U$3+MIP_4[[#This Row],[PT &gt; 3 Pontos]]*$V$3</f>
        <v>0.29416729569243139</v>
      </c>
      <c r="Y161" s="39">
        <f>MIP_4[[#This Row],[HH disponível]]-MIP_4[[#This Row],[HH AC TOT]]</f>
        <v>0.2854166666666666</v>
      </c>
      <c r="Z161" s="38">
        <f ca="1">MIP_4[[#This Row],[HH Produtivo
Total]]/MIP_4[[#This Row],[HH Trabalhado]]</f>
        <v>1.0306591381924606</v>
      </c>
      <c r="AA161" s="38">
        <f ca="1">MIP_4[[#This Row],[HH Produtivo
Total]]/MIP_4[[#This Row],[HH disponível]]</f>
        <v>0.79624230412988928</v>
      </c>
      <c r="AB161" s="38">
        <f>MIP_4[[#This Row],[HH Trabalhado]]/MIP_4[[#This Row],[HH disponível]]</f>
        <v>0.77255639097744322</v>
      </c>
      <c r="AC161" s="37" t="str">
        <f>LEFT(MIP_4[[#This Row],[Equipe]], SEARCH("/",MIP_4[[#This Row],[Equipe]],1)-1)</f>
        <v xml:space="preserve">ANDERSON </v>
      </c>
      <c r="AD161" s="37" t="str">
        <f>RIGHT(MIP_4[[#This Row],[Equipe]], LEN(MIP_4[[#This Row],[Equipe]])-SEARCH("/",MIP_4[[#This Row],[Equipe]],1))</f>
        <v xml:space="preserve"> MARCO</v>
      </c>
      <c r="AE161" s="44">
        <f>COUNTIFS('[1]Tempo parado'!G:G,"&gt;="&amp;MIP_4[[#This Row],[S.B Sitrack]],'[1]Tempo parado'!H:H,"&lt;="&amp;MIP_4[[#This Row],[C.B Sitrack]],'[1]Tempo parado'!A:A,MIP_4[[#This Row],[Placa]])</f>
        <v>0</v>
      </c>
      <c r="AF161" s="36"/>
      <c r="AG161" s="35"/>
      <c r="AH161" s="34"/>
      <c r="AI161" s="34"/>
      <c r="AJ16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6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6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61" s="32" t="str">
        <f>IFERROR(MIP_4[[#This Row],[Tempo parado]]/(MIP_4[[#This Row],[C.B Sitrack]]-MIP_4[[#This Row],[S.B Sitrack]]),"")</f>
        <v/>
      </c>
      <c r="AN161" s="30"/>
      <c r="AO161" s="44">
        <f>IF(AND(MIP_4[Exc]=0,MIP_4[Previsto / Realizado]="Realizado"),MIP_4[Sem],0)</f>
        <v>26</v>
      </c>
      <c r="AP161" s="29">
        <f>IF(AND(MIP_4[Exc]=0,MIP_4[Previsto / Realizado]="Realizado",ISBLANK(MIP_4[[#This Row],[S.B Sitrack]])=FALSE,ISBLANK(MIP_4[[#This Row],[C.B Sitrack]])=FALSE),MIP_4[Sem],0)</f>
        <v>0</v>
      </c>
    </row>
    <row r="162" spans="1:42" ht="15.75" x14ac:dyDescent="0.25">
      <c r="A162" s="44">
        <f>WEEKNUM(MIP_4[[#This Row],[Data]])</f>
        <v>26</v>
      </c>
      <c r="B162" s="45">
        <v>42916</v>
      </c>
      <c r="C162" s="45"/>
      <c r="D162" s="35" t="s">
        <v>7</v>
      </c>
      <c r="E162" s="35" t="s">
        <v>5</v>
      </c>
      <c r="F162" s="35"/>
      <c r="G162" s="44">
        <v>2</v>
      </c>
      <c r="H162" s="44">
        <v>9</v>
      </c>
      <c r="I162" s="44">
        <v>0</v>
      </c>
      <c r="J162" s="44">
        <v>1</v>
      </c>
      <c r="K162" s="44">
        <v>4</v>
      </c>
      <c r="L162" s="43">
        <v>0.625</v>
      </c>
      <c r="M162" s="43">
        <v>0.64583333333333337</v>
      </c>
      <c r="N162" s="43">
        <f>1+18/24/60</f>
        <v>1.0125</v>
      </c>
      <c r="O162" s="43">
        <f>1+48/24/60</f>
        <v>1.0333333333333334</v>
      </c>
      <c r="P162" s="39"/>
      <c r="Q162" s="42"/>
      <c r="R162" s="44">
        <f>MIP_4[[#This Row],[PT-1]]+MIP_4[[#This Row],[PT-2]]*2+MIP_4[[#This Row],[PT-3]]*3+MIP_4[[#This Row],[PT &gt; 3 Pontos]]</f>
        <v>16</v>
      </c>
      <c r="S16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16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162" s="41">
        <f ca="1">MIP_4[[#This Row],[Eficiência]]</f>
        <v>1.1354350750787949</v>
      </c>
      <c r="V16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62" s="39">
        <f>IF(MIP_4[[#This Row],[P.S]]-MIP_4[[#This Row],[P.E]]&lt;0,1+MIP_4[[#This Row],[P.S]]-MIP_4[[#This Row],[P.E]]-1/24,MIP_4[[#This Row],[P.S]]-MIP_4[[#This Row],[P.E]]-1/24)</f>
        <v>0.36666666666666675</v>
      </c>
      <c r="X162" s="39">
        <f ca="1">MIP_4[[#This Row],[PT-1]]*$S$3+MIP_4[[#This Row],[PT-2]]*$T$3+MIP_4[[#This Row],[PT-3]]*$U$3+MIP_4[[#This Row],[PT &gt; 3 Pontos]]*$V$3</f>
        <v>0.36901639940060826</v>
      </c>
      <c r="Y162" s="39">
        <f>MIP_4[[#This Row],[HH disponível]]-MIP_4[[#This Row],[HH AC TOT]]</f>
        <v>0.3249999999999999</v>
      </c>
      <c r="Z162" s="38">
        <f ca="1">MIP_4[[#This Row],[HH Produtivo
Total]]/MIP_4[[#This Row],[HH Trabalhado]]</f>
        <v>1.1354350750787949</v>
      </c>
      <c r="AA162" s="38">
        <f ca="1">MIP_4[[#This Row],[HH Produtivo
Total]]/MIP_4[[#This Row],[HH disponível]]</f>
        <v>1.0064083620016586</v>
      </c>
      <c r="AB162" s="38">
        <f>MIP_4[[#This Row],[HH Trabalhado]]/MIP_4[[#This Row],[HH disponível]]</f>
        <v>0.88636363636363591</v>
      </c>
      <c r="AC162" s="37" t="str">
        <f>LEFT(MIP_4[[#This Row],[Equipe]], SEARCH("/",MIP_4[[#This Row],[Equipe]],1)-1)</f>
        <v xml:space="preserve">ANDERSON </v>
      </c>
      <c r="AD162" s="37" t="str">
        <f>RIGHT(MIP_4[[#This Row],[Equipe]], LEN(MIP_4[[#This Row],[Equipe]])-SEARCH("/",MIP_4[[#This Row],[Equipe]],1))</f>
        <v xml:space="preserve"> MARCO</v>
      </c>
      <c r="AE162" s="44">
        <f>COUNTIFS('[1]Tempo parado'!G:G,"&gt;="&amp;MIP_4[[#This Row],[S.B Sitrack]],'[1]Tempo parado'!H:H,"&lt;="&amp;MIP_4[[#This Row],[C.B Sitrack]],'[1]Tempo parado'!A:A,MIP_4[[#This Row],[Placa]])</f>
        <v>0</v>
      </c>
      <c r="AF162" s="36"/>
      <c r="AG162" s="35"/>
      <c r="AH162" s="34"/>
      <c r="AI162" s="34"/>
      <c r="AJ16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6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6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62" s="32" t="str">
        <f>IFERROR(MIP_4[[#This Row],[Tempo parado]]/(MIP_4[[#This Row],[C.B Sitrack]]-MIP_4[[#This Row],[S.B Sitrack]]),"")</f>
        <v/>
      </c>
      <c r="AN162" s="30"/>
      <c r="AO162" s="44">
        <f>IF(AND(MIP_4[Exc]=0,MIP_4[Previsto / Realizado]="Realizado"),MIP_4[Sem],0)</f>
        <v>0</v>
      </c>
      <c r="AP162" s="29">
        <f>IF(AND(MIP_4[Exc]=0,MIP_4[Previsto / Realizado]="Realizado",ISBLANK(MIP_4[[#This Row],[S.B Sitrack]])=FALSE,ISBLANK(MIP_4[[#This Row],[C.B Sitrack]])=FALSE),MIP_4[Sem],0)</f>
        <v>0</v>
      </c>
    </row>
    <row r="163" spans="1:42" ht="15.75" x14ac:dyDescent="0.25">
      <c r="A163" s="44">
        <f>WEEKNUM(MIP_4[[#This Row],[Data]])</f>
        <v>26</v>
      </c>
      <c r="B163" s="45">
        <v>42916</v>
      </c>
      <c r="C163" s="45"/>
      <c r="D163" s="35" t="s">
        <v>7</v>
      </c>
      <c r="E163" s="35" t="s">
        <v>2</v>
      </c>
      <c r="F163" s="35"/>
      <c r="G163" s="44">
        <v>2</v>
      </c>
      <c r="H163" s="44">
        <v>5</v>
      </c>
      <c r="I163" s="44">
        <v>0</v>
      </c>
      <c r="J163" s="44">
        <v>1</v>
      </c>
      <c r="K163" s="44">
        <v>4</v>
      </c>
      <c r="L163" s="43">
        <v>0.62986111111111109</v>
      </c>
      <c r="M163" s="43">
        <v>0.68402777777777779</v>
      </c>
      <c r="N163" s="43">
        <f>1+30/24/60</f>
        <v>1.0208333333333333</v>
      </c>
      <c r="O163" s="43">
        <f>1+48/24/60</f>
        <v>1.0333333333333334</v>
      </c>
      <c r="P163" s="39"/>
      <c r="Q163" s="42" t="s">
        <v>407</v>
      </c>
      <c r="R163" s="44">
        <f>MIP_4[[#This Row],[PT-1]]+MIP_4[[#This Row],[PT-2]]*2+MIP_4[[#This Row],[PT-3]]*3+MIP_4[[#This Row],[PT &gt; 3 Pontos]]</f>
        <v>12</v>
      </c>
      <c r="S16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6.6666666666666874E-2</v>
      </c>
      <c r="T16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6.6666666666666874E-2</v>
      </c>
      <c r="U163" s="41">
        <f ca="1">MIP_4[[#This Row],[Eficiência]]</f>
        <v>0.91114047551387711</v>
      </c>
      <c r="V16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63" s="39">
        <f>IF(MIP_4[[#This Row],[P.S]]-MIP_4[[#This Row],[P.E]]&lt;0,1+MIP_4[[#This Row],[P.S]]-MIP_4[[#This Row],[P.E]]-1/24,MIP_4[[#This Row],[P.S]]-MIP_4[[#This Row],[P.E]]-1/24)</f>
        <v>0.36180555555555566</v>
      </c>
      <c r="X163" s="39">
        <f ca="1">MIP_4[[#This Row],[PT-1]]*$S$3+MIP_4[[#This Row],[PT-2]]*$T$3+MIP_4[[#This Row],[PT-3]]*$U$3+MIP_4[[#This Row],[PT &gt; 3 Pontos]]*$V$3</f>
        <v>0.26891298756485948</v>
      </c>
      <c r="Y163" s="39">
        <f>MIP_4[[#This Row],[HH disponível]]-MIP_4[[#This Row],[HH AC TOT]]</f>
        <v>0.29513888888888878</v>
      </c>
      <c r="Z163" s="38">
        <f ca="1">MIP_4[[#This Row],[HH Produtivo
Total]]/MIP_4[[#This Row],[HH Trabalhado]]</f>
        <v>0.91114047551387711</v>
      </c>
      <c r="AA163" s="38">
        <f ca="1">MIP_4[[#This Row],[HH Produtivo
Total]]/MIP_4[[#This Row],[HH disponível]]</f>
        <v>0.74325278712744247</v>
      </c>
      <c r="AB163" s="38">
        <f>MIP_4[[#This Row],[HH Trabalhado]]/MIP_4[[#This Row],[HH disponível]]</f>
        <v>0.8157389635316693</v>
      </c>
      <c r="AC163" s="37" t="str">
        <f>LEFT(MIP_4[[#This Row],[Equipe]], SEARCH("/",MIP_4[[#This Row],[Equipe]],1)-1)</f>
        <v xml:space="preserve">ANDERSON </v>
      </c>
      <c r="AD163" s="37" t="str">
        <f>RIGHT(MIP_4[[#This Row],[Equipe]], LEN(MIP_4[[#This Row],[Equipe]])-SEARCH("/",MIP_4[[#This Row],[Equipe]],1))</f>
        <v xml:space="preserve"> MARCO</v>
      </c>
      <c r="AE163" s="44">
        <f>COUNTIFS('[1]Tempo parado'!G:G,"&gt;="&amp;MIP_4[[#This Row],[S.B Sitrack]],'[1]Tempo parado'!H:H,"&lt;="&amp;MIP_4[[#This Row],[C.B Sitrack]],'[1]Tempo parado'!A:A,MIP_4[[#This Row],[Placa]])</f>
        <v>0</v>
      </c>
      <c r="AF163" s="36"/>
      <c r="AG163" s="35"/>
      <c r="AH163" s="34"/>
      <c r="AI163" s="34"/>
      <c r="AJ16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6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6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63" s="32" t="str">
        <f>IFERROR(MIP_4[[#This Row],[Tempo parado]]/(MIP_4[[#This Row],[C.B Sitrack]]-MIP_4[[#This Row],[S.B Sitrack]]),"")</f>
        <v/>
      </c>
      <c r="AN163" s="30"/>
      <c r="AO163" s="44">
        <f>IF(AND(MIP_4[Exc]=0,MIP_4[Previsto / Realizado]="Realizado"),MIP_4[Sem],0)</f>
        <v>26</v>
      </c>
      <c r="AP163" s="29">
        <f>IF(AND(MIP_4[Exc]=0,MIP_4[Previsto / Realizado]="Realizado",ISBLANK(MIP_4[[#This Row],[S.B Sitrack]])=FALSE,ISBLANK(MIP_4[[#This Row],[C.B Sitrack]])=FALSE),MIP_4[Sem],0)</f>
        <v>0</v>
      </c>
    </row>
    <row r="164" spans="1:42" ht="15.75" x14ac:dyDescent="0.25">
      <c r="A164" s="44">
        <f>WEEKNUM(MIP_4[[#This Row],[Data]])</f>
        <v>26</v>
      </c>
      <c r="B164" s="45">
        <v>42916</v>
      </c>
      <c r="C164" s="45"/>
      <c r="D164" s="35" t="s">
        <v>19</v>
      </c>
      <c r="E164" s="35" t="s">
        <v>5</v>
      </c>
      <c r="F164" s="35"/>
      <c r="G164" s="44">
        <v>2</v>
      </c>
      <c r="H164" s="44">
        <v>10</v>
      </c>
      <c r="I164" s="44">
        <v>2</v>
      </c>
      <c r="J164" s="44">
        <v>0</v>
      </c>
      <c r="K164" s="44">
        <v>0</v>
      </c>
      <c r="L164" s="43">
        <v>0.625</v>
      </c>
      <c r="M164" s="43">
        <v>0.64583333333333337</v>
      </c>
      <c r="N164" s="43">
        <f>1+18/24/60</f>
        <v>1.0125</v>
      </c>
      <c r="O164" s="43">
        <f>1+48/24/60</f>
        <v>1.0333333333333334</v>
      </c>
      <c r="P164" s="39"/>
      <c r="Q164" s="42"/>
      <c r="R164" s="44">
        <f>MIP_4[[#This Row],[PT-1]]+MIP_4[[#This Row],[PT-2]]*2+MIP_4[[#This Row],[PT-3]]*3+MIP_4[[#This Row],[PT &gt; 3 Pontos]]</f>
        <v>14</v>
      </c>
      <c r="S16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16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164" s="41">
        <f ca="1">MIP_4[[#This Row],[Eficiência]]</f>
        <v>1.0402340362938185</v>
      </c>
      <c r="V16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64" s="39">
        <f>IF(MIP_4[[#This Row],[P.S]]-MIP_4[[#This Row],[P.E]]&lt;0,1+MIP_4[[#This Row],[P.S]]-MIP_4[[#This Row],[P.E]]-1/24,MIP_4[[#This Row],[P.S]]-MIP_4[[#This Row],[P.E]]-1/24)</f>
        <v>0.36666666666666675</v>
      </c>
      <c r="X164" s="39">
        <f ca="1">MIP_4[[#This Row],[PT-1]]*$S$3+MIP_4[[#This Row],[PT-2]]*$T$3+MIP_4[[#This Row],[PT-3]]*$U$3+MIP_4[[#This Row],[PT &gt; 3 Pontos]]*$V$3</f>
        <v>0.33807606179549093</v>
      </c>
      <c r="Y164" s="39">
        <f>MIP_4[[#This Row],[HH disponível]]-MIP_4[[#This Row],[HH AC TOT]]</f>
        <v>0.3249999999999999</v>
      </c>
      <c r="Z164" s="38">
        <f ca="1">MIP_4[[#This Row],[HH Produtivo
Total]]/MIP_4[[#This Row],[HH Trabalhado]]</f>
        <v>1.0402340362938185</v>
      </c>
      <c r="AA164" s="38">
        <f ca="1">MIP_4[[#This Row],[HH Produtivo
Total]]/MIP_4[[#This Row],[HH disponível]]</f>
        <v>0.92202562307861147</v>
      </c>
      <c r="AB164" s="38">
        <f>MIP_4[[#This Row],[HH Trabalhado]]/MIP_4[[#This Row],[HH disponível]]</f>
        <v>0.88636363636363591</v>
      </c>
      <c r="AC164" s="37" t="str">
        <f>LEFT(MIP_4[[#This Row],[Equipe]], SEARCH("/",MIP_4[[#This Row],[Equipe]],1)-1)</f>
        <v xml:space="preserve">ADEMÁRIO </v>
      </c>
      <c r="AD164" s="37" t="str">
        <f>RIGHT(MIP_4[[#This Row],[Equipe]], LEN(MIP_4[[#This Row],[Equipe]])-SEARCH("/",MIP_4[[#This Row],[Equipe]],1))</f>
        <v xml:space="preserve"> RONALDO</v>
      </c>
      <c r="AE164" s="44">
        <f>COUNTIFS('[1]Tempo parado'!G:G,"&gt;="&amp;MIP_4[[#This Row],[S.B Sitrack]],'[1]Tempo parado'!H:H,"&lt;="&amp;MIP_4[[#This Row],[C.B Sitrack]],'[1]Tempo parado'!A:A,MIP_4[[#This Row],[Placa]])</f>
        <v>0</v>
      </c>
      <c r="AF164" s="36"/>
      <c r="AG164" s="35"/>
      <c r="AH164" s="34"/>
      <c r="AI164" s="34"/>
      <c r="AJ16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6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6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64" s="32" t="str">
        <f>IFERROR(MIP_4[[#This Row],[Tempo parado]]/(MIP_4[[#This Row],[C.B Sitrack]]-MIP_4[[#This Row],[S.B Sitrack]]),"")</f>
        <v/>
      </c>
      <c r="AN164" s="30"/>
      <c r="AO164" s="44">
        <f>IF(AND(MIP_4[Exc]=0,MIP_4[Previsto / Realizado]="Realizado"),MIP_4[Sem],0)</f>
        <v>0</v>
      </c>
      <c r="AP164" s="29">
        <f>IF(AND(MIP_4[Exc]=0,MIP_4[Previsto / Realizado]="Realizado",ISBLANK(MIP_4[[#This Row],[S.B Sitrack]])=FALSE,ISBLANK(MIP_4[[#This Row],[C.B Sitrack]])=FALSE),MIP_4[Sem],0)</f>
        <v>0</v>
      </c>
    </row>
    <row r="165" spans="1:42" ht="15.75" x14ac:dyDescent="0.25">
      <c r="A165" s="44">
        <f>WEEKNUM(MIP_4[[#This Row],[Data]])</f>
        <v>26</v>
      </c>
      <c r="B165" s="45">
        <v>42916</v>
      </c>
      <c r="C165" s="45"/>
      <c r="D165" s="35" t="s">
        <v>19</v>
      </c>
      <c r="E165" s="35" t="s">
        <v>2</v>
      </c>
      <c r="F165" s="35"/>
      <c r="G165" s="44">
        <v>2</v>
      </c>
      <c r="H165" s="44">
        <v>9</v>
      </c>
      <c r="I165" s="44">
        <v>2</v>
      </c>
      <c r="J165" s="44">
        <v>0</v>
      </c>
      <c r="K165" s="44">
        <v>0</v>
      </c>
      <c r="L165" s="43">
        <v>0.63750000000000007</v>
      </c>
      <c r="M165" s="43">
        <v>0.69097222222222221</v>
      </c>
      <c r="N165" s="43">
        <f>1+25/24/60</f>
        <v>1.0173611111111112</v>
      </c>
      <c r="O165" s="43">
        <f>1+50/24/60</f>
        <v>1.0347222222222223</v>
      </c>
      <c r="P165" s="39"/>
      <c r="Q165" s="42" t="s">
        <v>407</v>
      </c>
      <c r="R165" s="44">
        <f>MIP_4[[#This Row],[PT-1]]+MIP_4[[#This Row],[PT-2]]*2+MIP_4[[#This Row],[PT-3]]*3+MIP_4[[#This Row],[PT &gt; 3 Pontos]]</f>
        <v>13</v>
      </c>
      <c r="S16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7.0833333333333304E-2</v>
      </c>
      <c r="T16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7.0833333333333304E-2</v>
      </c>
      <c r="U165" s="41">
        <f ca="1">MIP_4[[#This Row],[Eficiência]]</f>
        <v>1.0994934164015546</v>
      </c>
      <c r="V16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65" s="39">
        <f>IF(MIP_4[[#This Row],[P.S]]-MIP_4[[#This Row],[P.E]]&lt;0,1+MIP_4[[#This Row],[P.S]]-MIP_4[[#This Row],[P.E]]-1/24,MIP_4[[#This Row],[P.S]]-MIP_4[[#This Row],[P.E]]-1/24)</f>
        <v>0.35555555555555557</v>
      </c>
      <c r="X165" s="39">
        <f ca="1">MIP_4[[#This Row],[PT-1]]*$S$3+MIP_4[[#This Row],[PT-2]]*$T$3+MIP_4[[#This Row],[PT-3]]*$U$3+MIP_4[[#This Row],[PT &gt; 3 Pontos]]*$V$3</f>
        <v>0.31305020883655377</v>
      </c>
      <c r="Y165" s="39">
        <f>MIP_4[[#This Row],[HH disponível]]-MIP_4[[#This Row],[HH AC TOT]]</f>
        <v>0.28472222222222227</v>
      </c>
      <c r="Z165" s="38">
        <f ca="1">MIP_4[[#This Row],[HH Produtivo
Total]]/MIP_4[[#This Row],[HH Trabalhado]]</f>
        <v>1.0994934164015546</v>
      </c>
      <c r="AA165" s="38">
        <f ca="1">MIP_4[[#This Row],[HH Produtivo
Total]]/MIP_4[[#This Row],[HH disponível]]</f>
        <v>0.88045371235280745</v>
      </c>
      <c r="AB165" s="38">
        <f>MIP_4[[#This Row],[HH Trabalhado]]/MIP_4[[#This Row],[HH disponível]]</f>
        <v>0.80078125000000011</v>
      </c>
      <c r="AC165" s="37" t="str">
        <f>LEFT(MIP_4[[#This Row],[Equipe]], SEARCH("/",MIP_4[[#This Row],[Equipe]],1)-1)</f>
        <v xml:space="preserve">ADEMÁRIO </v>
      </c>
      <c r="AD165" s="37" t="str">
        <f>RIGHT(MIP_4[[#This Row],[Equipe]], LEN(MIP_4[[#This Row],[Equipe]])-SEARCH("/",MIP_4[[#This Row],[Equipe]],1))</f>
        <v xml:space="preserve"> RONALDO</v>
      </c>
      <c r="AE165" s="44">
        <f>COUNTIFS('[1]Tempo parado'!G:G,"&gt;="&amp;MIP_4[[#This Row],[S.B Sitrack]],'[1]Tempo parado'!H:H,"&lt;="&amp;MIP_4[[#This Row],[C.B Sitrack]],'[1]Tempo parado'!A:A,MIP_4[[#This Row],[Placa]])</f>
        <v>0</v>
      </c>
      <c r="AF165" s="36"/>
      <c r="AG165" s="35"/>
      <c r="AH165" s="34"/>
      <c r="AI165" s="34"/>
      <c r="AJ16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6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6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65" s="32" t="str">
        <f>IFERROR(MIP_4[[#This Row],[Tempo parado]]/(MIP_4[[#This Row],[C.B Sitrack]]-MIP_4[[#This Row],[S.B Sitrack]]),"")</f>
        <v/>
      </c>
      <c r="AN165" s="30"/>
      <c r="AO165" s="44">
        <f>IF(AND(MIP_4[Exc]=0,MIP_4[Previsto / Realizado]="Realizado"),MIP_4[Sem],0)</f>
        <v>26</v>
      </c>
      <c r="AP165" s="29">
        <f>IF(AND(MIP_4[Exc]=0,MIP_4[Previsto / Realizado]="Realizado",ISBLANK(MIP_4[[#This Row],[S.B Sitrack]])=FALSE,ISBLANK(MIP_4[[#This Row],[C.B Sitrack]])=FALSE),MIP_4[Sem],0)</f>
        <v>0</v>
      </c>
    </row>
    <row r="166" spans="1:42" ht="15.75" x14ac:dyDescent="0.25">
      <c r="A166" s="44">
        <f>WEEKNUM(MIP_4[[#This Row],[Data]])</f>
        <v>26</v>
      </c>
      <c r="B166" s="45">
        <v>42916</v>
      </c>
      <c r="C166" s="45"/>
      <c r="D166" s="35" t="s">
        <v>3</v>
      </c>
      <c r="E166" s="35" t="s">
        <v>5</v>
      </c>
      <c r="F166" s="35"/>
      <c r="G166" s="44">
        <v>2</v>
      </c>
      <c r="H166" s="44">
        <v>6</v>
      </c>
      <c r="I166" s="44">
        <v>3</v>
      </c>
      <c r="J166" s="44">
        <v>1</v>
      </c>
      <c r="K166" s="44">
        <v>0</v>
      </c>
      <c r="L166" s="43">
        <v>0.625</v>
      </c>
      <c r="M166" s="43">
        <v>0.64583333333333337</v>
      </c>
      <c r="N166" s="43">
        <f>1+18/24/60</f>
        <v>1.0125</v>
      </c>
      <c r="O166" s="43">
        <f>1+48/24/60</f>
        <v>1.0333333333333334</v>
      </c>
      <c r="P166" s="39"/>
      <c r="Q166" s="42"/>
      <c r="R166" s="44">
        <f>MIP_4[[#This Row],[PT-1]]+MIP_4[[#This Row],[PT-2]]*2+MIP_4[[#This Row],[PT-3]]*3+MIP_4[[#This Row],[PT &gt; 3 Pontos]]</f>
        <v>15</v>
      </c>
      <c r="S16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16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166" s="41">
        <f ca="1">MIP_4[[#This Row],[Eficiência]]</f>
        <v>1.0605326009537965</v>
      </c>
      <c r="V16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66" s="39">
        <f>IF(MIP_4[[#This Row],[P.S]]-MIP_4[[#This Row],[P.E]]&lt;0,1+MIP_4[[#This Row],[P.S]]-MIP_4[[#This Row],[P.E]]-1/24,MIP_4[[#This Row],[P.S]]-MIP_4[[#This Row],[P.E]]-1/24)</f>
        <v>0.36666666666666675</v>
      </c>
      <c r="X166" s="39">
        <f ca="1">MIP_4[[#This Row],[PT-1]]*$S$3+MIP_4[[#This Row],[PT-2]]*$T$3+MIP_4[[#This Row],[PT-3]]*$U$3+MIP_4[[#This Row],[PT &gt; 3 Pontos]]*$V$3</f>
        <v>0.3446730953099838</v>
      </c>
      <c r="Y166" s="39">
        <f>MIP_4[[#This Row],[HH disponível]]-MIP_4[[#This Row],[HH AC TOT]]</f>
        <v>0.3249999999999999</v>
      </c>
      <c r="Z166" s="38">
        <f ca="1">MIP_4[[#This Row],[HH Produtivo
Total]]/MIP_4[[#This Row],[HH Trabalhado]]</f>
        <v>1.0605326009537965</v>
      </c>
      <c r="AA166" s="38">
        <f ca="1">MIP_4[[#This Row],[HH Produtivo
Total]]/MIP_4[[#This Row],[HH disponível]]</f>
        <v>0.940017532663592</v>
      </c>
      <c r="AB166" s="38">
        <f>MIP_4[[#This Row],[HH Trabalhado]]/MIP_4[[#This Row],[HH disponível]]</f>
        <v>0.88636363636363591</v>
      </c>
      <c r="AC166" s="37" t="str">
        <f>LEFT(MIP_4[[#This Row],[Equipe]], SEARCH("/",MIP_4[[#This Row],[Equipe]],1)-1)</f>
        <v xml:space="preserve">EDILTON </v>
      </c>
      <c r="AD166" s="37" t="str">
        <f>RIGHT(MIP_4[[#This Row],[Equipe]], LEN(MIP_4[[#This Row],[Equipe]])-SEARCH("/",MIP_4[[#This Row],[Equipe]],1))</f>
        <v xml:space="preserve"> GECIVALDO</v>
      </c>
      <c r="AE166" s="44">
        <f>COUNTIFS('[1]Tempo parado'!G:G,"&gt;="&amp;MIP_4[[#This Row],[S.B Sitrack]],'[1]Tempo parado'!H:H,"&lt;="&amp;MIP_4[[#This Row],[C.B Sitrack]],'[1]Tempo parado'!A:A,MIP_4[[#This Row],[Placa]])</f>
        <v>0</v>
      </c>
      <c r="AF166" s="36"/>
      <c r="AG166" s="35"/>
      <c r="AH166" s="34"/>
      <c r="AI166" s="34"/>
      <c r="AJ16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6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6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66" s="32" t="str">
        <f>IFERROR(MIP_4[[#This Row],[Tempo parado]]/(MIP_4[[#This Row],[C.B Sitrack]]-MIP_4[[#This Row],[S.B Sitrack]]),"")</f>
        <v/>
      </c>
      <c r="AN166" s="30"/>
      <c r="AO166" s="44">
        <f>IF(AND(MIP_4[Exc]=0,MIP_4[Previsto / Realizado]="Realizado"),MIP_4[Sem],0)</f>
        <v>0</v>
      </c>
      <c r="AP166" s="29">
        <f>IF(AND(MIP_4[Exc]=0,MIP_4[Previsto / Realizado]="Realizado",ISBLANK(MIP_4[[#This Row],[S.B Sitrack]])=FALSE,ISBLANK(MIP_4[[#This Row],[C.B Sitrack]])=FALSE),MIP_4[Sem],0)</f>
        <v>0</v>
      </c>
    </row>
    <row r="167" spans="1:42" ht="15.75" x14ac:dyDescent="0.25">
      <c r="A167" s="44">
        <f>WEEKNUM(MIP_4[[#This Row],[Data]])</f>
        <v>26</v>
      </c>
      <c r="B167" s="45">
        <v>42916</v>
      </c>
      <c r="C167" s="45"/>
      <c r="D167" s="35" t="s">
        <v>3</v>
      </c>
      <c r="E167" s="35" t="s">
        <v>2</v>
      </c>
      <c r="F167" s="35"/>
      <c r="G167" s="44">
        <v>2</v>
      </c>
      <c r="H167" s="44">
        <v>3</v>
      </c>
      <c r="I167" s="44">
        <v>2</v>
      </c>
      <c r="J167" s="44">
        <v>1</v>
      </c>
      <c r="K167" s="44">
        <v>0</v>
      </c>
      <c r="L167" s="43">
        <v>0.63402777777777775</v>
      </c>
      <c r="M167" s="43">
        <v>0.69097222222222221</v>
      </c>
      <c r="N167" s="43">
        <f>1+15/24/60</f>
        <v>1.0104166666666667</v>
      </c>
      <c r="O167" s="43">
        <f>1+50/24/60</f>
        <v>1.0347222222222223</v>
      </c>
      <c r="P167" s="39"/>
      <c r="Q167" s="42" t="s">
        <v>406</v>
      </c>
      <c r="R167" s="44">
        <f>MIP_4[[#This Row],[PT-1]]+MIP_4[[#This Row],[PT-2]]*2+MIP_4[[#This Row],[PT-3]]*3+MIP_4[[#This Row],[PT &gt; 3 Pontos]]</f>
        <v>10</v>
      </c>
      <c r="S16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8.1250000000000044E-2</v>
      </c>
      <c r="T16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8.1250000000000044E-2</v>
      </c>
      <c r="U167" s="41">
        <f ca="1">MIP_4[[#This Row],[Eficiência]]</f>
        <v>0.81247237318840548</v>
      </c>
      <c r="V16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67" s="39">
        <f>IF(MIP_4[[#This Row],[P.S]]-MIP_4[[#This Row],[P.E]]&lt;0,1+MIP_4[[#This Row],[P.S]]-MIP_4[[#This Row],[P.E]]-1/24,MIP_4[[#This Row],[P.S]]-MIP_4[[#This Row],[P.E]]-1/24)</f>
        <v>0.35902777777777789</v>
      </c>
      <c r="X167" s="39">
        <f ca="1">MIP_4[[#This Row],[PT-1]]*$S$3+MIP_4[[#This Row],[PT-2]]*$T$3+MIP_4[[#This Row],[PT-3]]*$U$3+MIP_4[[#This Row],[PT &gt; 3 Pontos]]*$V$3</f>
        <v>0.2256867703301127</v>
      </c>
      <c r="Y167" s="39">
        <f>MIP_4[[#This Row],[HH disponível]]-MIP_4[[#This Row],[HH AC TOT]]</f>
        <v>0.27777777777777785</v>
      </c>
      <c r="Z167" s="38">
        <f ca="1">MIP_4[[#This Row],[HH Produtivo
Total]]/MIP_4[[#This Row],[HH Trabalhado]]</f>
        <v>0.81247237318840548</v>
      </c>
      <c r="AA167" s="38">
        <f ca="1">MIP_4[[#This Row],[HH Produtivo
Total]]/MIP_4[[#This Row],[HH disponível]]</f>
        <v>0.62860531774731565</v>
      </c>
      <c r="AB167" s="38">
        <f>MIP_4[[#This Row],[HH Trabalhado]]/MIP_4[[#This Row],[HH disponível]]</f>
        <v>0.77369439071566726</v>
      </c>
      <c r="AC167" s="37" t="str">
        <f>LEFT(MIP_4[[#This Row],[Equipe]], SEARCH("/",MIP_4[[#This Row],[Equipe]],1)-1)</f>
        <v xml:space="preserve">EDILTON </v>
      </c>
      <c r="AD167" s="37" t="str">
        <f>RIGHT(MIP_4[[#This Row],[Equipe]], LEN(MIP_4[[#This Row],[Equipe]])-SEARCH("/",MIP_4[[#This Row],[Equipe]],1))</f>
        <v xml:space="preserve"> GECIVALDO</v>
      </c>
      <c r="AE167" s="44">
        <f>COUNTIFS('[1]Tempo parado'!G:G,"&gt;="&amp;MIP_4[[#This Row],[S.B Sitrack]],'[1]Tempo parado'!H:H,"&lt;="&amp;MIP_4[[#This Row],[C.B Sitrack]],'[1]Tempo parado'!A:A,MIP_4[[#This Row],[Placa]])</f>
        <v>0</v>
      </c>
      <c r="AF167" s="36"/>
      <c r="AG167" s="35"/>
      <c r="AH167" s="34"/>
      <c r="AI167" s="34"/>
      <c r="AJ16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6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6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67" s="32" t="str">
        <f>IFERROR(MIP_4[[#This Row],[Tempo parado]]/(MIP_4[[#This Row],[C.B Sitrack]]-MIP_4[[#This Row],[S.B Sitrack]]),"")</f>
        <v/>
      </c>
      <c r="AN167" s="30"/>
      <c r="AO167" s="44">
        <f>IF(AND(MIP_4[Exc]=0,MIP_4[Previsto / Realizado]="Realizado"),MIP_4[Sem],0)</f>
        <v>26</v>
      </c>
      <c r="AP167" s="29">
        <f>IF(AND(MIP_4[Exc]=0,MIP_4[Previsto / Realizado]="Realizado",ISBLANK(MIP_4[[#This Row],[S.B Sitrack]])=FALSE,ISBLANK(MIP_4[[#This Row],[C.B Sitrack]])=FALSE),MIP_4[Sem],0)</f>
        <v>0</v>
      </c>
    </row>
    <row r="168" spans="1:42" ht="15.75" x14ac:dyDescent="0.25">
      <c r="A168" s="44">
        <f>WEEKNUM(MIP_4[[#This Row],[Data]])</f>
        <v>26</v>
      </c>
      <c r="B168" s="45">
        <v>42917</v>
      </c>
      <c r="C168" s="45"/>
      <c r="D168" s="35" t="s">
        <v>405</v>
      </c>
      <c r="E168" s="35" t="s">
        <v>5</v>
      </c>
      <c r="F168" s="35"/>
      <c r="G168" s="44">
        <v>2</v>
      </c>
      <c r="H168" s="44">
        <v>5</v>
      </c>
      <c r="I168" s="44">
        <v>1</v>
      </c>
      <c r="J168" s="44">
        <v>0</v>
      </c>
      <c r="K168" s="44">
        <v>9</v>
      </c>
      <c r="L168" s="43">
        <v>0.625</v>
      </c>
      <c r="M168" s="43">
        <v>0.64583333333333337</v>
      </c>
      <c r="N168" s="43">
        <f>1+18/24/60</f>
        <v>1.0125</v>
      </c>
      <c r="O168" s="43">
        <f>1+48/24/60</f>
        <v>1.0333333333333334</v>
      </c>
      <c r="P168" s="39"/>
      <c r="Q168" s="42"/>
      <c r="R168" s="44">
        <f>MIP_4[[#This Row],[PT-1]]+MIP_4[[#This Row],[PT-2]]*2+MIP_4[[#This Row],[PT-3]]*3+MIP_4[[#This Row],[PT &gt; 3 Pontos]]</f>
        <v>16</v>
      </c>
      <c r="S16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16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168" s="41">
        <f ca="1">MIP_4[[#This Row],[Eficiência]]</f>
        <v>1.0808311656137746</v>
      </c>
      <c r="V16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68" s="39">
        <f>IF(MIP_4[[#This Row],[P.S]]-MIP_4[[#This Row],[P.E]]&lt;0,1+MIP_4[[#This Row],[P.S]]-MIP_4[[#This Row],[P.E]]-1/24,MIP_4[[#This Row],[P.S]]-MIP_4[[#This Row],[P.E]]-1/24)</f>
        <v>0.36666666666666675</v>
      </c>
      <c r="X168" s="39">
        <f ca="1">MIP_4[[#This Row],[PT-1]]*$S$3+MIP_4[[#This Row],[PT-2]]*$T$3+MIP_4[[#This Row],[PT-3]]*$U$3+MIP_4[[#This Row],[PT &gt; 3 Pontos]]*$V$3</f>
        <v>0.35127012882447661</v>
      </c>
      <c r="Y168" s="39">
        <f>MIP_4[[#This Row],[HH disponível]]-MIP_4[[#This Row],[HH AC TOT]]</f>
        <v>0.3249999999999999</v>
      </c>
      <c r="Z168" s="38">
        <f ca="1">MIP_4[[#This Row],[HH Produtivo
Total]]/MIP_4[[#This Row],[HH Trabalhado]]</f>
        <v>1.0808311656137746</v>
      </c>
      <c r="AA168" s="38">
        <f ca="1">MIP_4[[#This Row],[HH Produtivo
Total]]/MIP_4[[#This Row],[HH disponível]]</f>
        <v>0.95800944224857232</v>
      </c>
      <c r="AB168" s="38">
        <f>MIP_4[[#This Row],[HH Trabalhado]]/MIP_4[[#This Row],[HH disponível]]</f>
        <v>0.88636363636363591</v>
      </c>
      <c r="AC168" s="37" t="str">
        <f>LEFT(MIP_4[[#This Row],[Equipe]], SEARCH("/",MIP_4[[#This Row],[Equipe]],1)-1)</f>
        <v xml:space="preserve">JOILSON </v>
      </c>
      <c r="AD168" s="37" t="str">
        <f>RIGHT(MIP_4[[#This Row],[Equipe]], LEN(MIP_4[[#This Row],[Equipe]])-SEARCH("/",MIP_4[[#This Row],[Equipe]],1))</f>
        <v xml:space="preserve"> GECIVALDO</v>
      </c>
      <c r="AE168" s="44">
        <f>COUNTIFS('[1]Tempo parado'!G:G,"&gt;="&amp;MIP_4[[#This Row],[S.B Sitrack]],'[1]Tempo parado'!H:H,"&lt;="&amp;MIP_4[[#This Row],[C.B Sitrack]],'[1]Tempo parado'!A:A,MIP_4[[#This Row],[Placa]])</f>
        <v>0</v>
      </c>
      <c r="AF168" s="36"/>
      <c r="AG168" s="35"/>
      <c r="AH168" s="34"/>
      <c r="AI168" s="34"/>
      <c r="AJ16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6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6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68" s="32" t="str">
        <f>IFERROR(MIP_4[[#This Row],[Tempo parado]]/(MIP_4[[#This Row],[C.B Sitrack]]-MIP_4[[#This Row],[S.B Sitrack]]),"")</f>
        <v/>
      </c>
      <c r="AN168" s="30"/>
      <c r="AO168" s="44">
        <f>IF(AND(MIP_4[Exc]=0,MIP_4[Previsto / Realizado]="Realizado"),MIP_4[Sem],0)</f>
        <v>0</v>
      </c>
      <c r="AP168" s="29">
        <f>IF(AND(MIP_4[Exc]=0,MIP_4[Previsto / Realizado]="Realizado",ISBLANK(MIP_4[[#This Row],[S.B Sitrack]])=FALSE,ISBLANK(MIP_4[[#This Row],[C.B Sitrack]])=FALSE),MIP_4[Sem],0)</f>
        <v>0</v>
      </c>
    </row>
    <row r="169" spans="1:42" ht="15.75" x14ac:dyDescent="0.25">
      <c r="A169" s="44">
        <f>WEEKNUM(MIP_4[[#This Row],[Data]])</f>
        <v>26</v>
      </c>
      <c r="B169" s="45">
        <v>42917</v>
      </c>
      <c r="C169" s="45"/>
      <c r="D169" s="35" t="s">
        <v>405</v>
      </c>
      <c r="E169" s="35" t="s">
        <v>2</v>
      </c>
      <c r="F169" s="35"/>
      <c r="G169" s="44">
        <v>2</v>
      </c>
      <c r="H169" s="44">
        <v>5</v>
      </c>
      <c r="I169" s="44">
        <v>1</v>
      </c>
      <c r="J169" s="44">
        <v>0</v>
      </c>
      <c r="K169" s="44">
        <v>9</v>
      </c>
      <c r="L169" s="43">
        <v>0.62638888888888888</v>
      </c>
      <c r="M169" s="43">
        <v>0.64583333333333337</v>
      </c>
      <c r="N169" s="43">
        <f>1+20/24/60</f>
        <v>1.0138888888888888</v>
      </c>
      <c r="O169" s="43">
        <f>1+56/24/60</f>
        <v>1.038888888888889</v>
      </c>
      <c r="P169" s="39"/>
      <c r="Q169" s="42"/>
      <c r="R169" s="44">
        <f>MIP_4[[#This Row],[PT-1]]+MIP_4[[#This Row],[PT-2]]*2+MIP_4[[#This Row],[PT-3]]*3+MIP_4[[#This Row],[PT &gt; 3 Pontos]]</f>
        <v>16</v>
      </c>
      <c r="S16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4.444444444444462E-2</v>
      </c>
      <c r="T16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4.444444444444462E-2</v>
      </c>
      <c r="U169" s="41">
        <f ca="1">MIP_4[[#This Row],[Eficiência]]</f>
        <v>1.0762318840579712</v>
      </c>
      <c r="V16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69" s="39">
        <f>IF(MIP_4[[#This Row],[P.S]]-MIP_4[[#This Row],[P.E]]&lt;0,1+MIP_4[[#This Row],[P.S]]-MIP_4[[#This Row],[P.E]]-1/24,MIP_4[[#This Row],[P.S]]-MIP_4[[#This Row],[P.E]]-1/24)</f>
        <v>0.3708333333333334</v>
      </c>
      <c r="X169" s="39">
        <f ca="1">MIP_4[[#This Row],[PT-1]]*$S$3+MIP_4[[#This Row],[PT-2]]*$T$3+MIP_4[[#This Row],[PT-3]]*$U$3+MIP_4[[#This Row],[PT &gt; 3 Pontos]]*$V$3</f>
        <v>0.35127012882447661</v>
      </c>
      <c r="Y169" s="39">
        <f>MIP_4[[#This Row],[HH disponível]]-MIP_4[[#This Row],[HH AC TOT]]</f>
        <v>0.32638888888888878</v>
      </c>
      <c r="Z169" s="38">
        <f ca="1">MIP_4[[#This Row],[HH Produtivo
Total]]/MIP_4[[#This Row],[HH Trabalhado]]</f>
        <v>1.0762318840579712</v>
      </c>
      <c r="AA169" s="38">
        <f ca="1">MIP_4[[#This Row],[HH Produtivo
Total]]/MIP_4[[#This Row],[HH disponível]]</f>
        <v>0.94724529121207157</v>
      </c>
      <c r="AB169" s="38">
        <f>MIP_4[[#This Row],[HH Trabalhado]]/MIP_4[[#This Row],[HH disponível]]</f>
        <v>0.88014981273408199</v>
      </c>
      <c r="AC169" s="37" t="str">
        <f>LEFT(MIP_4[[#This Row],[Equipe]], SEARCH("/",MIP_4[[#This Row],[Equipe]],1)-1)</f>
        <v xml:space="preserve">JOILSON </v>
      </c>
      <c r="AD169" s="37" t="str">
        <f>RIGHT(MIP_4[[#This Row],[Equipe]], LEN(MIP_4[[#This Row],[Equipe]])-SEARCH("/",MIP_4[[#This Row],[Equipe]],1))</f>
        <v xml:space="preserve"> GECIVALDO</v>
      </c>
      <c r="AE169" s="44">
        <f>COUNTIFS('[1]Tempo parado'!G:G,"&gt;="&amp;MIP_4[[#This Row],[S.B Sitrack]],'[1]Tempo parado'!H:H,"&lt;="&amp;MIP_4[[#This Row],[C.B Sitrack]],'[1]Tempo parado'!A:A,MIP_4[[#This Row],[Placa]])</f>
        <v>0</v>
      </c>
      <c r="AF169" s="36"/>
      <c r="AG169" s="35"/>
      <c r="AH169" s="34"/>
      <c r="AI169" s="34"/>
      <c r="AJ16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6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6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69" s="32" t="str">
        <f>IFERROR(MIP_4[[#This Row],[Tempo parado]]/(MIP_4[[#This Row],[C.B Sitrack]]-MIP_4[[#This Row],[S.B Sitrack]]),"")</f>
        <v/>
      </c>
      <c r="AN169" s="30"/>
      <c r="AO169" s="44">
        <f>IF(AND(MIP_4[Exc]=0,MIP_4[Previsto / Realizado]="Realizado"),MIP_4[Sem],0)</f>
        <v>26</v>
      </c>
      <c r="AP169" s="29">
        <f>IF(AND(MIP_4[Exc]=0,MIP_4[Previsto / Realizado]="Realizado",ISBLANK(MIP_4[[#This Row],[S.B Sitrack]])=FALSE,ISBLANK(MIP_4[[#This Row],[C.B Sitrack]])=FALSE),MIP_4[Sem],0)</f>
        <v>0</v>
      </c>
    </row>
    <row r="170" spans="1:42" ht="15.75" x14ac:dyDescent="0.25">
      <c r="A170" s="44">
        <f>WEEKNUM(MIP_4[[#This Row],[Data]])</f>
        <v>27</v>
      </c>
      <c r="B170" s="45">
        <v>42918</v>
      </c>
      <c r="C170" s="45"/>
      <c r="D170" s="35" t="s">
        <v>3</v>
      </c>
      <c r="E170" s="35" t="s">
        <v>5</v>
      </c>
      <c r="F170" s="35"/>
      <c r="G170" s="44">
        <v>2</v>
      </c>
      <c r="H170" s="44">
        <v>11</v>
      </c>
      <c r="I170" s="44">
        <v>2</v>
      </c>
      <c r="J170" s="44">
        <v>0</v>
      </c>
      <c r="K170" s="44">
        <v>4</v>
      </c>
      <c r="L170" s="43">
        <v>0.625</v>
      </c>
      <c r="M170" s="43">
        <v>0.64583333333333337</v>
      </c>
      <c r="N170" s="43">
        <f>1+18/24/60</f>
        <v>1.0125</v>
      </c>
      <c r="O170" s="43">
        <f>1+48/24/60</f>
        <v>1.0333333333333334</v>
      </c>
      <c r="P170" s="39"/>
      <c r="Q170" s="42"/>
      <c r="R170" s="44">
        <f>MIP_4[[#This Row],[PT-1]]+MIP_4[[#This Row],[PT-2]]*2+MIP_4[[#This Row],[PT-3]]*3+MIP_4[[#This Row],[PT &gt; 3 Pontos]]</f>
        <v>19</v>
      </c>
      <c r="S17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17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170" s="41">
        <f ca="1">MIP_4[[#This Row],[Eficiência]]</f>
        <v>1.3664429485459075</v>
      </c>
      <c r="V17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70" s="39">
        <f>IF(MIP_4[[#This Row],[P.S]]-MIP_4[[#This Row],[P.E]]&lt;0,1+MIP_4[[#This Row],[P.S]]-MIP_4[[#This Row],[P.E]]-1/24,MIP_4[[#This Row],[P.S]]-MIP_4[[#This Row],[P.E]]-1/24)</f>
        <v>0.36666666666666675</v>
      </c>
      <c r="X170" s="39">
        <f ca="1">MIP_4[[#This Row],[PT-1]]*$S$3+MIP_4[[#This Row],[PT-2]]*$T$3+MIP_4[[#This Row],[PT-3]]*$U$3+MIP_4[[#This Row],[PT &gt; 3 Pontos]]*$V$3</f>
        <v>0.44409395827741982</v>
      </c>
      <c r="Y170" s="39">
        <f>MIP_4[[#This Row],[HH disponível]]-MIP_4[[#This Row],[HH AC TOT]]</f>
        <v>0.3249999999999999</v>
      </c>
      <c r="Z170" s="38">
        <f ca="1">MIP_4[[#This Row],[HH Produtivo
Total]]/MIP_4[[#This Row],[HH Trabalhado]]</f>
        <v>1.3664429485459075</v>
      </c>
      <c r="AA170" s="38">
        <f ca="1">MIP_4[[#This Row],[HH Produtivo
Total]]/MIP_4[[#This Row],[HH disponível]]</f>
        <v>1.2111653407565992</v>
      </c>
      <c r="AB170" s="38">
        <f>MIP_4[[#This Row],[HH Trabalhado]]/MIP_4[[#This Row],[HH disponível]]</f>
        <v>0.88636363636363591</v>
      </c>
      <c r="AC170" s="37" t="str">
        <f>LEFT(MIP_4[[#This Row],[Equipe]], SEARCH("/",MIP_4[[#This Row],[Equipe]],1)-1)</f>
        <v xml:space="preserve">EDILTON </v>
      </c>
      <c r="AD170" s="37" t="str">
        <f>RIGHT(MIP_4[[#This Row],[Equipe]], LEN(MIP_4[[#This Row],[Equipe]])-SEARCH("/",MIP_4[[#This Row],[Equipe]],1))</f>
        <v xml:space="preserve"> GECIVALDO</v>
      </c>
      <c r="AE170" s="44">
        <f>COUNTIFS('[1]Tempo parado'!G:G,"&gt;="&amp;MIP_4[[#This Row],[S.B Sitrack]],'[1]Tempo parado'!H:H,"&lt;="&amp;MIP_4[[#This Row],[C.B Sitrack]],'[1]Tempo parado'!A:A,MIP_4[[#This Row],[Placa]])</f>
        <v>0</v>
      </c>
      <c r="AF170" s="36"/>
      <c r="AG170" s="35"/>
      <c r="AH170" s="34"/>
      <c r="AI170" s="34"/>
      <c r="AJ17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7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7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70" s="32" t="str">
        <f>IFERROR(MIP_4[[#This Row],[Tempo parado]]/(MIP_4[[#This Row],[C.B Sitrack]]-MIP_4[[#This Row],[S.B Sitrack]]),"")</f>
        <v/>
      </c>
      <c r="AN170" s="30"/>
      <c r="AO170" s="44">
        <f>IF(AND(MIP_4[Exc]=0,MIP_4[Previsto / Realizado]="Realizado"),MIP_4[Sem],0)</f>
        <v>0</v>
      </c>
      <c r="AP170" s="29">
        <f>IF(AND(MIP_4[Exc]=0,MIP_4[Previsto / Realizado]="Realizado",ISBLANK(MIP_4[[#This Row],[S.B Sitrack]])=FALSE,ISBLANK(MIP_4[[#This Row],[C.B Sitrack]])=FALSE),MIP_4[Sem],0)</f>
        <v>0</v>
      </c>
    </row>
    <row r="171" spans="1:42" ht="15.75" x14ac:dyDescent="0.25">
      <c r="A171" s="44">
        <f>WEEKNUM(MIP_4[[#This Row],[Data]])</f>
        <v>27</v>
      </c>
      <c r="B171" s="45">
        <v>42918</v>
      </c>
      <c r="C171" s="45"/>
      <c r="D171" s="35" t="s">
        <v>3</v>
      </c>
      <c r="E171" s="35" t="s">
        <v>2</v>
      </c>
      <c r="F171" s="35"/>
      <c r="G171" s="44">
        <v>2</v>
      </c>
      <c r="H171" s="44">
        <v>5</v>
      </c>
      <c r="I171" s="44">
        <v>1</v>
      </c>
      <c r="J171" s="44">
        <v>0</v>
      </c>
      <c r="K171" s="44">
        <v>0</v>
      </c>
      <c r="L171" s="43">
        <v>0.62361111111111112</v>
      </c>
      <c r="M171" s="43">
        <v>0.65416666666666667</v>
      </c>
      <c r="N171" s="43">
        <f>1+6/24/60</f>
        <v>1.0041666666666667</v>
      </c>
      <c r="O171" s="43">
        <f>1+33/24/60</f>
        <v>1.0229166666666667</v>
      </c>
      <c r="P171" s="39"/>
      <c r="Q171" s="42" t="s">
        <v>404</v>
      </c>
      <c r="R171" s="44">
        <f>MIP_4[[#This Row],[PT-1]]+MIP_4[[#This Row],[PT-2]]*2+MIP_4[[#This Row],[PT-3]]*3+MIP_4[[#This Row],[PT &gt; 3 Pontos]]</f>
        <v>7</v>
      </c>
      <c r="S17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4.9305555555555602E-2</v>
      </c>
      <c r="T17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4.9305555555555602E-2</v>
      </c>
      <c r="U171" s="41">
        <f ca="1">MIP_4[[#This Row],[Eficiência]]</f>
        <v>0.54823145156025566</v>
      </c>
      <c r="V17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71" s="39">
        <f>IF(MIP_4[[#This Row],[P.S]]-MIP_4[[#This Row],[P.E]]&lt;0,1+MIP_4[[#This Row],[P.S]]-MIP_4[[#This Row],[P.E]]-1/24,MIP_4[[#This Row],[P.S]]-MIP_4[[#This Row],[P.E]]-1/24)</f>
        <v>0.3576388888888889</v>
      </c>
      <c r="X171" s="39">
        <f ca="1">MIP_4[[#This Row],[PT-1]]*$S$3+MIP_4[[#This Row],[PT-2]]*$T$3+MIP_4[[#This Row],[PT-3]]*$U$3+MIP_4[[#This Row],[PT &gt; 3 Pontos]]*$V$3</f>
        <v>0.16903803089774547</v>
      </c>
      <c r="Y171" s="39">
        <f>MIP_4[[#This Row],[HH disponível]]-MIP_4[[#This Row],[HH AC TOT]]</f>
        <v>0.30833333333333329</v>
      </c>
      <c r="Z171" s="38">
        <f ca="1">MIP_4[[#This Row],[HH Produtivo
Total]]/MIP_4[[#This Row],[HH Trabalhado]]</f>
        <v>0.54823145156025566</v>
      </c>
      <c r="AA171" s="38">
        <f ca="1">MIP_4[[#This Row],[HH Produtivo
Total]]/MIP_4[[#This Row],[HH disponível]]</f>
        <v>0.47265002814126889</v>
      </c>
      <c r="AB171" s="38">
        <f>MIP_4[[#This Row],[HH Trabalhado]]/MIP_4[[#This Row],[HH disponível]]</f>
        <v>0.86213592233009695</v>
      </c>
      <c r="AC171" s="37" t="str">
        <f>LEFT(MIP_4[[#This Row],[Equipe]], SEARCH("/",MIP_4[[#This Row],[Equipe]],1)-1)</f>
        <v xml:space="preserve">EDILTON </v>
      </c>
      <c r="AD171" s="37" t="str">
        <f>RIGHT(MIP_4[[#This Row],[Equipe]], LEN(MIP_4[[#This Row],[Equipe]])-SEARCH("/",MIP_4[[#This Row],[Equipe]],1))</f>
        <v xml:space="preserve"> GECIVALDO</v>
      </c>
      <c r="AE171" s="44">
        <f>COUNTIFS('[1]Tempo parado'!G:G,"&gt;="&amp;MIP_4[[#This Row],[S.B Sitrack]],'[1]Tempo parado'!H:H,"&lt;="&amp;MIP_4[[#This Row],[C.B Sitrack]],'[1]Tempo parado'!A:A,MIP_4[[#This Row],[Placa]])</f>
        <v>0</v>
      </c>
      <c r="AF171" s="36"/>
      <c r="AG171" s="35"/>
      <c r="AH171" s="34"/>
      <c r="AI171" s="34"/>
      <c r="AJ17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7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7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71" s="32" t="str">
        <f>IFERROR(MIP_4[[#This Row],[Tempo parado]]/(MIP_4[[#This Row],[C.B Sitrack]]-MIP_4[[#This Row],[S.B Sitrack]]),"")</f>
        <v/>
      </c>
      <c r="AN171" s="30"/>
      <c r="AO171" s="44">
        <f>IF(AND(MIP_4[Exc]=0,MIP_4[Previsto / Realizado]="Realizado"),MIP_4[Sem],0)</f>
        <v>27</v>
      </c>
      <c r="AP171" s="29">
        <f>IF(AND(MIP_4[Exc]=0,MIP_4[Previsto / Realizado]="Realizado",ISBLANK(MIP_4[[#This Row],[S.B Sitrack]])=FALSE,ISBLANK(MIP_4[[#This Row],[C.B Sitrack]])=FALSE),MIP_4[Sem],0)</f>
        <v>0</v>
      </c>
    </row>
    <row r="172" spans="1:42" ht="15.75" x14ac:dyDescent="0.25">
      <c r="A172" s="44">
        <f>WEEKNUM(MIP_4[[#This Row],[Data]])</f>
        <v>27</v>
      </c>
      <c r="B172" s="45">
        <v>42918</v>
      </c>
      <c r="C172" s="45"/>
      <c r="D172" s="35" t="s">
        <v>7</v>
      </c>
      <c r="E172" s="35" t="s">
        <v>5</v>
      </c>
      <c r="F172" s="35"/>
      <c r="G172" s="44">
        <v>2</v>
      </c>
      <c r="H172" s="44">
        <v>13</v>
      </c>
      <c r="I172" s="44">
        <v>2</v>
      </c>
      <c r="J172" s="44">
        <v>0</v>
      </c>
      <c r="K172" s="44">
        <v>0</v>
      </c>
      <c r="L172" s="43">
        <v>0.625</v>
      </c>
      <c r="M172" s="43">
        <v>0.64583333333333337</v>
      </c>
      <c r="N172" s="43">
        <f>1+18/24/60</f>
        <v>1.0125</v>
      </c>
      <c r="O172" s="43">
        <f>1+48/24/60</f>
        <v>1.0333333333333334</v>
      </c>
      <c r="P172" s="39"/>
      <c r="Q172" s="42"/>
      <c r="R172" s="44">
        <f>MIP_4[[#This Row],[PT-1]]+MIP_4[[#This Row],[PT-2]]*2+MIP_4[[#This Row],[PT-3]]*3+MIP_4[[#This Row],[PT &gt; 3 Pontos]]</f>
        <v>17</v>
      </c>
      <c r="S17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17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172" s="41">
        <f ca="1">MIP_4[[#This Row],[Eficiência]]</f>
        <v>1.2712419097609311</v>
      </c>
      <c r="V17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72" s="39">
        <f>IF(MIP_4[[#This Row],[P.S]]-MIP_4[[#This Row],[P.E]]&lt;0,1+MIP_4[[#This Row],[P.S]]-MIP_4[[#This Row],[P.E]]-1/24,MIP_4[[#This Row],[P.S]]-MIP_4[[#This Row],[P.E]]-1/24)</f>
        <v>0.36666666666666675</v>
      </c>
      <c r="X172" s="39">
        <f ca="1">MIP_4[[#This Row],[PT-1]]*$S$3+MIP_4[[#This Row],[PT-2]]*$T$3+MIP_4[[#This Row],[PT-3]]*$U$3+MIP_4[[#This Row],[PT &gt; 3 Pontos]]*$V$3</f>
        <v>0.41315362067230249</v>
      </c>
      <c r="Y172" s="39">
        <f>MIP_4[[#This Row],[HH disponível]]-MIP_4[[#This Row],[HH AC TOT]]</f>
        <v>0.3249999999999999</v>
      </c>
      <c r="Z172" s="38">
        <f ca="1">MIP_4[[#This Row],[HH Produtivo
Total]]/MIP_4[[#This Row],[HH Trabalhado]]</f>
        <v>1.2712419097609311</v>
      </c>
      <c r="AA172" s="38">
        <f ca="1">MIP_4[[#This Row],[HH Produtivo
Total]]/MIP_4[[#This Row],[HH disponível]]</f>
        <v>1.1267826018335521</v>
      </c>
      <c r="AB172" s="38">
        <f>MIP_4[[#This Row],[HH Trabalhado]]/MIP_4[[#This Row],[HH disponível]]</f>
        <v>0.88636363636363591</v>
      </c>
      <c r="AC172" s="37" t="str">
        <f>LEFT(MIP_4[[#This Row],[Equipe]], SEARCH("/",MIP_4[[#This Row],[Equipe]],1)-1)</f>
        <v xml:space="preserve">ANDERSON </v>
      </c>
      <c r="AD172" s="37" t="str">
        <f>RIGHT(MIP_4[[#This Row],[Equipe]], LEN(MIP_4[[#This Row],[Equipe]])-SEARCH("/",MIP_4[[#This Row],[Equipe]],1))</f>
        <v xml:space="preserve"> MARCO</v>
      </c>
      <c r="AE172" s="44">
        <f>COUNTIFS('[1]Tempo parado'!G:G,"&gt;="&amp;MIP_4[[#This Row],[S.B Sitrack]],'[1]Tempo parado'!H:H,"&lt;="&amp;MIP_4[[#This Row],[C.B Sitrack]],'[1]Tempo parado'!A:A,MIP_4[[#This Row],[Placa]])</f>
        <v>0</v>
      </c>
      <c r="AF172" s="36"/>
      <c r="AG172" s="35"/>
      <c r="AH172" s="34"/>
      <c r="AI172" s="34"/>
      <c r="AJ17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7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7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72" s="32" t="str">
        <f>IFERROR(MIP_4[[#This Row],[Tempo parado]]/(MIP_4[[#This Row],[C.B Sitrack]]-MIP_4[[#This Row],[S.B Sitrack]]),"")</f>
        <v/>
      </c>
      <c r="AN172" s="30"/>
      <c r="AO172" s="44">
        <f>IF(AND(MIP_4[Exc]=0,MIP_4[Previsto / Realizado]="Realizado"),MIP_4[Sem],0)</f>
        <v>0</v>
      </c>
      <c r="AP172" s="29">
        <f>IF(AND(MIP_4[Exc]=0,MIP_4[Previsto / Realizado]="Realizado",ISBLANK(MIP_4[[#This Row],[S.B Sitrack]])=FALSE,ISBLANK(MIP_4[[#This Row],[C.B Sitrack]])=FALSE),MIP_4[Sem],0)</f>
        <v>0</v>
      </c>
    </row>
    <row r="173" spans="1:42" ht="15.75" x14ac:dyDescent="0.25">
      <c r="A173" s="44">
        <f>WEEKNUM(MIP_4[[#This Row],[Data]])</f>
        <v>27</v>
      </c>
      <c r="B173" s="45">
        <v>42918</v>
      </c>
      <c r="C173" s="45"/>
      <c r="D173" s="35" t="s">
        <v>7</v>
      </c>
      <c r="E173" s="35" t="s">
        <v>2</v>
      </c>
      <c r="F173" s="35"/>
      <c r="G173" s="44">
        <v>2</v>
      </c>
      <c r="H173" s="44">
        <v>6</v>
      </c>
      <c r="I173" s="44">
        <v>1</v>
      </c>
      <c r="J173" s="44">
        <v>0</v>
      </c>
      <c r="K173" s="44">
        <v>0</v>
      </c>
      <c r="L173" s="43">
        <v>0.63402777777777775</v>
      </c>
      <c r="M173" s="43">
        <v>0.65277777777777779</v>
      </c>
      <c r="N173" s="43">
        <f>1+44/24/60</f>
        <v>1.0305555555555554</v>
      </c>
      <c r="O173" s="43">
        <f>1+48/24/60</f>
        <v>1.0333333333333334</v>
      </c>
      <c r="P173" s="39"/>
      <c r="Q173" s="42" t="s">
        <v>370</v>
      </c>
      <c r="R173" s="44">
        <f>MIP_4[[#This Row],[PT-1]]+MIP_4[[#This Row],[PT-2]]*2+MIP_4[[#This Row],[PT-3]]*3+MIP_4[[#This Row],[PT &gt; 3 Pontos]]</f>
        <v>8</v>
      </c>
      <c r="S17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2.1527777777778034E-2</v>
      </c>
      <c r="T17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2.1527777777778034E-2</v>
      </c>
      <c r="U173" s="41">
        <f ca="1">MIP_4[[#This Row],[Eficiência]]</f>
        <v>0.5773801503174032</v>
      </c>
      <c r="V17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73" s="39">
        <f>IF(MIP_4[[#This Row],[P.S]]-MIP_4[[#This Row],[P.E]]&lt;0,1+MIP_4[[#This Row],[P.S]]-MIP_4[[#This Row],[P.E]]-1/24,MIP_4[[#This Row],[P.S]]-MIP_4[[#This Row],[P.E]]-1/24)</f>
        <v>0.35763888888888901</v>
      </c>
      <c r="X173" s="39">
        <f ca="1">MIP_4[[#This Row],[PT-1]]*$S$3+MIP_4[[#This Row],[PT-2]]*$T$3+MIP_4[[#This Row],[PT-3]]*$U$3+MIP_4[[#This Row],[PT &gt; 3 Pontos]]*$V$3</f>
        <v>0.19406388385668266</v>
      </c>
      <c r="Y173" s="39">
        <f>MIP_4[[#This Row],[HH disponível]]-MIP_4[[#This Row],[HH AC TOT]]</f>
        <v>0.33611111111111097</v>
      </c>
      <c r="Z173" s="38">
        <f ca="1">MIP_4[[#This Row],[HH Produtivo
Total]]/MIP_4[[#This Row],[HH Trabalhado]]</f>
        <v>0.5773801503174032</v>
      </c>
      <c r="AA173" s="38">
        <f ca="1">MIP_4[[#This Row],[HH Produtivo
Total]]/MIP_4[[#This Row],[HH disponível]]</f>
        <v>0.54262522864781149</v>
      </c>
      <c r="AB173" s="38">
        <f>MIP_4[[#This Row],[HH Trabalhado]]/MIP_4[[#This Row],[HH disponível]]</f>
        <v>0.93980582524271772</v>
      </c>
      <c r="AC173" s="37" t="str">
        <f>LEFT(MIP_4[[#This Row],[Equipe]], SEARCH("/",MIP_4[[#This Row],[Equipe]],1)-1)</f>
        <v xml:space="preserve">ANDERSON </v>
      </c>
      <c r="AD173" s="37" t="str">
        <f>RIGHT(MIP_4[[#This Row],[Equipe]], LEN(MIP_4[[#This Row],[Equipe]])-SEARCH("/",MIP_4[[#This Row],[Equipe]],1))</f>
        <v xml:space="preserve"> MARCO</v>
      </c>
      <c r="AE173" s="44">
        <f>COUNTIFS('[1]Tempo parado'!G:G,"&gt;="&amp;MIP_4[[#This Row],[S.B Sitrack]],'[1]Tempo parado'!H:H,"&lt;="&amp;MIP_4[[#This Row],[C.B Sitrack]],'[1]Tempo parado'!A:A,MIP_4[[#This Row],[Placa]])</f>
        <v>0</v>
      </c>
      <c r="AF173" s="36"/>
      <c r="AG173" s="35"/>
      <c r="AH173" s="34"/>
      <c r="AI173" s="34"/>
      <c r="AJ17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7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7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73" s="32" t="str">
        <f>IFERROR(MIP_4[[#This Row],[Tempo parado]]/(MIP_4[[#This Row],[C.B Sitrack]]-MIP_4[[#This Row],[S.B Sitrack]]),"")</f>
        <v/>
      </c>
      <c r="AN173" s="30"/>
      <c r="AO173" s="44">
        <f>IF(AND(MIP_4[Exc]=0,MIP_4[Previsto / Realizado]="Realizado"),MIP_4[Sem],0)</f>
        <v>27</v>
      </c>
      <c r="AP173" s="29">
        <f>IF(AND(MIP_4[Exc]=0,MIP_4[Previsto / Realizado]="Realizado",ISBLANK(MIP_4[[#This Row],[S.B Sitrack]])=FALSE,ISBLANK(MIP_4[[#This Row],[C.B Sitrack]])=FALSE),MIP_4[Sem],0)</f>
        <v>0</v>
      </c>
    </row>
    <row r="174" spans="1:42" ht="15.75" x14ac:dyDescent="0.25">
      <c r="A174" s="44">
        <f>WEEKNUM(MIP_4[[#This Row],[Data]])</f>
        <v>27</v>
      </c>
      <c r="B174" s="45">
        <v>42919</v>
      </c>
      <c r="C174" s="45"/>
      <c r="D174" s="35" t="s">
        <v>10</v>
      </c>
      <c r="E174" s="35" t="s">
        <v>5</v>
      </c>
      <c r="F174" s="35"/>
      <c r="G174" s="44">
        <v>2</v>
      </c>
      <c r="H174" s="44">
        <v>4</v>
      </c>
      <c r="I174" s="44">
        <v>1</v>
      </c>
      <c r="J174" s="44">
        <v>0</v>
      </c>
      <c r="K174" s="44">
        <v>9</v>
      </c>
      <c r="L174" s="43">
        <v>0.25</v>
      </c>
      <c r="M174" s="43">
        <v>0.27083333333333331</v>
      </c>
      <c r="N174" s="43">
        <v>0.63750000000000007</v>
      </c>
      <c r="O174" s="43">
        <v>0.65833333333333333</v>
      </c>
      <c r="P174" s="39"/>
      <c r="Q174" s="42" t="s">
        <v>403</v>
      </c>
      <c r="R174" s="44">
        <f>MIP_4[[#This Row],[PT-1]]+MIP_4[[#This Row],[PT-2]]*2+MIP_4[[#This Row],[PT-3]]*3+MIP_4[[#This Row],[PT &gt; 3 Pontos]]</f>
        <v>15</v>
      </c>
      <c r="S17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17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174" s="41">
        <f ca="1">MIP_4[[#This Row],[Eficiência]]</f>
        <v>1.0038285411247367</v>
      </c>
      <c r="V17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74" s="39">
        <f>IF(MIP_4[[#This Row],[P.S]]-MIP_4[[#This Row],[P.E]]&lt;0,1+MIP_4[[#This Row],[P.S]]-MIP_4[[#This Row],[P.E]]-1/24,MIP_4[[#This Row],[P.S]]-MIP_4[[#This Row],[P.E]]-1/24)</f>
        <v>0.36666666666666664</v>
      </c>
      <c r="X174" s="39">
        <f ca="1">MIP_4[[#This Row],[PT-1]]*$S$3+MIP_4[[#This Row],[PT-2]]*$T$3+MIP_4[[#This Row],[PT-3]]*$U$3+MIP_4[[#This Row],[PT &gt; 3 Pontos]]*$V$3</f>
        <v>0.3262442758655395</v>
      </c>
      <c r="Y174" s="39">
        <f>MIP_4[[#This Row],[HH disponível]]-MIP_4[[#This Row],[HH AC TOT]]</f>
        <v>0.32500000000000007</v>
      </c>
      <c r="Z174" s="38">
        <f ca="1">MIP_4[[#This Row],[HH Produtivo
Total]]/MIP_4[[#This Row],[HH Trabalhado]]</f>
        <v>1.0038285411247367</v>
      </c>
      <c r="AA174" s="38">
        <f ca="1">MIP_4[[#This Row],[HH Produtivo
Total]]/MIP_4[[#This Row],[HH disponível]]</f>
        <v>0.88975711599692597</v>
      </c>
      <c r="AB174" s="38">
        <f>MIP_4[[#This Row],[HH Trabalhado]]/MIP_4[[#This Row],[HH disponível]]</f>
        <v>0.88636363636363658</v>
      </c>
      <c r="AC174" s="37" t="str">
        <f>LEFT(MIP_4[[#This Row],[Equipe]], SEARCH("/",MIP_4[[#This Row],[Equipe]],1)-1)</f>
        <v xml:space="preserve">JOILSON </v>
      </c>
      <c r="AD174" s="37" t="str">
        <f>RIGHT(MIP_4[[#This Row],[Equipe]], LEN(MIP_4[[#This Row],[Equipe]])-SEARCH("/",MIP_4[[#This Row],[Equipe]],1))</f>
        <v xml:space="preserve"> VALDEI</v>
      </c>
      <c r="AE174" s="44">
        <f>COUNTIFS('[1]Tempo parado'!G:G,"&gt;="&amp;MIP_4[[#This Row],[S.B Sitrack]],'[1]Tempo parado'!H:H,"&lt;="&amp;MIP_4[[#This Row],[C.B Sitrack]],'[1]Tempo parado'!A:A,MIP_4[[#This Row],[Placa]])</f>
        <v>0</v>
      </c>
      <c r="AF174" s="36"/>
      <c r="AG174" s="35"/>
      <c r="AH174" s="34"/>
      <c r="AI174" s="34"/>
      <c r="AJ17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7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7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74" s="32" t="str">
        <f>IFERROR(MIP_4[[#This Row],[Tempo parado]]/(MIP_4[[#This Row],[C.B Sitrack]]-MIP_4[[#This Row],[S.B Sitrack]]),"")</f>
        <v/>
      </c>
      <c r="AN174" s="30"/>
      <c r="AO174" s="44">
        <f>IF(AND(MIP_4[Exc]=0,MIP_4[Previsto / Realizado]="Realizado"),MIP_4[Sem],0)</f>
        <v>0</v>
      </c>
      <c r="AP174" s="29">
        <f>IF(AND(MIP_4[Exc]=0,MIP_4[Previsto / Realizado]="Realizado",ISBLANK(MIP_4[[#This Row],[S.B Sitrack]])=FALSE,ISBLANK(MIP_4[[#This Row],[C.B Sitrack]])=FALSE),MIP_4[Sem],0)</f>
        <v>0</v>
      </c>
    </row>
    <row r="175" spans="1:42" ht="15.75" x14ac:dyDescent="0.25">
      <c r="A175" s="44">
        <f>WEEKNUM(MIP_4[[#This Row],[Data]])</f>
        <v>27</v>
      </c>
      <c r="B175" s="45">
        <v>42919</v>
      </c>
      <c r="C175" s="45"/>
      <c r="D175" s="35" t="s">
        <v>10</v>
      </c>
      <c r="E175" s="35" t="s">
        <v>2</v>
      </c>
      <c r="F175" s="35"/>
      <c r="G175" s="44">
        <v>2</v>
      </c>
      <c r="H175" s="44">
        <v>4</v>
      </c>
      <c r="I175" s="44">
        <v>1</v>
      </c>
      <c r="J175" s="44">
        <v>0</v>
      </c>
      <c r="K175" s="44">
        <f>5+2+2+2</f>
        <v>11</v>
      </c>
      <c r="L175" s="43">
        <v>0.2590277777777778</v>
      </c>
      <c r="M175" s="43">
        <v>0.2986111111111111</v>
      </c>
      <c r="N175" s="43">
        <v>0.65277777777777779</v>
      </c>
      <c r="O175" s="43">
        <v>0.66388888888888886</v>
      </c>
      <c r="P175" s="39"/>
      <c r="Q175" s="42" t="s">
        <v>402</v>
      </c>
      <c r="R175" s="44">
        <f>MIP_4[[#This Row],[PT-1]]+MIP_4[[#This Row],[PT-2]]*2+MIP_4[[#This Row],[PT-3]]*3+MIP_4[[#This Row],[PT &gt; 3 Pontos]]</f>
        <v>17</v>
      </c>
      <c r="S17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5.0694444444444375E-2</v>
      </c>
      <c r="T17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5.0694444444444375E-2</v>
      </c>
      <c r="U175" s="41">
        <f ca="1">MIP_4[[#This Row],[Eficiência]]</f>
        <v>1.1735689524065129</v>
      </c>
      <c r="V17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75" s="39">
        <f>IF(MIP_4[[#This Row],[P.S]]-MIP_4[[#This Row],[P.E]]&lt;0,1+MIP_4[[#This Row],[P.S]]-MIP_4[[#This Row],[P.E]]-1/24,MIP_4[[#This Row],[P.S]]-MIP_4[[#This Row],[P.E]]-1/24)</f>
        <v>0.36319444444444438</v>
      </c>
      <c r="X175" s="39">
        <f ca="1">MIP_4[[#This Row],[PT-1]]*$S$3+MIP_4[[#This Row],[PT-2]]*$T$3+MIP_4[[#This Row],[PT-3]]*$U$3+MIP_4[[#This Row],[PT &gt; 3 Pontos]]*$V$3</f>
        <v>0.36674029762703531</v>
      </c>
      <c r="Y175" s="39">
        <f>MIP_4[[#This Row],[HH disponível]]-MIP_4[[#This Row],[HH AC TOT]]</f>
        <v>0.3125</v>
      </c>
      <c r="Z175" s="38">
        <f ca="1">MIP_4[[#This Row],[HH Produtivo
Total]]/MIP_4[[#This Row],[HH Trabalhado]]</f>
        <v>1.1735689524065129</v>
      </c>
      <c r="AA175" s="38">
        <f ca="1">MIP_4[[#This Row],[HH Produtivo
Total]]/MIP_4[[#This Row],[HH disponível]]</f>
        <v>1.009762960961627</v>
      </c>
      <c r="AB175" s="38">
        <f>MIP_4[[#This Row],[HH Trabalhado]]/MIP_4[[#This Row],[HH disponível]]</f>
        <v>0.86042065009560242</v>
      </c>
      <c r="AC175" s="37" t="str">
        <f>LEFT(MIP_4[[#This Row],[Equipe]], SEARCH("/",MIP_4[[#This Row],[Equipe]],1)-1)</f>
        <v xml:space="preserve">JOILSON </v>
      </c>
      <c r="AD175" s="37" t="str">
        <f>RIGHT(MIP_4[[#This Row],[Equipe]], LEN(MIP_4[[#This Row],[Equipe]])-SEARCH("/",MIP_4[[#This Row],[Equipe]],1))</f>
        <v xml:space="preserve"> VALDEI</v>
      </c>
      <c r="AE175" s="44">
        <f>COUNTIFS('[1]Tempo parado'!G:G,"&gt;="&amp;MIP_4[[#This Row],[S.B Sitrack]],'[1]Tempo parado'!H:H,"&lt;="&amp;MIP_4[[#This Row],[C.B Sitrack]],'[1]Tempo parado'!A:A,MIP_4[[#This Row],[Placa]])</f>
        <v>0</v>
      </c>
      <c r="AF175" s="36"/>
      <c r="AG175" s="35"/>
      <c r="AH175" s="34"/>
      <c r="AI175" s="34"/>
      <c r="AJ17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7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7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75" s="32" t="str">
        <f>IFERROR(MIP_4[[#This Row],[Tempo parado]]/(MIP_4[[#This Row],[C.B Sitrack]]-MIP_4[[#This Row],[S.B Sitrack]]),"")</f>
        <v/>
      </c>
      <c r="AN175" s="30"/>
      <c r="AO175" s="44">
        <f>IF(AND(MIP_4[Exc]=0,MIP_4[Previsto / Realizado]="Realizado"),MIP_4[Sem],0)</f>
        <v>27</v>
      </c>
      <c r="AP175" s="29">
        <f>IF(AND(MIP_4[Exc]=0,MIP_4[Previsto / Realizado]="Realizado",ISBLANK(MIP_4[[#This Row],[S.B Sitrack]])=FALSE,ISBLANK(MIP_4[[#This Row],[C.B Sitrack]])=FALSE),MIP_4[Sem],0)</f>
        <v>0</v>
      </c>
    </row>
    <row r="176" spans="1:42" ht="15.75" x14ac:dyDescent="0.25">
      <c r="A176" s="44">
        <f>WEEKNUM(MIP_4[[#This Row],[Data]])</f>
        <v>27</v>
      </c>
      <c r="B176" s="45">
        <v>42919</v>
      </c>
      <c r="C176" s="45"/>
      <c r="D176" s="35" t="s">
        <v>7</v>
      </c>
      <c r="E176" s="35" t="s">
        <v>5</v>
      </c>
      <c r="F176" s="35"/>
      <c r="G176" s="44">
        <v>2</v>
      </c>
      <c r="H176" s="44">
        <v>7</v>
      </c>
      <c r="I176" s="44">
        <v>3</v>
      </c>
      <c r="J176" s="44">
        <v>1</v>
      </c>
      <c r="K176" s="44">
        <v>0</v>
      </c>
      <c r="L176" s="43">
        <v>0.625</v>
      </c>
      <c r="M176" s="43">
        <v>0.64583333333333337</v>
      </c>
      <c r="N176" s="43">
        <f>1+18/24/60</f>
        <v>1.0125</v>
      </c>
      <c r="O176" s="43">
        <f>1+48/24/60</f>
        <v>1.0333333333333334</v>
      </c>
      <c r="P176" s="39"/>
      <c r="Q176" s="42"/>
      <c r="R176" s="44">
        <f>MIP_4[[#This Row],[PT-1]]+MIP_4[[#This Row],[PT-2]]*2+MIP_4[[#This Row],[PT-3]]*3+MIP_4[[#This Row],[PT &gt; 3 Pontos]]</f>
        <v>16</v>
      </c>
      <c r="S17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17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176" s="41">
        <f ca="1">MIP_4[[#This Row],[Eficiência]]</f>
        <v>1.1375352254428344</v>
      </c>
      <c r="V17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76" s="39">
        <f>IF(MIP_4[[#This Row],[P.S]]-MIP_4[[#This Row],[P.E]]&lt;0,1+MIP_4[[#This Row],[P.S]]-MIP_4[[#This Row],[P.E]]-1/24,MIP_4[[#This Row],[P.S]]-MIP_4[[#This Row],[P.E]]-1/24)</f>
        <v>0.36666666666666675</v>
      </c>
      <c r="X176" s="39">
        <f ca="1">MIP_4[[#This Row],[PT-1]]*$S$3+MIP_4[[#This Row],[PT-2]]*$T$3+MIP_4[[#This Row],[PT-3]]*$U$3+MIP_4[[#This Row],[PT &gt; 3 Pontos]]*$V$3</f>
        <v>0.36969894826892102</v>
      </c>
      <c r="Y176" s="39">
        <f>MIP_4[[#This Row],[HH disponível]]-MIP_4[[#This Row],[HH AC TOT]]</f>
        <v>0.3249999999999999</v>
      </c>
      <c r="Z176" s="38">
        <f ca="1">MIP_4[[#This Row],[HH Produtivo
Total]]/MIP_4[[#This Row],[HH Trabalhado]]</f>
        <v>1.1375352254428344</v>
      </c>
      <c r="AA176" s="38">
        <f ca="1">MIP_4[[#This Row],[HH Produtivo
Total]]/MIP_4[[#This Row],[HH disponível]]</f>
        <v>1.008269858915239</v>
      </c>
      <c r="AB176" s="38">
        <f>MIP_4[[#This Row],[HH Trabalhado]]/MIP_4[[#This Row],[HH disponível]]</f>
        <v>0.88636363636363591</v>
      </c>
      <c r="AC176" s="37" t="str">
        <f>LEFT(MIP_4[[#This Row],[Equipe]], SEARCH("/",MIP_4[[#This Row],[Equipe]],1)-1)</f>
        <v xml:space="preserve">ANDERSON </v>
      </c>
      <c r="AD176" s="37" t="str">
        <f>RIGHT(MIP_4[[#This Row],[Equipe]], LEN(MIP_4[[#This Row],[Equipe]])-SEARCH("/",MIP_4[[#This Row],[Equipe]],1))</f>
        <v xml:space="preserve"> MARCO</v>
      </c>
      <c r="AE176" s="44">
        <f>COUNTIFS('[1]Tempo parado'!G:G,"&gt;="&amp;MIP_4[[#This Row],[S.B Sitrack]],'[1]Tempo parado'!H:H,"&lt;="&amp;MIP_4[[#This Row],[C.B Sitrack]],'[1]Tempo parado'!A:A,MIP_4[[#This Row],[Placa]])</f>
        <v>0</v>
      </c>
      <c r="AF176" s="36"/>
      <c r="AG176" s="35"/>
      <c r="AH176" s="34"/>
      <c r="AI176" s="34"/>
      <c r="AJ17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7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7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76" s="32" t="str">
        <f>IFERROR(MIP_4[[#This Row],[Tempo parado]]/(MIP_4[[#This Row],[C.B Sitrack]]-MIP_4[[#This Row],[S.B Sitrack]]),"")</f>
        <v/>
      </c>
      <c r="AN176" s="30"/>
      <c r="AO176" s="44">
        <f>IF(AND(MIP_4[Exc]=0,MIP_4[Previsto / Realizado]="Realizado"),MIP_4[Sem],0)</f>
        <v>0</v>
      </c>
      <c r="AP176" s="29">
        <f>IF(AND(MIP_4[Exc]=0,MIP_4[Previsto / Realizado]="Realizado",ISBLANK(MIP_4[[#This Row],[S.B Sitrack]])=FALSE,ISBLANK(MIP_4[[#This Row],[C.B Sitrack]])=FALSE),MIP_4[Sem],0)</f>
        <v>0</v>
      </c>
    </row>
    <row r="177" spans="1:42" ht="15.75" x14ac:dyDescent="0.25">
      <c r="A177" s="44">
        <f>WEEKNUM(MIP_4[[#This Row],[Data]])</f>
        <v>27</v>
      </c>
      <c r="B177" s="45">
        <v>42919</v>
      </c>
      <c r="C177" s="45"/>
      <c r="D177" s="35" t="s">
        <v>7</v>
      </c>
      <c r="E177" s="35" t="s">
        <v>2</v>
      </c>
      <c r="F177" s="35"/>
      <c r="G177" s="44">
        <v>2</v>
      </c>
      <c r="H177" s="44">
        <v>6</v>
      </c>
      <c r="I177" s="44">
        <v>3</v>
      </c>
      <c r="J177" s="44">
        <v>0</v>
      </c>
      <c r="K177" s="44">
        <v>0</v>
      </c>
      <c r="L177" s="43">
        <v>0.63263888888888886</v>
      </c>
      <c r="M177" s="43">
        <v>0.65972222222222221</v>
      </c>
      <c r="N177" s="43">
        <f>1+16/24/60</f>
        <v>1.0111111111111111</v>
      </c>
      <c r="O177" s="43">
        <f>1+49/24/60</f>
        <v>1.0340277777777778</v>
      </c>
      <c r="P177" s="39"/>
      <c r="Q177" s="42"/>
      <c r="R177" s="44">
        <f>MIP_4[[#This Row],[PT-1]]+MIP_4[[#This Row],[PT-2]]*2+MIP_4[[#This Row],[PT-3]]*3+MIP_4[[#This Row],[PT &gt; 3 Pontos]]</f>
        <v>12</v>
      </c>
      <c r="S17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5.0000000000000044E-2</v>
      </c>
      <c r="T17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5.0000000000000044E-2</v>
      </c>
      <c r="U177" s="41">
        <f ca="1">MIP_4[[#This Row],[Eficiência]]</f>
        <v>0.91011040163774592</v>
      </c>
      <c r="V17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77" s="39">
        <f>IF(MIP_4[[#This Row],[P.S]]-MIP_4[[#This Row],[P.E]]&lt;0,1+MIP_4[[#This Row],[P.S]]-MIP_4[[#This Row],[P.E]]-1/24,MIP_4[[#This Row],[P.S]]-MIP_4[[#This Row],[P.E]]-1/24)</f>
        <v>0.35972222222222222</v>
      </c>
      <c r="X177" s="39">
        <f ca="1">MIP_4[[#This Row],[PT-1]]*$S$3+MIP_4[[#This Row],[PT-2]]*$T$3+MIP_4[[#This Row],[PT-3]]*$U$3+MIP_4[[#This Row],[PT &gt; 3 Pontos]]*$V$3</f>
        <v>0.28188141606280182</v>
      </c>
      <c r="Y177" s="39">
        <f>MIP_4[[#This Row],[HH disponível]]-MIP_4[[#This Row],[HH AC TOT]]</f>
        <v>0.30972222222222218</v>
      </c>
      <c r="Z177" s="38">
        <f ca="1">MIP_4[[#This Row],[HH Produtivo
Total]]/MIP_4[[#This Row],[HH Trabalhado]]</f>
        <v>0.91011040163774592</v>
      </c>
      <c r="AA177" s="38">
        <f ca="1">MIP_4[[#This Row],[HH Produtivo
Total]]/MIP_4[[#This Row],[HH disponível]]</f>
        <v>0.78360856974987381</v>
      </c>
      <c r="AB177" s="38">
        <f>MIP_4[[#This Row],[HH Trabalhado]]/MIP_4[[#This Row],[HH disponível]]</f>
        <v>0.86100386100386084</v>
      </c>
      <c r="AC177" s="37" t="str">
        <f>LEFT(MIP_4[[#This Row],[Equipe]], SEARCH("/",MIP_4[[#This Row],[Equipe]],1)-1)</f>
        <v xml:space="preserve">ANDERSON </v>
      </c>
      <c r="AD177" s="37" t="str">
        <f>RIGHT(MIP_4[[#This Row],[Equipe]], LEN(MIP_4[[#This Row],[Equipe]])-SEARCH("/",MIP_4[[#This Row],[Equipe]],1))</f>
        <v xml:space="preserve"> MARCO</v>
      </c>
      <c r="AE177" s="44">
        <f>COUNTIFS('[1]Tempo parado'!G:G,"&gt;="&amp;MIP_4[[#This Row],[S.B Sitrack]],'[1]Tempo parado'!H:H,"&lt;="&amp;MIP_4[[#This Row],[C.B Sitrack]],'[1]Tempo parado'!A:A,MIP_4[[#This Row],[Placa]])</f>
        <v>0</v>
      </c>
      <c r="AF177" s="36"/>
      <c r="AG177" s="35"/>
      <c r="AH177" s="34"/>
      <c r="AI177" s="34"/>
      <c r="AJ17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7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7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77" s="32" t="str">
        <f>IFERROR(MIP_4[[#This Row],[Tempo parado]]/(MIP_4[[#This Row],[C.B Sitrack]]-MIP_4[[#This Row],[S.B Sitrack]]),"")</f>
        <v/>
      </c>
      <c r="AN177" s="30"/>
      <c r="AO177" s="44">
        <f>IF(AND(MIP_4[Exc]=0,MIP_4[Previsto / Realizado]="Realizado"),MIP_4[Sem],0)</f>
        <v>27</v>
      </c>
      <c r="AP177" s="29">
        <f>IF(AND(MIP_4[Exc]=0,MIP_4[Previsto / Realizado]="Realizado",ISBLANK(MIP_4[[#This Row],[S.B Sitrack]])=FALSE,ISBLANK(MIP_4[[#This Row],[C.B Sitrack]])=FALSE),MIP_4[Sem],0)</f>
        <v>0</v>
      </c>
    </row>
    <row r="178" spans="1:42" ht="15.75" x14ac:dyDescent="0.25">
      <c r="A178" s="44">
        <f>WEEKNUM(MIP_4[[#This Row],[Data]])</f>
        <v>27</v>
      </c>
      <c r="B178" s="45">
        <v>42919</v>
      </c>
      <c r="C178" s="45"/>
      <c r="D178" s="35" t="s">
        <v>19</v>
      </c>
      <c r="E178" s="35" t="s">
        <v>5</v>
      </c>
      <c r="F178" s="35"/>
      <c r="G178" s="44">
        <v>2</v>
      </c>
      <c r="H178" s="44">
        <v>4</v>
      </c>
      <c r="I178" s="44">
        <v>1</v>
      </c>
      <c r="J178" s="44">
        <v>2</v>
      </c>
      <c r="K178" s="44">
        <v>12</v>
      </c>
      <c r="L178" s="43">
        <v>0.625</v>
      </c>
      <c r="M178" s="43">
        <v>0.64583333333333337</v>
      </c>
      <c r="N178" s="43">
        <f>1+18/24/60</f>
        <v>1.0125</v>
      </c>
      <c r="O178" s="43">
        <f>1+48/24/60</f>
        <v>1.0333333333333334</v>
      </c>
      <c r="P178" s="39"/>
      <c r="Q178" s="42"/>
      <c r="R178" s="44">
        <f>MIP_4[[#This Row],[PT-1]]+MIP_4[[#This Row],[PT-2]]*2+MIP_4[[#This Row],[PT-3]]*3+MIP_4[[#This Row],[PT &gt; 3 Pontos]]</f>
        <v>24</v>
      </c>
      <c r="S17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17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178" s="41">
        <f ca="1">MIP_4[[#This Row],[Eficiência]]</f>
        <v>1.577143590775838</v>
      </c>
      <c r="V17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78" s="39">
        <f>IF(MIP_4[[#This Row],[P.S]]-MIP_4[[#This Row],[P.E]]&lt;0,1+MIP_4[[#This Row],[P.S]]-MIP_4[[#This Row],[P.E]]-1/24,MIP_4[[#This Row],[P.S]]-MIP_4[[#This Row],[P.E]]-1/24)</f>
        <v>0.36666666666666675</v>
      </c>
      <c r="X178" s="39">
        <f ca="1">MIP_4[[#This Row],[PT-1]]*$S$3+MIP_4[[#This Row],[PT-2]]*$T$3+MIP_4[[#This Row],[PT-3]]*$U$3+MIP_4[[#This Row],[PT &gt; 3 Pontos]]*$V$3</f>
        <v>0.51257166700214718</v>
      </c>
      <c r="Y178" s="39">
        <f>MIP_4[[#This Row],[HH disponível]]-MIP_4[[#This Row],[HH AC TOT]]</f>
        <v>0.3249999999999999</v>
      </c>
      <c r="Z178" s="38">
        <f ca="1">MIP_4[[#This Row],[HH Produtivo
Total]]/MIP_4[[#This Row],[HH Trabalhado]]</f>
        <v>1.577143590775838</v>
      </c>
      <c r="AA178" s="38">
        <f ca="1">MIP_4[[#This Row],[HH Produtivo
Total]]/MIP_4[[#This Row],[HH disponível]]</f>
        <v>1.3979227281876738</v>
      </c>
      <c r="AB178" s="38">
        <f>MIP_4[[#This Row],[HH Trabalhado]]/MIP_4[[#This Row],[HH disponível]]</f>
        <v>0.88636363636363591</v>
      </c>
      <c r="AC178" s="37" t="str">
        <f>LEFT(MIP_4[[#This Row],[Equipe]], SEARCH("/",MIP_4[[#This Row],[Equipe]],1)-1)</f>
        <v xml:space="preserve">ADEMÁRIO </v>
      </c>
      <c r="AD178" s="37" t="str">
        <f>RIGHT(MIP_4[[#This Row],[Equipe]], LEN(MIP_4[[#This Row],[Equipe]])-SEARCH("/",MIP_4[[#This Row],[Equipe]],1))</f>
        <v xml:space="preserve"> RONALDO</v>
      </c>
      <c r="AE178" s="44">
        <f>COUNTIFS('[1]Tempo parado'!G:G,"&gt;="&amp;MIP_4[[#This Row],[S.B Sitrack]],'[1]Tempo parado'!H:H,"&lt;="&amp;MIP_4[[#This Row],[C.B Sitrack]],'[1]Tempo parado'!A:A,MIP_4[[#This Row],[Placa]])</f>
        <v>0</v>
      </c>
      <c r="AF178" s="36"/>
      <c r="AG178" s="35"/>
      <c r="AH178" s="34"/>
      <c r="AI178" s="34"/>
      <c r="AJ17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7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7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78" s="32" t="str">
        <f>IFERROR(MIP_4[[#This Row],[Tempo parado]]/(MIP_4[[#This Row],[C.B Sitrack]]-MIP_4[[#This Row],[S.B Sitrack]]),"")</f>
        <v/>
      </c>
      <c r="AN178" s="30"/>
      <c r="AO178" s="44">
        <f>IF(AND(MIP_4[Exc]=0,MIP_4[Previsto / Realizado]="Realizado"),MIP_4[Sem],0)</f>
        <v>0</v>
      </c>
      <c r="AP178" s="29">
        <f>IF(AND(MIP_4[Exc]=0,MIP_4[Previsto / Realizado]="Realizado",ISBLANK(MIP_4[[#This Row],[S.B Sitrack]])=FALSE,ISBLANK(MIP_4[[#This Row],[C.B Sitrack]])=FALSE),MIP_4[Sem],0)</f>
        <v>0</v>
      </c>
    </row>
    <row r="179" spans="1:42" ht="15.75" x14ac:dyDescent="0.25">
      <c r="A179" s="44">
        <f>WEEKNUM(MIP_4[[#This Row],[Data]])</f>
        <v>27</v>
      </c>
      <c r="B179" s="45">
        <v>42919</v>
      </c>
      <c r="C179" s="45"/>
      <c r="D179" s="35" t="s">
        <v>19</v>
      </c>
      <c r="E179" s="35" t="s">
        <v>2</v>
      </c>
      <c r="F179" s="35"/>
      <c r="G179" s="44">
        <v>2</v>
      </c>
      <c r="H179" s="44">
        <v>4</v>
      </c>
      <c r="I179" s="44">
        <v>1</v>
      </c>
      <c r="J179" s="44">
        <v>2</v>
      </c>
      <c r="K179" s="44">
        <v>12</v>
      </c>
      <c r="L179" s="43">
        <v>0.67986111111111114</v>
      </c>
      <c r="M179" s="43">
        <v>0.68541666666666667</v>
      </c>
      <c r="N179" s="43">
        <f>1+32/24/60</f>
        <v>1.0222222222222221</v>
      </c>
      <c r="O179" s="43">
        <f>1+59/24/60</f>
        <v>1.0409722222222222</v>
      </c>
      <c r="P179" s="39"/>
      <c r="Q179" s="42"/>
      <c r="R179" s="44">
        <f>MIP_4[[#This Row],[PT-1]]+MIP_4[[#This Row],[PT-2]]*2+MIP_4[[#This Row],[PT-3]]*3+MIP_4[[#This Row],[PT &gt; 3 Pontos]]</f>
        <v>24</v>
      </c>
      <c r="S17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2.430555555555558E-2</v>
      </c>
      <c r="T17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2.430555555555558E-2</v>
      </c>
      <c r="U179" s="41">
        <f ca="1">MIP_4[[#This Row],[Eficiência]]</f>
        <v>1.7367134129013935</v>
      </c>
      <c r="V17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79" s="39">
        <f>IF(MIP_4[[#This Row],[P.S]]-MIP_4[[#This Row],[P.E]]&lt;0,1+MIP_4[[#This Row],[P.S]]-MIP_4[[#This Row],[P.E]]-1/24,MIP_4[[#This Row],[P.S]]-MIP_4[[#This Row],[P.E]]-1/24)</f>
        <v>0.31944444444444436</v>
      </c>
      <c r="X179" s="39">
        <f ca="1">MIP_4[[#This Row],[PT-1]]*$S$3+MIP_4[[#This Row],[PT-2]]*$T$3+MIP_4[[#This Row],[PT-3]]*$U$3+MIP_4[[#This Row],[PT &gt; 3 Pontos]]*$V$3</f>
        <v>0.51257166700214718</v>
      </c>
      <c r="Y179" s="39">
        <f>MIP_4[[#This Row],[HH disponível]]-MIP_4[[#This Row],[HH AC TOT]]</f>
        <v>0.29513888888888878</v>
      </c>
      <c r="Z179" s="38">
        <f ca="1">MIP_4[[#This Row],[HH Produtivo
Total]]/MIP_4[[#This Row],[HH Trabalhado]]</f>
        <v>1.7367134129013935</v>
      </c>
      <c r="AA179" s="38">
        <f ca="1">MIP_4[[#This Row],[HH Produtivo
Total]]/MIP_4[[#This Row],[HH disponível]]</f>
        <v>1.6045721749632438</v>
      </c>
      <c r="AB179" s="38">
        <f>MIP_4[[#This Row],[HH Trabalhado]]/MIP_4[[#This Row],[HH disponível]]</f>
        <v>0.92391304347826075</v>
      </c>
      <c r="AC179" s="37" t="str">
        <f>LEFT(MIP_4[[#This Row],[Equipe]], SEARCH("/",MIP_4[[#This Row],[Equipe]],1)-1)</f>
        <v xml:space="preserve">ADEMÁRIO </v>
      </c>
      <c r="AD179" s="37" t="str">
        <f>RIGHT(MIP_4[[#This Row],[Equipe]], LEN(MIP_4[[#This Row],[Equipe]])-SEARCH("/",MIP_4[[#This Row],[Equipe]],1))</f>
        <v xml:space="preserve"> RONALDO</v>
      </c>
      <c r="AE179" s="44">
        <f>COUNTIFS('[1]Tempo parado'!G:G,"&gt;="&amp;MIP_4[[#This Row],[S.B Sitrack]],'[1]Tempo parado'!H:H,"&lt;="&amp;MIP_4[[#This Row],[C.B Sitrack]],'[1]Tempo parado'!A:A,MIP_4[[#This Row],[Placa]])</f>
        <v>0</v>
      </c>
      <c r="AF179" s="36"/>
      <c r="AG179" s="35"/>
      <c r="AH179" s="34"/>
      <c r="AI179" s="34"/>
      <c r="AJ17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7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7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79" s="32" t="str">
        <f>IFERROR(MIP_4[[#This Row],[Tempo parado]]/(MIP_4[[#This Row],[C.B Sitrack]]-MIP_4[[#This Row],[S.B Sitrack]]),"")</f>
        <v/>
      </c>
      <c r="AN179" s="30"/>
      <c r="AO179" s="44">
        <f>IF(AND(MIP_4[Exc]=0,MIP_4[Previsto / Realizado]="Realizado"),MIP_4[Sem],0)</f>
        <v>27</v>
      </c>
      <c r="AP179" s="29">
        <f>IF(AND(MIP_4[Exc]=0,MIP_4[Previsto / Realizado]="Realizado",ISBLANK(MIP_4[[#This Row],[S.B Sitrack]])=FALSE,ISBLANK(MIP_4[[#This Row],[C.B Sitrack]])=FALSE),MIP_4[Sem],0)</f>
        <v>0</v>
      </c>
    </row>
    <row r="180" spans="1:42" ht="15.75" x14ac:dyDescent="0.25">
      <c r="A180" s="44">
        <f>WEEKNUM(MIP_4[[#This Row],[Data]])</f>
        <v>27</v>
      </c>
      <c r="B180" s="45">
        <v>42919</v>
      </c>
      <c r="C180" s="45"/>
      <c r="D180" s="35" t="s">
        <v>389</v>
      </c>
      <c r="E180" s="35" t="s">
        <v>5</v>
      </c>
      <c r="F180" s="35"/>
      <c r="G180" s="44">
        <v>2</v>
      </c>
      <c r="H180" s="44">
        <v>8</v>
      </c>
      <c r="I180" s="44">
        <v>3</v>
      </c>
      <c r="J180" s="44">
        <v>1</v>
      </c>
      <c r="K180" s="44">
        <v>0</v>
      </c>
      <c r="L180" s="43">
        <v>0.625</v>
      </c>
      <c r="M180" s="43">
        <v>0.64583333333333337</v>
      </c>
      <c r="N180" s="43">
        <f>1+18/24/60</f>
        <v>1.0125</v>
      </c>
      <c r="O180" s="43">
        <f>1+48/24/60</f>
        <v>1.0333333333333334</v>
      </c>
      <c r="P180" s="39"/>
      <c r="Q180" s="42"/>
      <c r="R180" s="44">
        <f>MIP_4[[#This Row],[PT-1]]+MIP_4[[#This Row],[PT-2]]*2+MIP_4[[#This Row],[PT-3]]*3+MIP_4[[#This Row],[PT &gt; 3 Pontos]]</f>
        <v>17</v>
      </c>
      <c r="S18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18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180" s="41">
        <f ca="1">MIP_4[[#This Row],[Eficiência]]</f>
        <v>1.2145378499318717</v>
      </c>
      <c r="V18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80" s="39">
        <f>IF(MIP_4[[#This Row],[P.S]]-MIP_4[[#This Row],[P.E]]&lt;0,1+MIP_4[[#This Row],[P.S]]-MIP_4[[#This Row],[P.E]]-1/24,MIP_4[[#This Row],[P.S]]-MIP_4[[#This Row],[P.E]]-1/24)</f>
        <v>0.36666666666666675</v>
      </c>
      <c r="X180" s="39">
        <f ca="1">MIP_4[[#This Row],[PT-1]]*$S$3+MIP_4[[#This Row],[PT-2]]*$T$3+MIP_4[[#This Row],[PT-3]]*$U$3+MIP_4[[#This Row],[PT &gt; 3 Pontos]]*$V$3</f>
        <v>0.39472480122785819</v>
      </c>
      <c r="Y180" s="39">
        <f>MIP_4[[#This Row],[HH disponível]]-MIP_4[[#This Row],[HH AC TOT]]</f>
        <v>0.3249999999999999</v>
      </c>
      <c r="Z180" s="38">
        <f ca="1">MIP_4[[#This Row],[HH Produtivo
Total]]/MIP_4[[#This Row],[HH Trabalhado]]</f>
        <v>1.2145378499318717</v>
      </c>
      <c r="AA180" s="38">
        <f ca="1">MIP_4[[#This Row],[HH Produtivo
Total]]/MIP_4[[#This Row],[HH disponível]]</f>
        <v>1.0765221851668858</v>
      </c>
      <c r="AB180" s="38">
        <f>MIP_4[[#This Row],[HH Trabalhado]]/MIP_4[[#This Row],[HH disponível]]</f>
        <v>0.88636363636363591</v>
      </c>
      <c r="AC180" s="37" t="str">
        <f>LEFT(MIP_4[[#This Row],[Equipe]], SEARCH("/",MIP_4[[#This Row],[Equipe]],1)-1)</f>
        <v xml:space="preserve">CLEBER </v>
      </c>
      <c r="AD180" s="37" t="str">
        <f>RIGHT(MIP_4[[#This Row],[Equipe]], LEN(MIP_4[[#This Row],[Equipe]])-SEARCH("/",MIP_4[[#This Row],[Equipe]],1))</f>
        <v xml:space="preserve"> HERVAL</v>
      </c>
      <c r="AE180" s="44">
        <f>COUNTIFS('[1]Tempo parado'!G:G,"&gt;="&amp;MIP_4[[#This Row],[S.B Sitrack]],'[1]Tempo parado'!H:H,"&lt;="&amp;MIP_4[[#This Row],[C.B Sitrack]],'[1]Tempo parado'!A:A,MIP_4[[#This Row],[Placa]])</f>
        <v>0</v>
      </c>
      <c r="AF180" s="36"/>
      <c r="AG180" s="35"/>
      <c r="AH180" s="34"/>
      <c r="AI180" s="34"/>
      <c r="AJ18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8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8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80" s="32" t="str">
        <f>IFERROR(MIP_4[[#This Row],[Tempo parado]]/(MIP_4[[#This Row],[C.B Sitrack]]-MIP_4[[#This Row],[S.B Sitrack]]),"")</f>
        <v/>
      </c>
      <c r="AN180" s="30"/>
      <c r="AO180" s="44">
        <f>IF(AND(MIP_4[Exc]=0,MIP_4[Previsto / Realizado]="Realizado"),MIP_4[Sem],0)</f>
        <v>0</v>
      </c>
      <c r="AP180" s="29">
        <f>IF(AND(MIP_4[Exc]=0,MIP_4[Previsto / Realizado]="Realizado",ISBLANK(MIP_4[[#This Row],[S.B Sitrack]])=FALSE,ISBLANK(MIP_4[[#This Row],[C.B Sitrack]])=FALSE),MIP_4[Sem],0)</f>
        <v>0</v>
      </c>
    </row>
    <row r="181" spans="1:42" ht="15.75" x14ac:dyDescent="0.25">
      <c r="A181" s="44">
        <f>WEEKNUM(MIP_4[[#This Row],[Data]])</f>
        <v>27</v>
      </c>
      <c r="B181" s="45">
        <v>42919</v>
      </c>
      <c r="C181" s="45"/>
      <c r="D181" s="35" t="s">
        <v>389</v>
      </c>
      <c r="E181" s="35" t="s">
        <v>2</v>
      </c>
      <c r="F181" s="35"/>
      <c r="G181" s="44">
        <v>2</v>
      </c>
      <c r="H181" s="44">
        <v>8</v>
      </c>
      <c r="I181" s="44">
        <v>3</v>
      </c>
      <c r="J181" s="44">
        <v>1</v>
      </c>
      <c r="K181" s="44">
        <v>0</v>
      </c>
      <c r="L181" s="43">
        <v>0.66388888888888886</v>
      </c>
      <c r="M181" s="43">
        <v>0.69444444444444453</v>
      </c>
      <c r="N181" s="43">
        <v>0.93055555555555547</v>
      </c>
      <c r="O181" s="43">
        <f>1+50/24/60</f>
        <v>1.0347222222222223</v>
      </c>
      <c r="P181" s="39"/>
      <c r="Q181" s="42"/>
      <c r="R181" s="44">
        <f>MIP_4[[#This Row],[PT-1]]+MIP_4[[#This Row],[PT-2]]*2+MIP_4[[#This Row],[PT-3]]*3+MIP_4[[#This Row],[PT &gt; 3 Pontos]]</f>
        <v>17</v>
      </c>
      <c r="S18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0.13472222222222252</v>
      </c>
      <c r="T18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0.13472222222222252</v>
      </c>
      <c r="U181" s="41">
        <f ca="1">MIP_4[[#This Row],[Eficiência]]</f>
        <v>2.0300132634575583</v>
      </c>
      <c r="V18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81" s="39">
        <f>IF(MIP_4[[#This Row],[P.S]]-MIP_4[[#This Row],[P.E]]&lt;0,1+MIP_4[[#This Row],[P.S]]-MIP_4[[#This Row],[P.E]]-1/24,MIP_4[[#This Row],[P.S]]-MIP_4[[#This Row],[P.E]]-1/24)</f>
        <v>0.32916666666666677</v>
      </c>
      <c r="X181" s="39">
        <f ca="1">MIP_4[[#This Row],[PT-1]]*$S$3+MIP_4[[#This Row],[PT-2]]*$T$3+MIP_4[[#This Row],[PT-3]]*$U$3+MIP_4[[#This Row],[PT &gt; 3 Pontos]]*$V$3</f>
        <v>0.39472480122785819</v>
      </c>
      <c r="Y181" s="39">
        <f>MIP_4[[#This Row],[HH disponível]]-MIP_4[[#This Row],[HH AC TOT]]</f>
        <v>0.19444444444444425</v>
      </c>
      <c r="Z181" s="38">
        <f ca="1">MIP_4[[#This Row],[HH Produtivo
Total]]/MIP_4[[#This Row],[HH Trabalhado]]</f>
        <v>2.0300132634575583</v>
      </c>
      <c r="AA181" s="38">
        <f ca="1">MIP_4[[#This Row],[HH Produtivo
Total]]/MIP_4[[#This Row],[HH disponível]]</f>
        <v>1.1991639530972904</v>
      </c>
      <c r="AB181" s="38">
        <f>MIP_4[[#This Row],[HH Trabalhado]]/MIP_4[[#This Row],[HH disponível]]</f>
        <v>0.5907172995780583</v>
      </c>
      <c r="AC181" s="37" t="str">
        <f>LEFT(MIP_4[[#This Row],[Equipe]], SEARCH("/",MIP_4[[#This Row],[Equipe]],1)-1)</f>
        <v xml:space="preserve">CLEBER </v>
      </c>
      <c r="AD181" s="37" t="str">
        <f>RIGHT(MIP_4[[#This Row],[Equipe]], LEN(MIP_4[[#This Row],[Equipe]])-SEARCH("/",MIP_4[[#This Row],[Equipe]],1))</f>
        <v xml:space="preserve"> HERVAL</v>
      </c>
      <c r="AE181" s="44">
        <f>COUNTIFS('[1]Tempo parado'!G:G,"&gt;="&amp;MIP_4[[#This Row],[S.B Sitrack]],'[1]Tempo parado'!H:H,"&lt;="&amp;MIP_4[[#This Row],[C.B Sitrack]],'[1]Tempo parado'!A:A,MIP_4[[#This Row],[Placa]])</f>
        <v>0</v>
      </c>
      <c r="AF181" s="36"/>
      <c r="AG181" s="35"/>
      <c r="AH181" s="34"/>
      <c r="AI181" s="34"/>
      <c r="AJ18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8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8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81" s="32" t="str">
        <f>IFERROR(MIP_4[[#This Row],[Tempo parado]]/(MIP_4[[#This Row],[C.B Sitrack]]-MIP_4[[#This Row],[S.B Sitrack]]),"")</f>
        <v/>
      </c>
      <c r="AN181" s="30"/>
      <c r="AO181" s="44">
        <f>IF(AND(MIP_4[Exc]=0,MIP_4[Previsto / Realizado]="Realizado"),MIP_4[Sem],0)</f>
        <v>27</v>
      </c>
      <c r="AP181" s="29">
        <f>IF(AND(MIP_4[Exc]=0,MIP_4[Previsto / Realizado]="Realizado",ISBLANK(MIP_4[[#This Row],[S.B Sitrack]])=FALSE,ISBLANK(MIP_4[[#This Row],[C.B Sitrack]])=FALSE),MIP_4[Sem],0)</f>
        <v>0</v>
      </c>
    </row>
    <row r="182" spans="1:42" ht="15.75" x14ac:dyDescent="0.25">
      <c r="A182" s="44">
        <f>WEEKNUM(MIP_4[[#This Row],[Data]])</f>
        <v>27</v>
      </c>
      <c r="B182" s="45">
        <v>42920</v>
      </c>
      <c r="C182" s="45"/>
      <c r="D182" s="35" t="s">
        <v>10</v>
      </c>
      <c r="E182" s="35" t="s">
        <v>5</v>
      </c>
      <c r="F182" s="35"/>
      <c r="G182" s="44">
        <v>2</v>
      </c>
      <c r="H182" s="44">
        <v>9</v>
      </c>
      <c r="I182" s="44">
        <v>2</v>
      </c>
      <c r="J182" s="44">
        <v>2</v>
      </c>
      <c r="K182" s="44">
        <v>4</v>
      </c>
      <c r="L182" s="43">
        <v>0.25</v>
      </c>
      <c r="M182" s="43">
        <v>0.27083333333333331</v>
      </c>
      <c r="N182" s="43">
        <v>0.63750000000000007</v>
      </c>
      <c r="O182" s="43">
        <v>0.65833333333333333</v>
      </c>
      <c r="P182" s="39"/>
      <c r="Q182" s="42"/>
      <c r="R182" s="44">
        <f>MIP_4[[#This Row],[PT-1]]+MIP_4[[#This Row],[PT-2]]*2+MIP_4[[#This Row],[PT-3]]*3+MIP_4[[#This Row],[PT &gt; 3 Pontos]]</f>
        <v>23</v>
      </c>
      <c r="S18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18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182" s="41">
        <f ca="1">MIP_4[[#This Row],[Eficiência]]</f>
        <v>1.5988480333966437</v>
      </c>
      <c r="V18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82" s="39">
        <f>IF(MIP_4[[#This Row],[P.S]]-MIP_4[[#This Row],[P.E]]&lt;0,1+MIP_4[[#This Row],[P.S]]-MIP_4[[#This Row],[P.E]]-1/24,MIP_4[[#This Row],[P.S]]-MIP_4[[#This Row],[P.E]]-1/24)</f>
        <v>0.36666666666666664</v>
      </c>
      <c r="X182" s="39">
        <f ca="1">MIP_4[[#This Row],[PT-1]]*$S$3+MIP_4[[#This Row],[PT-2]]*$T$3+MIP_4[[#This Row],[PT-3]]*$U$3+MIP_4[[#This Row],[PT &gt; 3 Pontos]]*$V$3</f>
        <v>0.51962561085390935</v>
      </c>
      <c r="Y182" s="39">
        <f>MIP_4[[#This Row],[HH disponível]]-MIP_4[[#This Row],[HH AC TOT]]</f>
        <v>0.32500000000000007</v>
      </c>
      <c r="Z182" s="38">
        <f ca="1">MIP_4[[#This Row],[HH Produtivo
Total]]/MIP_4[[#This Row],[HH Trabalhado]]</f>
        <v>1.5988480333966437</v>
      </c>
      <c r="AA182" s="38">
        <f ca="1">MIP_4[[#This Row],[HH Produtivo
Total]]/MIP_4[[#This Row],[HH disponível]]</f>
        <v>1.4171607568742983</v>
      </c>
      <c r="AB182" s="38">
        <f>MIP_4[[#This Row],[HH Trabalhado]]/MIP_4[[#This Row],[HH disponível]]</f>
        <v>0.88636363636363658</v>
      </c>
      <c r="AC182" s="37" t="str">
        <f>LEFT(MIP_4[[#This Row],[Equipe]], SEARCH("/",MIP_4[[#This Row],[Equipe]],1)-1)</f>
        <v xml:space="preserve">JOILSON </v>
      </c>
      <c r="AD182" s="37" t="str">
        <f>RIGHT(MIP_4[[#This Row],[Equipe]], LEN(MIP_4[[#This Row],[Equipe]])-SEARCH("/",MIP_4[[#This Row],[Equipe]],1))</f>
        <v xml:space="preserve"> VALDEI</v>
      </c>
      <c r="AE182" s="44">
        <f>COUNTIFS('[1]Tempo parado'!G:G,"&gt;="&amp;MIP_4[[#This Row],[S.B Sitrack]],'[1]Tempo parado'!H:H,"&lt;="&amp;MIP_4[[#This Row],[C.B Sitrack]],'[1]Tempo parado'!A:A,MIP_4[[#This Row],[Placa]])</f>
        <v>0</v>
      </c>
      <c r="AF182" s="36"/>
      <c r="AG182" s="35"/>
      <c r="AH182" s="34"/>
      <c r="AI182" s="34"/>
      <c r="AJ18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8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8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82" s="32" t="str">
        <f>IFERROR(MIP_4[[#This Row],[Tempo parado]]/(MIP_4[[#This Row],[C.B Sitrack]]-MIP_4[[#This Row],[S.B Sitrack]]),"")</f>
        <v/>
      </c>
      <c r="AN182" s="30"/>
      <c r="AO182" s="44">
        <f>IF(AND(MIP_4[Exc]=0,MIP_4[Previsto / Realizado]="Realizado"),MIP_4[Sem],0)</f>
        <v>0</v>
      </c>
      <c r="AP182" s="29">
        <f>IF(AND(MIP_4[Exc]=0,MIP_4[Previsto / Realizado]="Realizado",ISBLANK(MIP_4[[#This Row],[S.B Sitrack]])=FALSE,ISBLANK(MIP_4[[#This Row],[C.B Sitrack]])=FALSE),MIP_4[Sem],0)</f>
        <v>0</v>
      </c>
    </row>
    <row r="183" spans="1:42" ht="15.75" x14ac:dyDescent="0.25">
      <c r="A183" s="44">
        <f>WEEKNUM(MIP_4[[#This Row],[Data]])</f>
        <v>27</v>
      </c>
      <c r="B183" s="45">
        <v>42920</v>
      </c>
      <c r="C183" s="45"/>
      <c r="D183" s="35" t="s">
        <v>10</v>
      </c>
      <c r="E183" s="35" t="s">
        <v>2</v>
      </c>
      <c r="F183" s="35"/>
      <c r="G183" s="44">
        <v>2</v>
      </c>
      <c r="H183" s="44">
        <v>6</v>
      </c>
      <c r="I183" s="44">
        <v>1</v>
      </c>
      <c r="J183" s="44">
        <v>0</v>
      </c>
      <c r="K183" s="44">
        <v>3</v>
      </c>
      <c r="L183" s="43">
        <v>0.24861111111111112</v>
      </c>
      <c r="M183" s="43">
        <v>0.31041666666666667</v>
      </c>
      <c r="N183" s="43">
        <v>0.62222222222222223</v>
      </c>
      <c r="O183" s="43">
        <v>0.66041666666666665</v>
      </c>
      <c r="P183" s="39"/>
      <c r="Q183" s="42" t="s">
        <v>401</v>
      </c>
      <c r="R183" s="44">
        <f>MIP_4[[#This Row],[PT-1]]+MIP_4[[#This Row],[PT-2]]*2+MIP_4[[#This Row],[PT-3]]*3+MIP_4[[#This Row],[PT &gt; 3 Pontos]]</f>
        <v>11</v>
      </c>
      <c r="S18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9.9999999999999978E-2</v>
      </c>
      <c r="T18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9.9999999999999978E-2</v>
      </c>
      <c r="U183" s="41">
        <f ca="1">MIP_4[[#This Row],[Eficiência]]</f>
        <v>0.94324781428908477</v>
      </c>
      <c r="V18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83" s="39">
        <f>IF(MIP_4[[#This Row],[P.S]]-MIP_4[[#This Row],[P.E]]&lt;0,1+MIP_4[[#This Row],[P.S]]-MIP_4[[#This Row],[P.E]]-1/24,MIP_4[[#This Row],[P.S]]-MIP_4[[#This Row],[P.E]]-1/24)</f>
        <v>0.37013888888888885</v>
      </c>
      <c r="X183" s="39">
        <f ca="1">MIP_4[[#This Row],[PT-1]]*$S$3+MIP_4[[#This Row],[PT-2]]*$T$3+MIP_4[[#This Row],[PT-3]]*$U$3+MIP_4[[#This Row],[PT &gt; 3 Pontos]]*$V$3</f>
        <v>0.25480791649892637</v>
      </c>
      <c r="Y183" s="39">
        <f>MIP_4[[#This Row],[HH disponível]]-MIP_4[[#This Row],[HH AC TOT]]</f>
        <v>0.27013888888888887</v>
      </c>
      <c r="Z183" s="38">
        <f ca="1">MIP_4[[#This Row],[HH Produtivo
Total]]/MIP_4[[#This Row],[HH Trabalhado]]</f>
        <v>0.94324781428908477</v>
      </c>
      <c r="AA183" s="38">
        <f ca="1">MIP_4[[#This Row],[HH Produtivo
Total]]/MIP_4[[#This Row],[HH disponível]]</f>
        <v>0.68841163181698684</v>
      </c>
      <c r="AB183" s="38">
        <f>MIP_4[[#This Row],[HH Trabalhado]]/MIP_4[[#This Row],[HH disponível]]</f>
        <v>0.72983114446529085</v>
      </c>
      <c r="AC183" s="37" t="str">
        <f>LEFT(MIP_4[[#This Row],[Equipe]], SEARCH("/",MIP_4[[#This Row],[Equipe]],1)-1)</f>
        <v xml:space="preserve">JOILSON </v>
      </c>
      <c r="AD183" s="37" t="str">
        <f>RIGHT(MIP_4[[#This Row],[Equipe]], LEN(MIP_4[[#This Row],[Equipe]])-SEARCH("/",MIP_4[[#This Row],[Equipe]],1))</f>
        <v xml:space="preserve"> VALDEI</v>
      </c>
      <c r="AE183" s="44">
        <f>COUNTIFS('[1]Tempo parado'!G:G,"&gt;="&amp;MIP_4[[#This Row],[S.B Sitrack]],'[1]Tempo parado'!H:H,"&lt;="&amp;MIP_4[[#This Row],[C.B Sitrack]],'[1]Tempo parado'!A:A,MIP_4[[#This Row],[Placa]])</f>
        <v>0</v>
      </c>
      <c r="AF183" s="36"/>
      <c r="AG183" s="35"/>
      <c r="AH183" s="34"/>
      <c r="AI183" s="34"/>
      <c r="AJ18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8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8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83" s="32" t="str">
        <f>IFERROR(MIP_4[[#This Row],[Tempo parado]]/(MIP_4[[#This Row],[C.B Sitrack]]-MIP_4[[#This Row],[S.B Sitrack]]),"")</f>
        <v/>
      </c>
      <c r="AN183" s="30"/>
      <c r="AO183" s="44">
        <f>IF(AND(MIP_4[Exc]=0,MIP_4[Previsto / Realizado]="Realizado"),MIP_4[Sem],0)</f>
        <v>27</v>
      </c>
      <c r="AP183" s="29">
        <f>IF(AND(MIP_4[Exc]=0,MIP_4[Previsto / Realizado]="Realizado",ISBLANK(MIP_4[[#This Row],[S.B Sitrack]])=FALSE,ISBLANK(MIP_4[[#This Row],[C.B Sitrack]])=FALSE),MIP_4[Sem],0)</f>
        <v>0</v>
      </c>
    </row>
    <row r="184" spans="1:42" ht="15.75" x14ac:dyDescent="0.25">
      <c r="A184" s="44">
        <f>WEEKNUM(MIP_4[[#This Row],[Data]])</f>
        <v>27</v>
      </c>
      <c r="B184" s="45">
        <v>42920</v>
      </c>
      <c r="C184" s="45"/>
      <c r="D184" s="35" t="s">
        <v>3</v>
      </c>
      <c r="E184" s="35" t="s">
        <v>5</v>
      </c>
      <c r="F184" s="35"/>
      <c r="G184" s="44">
        <v>2</v>
      </c>
      <c r="H184" s="44">
        <v>9</v>
      </c>
      <c r="I184" s="44">
        <v>4</v>
      </c>
      <c r="J184" s="44">
        <v>1</v>
      </c>
      <c r="K184" s="44">
        <v>0</v>
      </c>
      <c r="L184" s="43">
        <v>0.625</v>
      </c>
      <c r="M184" s="43">
        <v>0.64583333333333337</v>
      </c>
      <c r="N184" s="43">
        <f>1+18/24/60</f>
        <v>1.0125</v>
      </c>
      <c r="O184" s="43">
        <f>1+48/24/60</f>
        <v>1.0333333333333334</v>
      </c>
      <c r="P184" s="39"/>
      <c r="Q184" s="42"/>
      <c r="R184" s="44">
        <f>MIP_4[[#This Row],[PT-1]]+MIP_4[[#This Row],[PT-2]]*2+MIP_4[[#This Row],[PT-3]]*3+MIP_4[[#This Row],[PT &gt; 3 Pontos]]</f>
        <v>20</v>
      </c>
      <c r="S18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18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184" s="41">
        <f ca="1">MIP_4[[#This Row],[Eficiência]]</f>
        <v>1.426644370122631</v>
      </c>
      <c r="V18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84" s="39">
        <f>IF(MIP_4[[#This Row],[P.S]]-MIP_4[[#This Row],[P.E]]&lt;0,1+MIP_4[[#This Row],[P.S]]-MIP_4[[#This Row],[P.E]]-1/24,MIP_4[[#This Row],[P.S]]-MIP_4[[#This Row],[P.E]]-1/24)</f>
        <v>0.36666666666666675</v>
      </c>
      <c r="X184" s="39">
        <f ca="1">MIP_4[[#This Row],[PT-1]]*$S$3+MIP_4[[#This Row],[PT-2]]*$T$3+MIP_4[[#This Row],[PT-3]]*$U$3+MIP_4[[#This Row],[PT &gt; 3 Pontos]]*$V$3</f>
        <v>0.46365942028985496</v>
      </c>
      <c r="Y184" s="39">
        <f>MIP_4[[#This Row],[HH disponível]]-MIP_4[[#This Row],[HH AC TOT]]</f>
        <v>0.3249999999999999</v>
      </c>
      <c r="Z184" s="38">
        <f ca="1">MIP_4[[#This Row],[HH Produtivo
Total]]/MIP_4[[#This Row],[HH Trabalhado]]</f>
        <v>1.426644370122631</v>
      </c>
      <c r="AA184" s="38">
        <f ca="1">MIP_4[[#This Row],[HH Produtivo
Total]]/MIP_4[[#This Row],[HH disponível]]</f>
        <v>1.2645256916996042</v>
      </c>
      <c r="AB184" s="38">
        <f>MIP_4[[#This Row],[HH Trabalhado]]/MIP_4[[#This Row],[HH disponível]]</f>
        <v>0.88636363636363591</v>
      </c>
      <c r="AC184" s="37" t="str">
        <f>LEFT(MIP_4[[#This Row],[Equipe]], SEARCH("/",MIP_4[[#This Row],[Equipe]],1)-1)</f>
        <v xml:space="preserve">EDILTON </v>
      </c>
      <c r="AD184" s="37" t="str">
        <f>RIGHT(MIP_4[[#This Row],[Equipe]], LEN(MIP_4[[#This Row],[Equipe]])-SEARCH("/",MIP_4[[#This Row],[Equipe]],1))</f>
        <v xml:space="preserve"> GECIVALDO</v>
      </c>
      <c r="AE184" s="44">
        <f>COUNTIFS('[1]Tempo parado'!G:G,"&gt;="&amp;MIP_4[[#This Row],[S.B Sitrack]],'[1]Tempo parado'!H:H,"&lt;="&amp;MIP_4[[#This Row],[C.B Sitrack]],'[1]Tempo parado'!A:A,MIP_4[[#This Row],[Placa]])</f>
        <v>0</v>
      </c>
      <c r="AF184" s="36"/>
      <c r="AG184" s="35"/>
      <c r="AH184" s="34"/>
      <c r="AI184" s="34"/>
      <c r="AJ18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8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8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84" s="32" t="str">
        <f>IFERROR(MIP_4[[#This Row],[Tempo parado]]/(MIP_4[[#This Row],[C.B Sitrack]]-MIP_4[[#This Row],[S.B Sitrack]]),"")</f>
        <v/>
      </c>
      <c r="AN184" s="30"/>
      <c r="AO184" s="44">
        <f>IF(AND(MIP_4[Exc]=0,MIP_4[Previsto / Realizado]="Realizado"),MIP_4[Sem],0)</f>
        <v>0</v>
      </c>
      <c r="AP184" s="29">
        <f>IF(AND(MIP_4[Exc]=0,MIP_4[Previsto / Realizado]="Realizado",ISBLANK(MIP_4[[#This Row],[S.B Sitrack]])=FALSE,ISBLANK(MIP_4[[#This Row],[C.B Sitrack]])=FALSE),MIP_4[Sem],0)</f>
        <v>0</v>
      </c>
    </row>
    <row r="185" spans="1:42" ht="15.75" x14ac:dyDescent="0.25">
      <c r="A185" s="44">
        <f>WEEKNUM(MIP_4[[#This Row],[Data]])</f>
        <v>27</v>
      </c>
      <c r="B185" s="45">
        <v>42920</v>
      </c>
      <c r="C185" s="45"/>
      <c r="D185" s="35" t="s">
        <v>3</v>
      </c>
      <c r="E185" s="35" t="s">
        <v>2</v>
      </c>
      <c r="F185" s="35"/>
      <c r="G185" s="44">
        <v>2</v>
      </c>
      <c r="H185" s="44">
        <v>5</v>
      </c>
      <c r="I185" s="44">
        <v>4</v>
      </c>
      <c r="J185" s="44">
        <v>0</v>
      </c>
      <c r="K185" s="44">
        <v>0</v>
      </c>
      <c r="L185" s="43">
        <v>0.62013888888888891</v>
      </c>
      <c r="M185" s="43">
        <v>0.65972222222222221</v>
      </c>
      <c r="N185" s="43">
        <f>1+22/24/60</f>
        <v>1.0152777777777777</v>
      </c>
      <c r="O185" s="43">
        <f>1+50/24/60</f>
        <v>1.0347222222222223</v>
      </c>
      <c r="P185" s="39"/>
      <c r="Q185" s="42" t="s">
        <v>400</v>
      </c>
      <c r="R185" s="44">
        <f>MIP_4[[#This Row],[PT-1]]+MIP_4[[#This Row],[PT-2]]*2+MIP_4[[#This Row],[PT-3]]*3+MIP_4[[#This Row],[PT &gt; 3 Pontos]]</f>
        <v>13</v>
      </c>
      <c r="S18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5.9027777777777901E-2</v>
      </c>
      <c r="T18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5.9027777777777901E-2</v>
      </c>
      <c r="U185" s="41">
        <f ca="1">MIP_4[[#This Row],[Eficiência]]</f>
        <v>0.95818724349108608</v>
      </c>
      <c r="V18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85" s="39">
        <f>IF(MIP_4[[#This Row],[P.S]]-MIP_4[[#This Row],[P.E]]&lt;0,1+MIP_4[[#This Row],[P.S]]-MIP_4[[#This Row],[P.E]]-1/24,MIP_4[[#This Row],[P.S]]-MIP_4[[#This Row],[P.E]]-1/24)</f>
        <v>0.37291666666666673</v>
      </c>
      <c r="X185" s="39">
        <f ca="1">MIP_4[[#This Row],[PT-1]]*$S$3+MIP_4[[#This Row],[PT-2]]*$T$3+MIP_4[[#This Row],[PT-3]]*$U$3+MIP_4[[#This Row],[PT &gt; 3 Pontos]]*$V$3</f>
        <v>0.3007643292069242</v>
      </c>
      <c r="Y185" s="39">
        <f>MIP_4[[#This Row],[HH disponível]]-MIP_4[[#This Row],[HH AC TOT]]</f>
        <v>0.31388888888888883</v>
      </c>
      <c r="Z185" s="38">
        <f ca="1">MIP_4[[#This Row],[HH Produtivo
Total]]/MIP_4[[#This Row],[HH Trabalhado]]</f>
        <v>0.95818724349108608</v>
      </c>
      <c r="AA185" s="38">
        <f ca="1">MIP_4[[#This Row],[HH Produtivo
Total]]/MIP_4[[#This Row],[HH disponível]]</f>
        <v>0.80651887161633296</v>
      </c>
      <c r="AB185" s="38">
        <f>MIP_4[[#This Row],[HH Trabalhado]]/MIP_4[[#This Row],[HH disponível]]</f>
        <v>0.84171322160148943</v>
      </c>
      <c r="AC185" s="37" t="str">
        <f>LEFT(MIP_4[[#This Row],[Equipe]], SEARCH("/",MIP_4[[#This Row],[Equipe]],1)-1)</f>
        <v xml:space="preserve">EDILTON </v>
      </c>
      <c r="AD185" s="37" t="str">
        <f>RIGHT(MIP_4[[#This Row],[Equipe]], LEN(MIP_4[[#This Row],[Equipe]])-SEARCH("/",MIP_4[[#This Row],[Equipe]],1))</f>
        <v xml:space="preserve"> GECIVALDO</v>
      </c>
      <c r="AE185" s="44">
        <f>COUNTIFS('[1]Tempo parado'!G:G,"&gt;="&amp;MIP_4[[#This Row],[S.B Sitrack]],'[1]Tempo parado'!H:H,"&lt;="&amp;MIP_4[[#This Row],[C.B Sitrack]],'[1]Tempo parado'!A:A,MIP_4[[#This Row],[Placa]])</f>
        <v>0</v>
      </c>
      <c r="AF185" s="36"/>
      <c r="AG185" s="35"/>
      <c r="AH185" s="34"/>
      <c r="AI185" s="34"/>
      <c r="AJ18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8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8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85" s="32" t="str">
        <f>IFERROR(MIP_4[[#This Row],[Tempo parado]]/(MIP_4[[#This Row],[C.B Sitrack]]-MIP_4[[#This Row],[S.B Sitrack]]),"")</f>
        <v/>
      </c>
      <c r="AN185" s="30"/>
      <c r="AO185" s="44">
        <f>IF(AND(MIP_4[Exc]=0,MIP_4[Previsto / Realizado]="Realizado"),MIP_4[Sem],0)</f>
        <v>27</v>
      </c>
      <c r="AP185" s="29">
        <f>IF(AND(MIP_4[Exc]=0,MIP_4[Previsto / Realizado]="Realizado",ISBLANK(MIP_4[[#This Row],[S.B Sitrack]])=FALSE,ISBLANK(MIP_4[[#This Row],[C.B Sitrack]])=FALSE),MIP_4[Sem],0)</f>
        <v>0</v>
      </c>
    </row>
    <row r="186" spans="1:42" ht="15.75" x14ac:dyDescent="0.25">
      <c r="A186" s="44">
        <f>WEEKNUM(MIP_4[[#This Row],[Data]])</f>
        <v>27</v>
      </c>
      <c r="B186" s="45">
        <v>42920</v>
      </c>
      <c r="C186" s="45"/>
      <c r="D186" s="35" t="s">
        <v>19</v>
      </c>
      <c r="E186" s="35" t="s">
        <v>5</v>
      </c>
      <c r="F186" s="35"/>
      <c r="G186" s="44">
        <v>2</v>
      </c>
      <c r="H186" s="44">
        <v>6</v>
      </c>
      <c r="I186" s="44">
        <v>4</v>
      </c>
      <c r="J186" s="44">
        <v>1</v>
      </c>
      <c r="K186" s="44">
        <v>9</v>
      </c>
      <c r="L186" s="43">
        <v>0.625</v>
      </c>
      <c r="M186" s="43">
        <v>0.64583333333333337</v>
      </c>
      <c r="N186" s="43">
        <f>1+18/24/60</f>
        <v>1.0125</v>
      </c>
      <c r="O186" s="43">
        <f>1+48/24/60</f>
        <v>1.0333333333333334</v>
      </c>
      <c r="P186" s="39"/>
      <c r="Q186" s="42"/>
      <c r="R186" s="44">
        <f>MIP_4[[#This Row],[PT-1]]+MIP_4[[#This Row],[PT-2]]*2+MIP_4[[#This Row],[PT-3]]*3+MIP_4[[#This Row],[PT &gt; 3 Pontos]]</f>
        <v>26</v>
      </c>
      <c r="S18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18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186" s="41">
        <f ca="1">MIP_4[[#This Row],[Eficiência]]</f>
        <v>1.7563506441223837</v>
      </c>
      <c r="V18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86" s="39">
        <f>IF(MIP_4[[#This Row],[P.S]]-MIP_4[[#This Row],[P.E]]&lt;0,1+MIP_4[[#This Row],[P.S]]-MIP_4[[#This Row],[P.E]]-1/24,MIP_4[[#This Row],[P.S]]-MIP_4[[#This Row],[P.E]]-1/24)</f>
        <v>0.36666666666666675</v>
      </c>
      <c r="X186" s="39">
        <f ca="1">MIP_4[[#This Row],[PT-1]]*$S$3+MIP_4[[#This Row],[PT-2]]*$T$3+MIP_4[[#This Row],[PT-3]]*$U$3+MIP_4[[#This Row],[PT &gt; 3 Pontos]]*$V$3</f>
        <v>0.57081395933977452</v>
      </c>
      <c r="Y186" s="39">
        <f>MIP_4[[#This Row],[HH disponível]]-MIP_4[[#This Row],[HH AC TOT]]</f>
        <v>0.3249999999999999</v>
      </c>
      <c r="Z186" s="38">
        <f ca="1">MIP_4[[#This Row],[HH Produtivo
Total]]/MIP_4[[#This Row],[HH Trabalhado]]</f>
        <v>1.7563506441223837</v>
      </c>
      <c r="AA186" s="38">
        <f ca="1">MIP_4[[#This Row],[HH Produtivo
Total]]/MIP_4[[#This Row],[HH disponível]]</f>
        <v>1.5567653436539302</v>
      </c>
      <c r="AB186" s="38">
        <f>MIP_4[[#This Row],[HH Trabalhado]]/MIP_4[[#This Row],[HH disponível]]</f>
        <v>0.88636363636363591</v>
      </c>
      <c r="AC186" s="37" t="str">
        <f>LEFT(MIP_4[[#This Row],[Equipe]], SEARCH("/",MIP_4[[#This Row],[Equipe]],1)-1)</f>
        <v xml:space="preserve">ADEMÁRIO </v>
      </c>
      <c r="AD186" s="37" t="str">
        <f>RIGHT(MIP_4[[#This Row],[Equipe]], LEN(MIP_4[[#This Row],[Equipe]])-SEARCH("/",MIP_4[[#This Row],[Equipe]],1))</f>
        <v xml:space="preserve"> RONALDO</v>
      </c>
      <c r="AE186" s="44">
        <f>COUNTIFS('[1]Tempo parado'!G:G,"&gt;="&amp;MIP_4[[#This Row],[S.B Sitrack]],'[1]Tempo parado'!H:H,"&lt;="&amp;MIP_4[[#This Row],[C.B Sitrack]],'[1]Tempo parado'!A:A,MIP_4[[#This Row],[Placa]])</f>
        <v>0</v>
      </c>
      <c r="AF186" s="36"/>
      <c r="AG186" s="35"/>
      <c r="AH186" s="34"/>
      <c r="AI186" s="34"/>
      <c r="AJ18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8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8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86" s="32" t="str">
        <f>IFERROR(MIP_4[[#This Row],[Tempo parado]]/(MIP_4[[#This Row],[C.B Sitrack]]-MIP_4[[#This Row],[S.B Sitrack]]),"")</f>
        <v/>
      </c>
      <c r="AN186" s="30"/>
      <c r="AO186" s="44">
        <f>IF(AND(MIP_4[Exc]=0,MIP_4[Previsto / Realizado]="Realizado"),MIP_4[Sem],0)</f>
        <v>0</v>
      </c>
      <c r="AP186" s="29">
        <f>IF(AND(MIP_4[Exc]=0,MIP_4[Previsto / Realizado]="Realizado",ISBLANK(MIP_4[[#This Row],[S.B Sitrack]])=FALSE,ISBLANK(MIP_4[[#This Row],[C.B Sitrack]])=FALSE),MIP_4[Sem],0)</f>
        <v>0</v>
      </c>
    </row>
    <row r="187" spans="1:42" ht="15.75" x14ac:dyDescent="0.25">
      <c r="A187" s="44">
        <f>WEEKNUM(MIP_4[[#This Row],[Data]])</f>
        <v>27</v>
      </c>
      <c r="B187" s="45">
        <v>42920</v>
      </c>
      <c r="C187" s="45"/>
      <c r="D187" s="35" t="s">
        <v>19</v>
      </c>
      <c r="E187" s="35" t="s">
        <v>2</v>
      </c>
      <c r="F187" s="35"/>
      <c r="G187" s="44">
        <v>2</v>
      </c>
      <c r="H187" s="44">
        <v>6</v>
      </c>
      <c r="I187" s="44">
        <v>1</v>
      </c>
      <c r="J187" s="44">
        <v>1</v>
      </c>
      <c r="K187" s="44">
        <v>0</v>
      </c>
      <c r="L187" s="43">
        <v>0.64027777777777783</v>
      </c>
      <c r="M187" s="43">
        <v>0.65972222222222221</v>
      </c>
      <c r="N187" s="43">
        <f>1+15/24/60</f>
        <v>1.0104166666666667</v>
      </c>
      <c r="O187" s="43">
        <f>1+50/24/60</f>
        <v>1.0347222222222223</v>
      </c>
      <c r="P187" s="39"/>
      <c r="Q187" s="42" t="s">
        <v>370</v>
      </c>
      <c r="R187" s="44">
        <f>MIP_4[[#This Row],[PT-1]]+MIP_4[[#This Row],[PT-2]]*2+MIP_4[[#This Row],[PT-3]]*3+MIP_4[[#This Row],[PT &gt; 3 Pontos]]</f>
        <v>11</v>
      </c>
      <c r="S18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4.3749999999999956E-2</v>
      </c>
      <c r="T18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4.3749999999999956E-2</v>
      </c>
      <c r="U187" s="41">
        <f ca="1">MIP_4[[#This Row],[Eficiência]]</f>
        <v>0.831173058133854</v>
      </c>
      <c r="V18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87" s="39">
        <f>IF(MIP_4[[#This Row],[P.S]]-MIP_4[[#This Row],[P.E]]&lt;0,1+MIP_4[[#This Row],[P.S]]-MIP_4[[#This Row],[P.E]]-1/24,MIP_4[[#This Row],[P.S]]-MIP_4[[#This Row],[P.E]]-1/24)</f>
        <v>0.3527777777777778</v>
      </c>
      <c r="X187" s="39">
        <f ca="1">MIP_4[[#This Row],[PT-1]]*$S$3+MIP_4[[#This Row],[PT-2]]*$T$3+MIP_4[[#This Row],[PT-3]]*$U$3+MIP_4[[#This Row],[PT &gt; 3 Pontos]]*$V$3</f>
        <v>0.25685556310386465</v>
      </c>
      <c r="Y187" s="39">
        <f>MIP_4[[#This Row],[HH disponível]]-MIP_4[[#This Row],[HH AC TOT]]</f>
        <v>0.30902777777777785</v>
      </c>
      <c r="Z187" s="38">
        <f ca="1">MIP_4[[#This Row],[HH Produtivo
Total]]/MIP_4[[#This Row],[HH Trabalhado]]</f>
        <v>0.831173058133854</v>
      </c>
      <c r="AA187" s="38">
        <f ca="1">MIP_4[[#This Row],[HH Produtivo
Total]]/MIP_4[[#This Row],[HH disponível]]</f>
        <v>0.72809450958575805</v>
      </c>
      <c r="AB187" s="38">
        <f>MIP_4[[#This Row],[HH Trabalhado]]/MIP_4[[#This Row],[HH disponível]]</f>
        <v>0.87598425196850405</v>
      </c>
      <c r="AC187" s="37" t="str">
        <f>LEFT(MIP_4[[#This Row],[Equipe]], SEARCH("/",MIP_4[[#This Row],[Equipe]],1)-1)</f>
        <v xml:space="preserve">ADEMÁRIO </v>
      </c>
      <c r="AD187" s="37" t="str">
        <f>RIGHT(MIP_4[[#This Row],[Equipe]], LEN(MIP_4[[#This Row],[Equipe]])-SEARCH("/",MIP_4[[#This Row],[Equipe]],1))</f>
        <v xml:space="preserve"> RONALDO</v>
      </c>
      <c r="AE187" s="44">
        <f>COUNTIFS('[1]Tempo parado'!G:G,"&gt;="&amp;MIP_4[[#This Row],[S.B Sitrack]],'[1]Tempo parado'!H:H,"&lt;="&amp;MIP_4[[#This Row],[C.B Sitrack]],'[1]Tempo parado'!A:A,MIP_4[[#This Row],[Placa]])</f>
        <v>0</v>
      </c>
      <c r="AF187" s="36"/>
      <c r="AG187" s="35"/>
      <c r="AH187" s="34"/>
      <c r="AI187" s="34"/>
      <c r="AJ18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8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8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87" s="32" t="str">
        <f>IFERROR(MIP_4[[#This Row],[Tempo parado]]/(MIP_4[[#This Row],[C.B Sitrack]]-MIP_4[[#This Row],[S.B Sitrack]]),"")</f>
        <v/>
      </c>
      <c r="AN187" s="30"/>
      <c r="AO187" s="44">
        <f>IF(AND(MIP_4[Exc]=0,MIP_4[Previsto / Realizado]="Realizado"),MIP_4[Sem],0)</f>
        <v>27</v>
      </c>
      <c r="AP187" s="29">
        <f>IF(AND(MIP_4[Exc]=0,MIP_4[Previsto / Realizado]="Realizado",ISBLANK(MIP_4[[#This Row],[S.B Sitrack]])=FALSE,ISBLANK(MIP_4[[#This Row],[C.B Sitrack]])=FALSE),MIP_4[Sem],0)</f>
        <v>0</v>
      </c>
    </row>
    <row r="188" spans="1:42" ht="15.75" x14ac:dyDescent="0.25">
      <c r="A188" s="44">
        <f>WEEKNUM(MIP_4[[#This Row],[Data]])</f>
        <v>27</v>
      </c>
      <c r="B188" s="45">
        <v>42921</v>
      </c>
      <c r="C188" s="45"/>
      <c r="D188" s="35" t="s">
        <v>10</v>
      </c>
      <c r="E188" s="35" t="s">
        <v>5</v>
      </c>
      <c r="F188" s="35"/>
      <c r="G188" s="44">
        <v>2</v>
      </c>
      <c r="H188" s="44">
        <v>6</v>
      </c>
      <c r="I188" s="44">
        <v>2</v>
      </c>
      <c r="J188" s="44">
        <v>3</v>
      </c>
      <c r="K188" s="44">
        <v>0</v>
      </c>
      <c r="L188" s="43">
        <v>0.25</v>
      </c>
      <c r="M188" s="43">
        <v>0.27083333333333331</v>
      </c>
      <c r="N188" s="43">
        <v>0.63750000000000007</v>
      </c>
      <c r="O188" s="43">
        <v>0.65833333333333333</v>
      </c>
      <c r="P188" s="39"/>
      <c r="Q188" s="42"/>
      <c r="R188" s="44">
        <f>MIP_4[[#This Row],[PT-1]]+MIP_4[[#This Row],[PT-2]]*2+MIP_4[[#This Row],[PT-3]]*3+MIP_4[[#This Row],[PT &gt; 3 Pontos]]</f>
        <v>19</v>
      </c>
      <c r="S18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18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188" s="41">
        <f ca="1">MIP_4[[#This Row],[Eficiência]]</f>
        <v>1.3118390390808865</v>
      </c>
      <c r="V18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88" s="39">
        <f>IF(MIP_4[[#This Row],[P.S]]-MIP_4[[#This Row],[P.E]]&lt;0,1+MIP_4[[#This Row],[P.S]]-MIP_4[[#This Row],[P.E]]-1/24,MIP_4[[#This Row],[P.S]]-MIP_4[[#This Row],[P.E]]-1/24)</f>
        <v>0.36666666666666664</v>
      </c>
      <c r="X188" s="39">
        <f ca="1">MIP_4[[#This Row],[PT-1]]*$S$3+MIP_4[[#This Row],[PT-2]]*$T$3+MIP_4[[#This Row],[PT-3]]*$U$3+MIP_4[[#This Row],[PT &gt; 3 Pontos]]*$V$3</f>
        <v>0.42634768770128822</v>
      </c>
      <c r="Y188" s="39">
        <f>MIP_4[[#This Row],[HH disponível]]-MIP_4[[#This Row],[HH AC TOT]]</f>
        <v>0.32500000000000007</v>
      </c>
      <c r="Z188" s="38">
        <f ca="1">MIP_4[[#This Row],[HH Produtivo
Total]]/MIP_4[[#This Row],[HH Trabalhado]]</f>
        <v>1.3118390390808865</v>
      </c>
      <c r="AA188" s="38">
        <f ca="1">MIP_4[[#This Row],[HH Produtivo
Total]]/MIP_4[[#This Row],[HH disponível]]</f>
        <v>1.1627664210035134</v>
      </c>
      <c r="AB188" s="38">
        <f>MIP_4[[#This Row],[HH Trabalhado]]/MIP_4[[#This Row],[HH disponível]]</f>
        <v>0.88636363636363658</v>
      </c>
      <c r="AC188" s="37" t="str">
        <f>LEFT(MIP_4[[#This Row],[Equipe]], SEARCH("/",MIP_4[[#This Row],[Equipe]],1)-1)</f>
        <v xml:space="preserve">JOILSON </v>
      </c>
      <c r="AD188" s="37" t="str">
        <f>RIGHT(MIP_4[[#This Row],[Equipe]], LEN(MIP_4[[#This Row],[Equipe]])-SEARCH("/",MIP_4[[#This Row],[Equipe]],1))</f>
        <v xml:space="preserve"> VALDEI</v>
      </c>
      <c r="AE188" s="44">
        <f>COUNTIFS('[1]Tempo parado'!G:G,"&gt;="&amp;MIP_4[[#This Row],[S.B Sitrack]],'[1]Tempo parado'!H:H,"&lt;="&amp;MIP_4[[#This Row],[C.B Sitrack]],'[1]Tempo parado'!A:A,MIP_4[[#This Row],[Placa]])</f>
        <v>0</v>
      </c>
      <c r="AF188" s="36"/>
      <c r="AG188" s="35"/>
      <c r="AH188" s="34"/>
      <c r="AI188" s="34"/>
      <c r="AJ18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8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8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88" s="32" t="str">
        <f>IFERROR(MIP_4[[#This Row],[Tempo parado]]/(MIP_4[[#This Row],[C.B Sitrack]]-MIP_4[[#This Row],[S.B Sitrack]]),"")</f>
        <v/>
      </c>
      <c r="AN188" s="30"/>
      <c r="AO188" s="44">
        <f>IF(AND(MIP_4[Exc]=0,MIP_4[Previsto / Realizado]="Realizado"),MIP_4[Sem],0)</f>
        <v>0</v>
      </c>
      <c r="AP188" s="29">
        <f>IF(AND(MIP_4[Exc]=0,MIP_4[Previsto / Realizado]="Realizado",ISBLANK(MIP_4[[#This Row],[S.B Sitrack]])=FALSE,ISBLANK(MIP_4[[#This Row],[C.B Sitrack]])=FALSE),MIP_4[Sem],0)</f>
        <v>0</v>
      </c>
    </row>
    <row r="189" spans="1:42" ht="15.75" x14ac:dyDescent="0.25">
      <c r="A189" s="44">
        <f>WEEKNUM(MIP_4[[#This Row],[Data]])</f>
        <v>27</v>
      </c>
      <c r="B189" s="45">
        <v>42921</v>
      </c>
      <c r="C189" s="45"/>
      <c r="D189" s="35" t="s">
        <v>10</v>
      </c>
      <c r="E189" s="35" t="s">
        <v>2</v>
      </c>
      <c r="F189" s="35"/>
      <c r="G189" s="44">
        <v>2</v>
      </c>
      <c r="H189" s="44">
        <v>5</v>
      </c>
      <c r="I189" s="44">
        <v>2</v>
      </c>
      <c r="J189" s="44">
        <v>2</v>
      </c>
      <c r="K189" s="44">
        <v>0</v>
      </c>
      <c r="L189" s="43">
        <v>0.24722222222222223</v>
      </c>
      <c r="M189" s="43">
        <v>0.27083333333333331</v>
      </c>
      <c r="N189" s="43">
        <v>0.65138888888888891</v>
      </c>
      <c r="O189" s="43">
        <v>0.70208333333333339</v>
      </c>
      <c r="P189" s="39"/>
      <c r="Q189" s="42"/>
      <c r="R189" s="44">
        <f>MIP_4[[#This Row],[PT-1]]+MIP_4[[#This Row],[PT-2]]*2+MIP_4[[#This Row],[PT-3]]*3+MIP_4[[#This Row],[PT &gt; 3 Pontos]]</f>
        <v>15</v>
      </c>
      <c r="S18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7.4305555555555569E-2</v>
      </c>
      <c r="T18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7.4305555555555569E-2</v>
      </c>
      <c r="U189" s="41">
        <f ca="1">MIP_4[[#This Row],[Eficiência]]</f>
        <v>0.99894144244476102</v>
      </c>
      <c r="V18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89" s="39">
        <f>IF(MIP_4[[#This Row],[P.S]]-MIP_4[[#This Row],[P.E]]&lt;0,1+MIP_4[[#This Row],[P.S]]-MIP_4[[#This Row],[P.E]]-1/24,MIP_4[[#This Row],[P.S]]-MIP_4[[#This Row],[P.E]]-1/24)</f>
        <v>0.41319444444444448</v>
      </c>
      <c r="X189" s="39">
        <f ca="1">MIP_4[[#This Row],[PT-1]]*$S$3+MIP_4[[#This Row],[PT-2]]*$T$3+MIP_4[[#This Row],[PT-3]]*$U$3+MIP_4[[#This Row],[PT &gt; 3 Pontos]]*$V$3</f>
        <v>0.33853015549516902</v>
      </c>
      <c r="Y189" s="39">
        <f>MIP_4[[#This Row],[HH disponível]]-MIP_4[[#This Row],[HH AC TOT]]</f>
        <v>0.33888888888888891</v>
      </c>
      <c r="Z189" s="38">
        <f ca="1">MIP_4[[#This Row],[HH Produtivo
Total]]/MIP_4[[#This Row],[HH Trabalhado]]</f>
        <v>0.99894144244476102</v>
      </c>
      <c r="AA189" s="38">
        <f ca="1">MIP_4[[#This Row],[HH Produtivo
Total]]/MIP_4[[#This Row],[HH disponível]]</f>
        <v>0.8192998721227619</v>
      </c>
      <c r="AB189" s="38">
        <f>MIP_4[[#This Row],[HH Trabalhado]]/MIP_4[[#This Row],[HH disponível]]</f>
        <v>0.82016806722689073</v>
      </c>
      <c r="AC189" s="37" t="str">
        <f>LEFT(MIP_4[[#This Row],[Equipe]], SEARCH("/",MIP_4[[#This Row],[Equipe]],1)-1)</f>
        <v xml:space="preserve">JOILSON </v>
      </c>
      <c r="AD189" s="37" t="str">
        <f>RIGHT(MIP_4[[#This Row],[Equipe]], LEN(MIP_4[[#This Row],[Equipe]])-SEARCH("/",MIP_4[[#This Row],[Equipe]],1))</f>
        <v xml:space="preserve"> VALDEI</v>
      </c>
      <c r="AE189" s="44">
        <f>COUNTIFS('[1]Tempo parado'!G:G,"&gt;="&amp;MIP_4[[#This Row],[S.B Sitrack]],'[1]Tempo parado'!H:H,"&lt;="&amp;MIP_4[[#This Row],[C.B Sitrack]],'[1]Tempo parado'!A:A,MIP_4[[#This Row],[Placa]])</f>
        <v>0</v>
      </c>
      <c r="AF189" s="36"/>
      <c r="AG189" s="35"/>
      <c r="AH189" s="34"/>
      <c r="AI189" s="34"/>
      <c r="AJ18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8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8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89" s="32" t="str">
        <f>IFERROR(MIP_4[[#This Row],[Tempo parado]]/(MIP_4[[#This Row],[C.B Sitrack]]-MIP_4[[#This Row],[S.B Sitrack]]),"")</f>
        <v/>
      </c>
      <c r="AN189" s="30"/>
      <c r="AO189" s="44">
        <f>IF(AND(MIP_4[Exc]=0,MIP_4[Previsto / Realizado]="Realizado"),MIP_4[Sem],0)</f>
        <v>27</v>
      </c>
      <c r="AP189" s="29">
        <f>IF(AND(MIP_4[Exc]=0,MIP_4[Previsto / Realizado]="Realizado",ISBLANK(MIP_4[[#This Row],[S.B Sitrack]])=FALSE,ISBLANK(MIP_4[[#This Row],[C.B Sitrack]])=FALSE),MIP_4[Sem],0)</f>
        <v>0</v>
      </c>
    </row>
    <row r="190" spans="1:42" ht="15.75" x14ac:dyDescent="0.25">
      <c r="A190" s="44">
        <f>WEEKNUM(MIP_4[[#This Row],[Data]])</f>
        <v>27</v>
      </c>
      <c r="B190" s="45">
        <v>42921</v>
      </c>
      <c r="C190" s="45"/>
      <c r="D190" s="35" t="s">
        <v>3</v>
      </c>
      <c r="E190" s="35" t="s">
        <v>5</v>
      </c>
      <c r="F190" s="35"/>
      <c r="G190" s="44">
        <v>2</v>
      </c>
      <c r="H190" s="44">
        <v>1</v>
      </c>
      <c r="I190" s="44">
        <v>0</v>
      </c>
      <c r="J190" s="44">
        <v>2</v>
      </c>
      <c r="K190" s="44">
        <v>10</v>
      </c>
      <c r="L190" s="43">
        <v>0.625</v>
      </c>
      <c r="M190" s="43">
        <v>0.64583333333333337</v>
      </c>
      <c r="N190" s="43">
        <f>1+18/24/60</f>
        <v>1.0125</v>
      </c>
      <c r="O190" s="43">
        <f>1+48/24/60</f>
        <v>1.0333333333333334</v>
      </c>
      <c r="P190" s="39"/>
      <c r="Q190" s="42"/>
      <c r="R190" s="44">
        <f>MIP_4[[#This Row],[PT-1]]+MIP_4[[#This Row],[PT-2]]*2+MIP_4[[#This Row],[PT-3]]*3+MIP_4[[#This Row],[PT &gt; 3 Pontos]]</f>
        <v>17</v>
      </c>
      <c r="S19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19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190" s="41">
        <f ca="1">MIP_4[[#This Row],[Eficiência]]</f>
        <v>1.0864286777254779</v>
      </c>
      <c r="V19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90" s="39">
        <f>IF(MIP_4[[#This Row],[P.S]]-MIP_4[[#This Row],[P.E]]&lt;0,1+MIP_4[[#This Row],[P.S]]-MIP_4[[#This Row],[P.E]]-1/24,MIP_4[[#This Row],[P.S]]-MIP_4[[#This Row],[P.E]]-1/24)</f>
        <v>0.36666666666666675</v>
      </c>
      <c r="X190" s="39">
        <f ca="1">MIP_4[[#This Row],[PT-1]]*$S$3+MIP_4[[#This Row],[PT-2]]*$T$3+MIP_4[[#This Row],[PT-3]]*$U$3+MIP_4[[#This Row],[PT &gt; 3 Pontos]]*$V$3</f>
        <v>0.35308932026078022</v>
      </c>
      <c r="Y190" s="39">
        <f>MIP_4[[#This Row],[HH disponível]]-MIP_4[[#This Row],[HH AC TOT]]</f>
        <v>0.3249999999999999</v>
      </c>
      <c r="Z190" s="38">
        <f ca="1">MIP_4[[#This Row],[HH Produtivo
Total]]/MIP_4[[#This Row],[HH Trabalhado]]</f>
        <v>1.0864286777254779</v>
      </c>
      <c r="AA190" s="38">
        <f ca="1">MIP_4[[#This Row],[HH Produtivo
Total]]/MIP_4[[#This Row],[HH disponível]]</f>
        <v>0.9629708734384913</v>
      </c>
      <c r="AB190" s="38">
        <f>MIP_4[[#This Row],[HH Trabalhado]]/MIP_4[[#This Row],[HH disponível]]</f>
        <v>0.88636363636363591</v>
      </c>
      <c r="AC190" s="37" t="str">
        <f>LEFT(MIP_4[[#This Row],[Equipe]], SEARCH("/",MIP_4[[#This Row],[Equipe]],1)-1)</f>
        <v xml:space="preserve">EDILTON </v>
      </c>
      <c r="AD190" s="37" t="str">
        <f>RIGHT(MIP_4[[#This Row],[Equipe]], LEN(MIP_4[[#This Row],[Equipe]])-SEARCH("/",MIP_4[[#This Row],[Equipe]],1))</f>
        <v xml:space="preserve"> GECIVALDO</v>
      </c>
      <c r="AE190" s="44">
        <f>COUNTIFS('[1]Tempo parado'!G:G,"&gt;="&amp;MIP_4[[#This Row],[S.B Sitrack]],'[1]Tempo parado'!H:H,"&lt;="&amp;MIP_4[[#This Row],[C.B Sitrack]],'[1]Tempo parado'!A:A,MIP_4[[#This Row],[Placa]])</f>
        <v>0</v>
      </c>
      <c r="AF190" s="36"/>
      <c r="AG190" s="35"/>
      <c r="AH190" s="34"/>
      <c r="AI190" s="34"/>
      <c r="AJ19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9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9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90" s="32" t="str">
        <f>IFERROR(MIP_4[[#This Row],[Tempo parado]]/(MIP_4[[#This Row],[C.B Sitrack]]-MIP_4[[#This Row],[S.B Sitrack]]),"")</f>
        <v/>
      </c>
      <c r="AN190" s="30"/>
      <c r="AO190" s="44">
        <f>IF(AND(MIP_4[Exc]=0,MIP_4[Previsto / Realizado]="Realizado"),MIP_4[Sem],0)</f>
        <v>0</v>
      </c>
      <c r="AP190" s="29">
        <f>IF(AND(MIP_4[Exc]=0,MIP_4[Previsto / Realizado]="Realizado",ISBLANK(MIP_4[[#This Row],[S.B Sitrack]])=FALSE,ISBLANK(MIP_4[[#This Row],[C.B Sitrack]])=FALSE),MIP_4[Sem],0)</f>
        <v>0</v>
      </c>
    </row>
    <row r="191" spans="1:42" ht="15.75" x14ac:dyDescent="0.25">
      <c r="A191" s="44">
        <f>WEEKNUM(MIP_4[[#This Row],[Data]])</f>
        <v>27</v>
      </c>
      <c r="B191" s="45">
        <v>42921</v>
      </c>
      <c r="C191" s="45"/>
      <c r="D191" s="35" t="s">
        <v>3</v>
      </c>
      <c r="E191" s="35" t="s">
        <v>2</v>
      </c>
      <c r="F191" s="35"/>
      <c r="G191" s="44">
        <v>2</v>
      </c>
      <c r="H191" s="44">
        <v>4</v>
      </c>
      <c r="I191" s="44">
        <v>1</v>
      </c>
      <c r="J191" s="44">
        <v>2</v>
      </c>
      <c r="K191" s="44">
        <v>0</v>
      </c>
      <c r="L191" s="43">
        <v>0.62708333333333333</v>
      </c>
      <c r="M191" s="43">
        <v>0.67499999999999993</v>
      </c>
      <c r="N191" s="43">
        <f>1+17/24/60</f>
        <v>1.0118055555555556</v>
      </c>
      <c r="O191" s="43">
        <f>1+48/24/60</f>
        <v>1.0333333333333334</v>
      </c>
      <c r="P191" s="39"/>
      <c r="Q191" s="42"/>
      <c r="R191" s="44">
        <f>MIP_4[[#This Row],[PT-1]]+MIP_4[[#This Row],[PT-2]]*2+MIP_4[[#This Row],[PT-3]]*3+MIP_4[[#This Row],[PT &gt; 3 Pontos]]</f>
        <v>12</v>
      </c>
      <c r="S19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6.944444444444442E-2</v>
      </c>
      <c r="T19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6.944444444444442E-2</v>
      </c>
      <c r="U191" s="41">
        <f ca="1">MIP_4[[#This Row],[Eficiência]]</f>
        <v>0.91345311167945387</v>
      </c>
      <c r="V19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91" s="39">
        <f>IF(MIP_4[[#This Row],[P.S]]-MIP_4[[#This Row],[P.E]]&lt;0,1+MIP_4[[#This Row],[P.S]]-MIP_4[[#This Row],[P.E]]-1/24,MIP_4[[#This Row],[P.S]]-MIP_4[[#This Row],[P.E]]-1/24)</f>
        <v>0.36458333333333343</v>
      </c>
      <c r="X191" s="39">
        <f ca="1">MIP_4[[#This Row],[PT-1]]*$S$3+MIP_4[[#This Row],[PT-2]]*$T$3+MIP_4[[#This Row],[PT-3]]*$U$3+MIP_4[[#This Row],[PT &gt; 3 Pontos]]*$V$3</f>
        <v>0.26959553643317224</v>
      </c>
      <c r="Y191" s="39">
        <f>MIP_4[[#This Row],[HH disponível]]-MIP_4[[#This Row],[HH AC TOT]]</f>
        <v>0.29513888888888901</v>
      </c>
      <c r="Z191" s="38">
        <f ca="1">MIP_4[[#This Row],[HH Produtivo
Total]]/MIP_4[[#This Row],[HH Trabalhado]]</f>
        <v>0.91345311167945387</v>
      </c>
      <c r="AA191" s="38">
        <f ca="1">MIP_4[[#This Row],[HH Produtivo
Total]]/MIP_4[[#This Row],[HH disponível]]</f>
        <v>0.73946204278812944</v>
      </c>
      <c r="AB191" s="38">
        <f>MIP_4[[#This Row],[HH Trabalhado]]/MIP_4[[#This Row],[HH disponível]]</f>
        <v>0.80952380952380965</v>
      </c>
      <c r="AC191" s="37" t="str">
        <f>LEFT(MIP_4[[#This Row],[Equipe]], SEARCH("/",MIP_4[[#This Row],[Equipe]],1)-1)</f>
        <v xml:space="preserve">EDILTON </v>
      </c>
      <c r="AD191" s="37" t="str">
        <f>RIGHT(MIP_4[[#This Row],[Equipe]], LEN(MIP_4[[#This Row],[Equipe]])-SEARCH("/",MIP_4[[#This Row],[Equipe]],1))</f>
        <v xml:space="preserve"> GECIVALDO</v>
      </c>
      <c r="AE191" s="44">
        <f>COUNTIFS('[1]Tempo parado'!G:G,"&gt;="&amp;MIP_4[[#This Row],[S.B Sitrack]],'[1]Tempo parado'!H:H,"&lt;="&amp;MIP_4[[#This Row],[C.B Sitrack]],'[1]Tempo parado'!A:A,MIP_4[[#This Row],[Placa]])</f>
        <v>0</v>
      </c>
      <c r="AF191" s="36"/>
      <c r="AG191" s="35"/>
      <c r="AH191" s="34"/>
      <c r="AI191" s="34"/>
      <c r="AJ19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9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9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91" s="32" t="str">
        <f>IFERROR(MIP_4[[#This Row],[Tempo parado]]/(MIP_4[[#This Row],[C.B Sitrack]]-MIP_4[[#This Row],[S.B Sitrack]]),"")</f>
        <v/>
      </c>
      <c r="AN191" s="30"/>
      <c r="AO191" s="44">
        <f>IF(AND(MIP_4[Exc]=0,MIP_4[Previsto / Realizado]="Realizado"),MIP_4[Sem],0)</f>
        <v>27</v>
      </c>
      <c r="AP191" s="29">
        <f>IF(AND(MIP_4[Exc]=0,MIP_4[Previsto / Realizado]="Realizado",ISBLANK(MIP_4[[#This Row],[S.B Sitrack]])=FALSE,ISBLANK(MIP_4[[#This Row],[C.B Sitrack]])=FALSE),MIP_4[Sem],0)</f>
        <v>0</v>
      </c>
    </row>
    <row r="192" spans="1:42" ht="15.75" x14ac:dyDescent="0.25">
      <c r="A192" s="44">
        <f>WEEKNUM(MIP_4[[#This Row],[Data]])</f>
        <v>27</v>
      </c>
      <c r="B192" s="45">
        <v>42921</v>
      </c>
      <c r="C192" s="45"/>
      <c r="D192" s="35" t="s">
        <v>19</v>
      </c>
      <c r="E192" s="35" t="s">
        <v>5</v>
      </c>
      <c r="F192" s="35"/>
      <c r="G192" s="44">
        <v>2</v>
      </c>
      <c r="H192" s="44">
        <v>2</v>
      </c>
      <c r="I192" s="44">
        <v>2</v>
      </c>
      <c r="J192" s="44">
        <v>0</v>
      </c>
      <c r="K192" s="44">
        <v>10</v>
      </c>
      <c r="L192" s="43">
        <v>0.625</v>
      </c>
      <c r="M192" s="43">
        <v>0.64583333333333337</v>
      </c>
      <c r="N192" s="43">
        <f>1+18/24/60</f>
        <v>1.0125</v>
      </c>
      <c r="O192" s="43">
        <f>1+48/24/60</f>
        <v>1.0333333333333334</v>
      </c>
      <c r="P192" s="39"/>
      <c r="Q192" s="42"/>
      <c r="R192" s="44">
        <f>MIP_4[[#This Row],[PT-1]]+MIP_4[[#This Row],[PT-2]]*2+MIP_4[[#This Row],[PT-3]]*3+MIP_4[[#This Row],[PT &gt; 3 Pontos]]</f>
        <v>16</v>
      </c>
      <c r="S19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19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192" s="41">
        <f ca="1">MIP_4[[#This Row],[Eficiência]]</f>
        <v>1.0472287597891468</v>
      </c>
      <c r="V19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92" s="39">
        <f>IF(MIP_4[[#This Row],[P.S]]-MIP_4[[#This Row],[P.E]]&lt;0,1+MIP_4[[#This Row],[P.S]]-MIP_4[[#This Row],[P.E]]-1/24,MIP_4[[#This Row],[P.S]]-MIP_4[[#This Row],[P.E]]-1/24)</f>
        <v>0.36666666666666675</v>
      </c>
      <c r="X192" s="39">
        <f ca="1">MIP_4[[#This Row],[PT-1]]*$S$3+MIP_4[[#This Row],[PT-2]]*$T$3+MIP_4[[#This Row],[PT-3]]*$U$3+MIP_4[[#This Row],[PT &gt; 3 Pontos]]*$V$3</f>
        <v>0.34034934693147262</v>
      </c>
      <c r="Y192" s="39">
        <f>MIP_4[[#This Row],[HH disponível]]-MIP_4[[#This Row],[HH AC TOT]]</f>
        <v>0.3249999999999999</v>
      </c>
      <c r="Z192" s="38">
        <f ca="1">MIP_4[[#This Row],[HH Produtivo
Total]]/MIP_4[[#This Row],[HH Trabalhado]]</f>
        <v>1.0472287597891468</v>
      </c>
      <c r="AA192" s="38">
        <f ca="1">MIP_4[[#This Row],[HH Produtivo
Total]]/MIP_4[[#This Row],[HH disponível]]</f>
        <v>0.92822549163128876</v>
      </c>
      <c r="AB192" s="38">
        <f>MIP_4[[#This Row],[HH Trabalhado]]/MIP_4[[#This Row],[HH disponível]]</f>
        <v>0.88636363636363591</v>
      </c>
      <c r="AC192" s="37" t="str">
        <f>LEFT(MIP_4[[#This Row],[Equipe]], SEARCH("/",MIP_4[[#This Row],[Equipe]],1)-1)</f>
        <v xml:space="preserve">ADEMÁRIO </v>
      </c>
      <c r="AD192" s="37" t="str">
        <f>RIGHT(MIP_4[[#This Row],[Equipe]], LEN(MIP_4[[#This Row],[Equipe]])-SEARCH("/",MIP_4[[#This Row],[Equipe]],1))</f>
        <v xml:space="preserve"> RONALDO</v>
      </c>
      <c r="AE192" s="44">
        <f>COUNTIFS('[1]Tempo parado'!G:G,"&gt;="&amp;MIP_4[[#This Row],[S.B Sitrack]],'[1]Tempo parado'!H:H,"&lt;="&amp;MIP_4[[#This Row],[C.B Sitrack]],'[1]Tempo parado'!A:A,MIP_4[[#This Row],[Placa]])</f>
        <v>0</v>
      </c>
      <c r="AF192" s="36"/>
      <c r="AG192" s="35"/>
      <c r="AH192" s="34"/>
      <c r="AI192" s="34"/>
      <c r="AJ19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9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9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92" s="32" t="str">
        <f>IFERROR(MIP_4[[#This Row],[Tempo parado]]/(MIP_4[[#This Row],[C.B Sitrack]]-MIP_4[[#This Row],[S.B Sitrack]]),"")</f>
        <v/>
      </c>
      <c r="AN192" s="30"/>
      <c r="AO192" s="44">
        <f>IF(AND(MIP_4[Exc]=0,MIP_4[Previsto / Realizado]="Realizado"),MIP_4[Sem],0)</f>
        <v>0</v>
      </c>
      <c r="AP192" s="29">
        <f>IF(AND(MIP_4[Exc]=0,MIP_4[Previsto / Realizado]="Realizado",ISBLANK(MIP_4[[#This Row],[S.B Sitrack]])=FALSE,ISBLANK(MIP_4[[#This Row],[C.B Sitrack]])=FALSE),MIP_4[Sem],0)</f>
        <v>0</v>
      </c>
    </row>
    <row r="193" spans="1:42" ht="15.75" x14ac:dyDescent="0.25">
      <c r="A193" s="44">
        <f>WEEKNUM(MIP_4[[#This Row],[Data]])</f>
        <v>27</v>
      </c>
      <c r="B193" s="45">
        <v>42921</v>
      </c>
      <c r="C193" s="45"/>
      <c r="D193" s="35" t="s">
        <v>19</v>
      </c>
      <c r="E193" s="35" t="s">
        <v>2</v>
      </c>
      <c r="F193" s="35"/>
      <c r="G193" s="44">
        <v>2</v>
      </c>
      <c r="H193" s="44">
        <v>3</v>
      </c>
      <c r="I193" s="44">
        <v>1</v>
      </c>
      <c r="J193" s="44">
        <v>0</v>
      </c>
      <c r="K193" s="44">
        <v>10</v>
      </c>
      <c r="L193" s="43">
        <v>0.63541666666666663</v>
      </c>
      <c r="M193" s="43">
        <v>0.66666666666666663</v>
      </c>
      <c r="N193" s="43">
        <f>1+30/24/60</f>
        <v>1.0208333333333333</v>
      </c>
      <c r="O193" s="43">
        <f>1+53/24/60</f>
        <v>1.0368055555555555</v>
      </c>
      <c r="P193" s="39"/>
      <c r="Q193" s="42" t="s">
        <v>399</v>
      </c>
      <c r="R193" s="44">
        <f>MIP_4[[#This Row],[PT-1]]+MIP_4[[#This Row],[PT-2]]*2+MIP_4[[#This Row],[PT-3]]*3+MIP_4[[#This Row],[PT &gt; 3 Pontos]]</f>
        <v>15</v>
      </c>
      <c r="S19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4.7222222222222276E-2</v>
      </c>
      <c r="T19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4.7222222222222276E-2</v>
      </c>
      <c r="U193" s="41">
        <f ca="1">MIP_4[[#This Row],[Eficiência]]</f>
        <v>1.0286925881195208</v>
      </c>
      <c r="V19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93" s="39">
        <f>IF(MIP_4[[#This Row],[P.S]]-MIP_4[[#This Row],[P.E]]&lt;0,1+MIP_4[[#This Row],[P.S]]-MIP_4[[#This Row],[P.E]]-1/24,MIP_4[[#This Row],[P.S]]-MIP_4[[#This Row],[P.E]]-1/24)</f>
        <v>0.35972222222222222</v>
      </c>
      <c r="X193" s="39">
        <f ca="1">MIP_4[[#This Row],[PT-1]]*$S$3+MIP_4[[#This Row],[PT-2]]*$T$3+MIP_4[[#This Row],[PT-3]]*$U$3+MIP_4[[#This Row],[PT &gt; 3 Pontos]]*$V$3</f>
        <v>0.32146643378735018</v>
      </c>
      <c r="Y193" s="39">
        <f>MIP_4[[#This Row],[HH disponível]]-MIP_4[[#This Row],[HH AC TOT]]</f>
        <v>0.31249999999999994</v>
      </c>
      <c r="Z193" s="38">
        <f ca="1">MIP_4[[#This Row],[HH Produtivo
Total]]/MIP_4[[#This Row],[HH Trabalhado]]</f>
        <v>1.0286925881195208</v>
      </c>
      <c r="AA193" s="38">
        <f ca="1">MIP_4[[#This Row],[HH Produtivo
Total]]/MIP_4[[#This Row],[HH disponível]]</f>
        <v>0.8936518622659928</v>
      </c>
      <c r="AB193" s="38">
        <f>MIP_4[[#This Row],[HH Trabalhado]]/MIP_4[[#This Row],[HH disponível]]</f>
        <v>0.86872586872586854</v>
      </c>
      <c r="AC193" s="37" t="str">
        <f>LEFT(MIP_4[[#This Row],[Equipe]], SEARCH("/",MIP_4[[#This Row],[Equipe]],1)-1)</f>
        <v xml:space="preserve">ADEMÁRIO </v>
      </c>
      <c r="AD193" s="37" t="str">
        <f>RIGHT(MIP_4[[#This Row],[Equipe]], LEN(MIP_4[[#This Row],[Equipe]])-SEARCH("/",MIP_4[[#This Row],[Equipe]],1))</f>
        <v xml:space="preserve"> RONALDO</v>
      </c>
      <c r="AE193" s="44">
        <f>COUNTIFS('[1]Tempo parado'!G:G,"&gt;="&amp;MIP_4[[#This Row],[S.B Sitrack]],'[1]Tempo parado'!H:H,"&lt;="&amp;MIP_4[[#This Row],[C.B Sitrack]],'[1]Tempo parado'!A:A,MIP_4[[#This Row],[Placa]])</f>
        <v>0</v>
      </c>
      <c r="AF193" s="36"/>
      <c r="AG193" s="35"/>
      <c r="AH193" s="34"/>
      <c r="AI193" s="34"/>
      <c r="AJ19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9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9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93" s="32" t="str">
        <f>IFERROR(MIP_4[[#This Row],[Tempo parado]]/(MIP_4[[#This Row],[C.B Sitrack]]-MIP_4[[#This Row],[S.B Sitrack]]),"")</f>
        <v/>
      </c>
      <c r="AN193" s="30"/>
      <c r="AO193" s="44">
        <f>IF(AND(MIP_4[Exc]=0,MIP_4[Previsto / Realizado]="Realizado"),MIP_4[Sem],0)</f>
        <v>27</v>
      </c>
      <c r="AP193" s="29">
        <f>IF(AND(MIP_4[Exc]=0,MIP_4[Previsto / Realizado]="Realizado",ISBLANK(MIP_4[[#This Row],[S.B Sitrack]])=FALSE,ISBLANK(MIP_4[[#This Row],[C.B Sitrack]])=FALSE),MIP_4[Sem],0)</f>
        <v>0</v>
      </c>
    </row>
    <row r="194" spans="1:42" ht="15.75" x14ac:dyDescent="0.25">
      <c r="A194" s="44">
        <f>WEEKNUM(MIP_4[[#This Row],[Data]])</f>
        <v>27</v>
      </c>
      <c r="B194" s="45">
        <v>42922</v>
      </c>
      <c r="C194" s="45"/>
      <c r="D194" s="35" t="s">
        <v>3</v>
      </c>
      <c r="E194" s="35" t="s">
        <v>5</v>
      </c>
      <c r="F194" s="35"/>
      <c r="G194" s="44">
        <v>2</v>
      </c>
      <c r="H194" s="44">
        <v>7</v>
      </c>
      <c r="I194" s="44">
        <v>1</v>
      </c>
      <c r="J194" s="44">
        <v>0</v>
      </c>
      <c r="K194" s="44">
        <v>9</v>
      </c>
      <c r="L194" s="43">
        <v>0.625</v>
      </c>
      <c r="M194" s="43">
        <v>0.64583333333333337</v>
      </c>
      <c r="N194" s="43">
        <f>1+18/24/60</f>
        <v>1.0125</v>
      </c>
      <c r="O194" s="43">
        <f>1+48/24/60</f>
        <v>1.0333333333333334</v>
      </c>
      <c r="P194" s="39"/>
      <c r="Q194" s="42" t="s">
        <v>398</v>
      </c>
      <c r="R194" s="44">
        <f>MIP_4[[#This Row],[PT-1]]+MIP_4[[#This Row],[PT-2]]*2+MIP_4[[#This Row],[PT-3]]*3+MIP_4[[#This Row],[PT &gt; 3 Pontos]]</f>
        <v>18</v>
      </c>
      <c r="S19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19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194" s="41">
        <f ca="1">MIP_4[[#This Row],[Eficiência]]</f>
        <v>1.2348364145918498</v>
      </c>
      <c r="V19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94" s="39">
        <f>IF(MIP_4[[#This Row],[P.S]]-MIP_4[[#This Row],[P.E]]&lt;0,1+MIP_4[[#This Row],[P.S]]-MIP_4[[#This Row],[P.E]]-1/24,MIP_4[[#This Row],[P.S]]-MIP_4[[#This Row],[P.E]]-1/24)</f>
        <v>0.36666666666666675</v>
      </c>
      <c r="X194" s="39">
        <f ca="1">MIP_4[[#This Row],[PT-1]]*$S$3+MIP_4[[#This Row],[PT-2]]*$T$3+MIP_4[[#This Row],[PT-3]]*$U$3+MIP_4[[#This Row],[PT &gt; 3 Pontos]]*$V$3</f>
        <v>0.40132183474235106</v>
      </c>
      <c r="Y194" s="39">
        <f>MIP_4[[#This Row],[HH disponível]]-MIP_4[[#This Row],[HH AC TOT]]</f>
        <v>0.3249999999999999</v>
      </c>
      <c r="Z194" s="38">
        <f ca="1">MIP_4[[#This Row],[HH Produtivo
Total]]/MIP_4[[#This Row],[HH Trabalhado]]</f>
        <v>1.2348364145918498</v>
      </c>
      <c r="AA194" s="38">
        <f ca="1">MIP_4[[#This Row],[HH Produtivo
Total]]/MIP_4[[#This Row],[HH disponível]]</f>
        <v>1.0945140947518663</v>
      </c>
      <c r="AB194" s="38">
        <f>MIP_4[[#This Row],[HH Trabalhado]]/MIP_4[[#This Row],[HH disponível]]</f>
        <v>0.88636363636363591</v>
      </c>
      <c r="AC194" s="37" t="str">
        <f>LEFT(MIP_4[[#This Row],[Equipe]], SEARCH("/",MIP_4[[#This Row],[Equipe]],1)-1)</f>
        <v xml:space="preserve">EDILTON </v>
      </c>
      <c r="AD194" s="37" t="str">
        <f>RIGHT(MIP_4[[#This Row],[Equipe]], LEN(MIP_4[[#This Row],[Equipe]])-SEARCH("/",MIP_4[[#This Row],[Equipe]],1))</f>
        <v xml:space="preserve"> GECIVALDO</v>
      </c>
      <c r="AE194" s="44">
        <f>COUNTIFS('[1]Tempo parado'!G:G,"&gt;="&amp;MIP_4[[#This Row],[S.B Sitrack]],'[1]Tempo parado'!H:H,"&lt;="&amp;MIP_4[[#This Row],[C.B Sitrack]],'[1]Tempo parado'!A:A,MIP_4[[#This Row],[Placa]])</f>
        <v>0</v>
      </c>
      <c r="AF194" s="36"/>
      <c r="AG194" s="35"/>
      <c r="AH194" s="34"/>
      <c r="AI194" s="34"/>
      <c r="AJ19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9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9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94" s="32" t="str">
        <f>IFERROR(MIP_4[[#This Row],[Tempo parado]]/(MIP_4[[#This Row],[C.B Sitrack]]-MIP_4[[#This Row],[S.B Sitrack]]),"")</f>
        <v/>
      </c>
      <c r="AN194" s="30"/>
      <c r="AO194" s="44">
        <f>IF(AND(MIP_4[Exc]=0,MIP_4[Previsto / Realizado]="Realizado"),MIP_4[Sem],0)</f>
        <v>0</v>
      </c>
      <c r="AP194" s="29">
        <f>IF(AND(MIP_4[Exc]=0,MIP_4[Previsto / Realizado]="Realizado",ISBLANK(MIP_4[[#This Row],[S.B Sitrack]])=FALSE,ISBLANK(MIP_4[[#This Row],[C.B Sitrack]])=FALSE),MIP_4[Sem],0)</f>
        <v>0</v>
      </c>
    </row>
    <row r="195" spans="1:42" ht="15.75" x14ac:dyDescent="0.25">
      <c r="A195" s="44">
        <f>WEEKNUM(MIP_4[[#This Row],[Data]])</f>
        <v>27</v>
      </c>
      <c r="B195" s="45">
        <v>42922</v>
      </c>
      <c r="C195" s="45"/>
      <c r="D195" s="35" t="s">
        <v>3</v>
      </c>
      <c r="E195" s="35" t="s">
        <v>2</v>
      </c>
      <c r="F195" s="35"/>
      <c r="G195" s="44">
        <v>2</v>
      </c>
      <c r="H195" s="44">
        <v>6</v>
      </c>
      <c r="I195" s="44">
        <v>1</v>
      </c>
      <c r="J195" s="44">
        <v>0</v>
      </c>
      <c r="K195" s="44">
        <v>9</v>
      </c>
      <c r="L195" s="43">
        <v>0.62708333333333333</v>
      </c>
      <c r="M195" s="43">
        <v>0.65625</v>
      </c>
      <c r="N195" s="43">
        <f>1+25/24/60</f>
        <v>1.0173611111111112</v>
      </c>
      <c r="O195" s="43">
        <f>1+51/24/60</f>
        <v>1.0354166666666667</v>
      </c>
      <c r="P195" s="39"/>
      <c r="Q195" s="42"/>
      <c r="R195" s="44">
        <f>MIP_4[[#This Row],[PT-1]]+MIP_4[[#This Row],[PT-2]]*2+MIP_4[[#This Row],[PT-3]]*3+MIP_4[[#This Row],[PT &gt; 3 Pontos]]</f>
        <v>17</v>
      </c>
      <c r="S19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4.7222222222222165E-2</v>
      </c>
      <c r="T19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4.7222222222222165E-2</v>
      </c>
      <c r="U195" s="41">
        <f ca="1">MIP_4[[#This Row],[Eficiência]]</f>
        <v>1.1779700299306868</v>
      </c>
      <c r="V19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95" s="39">
        <f>IF(MIP_4[[#This Row],[P.S]]-MIP_4[[#This Row],[P.E]]&lt;0,1+MIP_4[[#This Row],[P.S]]-MIP_4[[#This Row],[P.E]]-1/24,MIP_4[[#This Row],[P.S]]-MIP_4[[#This Row],[P.E]]-1/24)</f>
        <v>0.36666666666666664</v>
      </c>
      <c r="X195" s="39">
        <f ca="1">MIP_4[[#This Row],[PT-1]]*$S$3+MIP_4[[#This Row],[PT-2]]*$T$3+MIP_4[[#This Row],[PT-3]]*$U$3+MIP_4[[#This Row],[PT &gt; 3 Pontos]]*$V$3</f>
        <v>0.37629598178341384</v>
      </c>
      <c r="Y195" s="39">
        <f>MIP_4[[#This Row],[HH disponível]]-MIP_4[[#This Row],[HH AC TOT]]</f>
        <v>0.31944444444444448</v>
      </c>
      <c r="Z195" s="38">
        <f ca="1">MIP_4[[#This Row],[HH Produtivo
Total]]/MIP_4[[#This Row],[HH Trabalhado]]</f>
        <v>1.1779700299306868</v>
      </c>
      <c r="AA195" s="38">
        <f ca="1">MIP_4[[#This Row],[HH Produtivo
Total]]/MIP_4[[#This Row],[HH disponível]]</f>
        <v>1.0262617685002196</v>
      </c>
      <c r="AB195" s="38">
        <f>MIP_4[[#This Row],[HH Trabalhado]]/MIP_4[[#This Row],[HH disponível]]</f>
        <v>0.87121212121212133</v>
      </c>
      <c r="AC195" s="37" t="str">
        <f>LEFT(MIP_4[[#This Row],[Equipe]], SEARCH("/",MIP_4[[#This Row],[Equipe]],1)-1)</f>
        <v xml:space="preserve">EDILTON </v>
      </c>
      <c r="AD195" s="37" t="str">
        <f>RIGHT(MIP_4[[#This Row],[Equipe]], LEN(MIP_4[[#This Row],[Equipe]])-SEARCH("/",MIP_4[[#This Row],[Equipe]],1))</f>
        <v xml:space="preserve"> GECIVALDO</v>
      </c>
      <c r="AE195" s="44">
        <f>COUNTIFS('[1]Tempo parado'!G:G,"&gt;="&amp;MIP_4[[#This Row],[S.B Sitrack]],'[1]Tempo parado'!H:H,"&lt;="&amp;MIP_4[[#This Row],[C.B Sitrack]],'[1]Tempo parado'!A:A,MIP_4[[#This Row],[Placa]])</f>
        <v>0</v>
      </c>
      <c r="AF195" s="36"/>
      <c r="AG195" s="35"/>
      <c r="AH195" s="34"/>
      <c r="AI195" s="34"/>
      <c r="AJ19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9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9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95" s="32" t="str">
        <f>IFERROR(MIP_4[[#This Row],[Tempo parado]]/(MIP_4[[#This Row],[C.B Sitrack]]-MIP_4[[#This Row],[S.B Sitrack]]),"")</f>
        <v/>
      </c>
      <c r="AN195" s="30"/>
      <c r="AO195" s="44">
        <f>IF(AND(MIP_4[Exc]=0,MIP_4[Previsto / Realizado]="Realizado"),MIP_4[Sem],0)</f>
        <v>27</v>
      </c>
      <c r="AP195" s="29">
        <f>IF(AND(MIP_4[Exc]=0,MIP_4[Previsto / Realizado]="Realizado",ISBLANK(MIP_4[[#This Row],[S.B Sitrack]])=FALSE,ISBLANK(MIP_4[[#This Row],[C.B Sitrack]])=FALSE),MIP_4[Sem],0)</f>
        <v>0</v>
      </c>
    </row>
    <row r="196" spans="1:42" ht="15.75" x14ac:dyDescent="0.25">
      <c r="A196" s="44">
        <f>WEEKNUM(MIP_4[[#This Row],[Data]])</f>
        <v>27</v>
      </c>
      <c r="B196" s="45">
        <v>42922</v>
      </c>
      <c r="C196" s="45"/>
      <c r="D196" s="35" t="s">
        <v>7</v>
      </c>
      <c r="E196" s="35" t="s">
        <v>5</v>
      </c>
      <c r="F196" s="35"/>
      <c r="G196" s="44">
        <v>2</v>
      </c>
      <c r="H196" s="44">
        <v>7</v>
      </c>
      <c r="I196" s="44">
        <v>4</v>
      </c>
      <c r="J196" s="44">
        <v>0</v>
      </c>
      <c r="K196" s="44">
        <v>8</v>
      </c>
      <c r="L196" s="43">
        <v>0.625</v>
      </c>
      <c r="M196" s="43">
        <v>0.64583333333333337</v>
      </c>
      <c r="N196" s="43">
        <f>1+18/24/60</f>
        <v>1.0125</v>
      </c>
      <c r="O196" s="43">
        <f>1+48/24/60</f>
        <v>1.0333333333333334</v>
      </c>
      <c r="P196" s="39"/>
      <c r="Q196" s="42"/>
      <c r="R196" s="44">
        <f>MIP_4[[#This Row],[PT-1]]+MIP_4[[#This Row],[PT-2]]*2+MIP_4[[#This Row],[PT-3]]*3+MIP_4[[#This Row],[PT &gt; 3 Pontos]]</f>
        <v>23</v>
      </c>
      <c r="S19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19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196" s="41">
        <f ca="1">MIP_4[[#This Row],[Eficiência]]</f>
        <v>1.5778465297562523</v>
      </c>
      <c r="V19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96" s="39">
        <f>IF(MIP_4[[#This Row],[P.S]]-MIP_4[[#This Row],[P.E]]&lt;0,1+MIP_4[[#This Row],[P.S]]-MIP_4[[#This Row],[P.E]]-1/24,MIP_4[[#This Row],[P.S]]-MIP_4[[#This Row],[P.E]]-1/24)</f>
        <v>0.36666666666666675</v>
      </c>
      <c r="X196" s="39">
        <f ca="1">MIP_4[[#This Row],[PT-1]]*$S$3+MIP_4[[#This Row],[PT-2]]*$T$3+MIP_4[[#This Row],[PT-3]]*$U$3+MIP_4[[#This Row],[PT &gt; 3 Pontos]]*$V$3</f>
        <v>0.51280012217078186</v>
      </c>
      <c r="Y196" s="39">
        <f>MIP_4[[#This Row],[HH disponível]]-MIP_4[[#This Row],[HH AC TOT]]</f>
        <v>0.3249999999999999</v>
      </c>
      <c r="Z196" s="38">
        <f ca="1">MIP_4[[#This Row],[HH Produtivo
Total]]/MIP_4[[#This Row],[HH Trabalhado]]</f>
        <v>1.5778465297562523</v>
      </c>
      <c r="AA196" s="38">
        <f ca="1">MIP_4[[#This Row],[HH Produtivo
Total]]/MIP_4[[#This Row],[HH disponível]]</f>
        <v>1.3985457877384957</v>
      </c>
      <c r="AB196" s="38">
        <f>MIP_4[[#This Row],[HH Trabalhado]]/MIP_4[[#This Row],[HH disponível]]</f>
        <v>0.88636363636363591</v>
      </c>
      <c r="AC196" s="37" t="str">
        <f>LEFT(MIP_4[[#This Row],[Equipe]], SEARCH("/",MIP_4[[#This Row],[Equipe]],1)-1)</f>
        <v xml:space="preserve">ANDERSON </v>
      </c>
      <c r="AD196" s="37" t="str">
        <f>RIGHT(MIP_4[[#This Row],[Equipe]], LEN(MIP_4[[#This Row],[Equipe]])-SEARCH("/",MIP_4[[#This Row],[Equipe]],1))</f>
        <v xml:space="preserve"> MARCO</v>
      </c>
      <c r="AE196" s="44">
        <f>COUNTIFS('[1]Tempo parado'!G:G,"&gt;="&amp;MIP_4[[#This Row],[S.B Sitrack]],'[1]Tempo parado'!H:H,"&lt;="&amp;MIP_4[[#This Row],[C.B Sitrack]],'[1]Tempo parado'!A:A,MIP_4[[#This Row],[Placa]])</f>
        <v>0</v>
      </c>
      <c r="AF196" s="36"/>
      <c r="AG196" s="35"/>
      <c r="AH196" s="34"/>
      <c r="AI196" s="34"/>
      <c r="AJ19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9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9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96" s="32" t="str">
        <f>IFERROR(MIP_4[[#This Row],[Tempo parado]]/(MIP_4[[#This Row],[C.B Sitrack]]-MIP_4[[#This Row],[S.B Sitrack]]),"")</f>
        <v/>
      </c>
      <c r="AN196" s="30"/>
      <c r="AO196" s="44">
        <f>IF(AND(MIP_4[Exc]=0,MIP_4[Previsto / Realizado]="Realizado"),MIP_4[Sem],0)</f>
        <v>0</v>
      </c>
      <c r="AP196" s="29">
        <f>IF(AND(MIP_4[Exc]=0,MIP_4[Previsto / Realizado]="Realizado",ISBLANK(MIP_4[[#This Row],[S.B Sitrack]])=FALSE,ISBLANK(MIP_4[[#This Row],[C.B Sitrack]])=FALSE),MIP_4[Sem],0)</f>
        <v>0</v>
      </c>
    </row>
    <row r="197" spans="1:42" ht="15.75" x14ac:dyDescent="0.25">
      <c r="A197" s="44">
        <f>WEEKNUM(MIP_4[[#This Row],[Data]])</f>
        <v>27</v>
      </c>
      <c r="B197" s="45">
        <v>42922</v>
      </c>
      <c r="C197" s="45"/>
      <c r="D197" s="35" t="s">
        <v>7</v>
      </c>
      <c r="E197" s="35" t="s">
        <v>2</v>
      </c>
      <c r="F197" s="35"/>
      <c r="G197" s="44">
        <v>2</v>
      </c>
      <c r="H197" s="44">
        <v>4</v>
      </c>
      <c r="I197" s="44">
        <v>3</v>
      </c>
      <c r="J197" s="44">
        <v>0</v>
      </c>
      <c r="K197" s="44">
        <v>0</v>
      </c>
      <c r="L197" s="43">
        <v>0.62847222222222221</v>
      </c>
      <c r="M197" s="43">
        <v>0.67013888888888884</v>
      </c>
      <c r="N197" s="43">
        <f>1+24/24/60</f>
        <v>1.0166666666666666</v>
      </c>
      <c r="O197" s="43">
        <f>1+48/24/60</f>
        <v>1.0333333333333334</v>
      </c>
      <c r="P197" s="39"/>
      <c r="Q197" s="42" t="s">
        <v>370</v>
      </c>
      <c r="R197" s="44">
        <f>MIP_4[[#This Row],[PT-1]]+MIP_4[[#This Row],[PT-2]]*2+MIP_4[[#This Row],[PT-3]]*3+MIP_4[[#This Row],[PT &gt; 3 Pontos]]</f>
        <v>10</v>
      </c>
      <c r="S19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5.8333333333333459E-2</v>
      </c>
      <c r="T19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5.8333333333333459E-2</v>
      </c>
      <c r="U197" s="41">
        <f ca="1">MIP_4[[#This Row],[Eficiência]]</f>
        <v>0.7604436961473704</v>
      </c>
      <c r="V19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97" s="39">
        <f>IF(MIP_4[[#This Row],[P.S]]-MIP_4[[#This Row],[P.E]]&lt;0,1+MIP_4[[#This Row],[P.S]]-MIP_4[[#This Row],[P.E]]-1/24,MIP_4[[#This Row],[P.S]]-MIP_4[[#This Row],[P.E]]-1/24)</f>
        <v>0.36319444444444454</v>
      </c>
      <c r="X197" s="39">
        <f ca="1">MIP_4[[#This Row],[PT-1]]*$S$3+MIP_4[[#This Row],[PT-2]]*$T$3+MIP_4[[#This Row],[PT-3]]*$U$3+MIP_4[[#This Row],[PT &gt; 3 Pontos]]*$V$3</f>
        <v>0.23182971014492748</v>
      </c>
      <c r="Y197" s="39">
        <f>MIP_4[[#This Row],[HH disponível]]-MIP_4[[#This Row],[HH AC TOT]]</f>
        <v>0.30486111111111108</v>
      </c>
      <c r="Z197" s="38">
        <f ca="1">MIP_4[[#This Row],[HH Produtivo
Total]]/MIP_4[[#This Row],[HH Trabalhado]]</f>
        <v>0.7604436961473704</v>
      </c>
      <c r="AA197" s="38">
        <f ca="1">MIP_4[[#This Row],[HH Produtivo
Total]]/MIP_4[[#This Row],[HH disponível]]</f>
        <v>0.63830742372599514</v>
      </c>
      <c r="AB197" s="38">
        <f>MIP_4[[#This Row],[HH Trabalhado]]/MIP_4[[#This Row],[HH disponível]]</f>
        <v>0.83938814531548722</v>
      </c>
      <c r="AC197" s="37" t="str">
        <f>LEFT(MIP_4[[#This Row],[Equipe]], SEARCH("/",MIP_4[[#This Row],[Equipe]],1)-1)</f>
        <v xml:space="preserve">ANDERSON </v>
      </c>
      <c r="AD197" s="37" t="str">
        <f>RIGHT(MIP_4[[#This Row],[Equipe]], LEN(MIP_4[[#This Row],[Equipe]])-SEARCH("/",MIP_4[[#This Row],[Equipe]],1))</f>
        <v xml:space="preserve"> MARCO</v>
      </c>
      <c r="AE197" s="44">
        <f>COUNTIFS('[1]Tempo parado'!G:G,"&gt;="&amp;MIP_4[[#This Row],[S.B Sitrack]],'[1]Tempo parado'!H:H,"&lt;="&amp;MIP_4[[#This Row],[C.B Sitrack]],'[1]Tempo parado'!A:A,MIP_4[[#This Row],[Placa]])</f>
        <v>0</v>
      </c>
      <c r="AF197" s="36"/>
      <c r="AG197" s="35"/>
      <c r="AH197" s="34"/>
      <c r="AI197" s="34"/>
      <c r="AJ19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9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9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97" s="32" t="str">
        <f>IFERROR(MIP_4[[#This Row],[Tempo parado]]/(MIP_4[[#This Row],[C.B Sitrack]]-MIP_4[[#This Row],[S.B Sitrack]]),"")</f>
        <v/>
      </c>
      <c r="AN197" s="30"/>
      <c r="AO197" s="44">
        <f>IF(AND(MIP_4[Exc]=0,MIP_4[Previsto / Realizado]="Realizado"),MIP_4[Sem],0)</f>
        <v>27</v>
      </c>
      <c r="AP197" s="29">
        <f>IF(AND(MIP_4[Exc]=0,MIP_4[Previsto / Realizado]="Realizado",ISBLANK(MIP_4[[#This Row],[S.B Sitrack]])=FALSE,ISBLANK(MIP_4[[#This Row],[C.B Sitrack]])=FALSE),MIP_4[Sem],0)</f>
        <v>0</v>
      </c>
    </row>
    <row r="198" spans="1:42" ht="15.75" x14ac:dyDescent="0.25">
      <c r="A198" s="44">
        <f>WEEKNUM(MIP_4[[#This Row],[Data]])</f>
        <v>27</v>
      </c>
      <c r="B198" s="45">
        <v>42923</v>
      </c>
      <c r="C198" s="45"/>
      <c r="D198" s="35" t="s">
        <v>397</v>
      </c>
      <c r="E198" s="35" t="s">
        <v>5</v>
      </c>
      <c r="F198" s="35"/>
      <c r="G198" s="44">
        <v>2</v>
      </c>
      <c r="H198" s="44">
        <v>6</v>
      </c>
      <c r="I198" s="44">
        <v>0</v>
      </c>
      <c r="J198" s="44">
        <v>1</v>
      </c>
      <c r="K198" s="44">
        <v>9</v>
      </c>
      <c r="L198" s="43">
        <v>0.25</v>
      </c>
      <c r="M198" s="43">
        <v>0.27083333333333331</v>
      </c>
      <c r="N198" s="43">
        <v>0.63750000000000007</v>
      </c>
      <c r="O198" s="43">
        <v>0.65833333333333333</v>
      </c>
      <c r="P198" s="39"/>
      <c r="Q198" s="42"/>
      <c r="R198" s="44">
        <f>MIP_4[[#This Row],[PT-1]]+MIP_4[[#This Row],[PT-2]]*2+MIP_4[[#This Row],[PT-3]]*3+MIP_4[[#This Row],[PT &gt; 3 Pontos]]</f>
        <v>18</v>
      </c>
      <c r="S19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19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198" s="41">
        <f ca="1">MIP_4[[#This Row],[Eficiência]]</f>
        <v>1.2159350613154958</v>
      </c>
      <c r="V19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98" s="39">
        <f>IF(MIP_4[[#This Row],[P.S]]-MIP_4[[#This Row],[P.E]]&lt;0,1+MIP_4[[#This Row],[P.S]]-MIP_4[[#This Row],[P.E]]-1/24,MIP_4[[#This Row],[P.S]]-MIP_4[[#This Row],[P.E]]-1/24)</f>
        <v>0.36666666666666664</v>
      </c>
      <c r="X198" s="39">
        <f ca="1">MIP_4[[#This Row],[PT-1]]*$S$3+MIP_4[[#This Row],[PT-2]]*$T$3+MIP_4[[#This Row],[PT-3]]*$U$3+MIP_4[[#This Row],[PT &gt; 3 Pontos]]*$V$3</f>
        <v>0.39517889492753622</v>
      </c>
      <c r="Y198" s="39">
        <f>MIP_4[[#This Row],[HH disponível]]-MIP_4[[#This Row],[HH AC TOT]]</f>
        <v>0.32500000000000007</v>
      </c>
      <c r="Z198" s="38">
        <f ca="1">MIP_4[[#This Row],[HH Produtivo
Total]]/MIP_4[[#This Row],[HH Trabalhado]]</f>
        <v>1.2159350613154958</v>
      </c>
      <c r="AA198" s="38">
        <f ca="1">MIP_4[[#This Row],[HH Produtivo
Total]]/MIP_4[[#This Row],[HH disponível]]</f>
        <v>1.0777606225296443</v>
      </c>
      <c r="AB198" s="38">
        <f>MIP_4[[#This Row],[HH Trabalhado]]/MIP_4[[#This Row],[HH disponível]]</f>
        <v>0.88636363636363658</v>
      </c>
      <c r="AC198" s="37" t="str">
        <f>LEFT(MIP_4[[#This Row],[Equipe]], SEARCH("/",MIP_4[[#This Row],[Equipe]],1)-1)</f>
        <v xml:space="preserve">GERALDO </v>
      </c>
      <c r="AD198" s="37" t="str">
        <f>RIGHT(MIP_4[[#This Row],[Equipe]], LEN(MIP_4[[#This Row],[Equipe]])-SEARCH("/",MIP_4[[#This Row],[Equipe]],1))</f>
        <v xml:space="preserve"> VAGNER</v>
      </c>
      <c r="AE198" s="44">
        <f>COUNTIFS('[1]Tempo parado'!G:G,"&gt;="&amp;MIP_4[[#This Row],[S.B Sitrack]],'[1]Tempo parado'!H:H,"&lt;="&amp;MIP_4[[#This Row],[C.B Sitrack]],'[1]Tempo parado'!A:A,MIP_4[[#This Row],[Placa]])</f>
        <v>0</v>
      </c>
      <c r="AF198" s="36"/>
      <c r="AG198" s="35"/>
      <c r="AH198" s="34"/>
      <c r="AI198" s="34"/>
      <c r="AJ19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9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9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98" s="32" t="str">
        <f>IFERROR(MIP_4[[#This Row],[Tempo parado]]/(MIP_4[[#This Row],[C.B Sitrack]]-MIP_4[[#This Row],[S.B Sitrack]]),"")</f>
        <v/>
      </c>
      <c r="AN198" s="30"/>
      <c r="AO198" s="44">
        <f>IF(AND(MIP_4[Exc]=0,MIP_4[Previsto / Realizado]="Realizado"),MIP_4[Sem],0)</f>
        <v>0</v>
      </c>
      <c r="AP198" s="29">
        <f>IF(AND(MIP_4[Exc]=0,MIP_4[Previsto / Realizado]="Realizado",ISBLANK(MIP_4[[#This Row],[S.B Sitrack]])=FALSE,ISBLANK(MIP_4[[#This Row],[C.B Sitrack]])=FALSE),MIP_4[Sem],0)</f>
        <v>0</v>
      </c>
    </row>
    <row r="199" spans="1:42" ht="15.75" x14ac:dyDescent="0.25">
      <c r="A199" s="44">
        <f>WEEKNUM(MIP_4[[#This Row],[Data]])</f>
        <v>27</v>
      </c>
      <c r="B199" s="45">
        <v>42923</v>
      </c>
      <c r="C199" s="45"/>
      <c r="D199" s="35" t="s">
        <v>397</v>
      </c>
      <c r="E199" s="35" t="s">
        <v>2</v>
      </c>
      <c r="F199" s="35"/>
      <c r="G199" s="44">
        <v>2</v>
      </c>
      <c r="H199" s="44">
        <v>5</v>
      </c>
      <c r="I199" s="44">
        <v>0</v>
      </c>
      <c r="J199" s="44">
        <v>1</v>
      </c>
      <c r="K199" s="44">
        <v>0</v>
      </c>
      <c r="L199" s="43">
        <v>0.24652777777777779</v>
      </c>
      <c r="M199" s="43">
        <v>0.28472222222222221</v>
      </c>
      <c r="N199" s="43">
        <v>0.625</v>
      </c>
      <c r="O199" s="43">
        <v>0.67152777777777783</v>
      </c>
      <c r="P199" s="39"/>
      <c r="Q199" s="42" t="s">
        <v>370</v>
      </c>
      <c r="R199" s="44">
        <f>MIP_4[[#This Row],[PT-1]]+MIP_4[[#This Row],[PT-2]]*2+MIP_4[[#This Row],[PT-3]]*3+MIP_4[[#This Row],[PT &gt; 3 Pontos]]</f>
        <v>8</v>
      </c>
      <c r="S19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8.4722222222222254E-2</v>
      </c>
      <c r="T19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8.4722222222222254E-2</v>
      </c>
      <c r="U199" s="41">
        <f ca="1">MIP_4[[#This Row],[Eficiência]]</f>
        <v>0.62931664981462732</v>
      </c>
      <c r="V19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199" s="39">
        <f>IF(MIP_4[[#This Row],[P.S]]-MIP_4[[#This Row],[P.E]]&lt;0,1+MIP_4[[#This Row],[P.S]]-MIP_4[[#This Row],[P.E]]-1/24,MIP_4[[#This Row],[P.S]]-MIP_4[[#This Row],[P.E]]-1/24)</f>
        <v>0.38333333333333336</v>
      </c>
      <c r="X199" s="39">
        <f ca="1">MIP_4[[#This Row],[PT-1]]*$S$3+MIP_4[[#This Row],[PT-2]]*$T$3+MIP_4[[#This Row],[PT-3]]*$U$3+MIP_4[[#This Row],[PT &gt; 3 Pontos]]*$V$3</f>
        <v>0.18792094404186788</v>
      </c>
      <c r="Y199" s="39">
        <f>MIP_4[[#This Row],[HH disponível]]-MIP_4[[#This Row],[HH AC TOT]]</f>
        <v>0.2986111111111111</v>
      </c>
      <c r="Z199" s="38">
        <f ca="1">MIP_4[[#This Row],[HH Produtivo
Total]]/MIP_4[[#This Row],[HH Trabalhado]]</f>
        <v>0.62931664981462732</v>
      </c>
      <c r="AA199" s="38">
        <f ca="1">MIP_4[[#This Row],[HH Produtivo
Total]]/MIP_4[[#This Row],[HH disponível]]</f>
        <v>0.49022854967443791</v>
      </c>
      <c r="AB199" s="38">
        <f>MIP_4[[#This Row],[HH Trabalhado]]/MIP_4[[#This Row],[HH disponível]]</f>
        <v>0.77898550724637672</v>
      </c>
      <c r="AC199" s="37" t="str">
        <f>LEFT(MIP_4[[#This Row],[Equipe]], SEARCH("/",MIP_4[[#This Row],[Equipe]],1)-1)</f>
        <v xml:space="preserve">GERALDO </v>
      </c>
      <c r="AD199" s="37" t="str">
        <f>RIGHT(MIP_4[[#This Row],[Equipe]], LEN(MIP_4[[#This Row],[Equipe]])-SEARCH("/",MIP_4[[#This Row],[Equipe]],1))</f>
        <v xml:space="preserve"> VAGNER</v>
      </c>
      <c r="AE199" s="44">
        <f>COUNTIFS('[1]Tempo parado'!G:G,"&gt;="&amp;MIP_4[[#This Row],[S.B Sitrack]],'[1]Tempo parado'!H:H,"&lt;="&amp;MIP_4[[#This Row],[C.B Sitrack]],'[1]Tempo parado'!A:A,MIP_4[[#This Row],[Placa]])</f>
        <v>0</v>
      </c>
      <c r="AF199" s="36"/>
      <c r="AG199" s="35"/>
      <c r="AH199" s="34"/>
      <c r="AI199" s="34"/>
      <c r="AJ19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19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19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199" s="32" t="str">
        <f>IFERROR(MIP_4[[#This Row],[Tempo parado]]/(MIP_4[[#This Row],[C.B Sitrack]]-MIP_4[[#This Row],[S.B Sitrack]]),"")</f>
        <v/>
      </c>
      <c r="AN199" s="30"/>
      <c r="AO199" s="44">
        <f>IF(AND(MIP_4[Exc]=0,MIP_4[Previsto / Realizado]="Realizado"),MIP_4[Sem],0)</f>
        <v>27</v>
      </c>
      <c r="AP199" s="29">
        <f>IF(AND(MIP_4[Exc]=0,MIP_4[Previsto / Realizado]="Realizado",ISBLANK(MIP_4[[#This Row],[S.B Sitrack]])=FALSE,ISBLANK(MIP_4[[#This Row],[C.B Sitrack]])=FALSE),MIP_4[Sem],0)</f>
        <v>0</v>
      </c>
    </row>
    <row r="200" spans="1:42" ht="15.75" x14ac:dyDescent="0.25">
      <c r="A200" s="44">
        <f>WEEKNUM(MIP_4[[#This Row],[Data]])</f>
        <v>27</v>
      </c>
      <c r="B200" s="45">
        <v>42923</v>
      </c>
      <c r="C200" s="45"/>
      <c r="D200" s="35" t="s">
        <v>10</v>
      </c>
      <c r="E200" s="35" t="s">
        <v>5</v>
      </c>
      <c r="F200" s="35"/>
      <c r="G200" s="44">
        <v>2</v>
      </c>
      <c r="H200" s="44">
        <v>8</v>
      </c>
      <c r="I200" s="44">
        <v>1</v>
      </c>
      <c r="J200" s="44">
        <v>1</v>
      </c>
      <c r="K200" s="44">
        <v>4</v>
      </c>
      <c r="L200" s="43">
        <v>0.25</v>
      </c>
      <c r="M200" s="43">
        <v>0.27083333333333331</v>
      </c>
      <c r="N200" s="43">
        <v>0.63750000000000007</v>
      </c>
      <c r="O200" s="43">
        <v>0.65833333333333333</v>
      </c>
      <c r="P200" s="39"/>
      <c r="Q200" s="42"/>
      <c r="R200" s="44">
        <f>MIP_4[[#This Row],[PT-1]]+MIP_4[[#This Row],[PT-2]]*2+MIP_4[[#This Row],[PT-3]]*3+MIP_4[[#This Row],[PT &gt; 3 Pontos]]</f>
        <v>17</v>
      </c>
      <c r="S20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20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200" s="41">
        <f ca="1">MIP_4[[#This Row],[Eficiência]]</f>
        <v>1.1935363462914788</v>
      </c>
      <c r="V20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00" s="39">
        <f>IF(MIP_4[[#This Row],[P.S]]-MIP_4[[#This Row],[P.E]]&lt;0,1+MIP_4[[#This Row],[P.S]]-MIP_4[[#This Row],[P.E]]-1/24,MIP_4[[#This Row],[P.S]]-MIP_4[[#This Row],[P.E]]-1/24)</f>
        <v>0.36666666666666664</v>
      </c>
      <c r="X200" s="39">
        <f ca="1">MIP_4[[#This Row],[PT-1]]*$S$3+MIP_4[[#This Row],[PT-2]]*$T$3+MIP_4[[#This Row],[PT-3]]*$U$3+MIP_4[[#This Row],[PT &gt; 3 Pontos]]*$V$3</f>
        <v>0.38789931254473065</v>
      </c>
      <c r="Y200" s="39">
        <f>MIP_4[[#This Row],[HH disponível]]-MIP_4[[#This Row],[HH AC TOT]]</f>
        <v>0.32500000000000007</v>
      </c>
      <c r="Z200" s="38">
        <f ca="1">MIP_4[[#This Row],[HH Produtivo
Total]]/MIP_4[[#This Row],[HH Trabalhado]]</f>
        <v>1.1935363462914788</v>
      </c>
      <c r="AA200" s="38">
        <f ca="1">MIP_4[[#This Row],[HH Produtivo
Total]]/MIP_4[[#This Row],[HH disponível]]</f>
        <v>1.0579072160310836</v>
      </c>
      <c r="AB200" s="38">
        <f>MIP_4[[#This Row],[HH Trabalhado]]/MIP_4[[#This Row],[HH disponível]]</f>
        <v>0.88636363636363658</v>
      </c>
      <c r="AC200" s="37" t="str">
        <f>LEFT(MIP_4[[#This Row],[Equipe]], SEARCH("/",MIP_4[[#This Row],[Equipe]],1)-1)</f>
        <v xml:space="preserve">JOILSON </v>
      </c>
      <c r="AD200" s="37" t="str">
        <f>RIGHT(MIP_4[[#This Row],[Equipe]], LEN(MIP_4[[#This Row],[Equipe]])-SEARCH("/",MIP_4[[#This Row],[Equipe]],1))</f>
        <v xml:space="preserve"> VALDEI</v>
      </c>
      <c r="AE200" s="44">
        <f>COUNTIFS('[1]Tempo parado'!G:G,"&gt;="&amp;MIP_4[[#This Row],[S.B Sitrack]],'[1]Tempo parado'!H:H,"&lt;="&amp;MIP_4[[#This Row],[C.B Sitrack]],'[1]Tempo parado'!A:A,MIP_4[[#This Row],[Placa]])</f>
        <v>0</v>
      </c>
      <c r="AF200" s="36"/>
      <c r="AG200" s="35"/>
      <c r="AH200" s="34"/>
      <c r="AI200" s="34"/>
      <c r="AJ20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0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0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00" s="32" t="str">
        <f>IFERROR(MIP_4[[#This Row],[Tempo parado]]/(MIP_4[[#This Row],[C.B Sitrack]]-MIP_4[[#This Row],[S.B Sitrack]]),"")</f>
        <v/>
      </c>
      <c r="AN200" s="30"/>
      <c r="AO200" s="44">
        <f>IF(AND(MIP_4[Exc]=0,MIP_4[Previsto / Realizado]="Realizado"),MIP_4[Sem],0)</f>
        <v>0</v>
      </c>
      <c r="AP200" s="29">
        <f>IF(AND(MIP_4[Exc]=0,MIP_4[Previsto / Realizado]="Realizado",ISBLANK(MIP_4[[#This Row],[S.B Sitrack]])=FALSE,ISBLANK(MIP_4[[#This Row],[C.B Sitrack]])=FALSE),MIP_4[Sem],0)</f>
        <v>0</v>
      </c>
    </row>
    <row r="201" spans="1:42" ht="15.75" x14ac:dyDescent="0.25">
      <c r="A201" s="44">
        <f>WEEKNUM(MIP_4[[#This Row],[Data]])</f>
        <v>27</v>
      </c>
      <c r="B201" s="45">
        <v>42923</v>
      </c>
      <c r="C201" s="45"/>
      <c r="D201" s="35" t="s">
        <v>10</v>
      </c>
      <c r="E201" s="35" t="s">
        <v>2</v>
      </c>
      <c r="F201" s="35"/>
      <c r="G201" s="44">
        <v>2</v>
      </c>
      <c r="H201" s="44">
        <v>3</v>
      </c>
      <c r="I201" s="44">
        <v>1</v>
      </c>
      <c r="J201" s="44">
        <v>0</v>
      </c>
      <c r="K201" s="44">
        <v>4</v>
      </c>
      <c r="L201" s="43">
        <v>0.26180555555555557</v>
      </c>
      <c r="M201" s="43">
        <v>0.3125</v>
      </c>
      <c r="N201" s="43">
        <v>0.61111111111111105</v>
      </c>
      <c r="O201" s="43">
        <v>0.67569444444444438</v>
      </c>
      <c r="P201" s="39"/>
      <c r="Q201" s="42" t="s">
        <v>370</v>
      </c>
      <c r="R201" s="44">
        <f>MIP_4[[#This Row],[PT-1]]+MIP_4[[#This Row],[PT-2]]*2+MIP_4[[#This Row],[PT-3]]*3+MIP_4[[#This Row],[PT &gt; 3 Pontos]]</f>
        <v>9</v>
      </c>
      <c r="S20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0.11527777777777776</v>
      </c>
      <c r="T20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0.11527777777777776</v>
      </c>
      <c r="U201" s="41">
        <f ca="1">MIP_4[[#This Row],[Eficiência]]</f>
        <v>0.7782941909300608</v>
      </c>
      <c r="V20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01" s="39">
        <f>IF(MIP_4[[#This Row],[P.S]]-MIP_4[[#This Row],[P.E]]&lt;0,1+MIP_4[[#This Row],[P.S]]-MIP_4[[#This Row],[P.E]]-1/24,MIP_4[[#This Row],[P.S]]-MIP_4[[#This Row],[P.E]]-1/24)</f>
        <v>0.37222222222222212</v>
      </c>
      <c r="X201" s="39">
        <f ca="1">MIP_4[[#This Row],[PT-1]]*$S$3+MIP_4[[#This Row],[PT-2]]*$T$3+MIP_4[[#This Row],[PT-3]]*$U$3+MIP_4[[#This Row],[PT &gt; 3 Pontos]]*$V$3</f>
        <v>0.19997836850286277</v>
      </c>
      <c r="Y201" s="39">
        <f>MIP_4[[#This Row],[HH disponível]]-MIP_4[[#This Row],[HH AC TOT]]</f>
        <v>0.25694444444444436</v>
      </c>
      <c r="Z201" s="38">
        <f ca="1">MIP_4[[#This Row],[HH Produtivo
Total]]/MIP_4[[#This Row],[HH Trabalhado]]</f>
        <v>0.7782941909300608</v>
      </c>
      <c r="AA201" s="38">
        <f ca="1">MIP_4[[#This Row],[HH Produtivo
Total]]/MIP_4[[#This Row],[HH disponível]]</f>
        <v>0.53725531836590013</v>
      </c>
      <c r="AB201" s="38">
        <f>MIP_4[[#This Row],[HH Trabalhado]]/MIP_4[[#This Row],[HH disponível]]</f>
        <v>0.69029850746268651</v>
      </c>
      <c r="AC201" s="37" t="str">
        <f>LEFT(MIP_4[[#This Row],[Equipe]], SEARCH("/",MIP_4[[#This Row],[Equipe]],1)-1)</f>
        <v xml:space="preserve">JOILSON </v>
      </c>
      <c r="AD201" s="37" t="str">
        <f>RIGHT(MIP_4[[#This Row],[Equipe]], LEN(MIP_4[[#This Row],[Equipe]])-SEARCH("/",MIP_4[[#This Row],[Equipe]],1))</f>
        <v xml:space="preserve"> VALDEI</v>
      </c>
      <c r="AE201" s="44">
        <f>COUNTIFS('[1]Tempo parado'!G:G,"&gt;="&amp;MIP_4[[#This Row],[S.B Sitrack]],'[1]Tempo parado'!H:H,"&lt;="&amp;MIP_4[[#This Row],[C.B Sitrack]],'[1]Tempo parado'!A:A,MIP_4[[#This Row],[Placa]])</f>
        <v>0</v>
      </c>
      <c r="AF201" s="36"/>
      <c r="AG201" s="35"/>
      <c r="AH201" s="34"/>
      <c r="AI201" s="34"/>
      <c r="AJ20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0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0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01" s="32" t="str">
        <f>IFERROR(MIP_4[[#This Row],[Tempo parado]]/(MIP_4[[#This Row],[C.B Sitrack]]-MIP_4[[#This Row],[S.B Sitrack]]),"")</f>
        <v/>
      </c>
      <c r="AN201" s="30"/>
      <c r="AO201" s="44">
        <f>IF(AND(MIP_4[Exc]=0,MIP_4[Previsto / Realizado]="Realizado"),MIP_4[Sem],0)</f>
        <v>27</v>
      </c>
      <c r="AP201" s="29">
        <f>IF(AND(MIP_4[Exc]=0,MIP_4[Previsto / Realizado]="Realizado",ISBLANK(MIP_4[[#This Row],[S.B Sitrack]])=FALSE,ISBLANK(MIP_4[[#This Row],[C.B Sitrack]])=FALSE),MIP_4[Sem],0)</f>
        <v>0</v>
      </c>
    </row>
    <row r="202" spans="1:42" ht="15.75" x14ac:dyDescent="0.25">
      <c r="A202" s="44">
        <f>WEEKNUM(MIP_4[[#This Row],[Data]])</f>
        <v>27</v>
      </c>
      <c r="B202" s="45">
        <v>42923</v>
      </c>
      <c r="C202" s="45"/>
      <c r="D202" s="35" t="s">
        <v>389</v>
      </c>
      <c r="E202" s="35" t="s">
        <v>5</v>
      </c>
      <c r="F202" s="35"/>
      <c r="G202" s="44">
        <v>2</v>
      </c>
      <c r="H202" s="44">
        <v>7</v>
      </c>
      <c r="I202" s="44">
        <v>0</v>
      </c>
      <c r="J202" s="44">
        <v>1</v>
      </c>
      <c r="K202" s="44">
        <v>7</v>
      </c>
      <c r="L202" s="43">
        <v>0.625</v>
      </c>
      <c r="M202" s="43">
        <v>0.64583333333333337</v>
      </c>
      <c r="N202" s="43">
        <f>1+18/24/60</f>
        <v>1.0125</v>
      </c>
      <c r="O202" s="43">
        <f>1+48/24/60</f>
        <v>1.0333333333333334</v>
      </c>
      <c r="P202" s="39"/>
      <c r="Q202" s="42"/>
      <c r="R202" s="44">
        <f>MIP_4[[#This Row],[PT-1]]+MIP_4[[#This Row],[PT-2]]*2+MIP_4[[#This Row],[PT-3]]*3+MIP_4[[#This Row],[PT &gt; 3 Pontos]]</f>
        <v>17</v>
      </c>
      <c r="S20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20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202" s="41">
        <f ca="1">MIP_4[[#This Row],[Eficiência]]</f>
        <v>1.1683345419230085</v>
      </c>
      <c r="V20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02" s="39">
        <f>IF(MIP_4[[#This Row],[P.S]]-MIP_4[[#This Row],[P.E]]&lt;0,1+MIP_4[[#This Row],[P.S]]-MIP_4[[#This Row],[P.E]]-1/24,MIP_4[[#This Row],[P.S]]-MIP_4[[#This Row],[P.E]]-1/24)</f>
        <v>0.36666666666666675</v>
      </c>
      <c r="X202" s="39">
        <f ca="1">MIP_4[[#This Row],[PT-1]]*$S$3+MIP_4[[#This Row],[PT-2]]*$T$3+MIP_4[[#This Row],[PT-3]]*$U$3+MIP_4[[#This Row],[PT &gt; 3 Pontos]]*$V$3</f>
        <v>0.37970872612497764</v>
      </c>
      <c r="Y202" s="39">
        <f>MIP_4[[#This Row],[HH disponível]]-MIP_4[[#This Row],[HH AC TOT]]</f>
        <v>0.3249999999999999</v>
      </c>
      <c r="Z202" s="38">
        <f ca="1">MIP_4[[#This Row],[HH Produtivo
Total]]/MIP_4[[#This Row],[HH Trabalhado]]</f>
        <v>1.1683345419230085</v>
      </c>
      <c r="AA202" s="38">
        <f ca="1">MIP_4[[#This Row],[HH Produtivo
Total]]/MIP_4[[#This Row],[HH disponível]]</f>
        <v>1.0355692530681206</v>
      </c>
      <c r="AB202" s="38">
        <f>MIP_4[[#This Row],[HH Trabalhado]]/MIP_4[[#This Row],[HH disponível]]</f>
        <v>0.88636363636363591</v>
      </c>
      <c r="AC202" s="37" t="str">
        <f>LEFT(MIP_4[[#This Row],[Equipe]], SEARCH("/",MIP_4[[#This Row],[Equipe]],1)-1)</f>
        <v xml:space="preserve">CLEBER </v>
      </c>
      <c r="AD202" s="37" t="str">
        <f>RIGHT(MIP_4[[#This Row],[Equipe]], LEN(MIP_4[[#This Row],[Equipe]])-SEARCH("/",MIP_4[[#This Row],[Equipe]],1))</f>
        <v xml:space="preserve"> HERVAL</v>
      </c>
      <c r="AE202" s="44">
        <f>COUNTIFS('[1]Tempo parado'!G:G,"&gt;="&amp;MIP_4[[#This Row],[S.B Sitrack]],'[1]Tempo parado'!H:H,"&lt;="&amp;MIP_4[[#This Row],[C.B Sitrack]],'[1]Tempo parado'!A:A,MIP_4[[#This Row],[Placa]])</f>
        <v>0</v>
      </c>
      <c r="AF202" s="36"/>
      <c r="AG202" s="35"/>
      <c r="AH202" s="34"/>
      <c r="AI202" s="34"/>
      <c r="AJ20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0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0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02" s="32" t="str">
        <f>IFERROR(MIP_4[[#This Row],[Tempo parado]]/(MIP_4[[#This Row],[C.B Sitrack]]-MIP_4[[#This Row],[S.B Sitrack]]),"")</f>
        <v/>
      </c>
      <c r="AN202" s="30"/>
      <c r="AO202" s="44">
        <f>IF(AND(MIP_4[Exc]=0,MIP_4[Previsto / Realizado]="Realizado"),MIP_4[Sem],0)</f>
        <v>0</v>
      </c>
      <c r="AP202" s="29">
        <f>IF(AND(MIP_4[Exc]=0,MIP_4[Previsto / Realizado]="Realizado",ISBLANK(MIP_4[[#This Row],[S.B Sitrack]])=FALSE,ISBLANK(MIP_4[[#This Row],[C.B Sitrack]])=FALSE),MIP_4[Sem],0)</f>
        <v>0</v>
      </c>
    </row>
    <row r="203" spans="1:42" ht="15.75" x14ac:dyDescent="0.25">
      <c r="A203" s="44">
        <f>WEEKNUM(MIP_4[[#This Row],[Data]])</f>
        <v>27</v>
      </c>
      <c r="B203" s="45">
        <v>42923</v>
      </c>
      <c r="C203" s="45"/>
      <c r="D203" s="35" t="s">
        <v>389</v>
      </c>
      <c r="E203" s="35" t="s">
        <v>2</v>
      </c>
      <c r="F203" s="35"/>
      <c r="G203" s="44">
        <v>2</v>
      </c>
      <c r="H203" s="44">
        <v>5</v>
      </c>
      <c r="I203" s="44">
        <v>0</v>
      </c>
      <c r="J203" s="44">
        <v>1</v>
      </c>
      <c r="K203" s="44">
        <v>0</v>
      </c>
      <c r="L203" s="43">
        <v>0.64722222222222225</v>
      </c>
      <c r="M203" s="43">
        <v>0.69444444444444453</v>
      </c>
      <c r="N203" s="43">
        <v>0.89930555555555547</v>
      </c>
      <c r="O203" s="43">
        <f>1+48/24/60</f>
        <v>1.0333333333333334</v>
      </c>
      <c r="P203" s="39"/>
      <c r="Q203" s="42"/>
      <c r="R203" s="44">
        <f>MIP_4[[#This Row],[PT-1]]+MIP_4[[#This Row],[PT-2]]*2+MIP_4[[#This Row],[PT-3]]*3+MIP_4[[#This Row],[PT &gt; 3 Pontos]]</f>
        <v>8</v>
      </c>
      <c r="S20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0.18125000000000024</v>
      </c>
      <c r="T20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0.18125000000000024</v>
      </c>
      <c r="U203" s="41">
        <f ca="1">MIP_4[[#This Row],[Eficiência]]</f>
        <v>1.1515155720012342</v>
      </c>
      <c r="V20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03" s="39">
        <f>IF(MIP_4[[#This Row],[P.S]]-MIP_4[[#This Row],[P.E]]&lt;0,1+MIP_4[[#This Row],[P.S]]-MIP_4[[#This Row],[P.E]]-1/24,MIP_4[[#This Row],[P.S]]-MIP_4[[#This Row],[P.E]]-1/24)</f>
        <v>0.3444444444444445</v>
      </c>
      <c r="X203" s="39">
        <f ca="1">MIP_4[[#This Row],[PT-1]]*$S$3+MIP_4[[#This Row],[PT-2]]*$T$3+MIP_4[[#This Row],[PT-3]]*$U$3+MIP_4[[#This Row],[PT &gt; 3 Pontos]]*$V$3</f>
        <v>0.18792094404186788</v>
      </c>
      <c r="Y203" s="39">
        <f>MIP_4[[#This Row],[HH disponível]]-MIP_4[[#This Row],[HH AC TOT]]</f>
        <v>0.16319444444444425</v>
      </c>
      <c r="Z203" s="38">
        <f ca="1">MIP_4[[#This Row],[HH Produtivo
Total]]/MIP_4[[#This Row],[HH Trabalhado]]</f>
        <v>1.1515155720012342</v>
      </c>
      <c r="AA203" s="38">
        <f ca="1">MIP_4[[#This Row],[HH Produtivo
Total]]/MIP_4[[#This Row],[HH disponível]]</f>
        <v>0.54557693431510024</v>
      </c>
      <c r="AB203" s="38">
        <f>MIP_4[[#This Row],[HH Trabalhado]]/MIP_4[[#This Row],[HH disponível]]</f>
        <v>0.47379032258064452</v>
      </c>
      <c r="AC203" s="37" t="str">
        <f>LEFT(MIP_4[[#This Row],[Equipe]], SEARCH("/",MIP_4[[#This Row],[Equipe]],1)-1)</f>
        <v xml:space="preserve">CLEBER </v>
      </c>
      <c r="AD203" s="37" t="str">
        <f>RIGHT(MIP_4[[#This Row],[Equipe]], LEN(MIP_4[[#This Row],[Equipe]])-SEARCH("/",MIP_4[[#This Row],[Equipe]],1))</f>
        <v xml:space="preserve"> HERVAL</v>
      </c>
      <c r="AE203" s="44">
        <f>COUNTIFS('[1]Tempo parado'!G:G,"&gt;="&amp;MIP_4[[#This Row],[S.B Sitrack]],'[1]Tempo parado'!H:H,"&lt;="&amp;MIP_4[[#This Row],[C.B Sitrack]],'[1]Tempo parado'!A:A,MIP_4[[#This Row],[Placa]])</f>
        <v>0</v>
      </c>
      <c r="AF203" s="36"/>
      <c r="AG203" s="35"/>
      <c r="AH203" s="34"/>
      <c r="AI203" s="34"/>
      <c r="AJ20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0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0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03" s="32" t="str">
        <f>IFERROR(MIP_4[[#This Row],[Tempo parado]]/(MIP_4[[#This Row],[C.B Sitrack]]-MIP_4[[#This Row],[S.B Sitrack]]),"")</f>
        <v/>
      </c>
      <c r="AN203" s="30"/>
      <c r="AO203" s="44">
        <f>IF(AND(MIP_4[Exc]=0,MIP_4[Previsto / Realizado]="Realizado"),MIP_4[Sem],0)</f>
        <v>27</v>
      </c>
      <c r="AP203" s="29">
        <f>IF(AND(MIP_4[Exc]=0,MIP_4[Previsto / Realizado]="Realizado",ISBLANK(MIP_4[[#This Row],[S.B Sitrack]])=FALSE,ISBLANK(MIP_4[[#This Row],[C.B Sitrack]])=FALSE),MIP_4[Sem],0)</f>
        <v>0</v>
      </c>
    </row>
    <row r="204" spans="1:42" ht="15.75" x14ac:dyDescent="0.25">
      <c r="A204" s="44">
        <f>WEEKNUM(MIP_4[[#This Row],[Data]])</f>
        <v>27</v>
      </c>
      <c r="B204" s="45">
        <v>42923</v>
      </c>
      <c r="C204" s="45"/>
      <c r="D204" s="35" t="s">
        <v>7</v>
      </c>
      <c r="E204" s="35" t="s">
        <v>5</v>
      </c>
      <c r="F204" s="35"/>
      <c r="G204" s="44">
        <v>2</v>
      </c>
      <c r="H204" s="44">
        <v>9</v>
      </c>
      <c r="I204" s="44">
        <v>3</v>
      </c>
      <c r="J204" s="44">
        <v>0</v>
      </c>
      <c r="K204" s="44">
        <v>4</v>
      </c>
      <c r="L204" s="43">
        <v>0.625</v>
      </c>
      <c r="M204" s="43">
        <v>0.64583333333333337</v>
      </c>
      <c r="N204" s="43">
        <f>1+18/24/60</f>
        <v>1.0125</v>
      </c>
      <c r="O204" s="43">
        <f>1+48/24/60</f>
        <v>1.0333333333333334</v>
      </c>
      <c r="P204" s="39"/>
      <c r="Q204" s="42"/>
      <c r="R204" s="44">
        <f>MIP_4[[#This Row],[PT-1]]+MIP_4[[#This Row],[PT-2]]*2+MIP_4[[#This Row],[PT-3]]*3+MIP_4[[#This Row],[PT &gt; 3 Pontos]]</f>
        <v>19</v>
      </c>
      <c r="S20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20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204" s="41">
        <f ca="1">MIP_4[[#This Row],[Eficiência]]</f>
        <v>1.3475415952695542</v>
      </c>
      <c r="V20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04" s="39">
        <f>IF(MIP_4[[#This Row],[P.S]]-MIP_4[[#This Row],[P.E]]&lt;0,1+MIP_4[[#This Row],[P.S]]-MIP_4[[#This Row],[P.E]]-1/24,MIP_4[[#This Row],[P.S]]-MIP_4[[#This Row],[P.E]]-1/24)</f>
        <v>0.36666666666666675</v>
      </c>
      <c r="X204" s="39">
        <f ca="1">MIP_4[[#This Row],[PT-1]]*$S$3+MIP_4[[#This Row],[PT-2]]*$T$3+MIP_4[[#This Row],[PT-3]]*$U$3+MIP_4[[#This Row],[PT &gt; 3 Pontos]]*$V$3</f>
        <v>0.43795101846260498</v>
      </c>
      <c r="Y204" s="39">
        <f>MIP_4[[#This Row],[HH disponível]]-MIP_4[[#This Row],[HH AC TOT]]</f>
        <v>0.3249999999999999</v>
      </c>
      <c r="Z204" s="38">
        <f ca="1">MIP_4[[#This Row],[HH Produtivo
Total]]/MIP_4[[#This Row],[HH Trabalhado]]</f>
        <v>1.3475415952695542</v>
      </c>
      <c r="AA204" s="38">
        <f ca="1">MIP_4[[#This Row],[HH Produtivo
Total]]/MIP_4[[#This Row],[HH disponível]]</f>
        <v>1.194411868534377</v>
      </c>
      <c r="AB204" s="38">
        <f>MIP_4[[#This Row],[HH Trabalhado]]/MIP_4[[#This Row],[HH disponível]]</f>
        <v>0.88636363636363591</v>
      </c>
      <c r="AC204" s="37" t="str">
        <f>LEFT(MIP_4[[#This Row],[Equipe]], SEARCH("/",MIP_4[[#This Row],[Equipe]],1)-1)</f>
        <v xml:space="preserve">ANDERSON </v>
      </c>
      <c r="AD204" s="37" t="str">
        <f>RIGHT(MIP_4[[#This Row],[Equipe]], LEN(MIP_4[[#This Row],[Equipe]])-SEARCH("/",MIP_4[[#This Row],[Equipe]],1))</f>
        <v xml:space="preserve"> MARCO</v>
      </c>
      <c r="AE204" s="44">
        <f>COUNTIFS('[1]Tempo parado'!G:G,"&gt;="&amp;MIP_4[[#This Row],[S.B Sitrack]],'[1]Tempo parado'!H:H,"&lt;="&amp;MIP_4[[#This Row],[C.B Sitrack]],'[1]Tempo parado'!A:A,MIP_4[[#This Row],[Placa]])</f>
        <v>0</v>
      </c>
      <c r="AF204" s="36"/>
      <c r="AG204" s="35"/>
      <c r="AH204" s="34"/>
      <c r="AI204" s="34"/>
      <c r="AJ20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0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0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04" s="32" t="str">
        <f>IFERROR(MIP_4[[#This Row],[Tempo parado]]/(MIP_4[[#This Row],[C.B Sitrack]]-MIP_4[[#This Row],[S.B Sitrack]]),"")</f>
        <v/>
      </c>
      <c r="AN204" s="30"/>
      <c r="AO204" s="44">
        <f>IF(AND(MIP_4[Exc]=0,MIP_4[Previsto / Realizado]="Realizado"),MIP_4[Sem],0)</f>
        <v>0</v>
      </c>
      <c r="AP204" s="29">
        <f>IF(AND(MIP_4[Exc]=0,MIP_4[Previsto / Realizado]="Realizado",ISBLANK(MIP_4[[#This Row],[S.B Sitrack]])=FALSE,ISBLANK(MIP_4[[#This Row],[C.B Sitrack]])=FALSE),MIP_4[Sem],0)</f>
        <v>0</v>
      </c>
    </row>
    <row r="205" spans="1:42" ht="15.75" x14ac:dyDescent="0.25">
      <c r="A205" s="44">
        <f>WEEKNUM(MIP_4[[#This Row],[Data]])</f>
        <v>27</v>
      </c>
      <c r="B205" s="45">
        <v>42923</v>
      </c>
      <c r="C205" s="45"/>
      <c r="D205" s="35" t="s">
        <v>7</v>
      </c>
      <c r="E205" s="35" t="s">
        <v>2</v>
      </c>
      <c r="F205" s="35"/>
      <c r="G205" s="44">
        <v>2</v>
      </c>
      <c r="H205" s="44">
        <v>6</v>
      </c>
      <c r="I205" s="44">
        <v>2</v>
      </c>
      <c r="J205" s="44">
        <v>0</v>
      </c>
      <c r="K205" s="44">
        <v>4</v>
      </c>
      <c r="L205" s="43">
        <v>0.62777777777777777</v>
      </c>
      <c r="M205" s="43">
        <v>0.71527777777777779</v>
      </c>
      <c r="N205" s="43">
        <f>1+20/24/60</f>
        <v>1.0138888888888888</v>
      </c>
      <c r="O205" s="43">
        <f>1+53/24/60</f>
        <v>1.0368055555555555</v>
      </c>
      <c r="P205" s="39"/>
      <c r="Q205" s="42"/>
      <c r="R205" s="44">
        <f>MIP_4[[#This Row],[PT-1]]+MIP_4[[#This Row],[PT-2]]*2+MIP_4[[#This Row],[PT-3]]*3+MIP_4[[#This Row],[PT &gt; 3 Pontos]]</f>
        <v>14</v>
      </c>
      <c r="S20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0.11041666666666672</v>
      </c>
      <c r="T20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0.11041666666666672</v>
      </c>
      <c r="U205" s="41">
        <f ca="1">MIP_4[[#This Row],[Eficiência]]</f>
        <v>1.2413761043652352</v>
      </c>
      <c r="V20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05" s="39">
        <f>IF(MIP_4[[#This Row],[P.S]]-MIP_4[[#This Row],[P.E]]&lt;0,1+MIP_4[[#This Row],[P.S]]-MIP_4[[#This Row],[P.E]]-1/24,MIP_4[[#This Row],[P.S]]-MIP_4[[#This Row],[P.E]]-1/24)</f>
        <v>0.36736111111111108</v>
      </c>
      <c r="X205" s="39">
        <f ca="1">MIP_4[[#This Row],[PT-1]]*$S$3+MIP_4[[#This Row],[PT-2]]*$T$3+MIP_4[[#This Row],[PT-3]]*$U$3+MIP_4[[#This Row],[PT &gt; 3 Pontos]]*$V$3</f>
        <v>0.31896469348273393</v>
      </c>
      <c r="Y205" s="39">
        <f>MIP_4[[#This Row],[HH disponível]]-MIP_4[[#This Row],[HH AC TOT]]</f>
        <v>0.25694444444444436</v>
      </c>
      <c r="Z205" s="38">
        <f ca="1">MIP_4[[#This Row],[HH Produtivo
Total]]/MIP_4[[#This Row],[HH Trabalhado]]</f>
        <v>1.2413761043652352</v>
      </c>
      <c r="AA205" s="38">
        <f ca="1">MIP_4[[#This Row],[HH Produtivo
Total]]/MIP_4[[#This Row],[HH disponível]]</f>
        <v>0.86825927904562739</v>
      </c>
      <c r="AB205" s="38">
        <f>MIP_4[[#This Row],[HH Trabalhado]]/MIP_4[[#This Row],[HH disponível]]</f>
        <v>0.6994328922495272</v>
      </c>
      <c r="AC205" s="37" t="str">
        <f>LEFT(MIP_4[[#This Row],[Equipe]], SEARCH("/",MIP_4[[#This Row],[Equipe]],1)-1)</f>
        <v xml:space="preserve">ANDERSON </v>
      </c>
      <c r="AD205" s="37" t="str">
        <f>RIGHT(MIP_4[[#This Row],[Equipe]], LEN(MIP_4[[#This Row],[Equipe]])-SEARCH("/",MIP_4[[#This Row],[Equipe]],1))</f>
        <v xml:space="preserve"> MARCO</v>
      </c>
      <c r="AE205" s="44">
        <f>COUNTIFS('[1]Tempo parado'!G:G,"&gt;="&amp;MIP_4[[#This Row],[S.B Sitrack]],'[1]Tempo parado'!H:H,"&lt;="&amp;MIP_4[[#This Row],[C.B Sitrack]],'[1]Tempo parado'!A:A,MIP_4[[#This Row],[Placa]])</f>
        <v>0</v>
      </c>
      <c r="AF205" s="36"/>
      <c r="AG205" s="35"/>
      <c r="AH205" s="34"/>
      <c r="AI205" s="34"/>
      <c r="AJ20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0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0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05" s="32" t="str">
        <f>IFERROR(MIP_4[[#This Row],[Tempo parado]]/(MIP_4[[#This Row],[C.B Sitrack]]-MIP_4[[#This Row],[S.B Sitrack]]),"")</f>
        <v/>
      </c>
      <c r="AN205" s="30"/>
      <c r="AO205" s="44">
        <f>IF(AND(MIP_4[Exc]=0,MIP_4[Previsto / Realizado]="Realizado"),MIP_4[Sem],0)</f>
        <v>27</v>
      </c>
      <c r="AP205" s="29">
        <f>IF(AND(MIP_4[Exc]=0,MIP_4[Previsto / Realizado]="Realizado",ISBLANK(MIP_4[[#This Row],[S.B Sitrack]])=FALSE,ISBLANK(MIP_4[[#This Row],[C.B Sitrack]])=FALSE),MIP_4[Sem],0)</f>
        <v>0</v>
      </c>
    </row>
    <row r="206" spans="1:42" ht="15.75" x14ac:dyDescent="0.25">
      <c r="A206" s="44">
        <f>WEEKNUM(MIP_4[[#This Row],[Data]])</f>
        <v>27</v>
      </c>
      <c r="B206" s="45">
        <v>42923</v>
      </c>
      <c r="C206" s="45"/>
      <c r="D206" s="35" t="s">
        <v>3</v>
      </c>
      <c r="E206" s="35" t="s">
        <v>5</v>
      </c>
      <c r="F206" s="35"/>
      <c r="G206" s="44">
        <v>2</v>
      </c>
      <c r="H206" s="44">
        <v>8</v>
      </c>
      <c r="I206" s="44">
        <v>2</v>
      </c>
      <c r="J206" s="44">
        <v>0</v>
      </c>
      <c r="K206" s="44">
        <v>0</v>
      </c>
      <c r="L206" s="43">
        <v>0.625</v>
      </c>
      <c r="M206" s="43">
        <v>0.64583333333333337</v>
      </c>
      <c r="N206" s="43">
        <f>1+18/24/60</f>
        <v>1.0125</v>
      </c>
      <c r="O206" s="43">
        <f>1+48/24/60</f>
        <v>1.0333333333333334</v>
      </c>
      <c r="P206" s="39"/>
      <c r="Q206" s="42"/>
      <c r="R206" s="44">
        <f>MIP_4[[#This Row],[PT-1]]+MIP_4[[#This Row],[PT-2]]*2+MIP_4[[#This Row],[PT-3]]*3+MIP_4[[#This Row],[PT &gt; 3 Pontos]]</f>
        <v>12</v>
      </c>
      <c r="S20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20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206" s="41">
        <f ca="1">MIP_4[[#This Row],[Eficiência]]</f>
        <v>0.88622878731574362</v>
      </c>
      <c r="V20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06" s="39">
        <f>IF(MIP_4[[#This Row],[P.S]]-MIP_4[[#This Row],[P.E]]&lt;0,1+MIP_4[[#This Row],[P.S]]-MIP_4[[#This Row],[P.E]]-1/24,MIP_4[[#This Row],[P.S]]-MIP_4[[#This Row],[P.E]]-1/24)</f>
        <v>0.36666666666666675</v>
      </c>
      <c r="X206" s="39">
        <f ca="1">MIP_4[[#This Row],[PT-1]]*$S$3+MIP_4[[#This Row],[PT-2]]*$T$3+MIP_4[[#This Row],[PT-3]]*$U$3+MIP_4[[#This Row],[PT &gt; 3 Pontos]]*$V$3</f>
        <v>0.2880243558776166</v>
      </c>
      <c r="Y206" s="39">
        <f>MIP_4[[#This Row],[HH disponível]]-MIP_4[[#This Row],[HH AC TOT]]</f>
        <v>0.3249999999999999</v>
      </c>
      <c r="Z206" s="38">
        <f ca="1">MIP_4[[#This Row],[HH Produtivo
Total]]/MIP_4[[#This Row],[HH Trabalhado]]</f>
        <v>0.88622878731574362</v>
      </c>
      <c r="AA206" s="38">
        <f ca="1">MIP_4[[#This Row],[HH Produtivo
Total]]/MIP_4[[#This Row],[HH disponível]]</f>
        <v>0.78552097057531778</v>
      </c>
      <c r="AB206" s="38">
        <f>MIP_4[[#This Row],[HH Trabalhado]]/MIP_4[[#This Row],[HH disponível]]</f>
        <v>0.88636363636363591</v>
      </c>
      <c r="AC206" s="37" t="str">
        <f>LEFT(MIP_4[[#This Row],[Equipe]], SEARCH("/",MIP_4[[#This Row],[Equipe]],1)-1)</f>
        <v xml:space="preserve">EDILTON </v>
      </c>
      <c r="AD206" s="37" t="str">
        <f>RIGHT(MIP_4[[#This Row],[Equipe]], LEN(MIP_4[[#This Row],[Equipe]])-SEARCH("/",MIP_4[[#This Row],[Equipe]],1))</f>
        <v xml:space="preserve"> GECIVALDO</v>
      </c>
      <c r="AE206" s="44">
        <f>COUNTIFS('[1]Tempo parado'!G:G,"&gt;="&amp;MIP_4[[#This Row],[S.B Sitrack]],'[1]Tempo parado'!H:H,"&lt;="&amp;MIP_4[[#This Row],[C.B Sitrack]],'[1]Tempo parado'!A:A,MIP_4[[#This Row],[Placa]])</f>
        <v>0</v>
      </c>
      <c r="AF206" s="36"/>
      <c r="AG206" s="35"/>
      <c r="AH206" s="34"/>
      <c r="AI206" s="34"/>
      <c r="AJ20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0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0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06" s="32" t="str">
        <f>IFERROR(MIP_4[[#This Row],[Tempo parado]]/(MIP_4[[#This Row],[C.B Sitrack]]-MIP_4[[#This Row],[S.B Sitrack]]),"")</f>
        <v/>
      </c>
      <c r="AN206" s="30"/>
      <c r="AO206" s="44">
        <f>IF(AND(MIP_4[Exc]=0,MIP_4[Previsto / Realizado]="Realizado"),MIP_4[Sem],0)</f>
        <v>0</v>
      </c>
      <c r="AP206" s="29">
        <f>IF(AND(MIP_4[Exc]=0,MIP_4[Previsto / Realizado]="Realizado",ISBLANK(MIP_4[[#This Row],[S.B Sitrack]])=FALSE,ISBLANK(MIP_4[[#This Row],[C.B Sitrack]])=FALSE),MIP_4[Sem],0)</f>
        <v>0</v>
      </c>
    </row>
    <row r="207" spans="1:42" ht="15.75" x14ac:dyDescent="0.25">
      <c r="A207" s="44">
        <f>WEEKNUM(MIP_4[[#This Row],[Data]])</f>
        <v>27</v>
      </c>
      <c r="B207" s="45">
        <v>42923</v>
      </c>
      <c r="C207" s="45"/>
      <c r="D207" s="35" t="s">
        <v>3</v>
      </c>
      <c r="E207" s="35" t="s">
        <v>2</v>
      </c>
      <c r="F207" s="35"/>
      <c r="G207" s="44">
        <v>2</v>
      </c>
      <c r="H207" s="44">
        <v>8</v>
      </c>
      <c r="I207" s="44">
        <v>1</v>
      </c>
      <c r="J207" s="44">
        <v>0</v>
      </c>
      <c r="K207" s="44">
        <v>0</v>
      </c>
      <c r="L207" s="43">
        <v>0.62222222222222223</v>
      </c>
      <c r="M207" s="43">
        <v>0.69444444444444453</v>
      </c>
      <c r="N207" s="43">
        <v>0.96180555555555547</v>
      </c>
      <c r="O207" s="43">
        <f>1+48/24/60</f>
        <v>1.0333333333333334</v>
      </c>
      <c r="P207" s="39"/>
      <c r="Q207" s="42"/>
      <c r="R207" s="44">
        <f>MIP_4[[#This Row],[PT-1]]+MIP_4[[#This Row],[PT-2]]*2+MIP_4[[#This Row],[PT-3]]*3+MIP_4[[#This Row],[PT &gt; 3 Pontos]]</f>
        <v>10</v>
      </c>
      <c r="S20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0.14375000000000027</v>
      </c>
      <c r="T20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0.14375000000000027</v>
      </c>
      <c r="U207" s="41">
        <f ca="1">MIP_4[[#This Row],[Eficiência]]</f>
        <v>1.081619843924192</v>
      </c>
      <c r="V20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07" s="39">
        <f>IF(MIP_4[[#This Row],[P.S]]-MIP_4[[#This Row],[P.E]]&lt;0,1+MIP_4[[#This Row],[P.S]]-MIP_4[[#This Row],[P.E]]-1/24,MIP_4[[#This Row],[P.S]]-MIP_4[[#This Row],[P.E]]-1/24)</f>
        <v>0.36944444444444452</v>
      </c>
      <c r="X207" s="39">
        <f ca="1">MIP_4[[#This Row],[PT-1]]*$S$3+MIP_4[[#This Row],[PT-2]]*$T$3+MIP_4[[#This Row],[PT-3]]*$U$3+MIP_4[[#This Row],[PT &gt; 3 Pontos]]*$V$3</f>
        <v>0.24411558977455702</v>
      </c>
      <c r="Y207" s="39">
        <f>MIP_4[[#This Row],[HH disponível]]-MIP_4[[#This Row],[HH AC TOT]]</f>
        <v>0.22569444444444425</v>
      </c>
      <c r="Z207" s="38">
        <f ca="1">MIP_4[[#This Row],[HH Produtivo
Total]]/MIP_4[[#This Row],[HH Trabalhado]]</f>
        <v>1.081619843924192</v>
      </c>
      <c r="AA207" s="38">
        <f ca="1">MIP_4[[#This Row],[HH Produtivo
Total]]/MIP_4[[#This Row],[HH disponível]]</f>
        <v>0.66076400239729705</v>
      </c>
      <c r="AB207" s="38">
        <f>MIP_4[[#This Row],[HH Trabalhado]]/MIP_4[[#This Row],[HH disponível]]</f>
        <v>0.61090225563909706</v>
      </c>
      <c r="AC207" s="37" t="str">
        <f>LEFT(MIP_4[[#This Row],[Equipe]], SEARCH("/",MIP_4[[#This Row],[Equipe]],1)-1)</f>
        <v xml:space="preserve">EDILTON </v>
      </c>
      <c r="AD207" s="37" t="str">
        <f>RIGHT(MIP_4[[#This Row],[Equipe]], LEN(MIP_4[[#This Row],[Equipe]])-SEARCH("/",MIP_4[[#This Row],[Equipe]],1))</f>
        <v xml:space="preserve"> GECIVALDO</v>
      </c>
      <c r="AE207" s="44">
        <f>COUNTIFS('[1]Tempo parado'!G:G,"&gt;="&amp;MIP_4[[#This Row],[S.B Sitrack]],'[1]Tempo parado'!H:H,"&lt;="&amp;MIP_4[[#This Row],[C.B Sitrack]],'[1]Tempo parado'!A:A,MIP_4[[#This Row],[Placa]])</f>
        <v>0</v>
      </c>
      <c r="AF207" s="36"/>
      <c r="AG207" s="35"/>
      <c r="AH207" s="34"/>
      <c r="AI207" s="34"/>
      <c r="AJ20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0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0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07" s="32" t="str">
        <f>IFERROR(MIP_4[[#This Row],[Tempo parado]]/(MIP_4[[#This Row],[C.B Sitrack]]-MIP_4[[#This Row],[S.B Sitrack]]),"")</f>
        <v/>
      </c>
      <c r="AN207" s="30"/>
      <c r="AO207" s="44">
        <f>IF(AND(MIP_4[Exc]=0,MIP_4[Previsto / Realizado]="Realizado"),MIP_4[Sem],0)</f>
        <v>27</v>
      </c>
      <c r="AP207" s="29">
        <f>IF(AND(MIP_4[Exc]=0,MIP_4[Previsto / Realizado]="Realizado",ISBLANK(MIP_4[[#This Row],[S.B Sitrack]])=FALSE,ISBLANK(MIP_4[[#This Row],[C.B Sitrack]])=FALSE),MIP_4[Sem],0)</f>
        <v>0</v>
      </c>
    </row>
    <row r="208" spans="1:42" ht="15.75" x14ac:dyDescent="0.25">
      <c r="A208" s="44">
        <f>WEEKNUM(MIP_4[[#This Row],[Data]])</f>
        <v>27</v>
      </c>
      <c r="B208" s="45">
        <v>42924</v>
      </c>
      <c r="C208" s="45"/>
      <c r="D208" s="35" t="s">
        <v>10</v>
      </c>
      <c r="E208" s="35" t="s">
        <v>5</v>
      </c>
      <c r="F208" s="35"/>
      <c r="G208" s="44">
        <v>2</v>
      </c>
      <c r="H208" s="44">
        <v>2</v>
      </c>
      <c r="I208" s="44">
        <v>2</v>
      </c>
      <c r="J208" s="44">
        <v>0</v>
      </c>
      <c r="K208" s="44">
        <v>10</v>
      </c>
      <c r="L208" s="43">
        <v>0.25</v>
      </c>
      <c r="M208" s="43">
        <v>0.27083333333333331</v>
      </c>
      <c r="N208" s="43">
        <v>0.63750000000000007</v>
      </c>
      <c r="O208" s="43">
        <v>0.65833333333333333</v>
      </c>
      <c r="P208" s="39"/>
      <c r="Q208" s="42"/>
      <c r="R208" s="44">
        <f>MIP_4[[#This Row],[PT-1]]+MIP_4[[#This Row],[PT-2]]*2+MIP_4[[#This Row],[PT-3]]*3+MIP_4[[#This Row],[PT &gt; 3 Pontos]]</f>
        <v>16</v>
      </c>
      <c r="S20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20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208" s="41">
        <f ca="1">MIP_4[[#This Row],[Eficiência]]</f>
        <v>1.0472287597891463</v>
      </c>
      <c r="V20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08" s="39">
        <f>IF(MIP_4[[#This Row],[P.S]]-MIP_4[[#This Row],[P.E]]&lt;0,1+MIP_4[[#This Row],[P.S]]-MIP_4[[#This Row],[P.E]]-1/24,MIP_4[[#This Row],[P.S]]-MIP_4[[#This Row],[P.E]]-1/24)</f>
        <v>0.36666666666666664</v>
      </c>
      <c r="X208" s="39">
        <f ca="1">MIP_4[[#This Row],[PT-1]]*$S$3+MIP_4[[#This Row],[PT-2]]*$T$3+MIP_4[[#This Row],[PT-3]]*$U$3+MIP_4[[#This Row],[PT &gt; 3 Pontos]]*$V$3</f>
        <v>0.34034934693147262</v>
      </c>
      <c r="Y208" s="39">
        <f>MIP_4[[#This Row],[HH disponível]]-MIP_4[[#This Row],[HH AC TOT]]</f>
        <v>0.32500000000000007</v>
      </c>
      <c r="Z208" s="38">
        <f ca="1">MIP_4[[#This Row],[HH Produtivo
Total]]/MIP_4[[#This Row],[HH Trabalhado]]</f>
        <v>1.0472287597891463</v>
      </c>
      <c r="AA208" s="38">
        <f ca="1">MIP_4[[#This Row],[HH Produtivo
Total]]/MIP_4[[#This Row],[HH disponível]]</f>
        <v>0.92822549163128898</v>
      </c>
      <c r="AB208" s="38">
        <f>MIP_4[[#This Row],[HH Trabalhado]]/MIP_4[[#This Row],[HH disponível]]</f>
        <v>0.88636363636363658</v>
      </c>
      <c r="AC208" s="37" t="str">
        <f>LEFT(MIP_4[[#This Row],[Equipe]], SEARCH("/",MIP_4[[#This Row],[Equipe]],1)-1)</f>
        <v xml:space="preserve">JOILSON </v>
      </c>
      <c r="AD208" s="37" t="str">
        <f>RIGHT(MIP_4[[#This Row],[Equipe]], LEN(MIP_4[[#This Row],[Equipe]])-SEARCH("/",MIP_4[[#This Row],[Equipe]],1))</f>
        <v xml:space="preserve"> VALDEI</v>
      </c>
      <c r="AE208" s="44">
        <f>COUNTIFS('[1]Tempo parado'!G:G,"&gt;="&amp;MIP_4[[#This Row],[S.B Sitrack]],'[1]Tempo parado'!H:H,"&lt;="&amp;MIP_4[[#This Row],[C.B Sitrack]],'[1]Tempo parado'!A:A,MIP_4[[#This Row],[Placa]])</f>
        <v>0</v>
      </c>
      <c r="AF208" s="36"/>
      <c r="AG208" s="35"/>
      <c r="AH208" s="34"/>
      <c r="AI208" s="34"/>
      <c r="AJ20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0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0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08" s="32" t="str">
        <f>IFERROR(MIP_4[[#This Row],[Tempo parado]]/(MIP_4[[#This Row],[C.B Sitrack]]-MIP_4[[#This Row],[S.B Sitrack]]),"")</f>
        <v/>
      </c>
      <c r="AN208" s="30"/>
      <c r="AO208" s="44">
        <f>IF(AND(MIP_4[Exc]=0,MIP_4[Previsto / Realizado]="Realizado"),MIP_4[Sem],0)</f>
        <v>0</v>
      </c>
      <c r="AP208" s="29">
        <f>IF(AND(MIP_4[Exc]=0,MIP_4[Previsto / Realizado]="Realizado",ISBLANK(MIP_4[[#This Row],[S.B Sitrack]])=FALSE,ISBLANK(MIP_4[[#This Row],[C.B Sitrack]])=FALSE),MIP_4[Sem],0)</f>
        <v>0</v>
      </c>
    </row>
    <row r="209" spans="1:42" ht="15.75" x14ac:dyDescent="0.25">
      <c r="A209" s="44">
        <f>WEEKNUM(MIP_4[[#This Row],[Data]])</f>
        <v>27</v>
      </c>
      <c r="B209" s="45">
        <v>42924</v>
      </c>
      <c r="C209" s="45"/>
      <c r="D209" s="35" t="s">
        <v>10</v>
      </c>
      <c r="E209" s="35" t="s">
        <v>2</v>
      </c>
      <c r="F209" s="35"/>
      <c r="G209" s="44">
        <v>2</v>
      </c>
      <c r="H209" s="44">
        <v>1</v>
      </c>
      <c r="I209" s="44">
        <v>2</v>
      </c>
      <c r="J209" s="44">
        <v>0</v>
      </c>
      <c r="K209" s="44">
        <v>10</v>
      </c>
      <c r="L209" s="43">
        <v>0.24861111111111112</v>
      </c>
      <c r="M209" s="43">
        <v>0.29166666666666669</v>
      </c>
      <c r="N209" s="43">
        <v>0.59166666666666667</v>
      </c>
      <c r="O209" s="43">
        <v>0.66111111111111109</v>
      </c>
      <c r="P209" s="39"/>
      <c r="Q209" s="42"/>
      <c r="R209" s="44">
        <f>MIP_4[[#This Row],[PT-1]]+MIP_4[[#This Row],[PT-2]]*2+MIP_4[[#This Row],[PT-3]]*3+MIP_4[[#This Row],[PT &gt; 3 Pontos]]</f>
        <v>15</v>
      </c>
      <c r="S20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0.11249999999999999</v>
      </c>
      <c r="T20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0.11249999999999999</v>
      </c>
      <c r="U209" s="41">
        <f ca="1">MIP_4[[#This Row],[Eficiência]]</f>
        <v>1.2206070734420729</v>
      </c>
      <c r="V20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09" s="39">
        <f>IF(MIP_4[[#This Row],[P.S]]-MIP_4[[#This Row],[P.E]]&lt;0,1+MIP_4[[#This Row],[P.S]]-MIP_4[[#This Row],[P.E]]-1/24,MIP_4[[#This Row],[P.S]]-MIP_4[[#This Row],[P.E]]-1/24)</f>
        <v>0.37083333333333329</v>
      </c>
      <c r="X209" s="39">
        <f ca="1">MIP_4[[#This Row],[PT-1]]*$S$3+MIP_4[[#This Row],[PT-2]]*$T$3+MIP_4[[#This Row],[PT-3]]*$U$3+MIP_4[[#This Row],[PT &gt; 3 Pontos]]*$V$3</f>
        <v>0.31532349397253545</v>
      </c>
      <c r="Y209" s="39">
        <f>MIP_4[[#This Row],[HH disponível]]-MIP_4[[#This Row],[HH AC TOT]]</f>
        <v>0.2583333333333333</v>
      </c>
      <c r="Z209" s="38">
        <f ca="1">MIP_4[[#This Row],[HH Produtivo
Total]]/MIP_4[[#This Row],[HH Trabalhado]]</f>
        <v>1.2206070734420729</v>
      </c>
      <c r="AA209" s="38">
        <f ca="1">MIP_4[[#This Row],[HH Produtivo
Total]]/MIP_4[[#This Row],[HH disponível]]</f>
        <v>0.85031054554391594</v>
      </c>
      <c r="AB209" s="38">
        <f>MIP_4[[#This Row],[HH Trabalhado]]/MIP_4[[#This Row],[HH disponível]]</f>
        <v>0.6966292134831461</v>
      </c>
      <c r="AC209" s="37" t="str">
        <f>LEFT(MIP_4[[#This Row],[Equipe]], SEARCH("/",MIP_4[[#This Row],[Equipe]],1)-1)</f>
        <v xml:space="preserve">JOILSON </v>
      </c>
      <c r="AD209" s="37" t="str">
        <f>RIGHT(MIP_4[[#This Row],[Equipe]], LEN(MIP_4[[#This Row],[Equipe]])-SEARCH("/",MIP_4[[#This Row],[Equipe]],1))</f>
        <v xml:space="preserve"> VALDEI</v>
      </c>
      <c r="AE209" s="44">
        <f>COUNTIFS('[1]Tempo parado'!G:G,"&gt;="&amp;MIP_4[[#This Row],[S.B Sitrack]],'[1]Tempo parado'!H:H,"&lt;="&amp;MIP_4[[#This Row],[C.B Sitrack]],'[1]Tempo parado'!A:A,MIP_4[[#This Row],[Placa]])</f>
        <v>0</v>
      </c>
      <c r="AF209" s="36"/>
      <c r="AG209" s="35"/>
      <c r="AH209" s="34"/>
      <c r="AI209" s="34"/>
      <c r="AJ20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0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0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09" s="32" t="str">
        <f>IFERROR(MIP_4[[#This Row],[Tempo parado]]/(MIP_4[[#This Row],[C.B Sitrack]]-MIP_4[[#This Row],[S.B Sitrack]]),"")</f>
        <v/>
      </c>
      <c r="AN209" s="30"/>
      <c r="AO209" s="44">
        <f>IF(AND(MIP_4[Exc]=0,MIP_4[Previsto / Realizado]="Realizado"),MIP_4[Sem],0)</f>
        <v>27</v>
      </c>
      <c r="AP209" s="29">
        <f>IF(AND(MIP_4[Exc]=0,MIP_4[Previsto / Realizado]="Realizado",ISBLANK(MIP_4[[#This Row],[S.B Sitrack]])=FALSE,ISBLANK(MIP_4[[#This Row],[C.B Sitrack]])=FALSE),MIP_4[Sem],0)</f>
        <v>0</v>
      </c>
    </row>
    <row r="210" spans="1:42" ht="15.75" x14ac:dyDescent="0.25">
      <c r="A210" s="44">
        <f>WEEKNUM(MIP_4[[#This Row],[Data]])</f>
        <v>27</v>
      </c>
      <c r="B210" s="45">
        <v>42924</v>
      </c>
      <c r="C210" s="45"/>
      <c r="D210" s="35" t="s">
        <v>19</v>
      </c>
      <c r="E210" s="35" t="s">
        <v>5</v>
      </c>
      <c r="F210" s="35"/>
      <c r="G210" s="44">
        <v>2</v>
      </c>
      <c r="H210" s="44">
        <v>3</v>
      </c>
      <c r="I210" s="44">
        <v>1</v>
      </c>
      <c r="J210" s="44">
        <v>0</v>
      </c>
      <c r="K210" s="44">
        <v>8</v>
      </c>
      <c r="L210" s="43">
        <v>0.625</v>
      </c>
      <c r="M210" s="43">
        <v>0.64583333333333337</v>
      </c>
      <c r="N210" s="43">
        <f>1+18/24/60</f>
        <v>1.0125</v>
      </c>
      <c r="O210" s="43">
        <f>1+48/24/60</f>
        <v>1.0333333333333334</v>
      </c>
      <c r="P210" s="39"/>
      <c r="Q210" s="42"/>
      <c r="R210" s="44">
        <f>MIP_4[[#This Row],[PT-1]]+MIP_4[[#This Row],[PT-2]]*2+MIP_4[[#This Row],[PT-3]]*3+MIP_4[[#This Row],[PT &gt; 3 Pontos]]</f>
        <v>13</v>
      </c>
      <c r="S21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21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210" s="41">
        <f ca="1">MIP_4[[#This Row],[Eficiência]]</f>
        <v>0.86452434469493677</v>
      </c>
      <c r="V21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10" s="39">
        <f>IF(MIP_4[[#This Row],[P.S]]-MIP_4[[#This Row],[P.E]]&lt;0,1+MIP_4[[#This Row],[P.S]]-MIP_4[[#This Row],[P.E]]-1/24,MIP_4[[#This Row],[P.S]]-MIP_4[[#This Row],[P.E]]-1/24)</f>
        <v>0.36666666666666675</v>
      </c>
      <c r="X210" s="39">
        <f ca="1">MIP_4[[#This Row],[PT-1]]*$S$3+MIP_4[[#This Row],[PT-2]]*$T$3+MIP_4[[#This Row],[PT-3]]*$U$3+MIP_4[[#This Row],[PT &gt; 3 Pontos]]*$V$3</f>
        <v>0.28097041202585438</v>
      </c>
      <c r="Y210" s="39">
        <f>MIP_4[[#This Row],[HH disponível]]-MIP_4[[#This Row],[HH AC TOT]]</f>
        <v>0.3249999999999999</v>
      </c>
      <c r="Z210" s="38">
        <f ca="1">MIP_4[[#This Row],[HH Produtivo
Total]]/MIP_4[[#This Row],[HH Trabalhado]]</f>
        <v>0.86452434469493677</v>
      </c>
      <c r="AA210" s="38">
        <f ca="1">MIP_4[[#This Row],[HH Produtivo
Total]]/MIP_4[[#This Row],[HH disponível]]</f>
        <v>0.76628294188869361</v>
      </c>
      <c r="AB210" s="38">
        <f>MIP_4[[#This Row],[HH Trabalhado]]/MIP_4[[#This Row],[HH disponível]]</f>
        <v>0.88636363636363591</v>
      </c>
      <c r="AC210" s="37" t="str">
        <f>LEFT(MIP_4[[#This Row],[Equipe]], SEARCH("/",MIP_4[[#This Row],[Equipe]],1)-1)</f>
        <v xml:space="preserve">ADEMÁRIO </v>
      </c>
      <c r="AD210" s="37" t="str">
        <f>RIGHT(MIP_4[[#This Row],[Equipe]], LEN(MIP_4[[#This Row],[Equipe]])-SEARCH("/",MIP_4[[#This Row],[Equipe]],1))</f>
        <v xml:space="preserve"> RONALDO</v>
      </c>
      <c r="AE210" s="44">
        <f>COUNTIFS('[1]Tempo parado'!G:G,"&gt;="&amp;MIP_4[[#This Row],[S.B Sitrack]],'[1]Tempo parado'!H:H,"&lt;="&amp;MIP_4[[#This Row],[C.B Sitrack]],'[1]Tempo parado'!A:A,MIP_4[[#This Row],[Placa]])</f>
        <v>0</v>
      </c>
      <c r="AF210" s="36"/>
      <c r="AG210" s="35"/>
      <c r="AH210" s="34"/>
      <c r="AI210" s="34"/>
      <c r="AJ21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1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1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10" s="32" t="str">
        <f>IFERROR(MIP_4[[#This Row],[Tempo parado]]/(MIP_4[[#This Row],[C.B Sitrack]]-MIP_4[[#This Row],[S.B Sitrack]]),"")</f>
        <v/>
      </c>
      <c r="AN210" s="30"/>
      <c r="AO210" s="44">
        <f>IF(AND(MIP_4[Exc]=0,MIP_4[Previsto / Realizado]="Realizado"),MIP_4[Sem],0)</f>
        <v>0</v>
      </c>
      <c r="AP210" s="29">
        <f>IF(AND(MIP_4[Exc]=0,MIP_4[Previsto / Realizado]="Realizado",ISBLANK(MIP_4[[#This Row],[S.B Sitrack]])=FALSE,ISBLANK(MIP_4[[#This Row],[C.B Sitrack]])=FALSE),MIP_4[Sem],0)</f>
        <v>0</v>
      </c>
    </row>
    <row r="211" spans="1:42" ht="15.75" x14ac:dyDescent="0.25">
      <c r="A211" s="44">
        <f>WEEKNUM(MIP_4[[#This Row],[Data]])</f>
        <v>27</v>
      </c>
      <c r="B211" s="45">
        <v>42924</v>
      </c>
      <c r="C211" s="45"/>
      <c r="D211" s="35" t="s">
        <v>19</v>
      </c>
      <c r="E211" s="35" t="s">
        <v>2</v>
      </c>
      <c r="F211" s="35"/>
      <c r="G211" s="44">
        <v>2</v>
      </c>
      <c r="H211" s="44">
        <v>3</v>
      </c>
      <c r="I211" s="44">
        <v>1</v>
      </c>
      <c r="J211" s="44">
        <v>0</v>
      </c>
      <c r="K211" s="44">
        <v>8</v>
      </c>
      <c r="L211" s="43">
        <v>0.64374999999999993</v>
      </c>
      <c r="M211" s="43">
        <v>0.66319444444444442</v>
      </c>
      <c r="N211" s="43">
        <f>1+32/24/60</f>
        <v>1.0222222222222221</v>
      </c>
      <c r="O211" s="43">
        <f>1+52/24/60</f>
        <v>1.0361111111111112</v>
      </c>
      <c r="P211" s="39"/>
      <c r="Q211" s="42" t="s">
        <v>370</v>
      </c>
      <c r="R211" s="44">
        <f>MIP_4[[#This Row],[PT-1]]+MIP_4[[#This Row],[PT-2]]*2+MIP_4[[#This Row],[PT-3]]*3+MIP_4[[#This Row],[PT &gt; 3 Pontos]]</f>
        <v>13</v>
      </c>
      <c r="S21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3.3333333333333548E-2</v>
      </c>
      <c r="T21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3.3333333333333548E-2</v>
      </c>
      <c r="U211" s="41">
        <f ca="1">MIP_4[[#This Row],[Eficiência]]</f>
        <v>0.88533346458912554</v>
      </c>
      <c r="V21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11" s="39">
        <f>IF(MIP_4[[#This Row],[P.S]]-MIP_4[[#This Row],[P.E]]&lt;0,1+MIP_4[[#This Row],[P.S]]-MIP_4[[#This Row],[P.E]]-1/24,MIP_4[[#This Row],[P.S]]-MIP_4[[#This Row],[P.E]]-1/24)</f>
        <v>0.35069444444444459</v>
      </c>
      <c r="X211" s="39">
        <f ca="1">MIP_4[[#This Row],[PT-1]]*$S$3+MIP_4[[#This Row],[PT-2]]*$T$3+MIP_4[[#This Row],[PT-3]]*$U$3+MIP_4[[#This Row],[PT &gt; 3 Pontos]]*$V$3</f>
        <v>0.28097041202585438</v>
      </c>
      <c r="Y211" s="39">
        <f>MIP_4[[#This Row],[HH disponível]]-MIP_4[[#This Row],[HH AC TOT]]</f>
        <v>0.31736111111111104</v>
      </c>
      <c r="Z211" s="38">
        <f ca="1">MIP_4[[#This Row],[HH Produtivo
Total]]/MIP_4[[#This Row],[HH Trabalhado]]</f>
        <v>0.88533346458912554</v>
      </c>
      <c r="AA211" s="38">
        <f ca="1">MIP_4[[#This Row],[HH Produtivo
Total]]/MIP_4[[#This Row],[HH disponível]]</f>
        <v>0.80118295706382203</v>
      </c>
      <c r="AB211" s="38">
        <f>MIP_4[[#This Row],[HH Trabalhado]]/MIP_4[[#This Row],[HH disponível]]</f>
        <v>0.90495049504950442</v>
      </c>
      <c r="AC211" s="37" t="str">
        <f>LEFT(MIP_4[[#This Row],[Equipe]], SEARCH("/",MIP_4[[#This Row],[Equipe]],1)-1)</f>
        <v xml:space="preserve">ADEMÁRIO </v>
      </c>
      <c r="AD211" s="37" t="str">
        <f>RIGHT(MIP_4[[#This Row],[Equipe]], LEN(MIP_4[[#This Row],[Equipe]])-SEARCH("/",MIP_4[[#This Row],[Equipe]],1))</f>
        <v xml:space="preserve"> RONALDO</v>
      </c>
      <c r="AE211" s="44">
        <f>COUNTIFS('[1]Tempo parado'!G:G,"&gt;="&amp;MIP_4[[#This Row],[S.B Sitrack]],'[1]Tempo parado'!H:H,"&lt;="&amp;MIP_4[[#This Row],[C.B Sitrack]],'[1]Tempo parado'!A:A,MIP_4[[#This Row],[Placa]])</f>
        <v>0</v>
      </c>
      <c r="AF211" s="36"/>
      <c r="AG211" s="35"/>
      <c r="AH211" s="34"/>
      <c r="AI211" s="34"/>
      <c r="AJ21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1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1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11" s="32" t="str">
        <f>IFERROR(MIP_4[[#This Row],[Tempo parado]]/(MIP_4[[#This Row],[C.B Sitrack]]-MIP_4[[#This Row],[S.B Sitrack]]),"")</f>
        <v/>
      </c>
      <c r="AN211" s="30"/>
      <c r="AO211" s="44">
        <f>IF(AND(MIP_4[Exc]=0,MIP_4[Previsto / Realizado]="Realizado"),MIP_4[Sem],0)</f>
        <v>27</v>
      </c>
      <c r="AP211" s="29">
        <f>IF(AND(MIP_4[Exc]=0,MIP_4[Previsto / Realizado]="Realizado",ISBLANK(MIP_4[[#This Row],[S.B Sitrack]])=FALSE,ISBLANK(MIP_4[[#This Row],[C.B Sitrack]])=FALSE),MIP_4[Sem],0)</f>
        <v>0</v>
      </c>
    </row>
    <row r="212" spans="1:42" ht="15.75" x14ac:dyDescent="0.25">
      <c r="A212" s="44">
        <f>WEEKNUM(MIP_4[[#This Row],[Data]])</f>
        <v>28</v>
      </c>
      <c r="B212" s="45">
        <v>42925</v>
      </c>
      <c r="C212" s="45"/>
      <c r="D212" s="35" t="s">
        <v>19</v>
      </c>
      <c r="E212" s="35" t="s">
        <v>5</v>
      </c>
      <c r="F212" s="35"/>
      <c r="G212" s="44">
        <v>2</v>
      </c>
      <c r="H212" s="44">
        <v>4</v>
      </c>
      <c r="I212" s="44">
        <v>0</v>
      </c>
      <c r="J212" s="44">
        <v>0</v>
      </c>
      <c r="K212" s="44">
        <v>4</v>
      </c>
      <c r="L212" s="43">
        <v>0.625</v>
      </c>
      <c r="M212" s="43">
        <v>0.64583333333333337</v>
      </c>
      <c r="N212" s="43">
        <f>1+18/24/60</f>
        <v>1.0125</v>
      </c>
      <c r="O212" s="43">
        <f>1+48/24/60</f>
        <v>1.0333333333333334</v>
      </c>
      <c r="P212" s="39"/>
      <c r="Q212" s="42"/>
      <c r="R212" s="44">
        <f>MIP_4[[#This Row],[PT-1]]+MIP_4[[#This Row],[PT-2]]*2+MIP_4[[#This Row],[PT-3]]*3+MIP_4[[#This Row],[PT &gt; 3 Pontos]]</f>
        <v>8</v>
      </c>
      <c r="S21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21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212" s="41">
        <f ca="1">MIP_4[[#This Row],[Eficiência]]</f>
        <v>0.5572167857192013</v>
      </c>
      <c r="V21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12" s="39">
        <f>IF(MIP_4[[#This Row],[P.S]]-MIP_4[[#This Row],[P.E]]&lt;0,1+MIP_4[[#This Row],[P.S]]-MIP_4[[#This Row],[P.E]]-1/24,MIP_4[[#This Row],[P.S]]-MIP_4[[#This Row],[P.E]]-1/24)</f>
        <v>0.36666666666666675</v>
      </c>
      <c r="X212" s="39">
        <f ca="1">MIP_4[[#This Row],[PT-1]]*$S$3+MIP_4[[#This Row],[PT-2]]*$T$3+MIP_4[[#This Row],[PT-3]]*$U$3+MIP_4[[#This Row],[PT &gt; 3 Pontos]]*$V$3</f>
        <v>0.18109545535874036</v>
      </c>
      <c r="Y212" s="39">
        <f>MIP_4[[#This Row],[HH disponível]]-MIP_4[[#This Row],[HH AC TOT]]</f>
        <v>0.3249999999999999</v>
      </c>
      <c r="Z212" s="38">
        <f ca="1">MIP_4[[#This Row],[HH Produtivo
Total]]/MIP_4[[#This Row],[HH Trabalhado]]</f>
        <v>0.5572167857192013</v>
      </c>
      <c r="AA212" s="38">
        <f ca="1">MIP_4[[#This Row],[HH Produtivo
Total]]/MIP_4[[#This Row],[HH disponível]]</f>
        <v>0.49389669643292816</v>
      </c>
      <c r="AB212" s="38">
        <f>MIP_4[[#This Row],[HH Trabalhado]]/MIP_4[[#This Row],[HH disponível]]</f>
        <v>0.88636363636363591</v>
      </c>
      <c r="AC212" s="37" t="str">
        <f>LEFT(MIP_4[[#This Row],[Equipe]], SEARCH("/",MIP_4[[#This Row],[Equipe]],1)-1)</f>
        <v xml:space="preserve">ADEMÁRIO </v>
      </c>
      <c r="AD212" s="37" t="str">
        <f>RIGHT(MIP_4[[#This Row],[Equipe]], LEN(MIP_4[[#This Row],[Equipe]])-SEARCH("/",MIP_4[[#This Row],[Equipe]],1))</f>
        <v xml:space="preserve"> RONALDO</v>
      </c>
      <c r="AE212" s="44">
        <f>COUNTIFS('[1]Tempo parado'!G:G,"&gt;="&amp;MIP_4[[#This Row],[S.B Sitrack]],'[1]Tempo parado'!H:H,"&lt;="&amp;MIP_4[[#This Row],[C.B Sitrack]],'[1]Tempo parado'!A:A,MIP_4[[#This Row],[Placa]])</f>
        <v>0</v>
      </c>
      <c r="AF212" s="36"/>
      <c r="AG212" s="35"/>
      <c r="AH212" s="34"/>
      <c r="AI212" s="34"/>
      <c r="AJ21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1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1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12" s="32" t="str">
        <f>IFERROR(MIP_4[[#This Row],[Tempo parado]]/(MIP_4[[#This Row],[C.B Sitrack]]-MIP_4[[#This Row],[S.B Sitrack]]),"")</f>
        <v/>
      </c>
      <c r="AN212" s="30"/>
      <c r="AO212" s="44">
        <f>IF(AND(MIP_4[Exc]=0,MIP_4[Previsto / Realizado]="Realizado"),MIP_4[Sem],0)</f>
        <v>0</v>
      </c>
      <c r="AP212" s="29">
        <f>IF(AND(MIP_4[Exc]=0,MIP_4[Previsto / Realizado]="Realizado",ISBLANK(MIP_4[[#This Row],[S.B Sitrack]])=FALSE,ISBLANK(MIP_4[[#This Row],[C.B Sitrack]])=FALSE),MIP_4[Sem],0)</f>
        <v>0</v>
      </c>
    </row>
    <row r="213" spans="1:42" ht="15.75" x14ac:dyDescent="0.25">
      <c r="A213" s="44">
        <f>WEEKNUM(MIP_4[[#This Row],[Data]])</f>
        <v>28</v>
      </c>
      <c r="B213" s="45">
        <v>42925</v>
      </c>
      <c r="C213" s="45"/>
      <c r="D213" s="35" t="s">
        <v>19</v>
      </c>
      <c r="E213" s="35" t="s">
        <v>2</v>
      </c>
      <c r="F213" s="35"/>
      <c r="G213" s="44">
        <v>2</v>
      </c>
      <c r="H213" s="44">
        <v>4</v>
      </c>
      <c r="I213" s="44">
        <v>0</v>
      </c>
      <c r="J213" s="44">
        <v>0</v>
      </c>
      <c r="K213" s="44">
        <v>4</v>
      </c>
      <c r="L213" s="43">
        <v>0.62083333333333335</v>
      </c>
      <c r="M213" s="43">
        <v>0.65694444444444444</v>
      </c>
      <c r="N213" s="43">
        <f>1+18/24/60</f>
        <v>1.0125</v>
      </c>
      <c r="O213" s="43">
        <f>1+48/24/60</f>
        <v>1.0333333333333334</v>
      </c>
      <c r="P213" s="39"/>
      <c r="Q213" s="42" t="s">
        <v>370</v>
      </c>
      <c r="R213" s="44">
        <f>MIP_4[[#This Row],[PT-1]]+MIP_4[[#This Row],[PT-2]]*2+MIP_4[[#This Row],[PT-3]]*3+MIP_4[[#This Row],[PT &gt; 3 Pontos]]</f>
        <v>8</v>
      </c>
      <c r="S21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5.6944444444444575E-2</v>
      </c>
      <c r="T21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5.6944444444444575E-2</v>
      </c>
      <c r="U213" s="41">
        <f ca="1">MIP_4[[#This Row],[Eficiência]]</f>
        <v>0.5769412737092614</v>
      </c>
      <c r="V21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13" s="39">
        <f>IF(MIP_4[[#This Row],[P.S]]-MIP_4[[#This Row],[P.E]]&lt;0,1+MIP_4[[#This Row],[P.S]]-MIP_4[[#This Row],[P.E]]-1/24,MIP_4[[#This Row],[P.S]]-MIP_4[[#This Row],[P.E]]-1/24)</f>
        <v>0.3708333333333334</v>
      </c>
      <c r="X213" s="39">
        <f ca="1">MIP_4[[#This Row],[PT-1]]*$S$3+MIP_4[[#This Row],[PT-2]]*$T$3+MIP_4[[#This Row],[PT-3]]*$U$3+MIP_4[[#This Row],[PT &gt; 3 Pontos]]*$V$3</f>
        <v>0.18109545535874036</v>
      </c>
      <c r="Y213" s="39">
        <f>MIP_4[[#This Row],[HH disponível]]-MIP_4[[#This Row],[HH AC TOT]]</f>
        <v>0.31388888888888883</v>
      </c>
      <c r="Z213" s="38">
        <f ca="1">MIP_4[[#This Row],[HH Produtivo
Total]]/MIP_4[[#This Row],[HH Trabalhado]]</f>
        <v>0.5769412737092614</v>
      </c>
      <c r="AA213" s="38">
        <f ca="1">MIP_4[[#This Row],[HH Produtivo
Total]]/MIP_4[[#This Row],[HH disponível]]</f>
        <v>0.48834729534941212</v>
      </c>
      <c r="AB213" s="38">
        <f>MIP_4[[#This Row],[HH Trabalhado]]/MIP_4[[#This Row],[HH disponível]]</f>
        <v>0.8464419475655427</v>
      </c>
      <c r="AC213" s="37" t="str">
        <f>LEFT(MIP_4[[#This Row],[Equipe]], SEARCH("/",MIP_4[[#This Row],[Equipe]],1)-1)</f>
        <v xml:space="preserve">ADEMÁRIO </v>
      </c>
      <c r="AD213" s="37" t="str">
        <f>RIGHT(MIP_4[[#This Row],[Equipe]], LEN(MIP_4[[#This Row],[Equipe]])-SEARCH("/",MIP_4[[#This Row],[Equipe]],1))</f>
        <v xml:space="preserve"> RONALDO</v>
      </c>
      <c r="AE213" s="44">
        <f>COUNTIFS('[1]Tempo parado'!G:G,"&gt;="&amp;MIP_4[[#This Row],[S.B Sitrack]],'[1]Tempo parado'!H:H,"&lt;="&amp;MIP_4[[#This Row],[C.B Sitrack]],'[1]Tempo parado'!A:A,MIP_4[[#This Row],[Placa]])</f>
        <v>0</v>
      </c>
      <c r="AF213" s="36"/>
      <c r="AG213" s="35"/>
      <c r="AH213" s="34"/>
      <c r="AI213" s="34"/>
      <c r="AJ21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1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1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13" s="32" t="str">
        <f>IFERROR(MIP_4[[#This Row],[Tempo parado]]/(MIP_4[[#This Row],[C.B Sitrack]]-MIP_4[[#This Row],[S.B Sitrack]]),"")</f>
        <v/>
      </c>
      <c r="AN213" s="30"/>
      <c r="AO213" s="44">
        <f>IF(AND(MIP_4[Exc]=0,MIP_4[Previsto / Realizado]="Realizado"),MIP_4[Sem],0)</f>
        <v>28</v>
      </c>
      <c r="AP213" s="29">
        <f>IF(AND(MIP_4[Exc]=0,MIP_4[Previsto / Realizado]="Realizado",ISBLANK(MIP_4[[#This Row],[S.B Sitrack]])=FALSE,ISBLANK(MIP_4[[#This Row],[C.B Sitrack]])=FALSE),MIP_4[Sem],0)</f>
        <v>0</v>
      </c>
    </row>
    <row r="214" spans="1:42" ht="15.75" x14ac:dyDescent="0.25">
      <c r="A214" s="44">
        <f>WEEKNUM(MIP_4[[#This Row],[Data]])</f>
        <v>28</v>
      </c>
      <c r="B214" s="45">
        <v>42926</v>
      </c>
      <c r="C214" s="45"/>
      <c r="D214" s="35" t="s">
        <v>3</v>
      </c>
      <c r="E214" s="35" t="s">
        <v>5</v>
      </c>
      <c r="F214" s="35"/>
      <c r="G214" s="44">
        <v>2</v>
      </c>
      <c r="H214" s="44">
        <v>10</v>
      </c>
      <c r="I214" s="44">
        <v>4</v>
      </c>
      <c r="J214" s="44">
        <v>0</v>
      </c>
      <c r="K214" s="44">
        <v>4</v>
      </c>
      <c r="L214" s="43">
        <v>0.625</v>
      </c>
      <c r="M214" s="43">
        <v>0.64583333333333337</v>
      </c>
      <c r="N214" s="43">
        <f>1+18/24/60</f>
        <v>1.0125</v>
      </c>
      <c r="O214" s="43">
        <f>1+48/24/60</f>
        <v>1.0333333333333334</v>
      </c>
      <c r="P214" s="39"/>
      <c r="Q214" s="42"/>
      <c r="R214" s="44">
        <f>MIP_4[[#This Row],[PT-1]]+MIP_4[[#This Row],[PT-2]]*2+MIP_4[[#This Row],[PT-3]]*3+MIP_4[[#This Row],[PT &gt; 3 Pontos]]</f>
        <v>22</v>
      </c>
      <c r="S21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21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214" s="41">
        <f ca="1">MIP_4[[#This Row],[Eficiência]]</f>
        <v>1.5596481154603135</v>
      </c>
      <c r="V21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14" s="39">
        <f>IF(MIP_4[[#This Row],[P.S]]-MIP_4[[#This Row],[P.E]]&lt;0,1+MIP_4[[#This Row],[P.S]]-MIP_4[[#This Row],[P.E]]-1/24,MIP_4[[#This Row],[P.S]]-MIP_4[[#This Row],[P.E]]-1/24)</f>
        <v>0.36666666666666675</v>
      </c>
      <c r="X214" s="39">
        <f ca="1">MIP_4[[#This Row],[PT-1]]*$S$3+MIP_4[[#This Row],[PT-2]]*$T$3+MIP_4[[#This Row],[PT-3]]*$U$3+MIP_4[[#This Row],[PT &gt; 3 Pontos]]*$V$3</f>
        <v>0.5068856375246017</v>
      </c>
      <c r="Y214" s="39">
        <f>MIP_4[[#This Row],[HH disponível]]-MIP_4[[#This Row],[HH AC TOT]]</f>
        <v>0.3249999999999999</v>
      </c>
      <c r="Z214" s="38">
        <f ca="1">MIP_4[[#This Row],[HH Produtivo
Total]]/MIP_4[[#This Row],[HH Trabalhado]]</f>
        <v>1.5596481154603135</v>
      </c>
      <c r="AA214" s="38">
        <f ca="1">MIP_4[[#This Row],[HH Produtivo
Total]]/MIP_4[[#This Row],[HH disponível]]</f>
        <v>1.3824153750670951</v>
      </c>
      <c r="AB214" s="38">
        <f>MIP_4[[#This Row],[HH Trabalhado]]/MIP_4[[#This Row],[HH disponível]]</f>
        <v>0.88636363636363591</v>
      </c>
      <c r="AC214" s="37" t="str">
        <f>LEFT(MIP_4[[#This Row],[Equipe]], SEARCH("/",MIP_4[[#This Row],[Equipe]],1)-1)</f>
        <v xml:space="preserve">EDILTON </v>
      </c>
      <c r="AD214" s="37" t="str">
        <f>RIGHT(MIP_4[[#This Row],[Equipe]], LEN(MIP_4[[#This Row],[Equipe]])-SEARCH("/",MIP_4[[#This Row],[Equipe]],1))</f>
        <v xml:space="preserve"> GECIVALDO</v>
      </c>
      <c r="AE214" s="44">
        <f>COUNTIFS('[1]Tempo parado'!G:G,"&gt;="&amp;MIP_4[[#This Row],[S.B Sitrack]],'[1]Tempo parado'!H:H,"&lt;="&amp;MIP_4[[#This Row],[C.B Sitrack]],'[1]Tempo parado'!A:A,MIP_4[[#This Row],[Placa]])</f>
        <v>0</v>
      </c>
      <c r="AF214" s="36"/>
      <c r="AG214" s="35"/>
      <c r="AH214" s="34"/>
      <c r="AI214" s="34"/>
      <c r="AJ21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1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1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14" s="32" t="str">
        <f>IFERROR(MIP_4[[#This Row],[Tempo parado]]/(MIP_4[[#This Row],[C.B Sitrack]]-MIP_4[[#This Row],[S.B Sitrack]]),"")</f>
        <v/>
      </c>
      <c r="AN214" s="30"/>
      <c r="AO214" s="44">
        <f>IF(AND(MIP_4[Exc]=0,MIP_4[Previsto / Realizado]="Realizado"),MIP_4[Sem],0)</f>
        <v>0</v>
      </c>
      <c r="AP214" s="29">
        <f>IF(AND(MIP_4[Exc]=0,MIP_4[Previsto / Realizado]="Realizado",ISBLANK(MIP_4[[#This Row],[S.B Sitrack]])=FALSE,ISBLANK(MIP_4[[#This Row],[C.B Sitrack]])=FALSE),MIP_4[Sem],0)</f>
        <v>0</v>
      </c>
    </row>
    <row r="215" spans="1:42" ht="15.75" x14ac:dyDescent="0.25">
      <c r="A215" s="44">
        <f>WEEKNUM(MIP_4[[#This Row],[Data]])</f>
        <v>28</v>
      </c>
      <c r="B215" s="45">
        <v>42926</v>
      </c>
      <c r="C215" s="45"/>
      <c r="D215" s="35" t="s">
        <v>3</v>
      </c>
      <c r="E215" s="35" t="s">
        <v>2</v>
      </c>
      <c r="F215" s="35"/>
      <c r="G215" s="44">
        <v>2</v>
      </c>
      <c r="H215" s="44">
        <v>6</v>
      </c>
      <c r="I215" s="44">
        <v>4</v>
      </c>
      <c r="J215" s="44">
        <v>0</v>
      </c>
      <c r="K215" s="44">
        <v>4</v>
      </c>
      <c r="L215" s="43">
        <v>0.61041666666666672</v>
      </c>
      <c r="M215" s="43">
        <v>0.67152777777777783</v>
      </c>
      <c r="N215" s="43">
        <f>1+22/24/60</f>
        <v>1.0152777777777777</v>
      </c>
      <c r="O215" s="43">
        <f>1+54/24/60</f>
        <v>1.0375000000000001</v>
      </c>
      <c r="P215" s="39"/>
      <c r="Q215" s="42"/>
      <c r="R215" s="44">
        <f>MIP_4[[#This Row],[PT-1]]+MIP_4[[#This Row],[PT-2]]*2+MIP_4[[#This Row],[PT-3]]*3+MIP_4[[#This Row],[PT &gt; 3 Pontos]]</f>
        <v>18</v>
      </c>
      <c r="S21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8.3333333333333481E-2</v>
      </c>
      <c r="T21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8.3333333333333481E-2</v>
      </c>
      <c r="U215" s="41">
        <f ca="1">MIP_4[[#This Row],[Eficiência]]</f>
        <v>1.3465894367631002</v>
      </c>
      <c r="V21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15" s="39">
        <f>IF(MIP_4[[#This Row],[P.S]]-MIP_4[[#This Row],[P.E]]&lt;0,1+MIP_4[[#This Row],[P.S]]-MIP_4[[#This Row],[P.E]]-1/24,MIP_4[[#This Row],[P.S]]-MIP_4[[#This Row],[P.E]]-1/24)</f>
        <v>0.38541666666666669</v>
      </c>
      <c r="X215" s="39">
        <f ca="1">MIP_4[[#This Row],[PT-1]]*$S$3+MIP_4[[#This Row],[PT-2]]*$T$3+MIP_4[[#This Row],[PT-3]]*$U$3+MIP_4[[#This Row],[PT &gt; 3 Pontos]]*$V$3</f>
        <v>0.40678222568885303</v>
      </c>
      <c r="Y215" s="39">
        <f>MIP_4[[#This Row],[HH disponível]]-MIP_4[[#This Row],[HH AC TOT]]</f>
        <v>0.3020833333333332</v>
      </c>
      <c r="Z215" s="38">
        <f ca="1">MIP_4[[#This Row],[HH Produtivo
Total]]/MIP_4[[#This Row],[HH Trabalhado]]</f>
        <v>1.3465894367631002</v>
      </c>
      <c r="AA215" s="38">
        <f ca="1">MIP_4[[#This Row],[HH Produtivo
Total]]/MIP_4[[#This Row],[HH disponível]]</f>
        <v>1.0554349639494565</v>
      </c>
      <c r="AB215" s="38">
        <f>MIP_4[[#This Row],[HH Trabalhado]]/MIP_4[[#This Row],[HH disponível]]</f>
        <v>0.78378378378378344</v>
      </c>
      <c r="AC215" s="37" t="str">
        <f>LEFT(MIP_4[[#This Row],[Equipe]], SEARCH("/",MIP_4[[#This Row],[Equipe]],1)-1)</f>
        <v xml:space="preserve">EDILTON </v>
      </c>
      <c r="AD215" s="37" t="str">
        <f>RIGHT(MIP_4[[#This Row],[Equipe]], LEN(MIP_4[[#This Row],[Equipe]])-SEARCH("/",MIP_4[[#This Row],[Equipe]],1))</f>
        <v xml:space="preserve"> GECIVALDO</v>
      </c>
      <c r="AE215" s="44">
        <f>COUNTIFS('[1]Tempo parado'!G:G,"&gt;="&amp;MIP_4[[#This Row],[S.B Sitrack]],'[1]Tempo parado'!H:H,"&lt;="&amp;MIP_4[[#This Row],[C.B Sitrack]],'[1]Tempo parado'!A:A,MIP_4[[#This Row],[Placa]])</f>
        <v>0</v>
      </c>
      <c r="AF215" s="36"/>
      <c r="AG215" s="35"/>
      <c r="AH215" s="34"/>
      <c r="AI215" s="34"/>
      <c r="AJ21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1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1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15" s="32" t="str">
        <f>IFERROR(MIP_4[[#This Row],[Tempo parado]]/(MIP_4[[#This Row],[C.B Sitrack]]-MIP_4[[#This Row],[S.B Sitrack]]),"")</f>
        <v/>
      </c>
      <c r="AN215" s="30"/>
      <c r="AO215" s="44">
        <f>IF(AND(MIP_4[Exc]=0,MIP_4[Previsto / Realizado]="Realizado"),MIP_4[Sem],0)</f>
        <v>28</v>
      </c>
      <c r="AP215" s="29">
        <f>IF(AND(MIP_4[Exc]=0,MIP_4[Previsto / Realizado]="Realizado",ISBLANK(MIP_4[[#This Row],[S.B Sitrack]])=FALSE,ISBLANK(MIP_4[[#This Row],[C.B Sitrack]])=FALSE),MIP_4[Sem],0)</f>
        <v>0</v>
      </c>
    </row>
    <row r="216" spans="1:42" ht="15.75" x14ac:dyDescent="0.25">
      <c r="A216" s="44">
        <f>WEEKNUM(MIP_4[[#This Row],[Data]])</f>
        <v>28</v>
      </c>
      <c r="B216" s="45">
        <v>42926</v>
      </c>
      <c r="C216" s="45"/>
      <c r="D216" s="35" t="s">
        <v>389</v>
      </c>
      <c r="E216" s="35" t="s">
        <v>5</v>
      </c>
      <c r="F216" s="35"/>
      <c r="G216" s="44">
        <v>2</v>
      </c>
      <c r="H216" s="44">
        <v>4</v>
      </c>
      <c r="I216" s="44">
        <v>1</v>
      </c>
      <c r="J216" s="44">
        <v>0</v>
      </c>
      <c r="K216" s="44">
        <v>7</v>
      </c>
      <c r="L216" s="43">
        <v>0.625</v>
      </c>
      <c r="M216" s="43">
        <v>0.64583333333333337</v>
      </c>
      <c r="N216" s="43">
        <f>1+18/24/60</f>
        <v>1.0125</v>
      </c>
      <c r="O216" s="43">
        <f>1+48/24/60</f>
        <v>1.0333333333333334</v>
      </c>
      <c r="P216" s="39"/>
      <c r="Q216" s="42"/>
      <c r="R216" s="44">
        <f>MIP_4[[#This Row],[PT-1]]+MIP_4[[#This Row],[PT-2]]*2+MIP_4[[#This Row],[PT-3]]*3+MIP_4[[#This Row],[PT &gt; 3 Pontos]]</f>
        <v>13</v>
      </c>
      <c r="S21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21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216" s="41">
        <f ca="1">MIP_4[[#This Row],[Eficiência]]</f>
        <v>0.87922539724321169</v>
      </c>
      <c r="V21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16" s="39">
        <f>IF(MIP_4[[#This Row],[P.S]]-MIP_4[[#This Row],[P.E]]&lt;0,1+MIP_4[[#This Row],[P.S]]-MIP_4[[#This Row],[P.E]]-1/24,MIP_4[[#This Row],[P.S]]-MIP_4[[#This Row],[P.E]]-1/24)</f>
        <v>0.36666666666666675</v>
      </c>
      <c r="X216" s="39">
        <f ca="1">MIP_4[[#This Row],[PT-1]]*$S$3+MIP_4[[#This Row],[PT-2]]*$T$3+MIP_4[[#This Row],[PT-3]]*$U$3+MIP_4[[#This Row],[PT &gt; 3 Pontos]]*$V$3</f>
        <v>0.2857482541040437</v>
      </c>
      <c r="Y216" s="39">
        <f>MIP_4[[#This Row],[HH disponível]]-MIP_4[[#This Row],[HH AC TOT]]</f>
        <v>0.3249999999999999</v>
      </c>
      <c r="Z216" s="38">
        <f ca="1">MIP_4[[#This Row],[HH Produtivo
Total]]/MIP_4[[#This Row],[HH Trabalhado]]</f>
        <v>0.87922539724321169</v>
      </c>
      <c r="AA216" s="38">
        <f ca="1">MIP_4[[#This Row],[HH Produtivo
Total]]/MIP_4[[#This Row],[HH disponível]]</f>
        <v>0.77931342028375539</v>
      </c>
      <c r="AB216" s="38">
        <f>MIP_4[[#This Row],[HH Trabalhado]]/MIP_4[[#This Row],[HH disponível]]</f>
        <v>0.88636363636363591</v>
      </c>
      <c r="AC216" s="37" t="str">
        <f>LEFT(MIP_4[[#This Row],[Equipe]], SEARCH("/",MIP_4[[#This Row],[Equipe]],1)-1)</f>
        <v xml:space="preserve">CLEBER </v>
      </c>
      <c r="AD216" s="37" t="str">
        <f>RIGHT(MIP_4[[#This Row],[Equipe]], LEN(MIP_4[[#This Row],[Equipe]])-SEARCH("/",MIP_4[[#This Row],[Equipe]],1))</f>
        <v xml:space="preserve"> HERVAL</v>
      </c>
      <c r="AE216" s="44">
        <f>COUNTIFS('[1]Tempo parado'!G:G,"&gt;="&amp;MIP_4[[#This Row],[S.B Sitrack]],'[1]Tempo parado'!H:H,"&lt;="&amp;MIP_4[[#This Row],[C.B Sitrack]],'[1]Tempo parado'!A:A,MIP_4[[#This Row],[Placa]])</f>
        <v>0</v>
      </c>
      <c r="AF216" s="36"/>
      <c r="AG216" s="35"/>
      <c r="AH216" s="34"/>
      <c r="AI216" s="34"/>
      <c r="AJ21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1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1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16" s="32" t="str">
        <f>IFERROR(MIP_4[[#This Row],[Tempo parado]]/(MIP_4[[#This Row],[C.B Sitrack]]-MIP_4[[#This Row],[S.B Sitrack]]),"")</f>
        <v/>
      </c>
      <c r="AN216" s="30"/>
      <c r="AO216" s="44">
        <f>IF(AND(MIP_4[Exc]=0,MIP_4[Previsto / Realizado]="Realizado"),MIP_4[Sem],0)</f>
        <v>0</v>
      </c>
      <c r="AP216" s="29">
        <f>IF(AND(MIP_4[Exc]=0,MIP_4[Previsto / Realizado]="Realizado",ISBLANK(MIP_4[[#This Row],[S.B Sitrack]])=FALSE,ISBLANK(MIP_4[[#This Row],[C.B Sitrack]])=FALSE),MIP_4[Sem],0)</f>
        <v>0</v>
      </c>
    </row>
    <row r="217" spans="1:42" ht="15.75" x14ac:dyDescent="0.25">
      <c r="A217" s="44">
        <f>WEEKNUM(MIP_4[[#This Row],[Data]])</f>
        <v>28</v>
      </c>
      <c r="B217" s="45">
        <v>42926</v>
      </c>
      <c r="C217" s="45"/>
      <c r="D217" s="35" t="s">
        <v>389</v>
      </c>
      <c r="E217" s="35" t="s">
        <v>2</v>
      </c>
      <c r="F217" s="35"/>
      <c r="G217" s="44">
        <v>2</v>
      </c>
      <c r="H217" s="44">
        <v>4</v>
      </c>
      <c r="I217" s="44">
        <v>1</v>
      </c>
      <c r="J217" s="44">
        <v>0</v>
      </c>
      <c r="K217" s="44">
        <v>9</v>
      </c>
      <c r="L217" s="43">
        <v>0.64513888888888882</v>
      </c>
      <c r="M217" s="43">
        <v>0.6777777777777777</v>
      </c>
      <c r="N217" s="43">
        <v>0.93263888888888891</v>
      </c>
      <c r="O217" s="43">
        <f>1+49/24/60</f>
        <v>1.0340277777777778</v>
      </c>
      <c r="P217" s="39"/>
      <c r="Q217" s="42"/>
      <c r="R217" s="44">
        <f>MIP_4[[#This Row],[PT-1]]+MIP_4[[#This Row],[PT-2]]*2+MIP_4[[#This Row],[PT-3]]*3+MIP_4[[#This Row],[PT &gt; 3 Pontos]]</f>
        <v>15</v>
      </c>
      <c r="S21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0.13402777777777775</v>
      </c>
      <c r="T21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0.13402777777777775</v>
      </c>
      <c r="U217" s="41">
        <f ca="1">MIP_4[[#This Row],[Eficiência]]</f>
        <v>1.5302663102487841</v>
      </c>
      <c r="V21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17" s="39">
        <f>IF(MIP_4[[#This Row],[P.S]]-MIP_4[[#This Row],[P.E]]&lt;0,1+MIP_4[[#This Row],[P.S]]-MIP_4[[#This Row],[P.E]]-1/24,MIP_4[[#This Row],[P.S]]-MIP_4[[#This Row],[P.E]]-1/24)</f>
        <v>0.34722222222222227</v>
      </c>
      <c r="X217" s="39">
        <f ca="1">MIP_4[[#This Row],[PT-1]]*$S$3+MIP_4[[#This Row],[PT-2]]*$T$3+MIP_4[[#This Row],[PT-3]]*$U$3+MIP_4[[#This Row],[PT &gt; 3 Pontos]]*$V$3</f>
        <v>0.3262442758655395</v>
      </c>
      <c r="Y217" s="39">
        <f>MIP_4[[#This Row],[HH disponível]]-MIP_4[[#This Row],[HH AC TOT]]</f>
        <v>0.21319444444444452</v>
      </c>
      <c r="Z217" s="38">
        <f ca="1">MIP_4[[#This Row],[HH Produtivo
Total]]/MIP_4[[#This Row],[HH Trabalhado]]</f>
        <v>1.5302663102487841</v>
      </c>
      <c r="AA217" s="38">
        <f ca="1">MIP_4[[#This Row],[HH Produtivo
Total]]/MIP_4[[#This Row],[HH disponível]]</f>
        <v>0.93958351449275368</v>
      </c>
      <c r="AB217" s="38">
        <f>MIP_4[[#This Row],[HH Trabalhado]]/MIP_4[[#This Row],[HH disponível]]</f>
        <v>0.6140000000000001</v>
      </c>
      <c r="AC217" s="37" t="str">
        <f>LEFT(MIP_4[[#This Row],[Equipe]], SEARCH("/",MIP_4[[#This Row],[Equipe]],1)-1)</f>
        <v xml:space="preserve">CLEBER </v>
      </c>
      <c r="AD217" s="37" t="str">
        <f>RIGHT(MIP_4[[#This Row],[Equipe]], LEN(MIP_4[[#This Row],[Equipe]])-SEARCH("/",MIP_4[[#This Row],[Equipe]],1))</f>
        <v xml:space="preserve"> HERVAL</v>
      </c>
      <c r="AE217" s="44">
        <f>COUNTIFS('[1]Tempo parado'!G:G,"&gt;="&amp;MIP_4[[#This Row],[S.B Sitrack]],'[1]Tempo parado'!H:H,"&lt;="&amp;MIP_4[[#This Row],[C.B Sitrack]],'[1]Tempo parado'!A:A,MIP_4[[#This Row],[Placa]])</f>
        <v>0</v>
      </c>
      <c r="AF217" s="36"/>
      <c r="AG217" s="35"/>
      <c r="AH217" s="34"/>
      <c r="AI217" s="34"/>
      <c r="AJ21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1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1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17" s="32" t="str">
        <f>IFERROR(MIP_4[[#This Row],[Tempo parado]]/(MIP_4[[#This Row],[C.B Sitrack]]-MIP_4[[#This Row],[S.B Sitrack]]),"")</f>
        <v/>
      </c>
      <c r="AN217" s="30"/>
      <c r="AO217" s="44">
        <f>IF(AND(MIP_4[Exc]=0,MIP_4[Previsto / Realizado]="Realizado"),MIP_4[Sem],0)</f>
        <v>28</v>
      </c>
      <c r="AP217" s="29">
        <f>IF(AND(MIP_4[Exc]=0,MIP_4[Previsto / Realizado]="Realizado",ISBLANK(MIP_4[[#This Row],[S.B Sitrack]])=FALSE,ISBLANK(MIP_4[[#This Row],[C.B Sitrack]])=FALSE),MIP_4[Sem],0)</f>
        <v>0</v>
      </c>
    </row>
    <row r="218" spans="1:42" ht="15.75" x14ac:dyDescent="0.25">
      <c r="A218" s="44">
        <f>WEEKNUM(MIP_4[[#This Row],[Data]])</f>
        <v>28</v>
      </c>
      <c r="B218" s="45">
        <v>42926</v>
      </c>
      <c r="C218" s="45"/>
      <c r="D218" s="35" t="s">
        <v>19</v>
      </c>
      <c r="E218" s="35" t="s">
        <v>5</v>
      </c>
      <c r="F218" s="35"/>
      <c r="G218" s="44">
        <v>2</v>
      </c>
      <c r="H218" s="44">
        <v>5</v>
      </c>
      <c r="I218" s="44">
        <v>1</v>
      </c>
      <c r="J218" s="44">
        <v>1</v>
      </c>
      <c r="K218" s="44">
        <v>0</v>
      </c>
      <c r="L218" s="43">
        <v>0.625</v>
      </c>
      <c r="M218" s="43">
        <v>0.64583333333333337</v>
      </c>
      <c r="N218" s="43">
        <f>1+18/24/60</f>
        <v>1.0125</v>
      </c>
      <c r="O218" s="43">
        <f>1+48/24/60</f>
        <v>1.0333333333333334</v>
      </c>
      <c r="P218" s="39"/>
      <c r="Q218" s="42"/>
      <c r="R218" s="44">
        <f>MIP_4[[#This Row],[PT-1]]+MIP_4[[#This Row],[PT-2]]*2+MIP_4[[#This Row],[PT-3]]*3+MIP_4[[#This Row],[PT &gt; 3 Pontos]]</f>
        <v>10</v>
      </c>
      <c r="S21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21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218" s="41">
        <f ca="1">MIP_4[[#This Row],[Eficiência]]</f>
        <v>0.71332218506131551</v>
      </c>
      <c r="V21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18" s="39">
        <f>IF(MIP_4[[#This Row],[P.S]]-MIP_4[[#This Row],[P.E]]&lt;0,1+MIP_4[[#This Row],[P.S]]-MIP_4[[#This Row],[P.E]]-1/24,MIP_4[[#This Row],[P.S]]-MIP_4[[#This Row],[P.E]]-1/24)</f>
        <v>0.36666666666666675</v>
      </c>
      <c r="X218" s="39">
        <f ca="1">MIP_4[[#This Row],[PT-1]]*$S$3+MIP_4[[#This Row],[PT-2]]*$T$3+MIP_4[[#This Row],[PT-3]]*$U$3+MIP_4[[#This Row],[PT &gt; 3 Pontos]]*$V$3</f>
        <v>0.23182971014492745</v>
      </c>
      <c r="Y218" s="39">
        <f>MIP_4[[#This Row],[HH disponível]]-MIP_4[[#This Row],[HH AC TOT]]</f>
        <v>0.3249999999999999</v>
      </c>
      <c r="Z218" s="38">
        <f ca="1">MIP_4[[#This Row],[HH Produtivo
Total]]/MIP_4[[#This Row],[HH Trabalhado]]</f>
        <v>0.71332218506131551</v>
      </c>
      <c r="AA218" s="38">
        <f ca="1">MIP_4[[#This Row],[HH Produtivo
Total]]/MIP_4[[#This Row],[HH disponível]]</f>
        <v>0.63226284584980197</v>
      </c>
      <c r="AB218" s="38">
        <f>MIP_4[[#This Row],[HH Trabalhado]]/MIP_4[[#This Row],[HH disponível]]</f>
        <v>0.88636363636363591</v>
      </c>
      <c r="AC218" s="37" t="str">
        <f>LEFT(MIP_4[[#This Row],[Equipe]], SEARCH("/",MIP_4[[#This Row],[Equipe]],1)-1)</f>
        <v xml:space="preserve">ADEMÁRIO </v>
      </c>
      <c r="AD218" s="37" t="str">
        <f>RIGHT(MIP_4[[#This Row],[Equipe]], LEN(MIP_4[[#This Row],[Equipe]])-SEARCH("/",MIP_4[[#This Row],[Equipe]],1))</f>
        <v xml:space="preserve"> RONALDO</v>
      </c>
      <c r="AE218" s="44">
        <f>COUNTIFS('[1]Tempo parado'!G:G,"&gt;="&amp;MIP_4[[#This Row],[S.B Sitrack]],'[1]Tempo parado'!H:H,"&lt;="&amp;MIP_4[[#This Row],[C.B Sitrack]],'[1]Tempo parado'!A:A,MIP_4[[#This Row],[Placa]])</f>
        <v>0</v>
      </c>
      <c r="AF218" s="36"/>
      <c r="AG218" s="35"/>
      <c r="AH218" s="34"/>
      <c r="AI218" s="34"/>
      <c r="AJ21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1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1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18" s="32" t="str">
        <f>IFERROR(MIP_4[[#This Row],[Tempo parado]]/(MIP_4[[#This Row],[C.B Sitrack]]-MIP_4[[#This Row],[S.B Sitrack]]),"")</f>
        <v/>
      </c>
      <c r="AN218" s="30"/>
      <c r="AO218" s="44">
        <f>IF(AND(MIP_4[Exc]=0,MIP_4[Previsto / Realizado]="Realizado"),MIP_4[Sem],0)</f>
        <v>0</v>
      </c>
      <c r="AP218" s="29">
        <f>IF(AND(MIP_4[Exc]=0,MIP_4[Previsto / Realizado]="Realizado",ISBLANK(MIP_4[[#This Row],[S.B Sitrack]])=FALSE,ISBLANK(MIP_4[[#This Row],[C.B Sitrack]])=FALSE),MIP_4[Sem],0)</f>
        <v>0</v>
      </c>
    </row>
    <row r="219" spans="1:42" ht="15.75" x14ac:dyDescent="0.25">
      <c r="A219" s="44">
        <f>WEEKNUM(MIP_4[[#This Row],[Data]])</f>
        <v>28</v>
      </c>
      <c r="B219" s="45">
        <v>42926</v>
      </c>
      <c r="C219" s="45"/>
      <c r="D219" s="35" t="s">
        <v>19</v>
      </c>
      <c r="E219" s="35" t="s">
        <v>2</v>
      </c>
      <c r="F219" s="35"/>
      <c r="G219" s="44">
        <v>2</v>
      </c>
      <c r="H219" s="44">
        <v>4</v>
      </c>
      <c r="I219" s="44">
        <v>1</v>
      </c>
      <c r="J219" s="44">
        <v>1</v>
      </c>
      <c r="K219" s="44">
        <v>2</v>
      </c>
      <c r="L219" s="43">
        <v>0.62847222222222221</v>
      </c>
      <c r="M219" s="43">
        <v>0.6777777777777777</v>
      </c>
      <c r="N219" s="43">
        <f>1+30/24/60</f>
        <v>1.0208333333333333</v>
      </c>
      <c r="O219" s="43">
        <f>1+58/24/60</f>
        <v>1.0402777777777779</v>
      </c>
      <c r="P219" s="39"/>
      <c r="Q219" s="42" t="s">
        <v>396</v>
      </c>
      <c r="R219" s="44">
        <f>MIP_4[[#This Row],[PT-1]]+MIP_4[[#This Row],[PT-2]]*2+MIP_4[[#This Row],[PT-3]]*3+MIP_4[[#This Row],[PT &gt; 3 Pontos]]</f>
        <v>11</v>
      </c>
      <c r="S21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6.8750000000000089E-2</v>
      </c>
      <c r="T21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6.8750000000000089E-2</v>
      </c>
      <c r="U219" s="41">
        <f ca="1">MIP_4[[#This Row],[Eficiência]]</f>
        <v>0.82053416056308759</v>
      </c>
      <c r="V21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19" s="39">
        <f>IF(MIP_4[[#This Row],[P.S]]-MIP_4[[#This Row],[P.E]]&lt;0,1+MIP_4[[#This Row],[P.S]]-MIP_4[[#This Row],[P.E]]-1/24,MIP_4[[#This Row],[P.S]]-MIP_4[[#This Row],[P.E]]-1/24)</f>
        <v>0.37013888888888896</v>
      </c>
      <c r="X219" s="39">
        <f ca="1">MIP_4[[#This Row],[PT-1]]*$S$3+MIP_4[[#This Row],[PT-2]]*$T$3+MIP_4[[#This Row],[PT-3]]*$U$3+MIP_4[[#This Row],[PT &gt; 3 Pontos]]*$V$3</f>
        <v>0.24729987894748612</v>
      </c>
      <c r="Y219" s="39">
        <f>MIP_4[[#This Row],[HH disponível]]-MIP_4[[#This Row],[HH AC TOT]]</f>
        <v>0.30138888888888887</v>
      </c>
      <c r="Z219" s="38">
        <f ca="1">MIP_4[[#This Row],[HH Produtivo
Total]]/MIP_4[[#This Row],[HH Trabalhado]]</f>
        <v>0.82053416056308759</v>
      </c>
      <c r="AA219" s="38">
        <f ca="1">MIP_4[[#This Row],[HH Produtivo
Total]]/MIP_4[[#This Row],[HH disponível]]</f>
        <v>0.66812725269114437</v>
      </c>
      <c r="AB219" s="38">
        <f>MIP_4[[#This Row],[HH Trabalhado]]/MIP_4[[#This Row],[HH disponível]]</f>
        <v>0.81425891181988719</v>
      </c>
      <c r="AC219" s="37" t="str">
        <f>LEFT(MIP_4[[#This Row],[Equipe]], SEARCH("/",MIP_4[[#This Row],[Equipe]],1)-1)</f>
        <v xml:space="preserve">ADEMÁRIO </v>
      </c>
      <c r="AD219" s="37" t="str">
        <f>RIGHT(MIP_4[[#This Row],[Equipe]], LEN(MIP_4[[#This Row],[Equipe]])-SEARCH("/",MIP_4[[#This Row],[Equipe]],1))</f>
        <v xml:space="preserve"> RONALDO</v>
      </c>
      <c r="AE219" s="44">
        <f>COUNTIFS('[1]Tempo parado'!G:G,"&gt;="&amp;MIP_4[[#This Row],[S.B Sitrack]],'[1]Tempo parado'!H:H,"&lt;="&amp;MIP_4[[#This Row],[C.B Sitrack]],'[1]Tempo parado'!A:A,MIP_4[[#This Row],[Placa]])</f>
        <v>0</v>
      </c>
      <c r="AF219" s="36"/>
      <c r="AG219" s="35"/>
      <c r="AH219" s="34"/>
      <c r="AI219" s="34"/>
      <c r="AJ21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1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1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19" s="32" t="str">
        <f>IFERROR(MIP_4[[#This Row],[Tempo parado]]/(MIP_4[[#This Row],[C.B Sitrack]]-MIP_4[[#This Row],[S.B Sitrack]]),"")</f>
        <v/>
      </c>
      <c r="AN219" s="30"/>
      <c r="AO219" s="44">
        <f>IF(AND(MIP_4[Exc]=0,MIP_4[Previsto / Realizado]="Realizado"),MIP_4[Sem],0)</f>
        <v>28</v>
      </c>
      <c r="AP219" s="29">
        <f>IF(AND(MIP_4[Exc]=0,MIP_4[Previsto / Realizado]="Realizado",ISBLANK(MIP_4[[#This Row],[S.B Sitrack]])=FALSE,ISBLANK(MIP_4[[#This Row],[C.B Sitrack]])=FALSE),MIP_4[Sem],0)</f>
        <v>0</v>
      </c>
    </row>
    <row r="220" spans="1:42" ht="15.75" x14ac:dyDescent="0.25">
      <c r="A220" s="44">
        <f>WEEKNUM(MIP_4[[#This Row],[Data]])</f>
        <v>28</v>
      </c>
      <c r="B220" s="45">
        <v>42927</v>
      </c>
      <c r="C220" s="45"/>
      <c r="D220" s="35" t="s">
        <v>10</v>
      </c>
      <c r="E220" s="35" t="s">
        <v>5</v>
      </c>
      <c r="F220" s="35"/>
      <c r="G220" s="44">
        <v>2</v>
      </c>
      <c r="H220" s="44">
        <v>10</v>
      </c>
      <c r="I220" s="44">
        <v>0</v>
      </c>
      <c r="J220" s="44">
        <v>0</v>
      </c>
      <c r="K220" s="44">
        <v>0</v>
      </c>
      <c r="L220" s="43">
        <v>0.25</v>
      </c>
      <c r="M220" s="43">
        <v>0.27083333333333331</v>
      </c>
      <c r="N220" s="43">
        <v>0.63750000000000007</v>
      </c>
      <c r="O220" s="43">
        <v>0.65833333333333333</v>
      </c>
      <c r="P220" s="39"/>
      <c r="Q220" s="42" t="s">
        <v>395</v>
      </c>
      <c r="R220" s="44">
        <f>MIP_4[[#This Row],[PT-1]]+MIP_4[[#This Row],[PT-2]]*2+MIP_4[[#This Row],[PT-3]]*3+MIP_4[[#This Row],[PT &gt; 3 Pontos]]</f>
        <v>10</v>
      </c>
      <c r="S22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22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220" s="41">
        <f ca="1">MIP_4[[#This Row],[Eficiência]]</f>
        <v>0.77002624489037452</v>
      </c>
      <c r="V22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20" s="39">
        <f>IF(MIP_4[[#This Row],[P.S]]-MIP_4[[#This Row],[P.E]]&lt;0,1+MIP_4[[#This Row],[P.S]]-MIP_4[[#This Row],[P.E]]-1/24,MIP_4[[#This Row],[P.S]]-MIP_4[[#This Row],[P.E]]-1/24)</f>
        <v>0.36666666666666664</v>
      </c>
      <c r="X220" s="39">
        <f ca="1">MIP_4[[#This Row],[PT-1]]*$S$3+MIP_4[[#This Row],[PT-2]]*$T$3+MIP_4[[#This Row],[PT-3]]*$U$3+MIP_4[[#This Row],[PT &gt; 3 Pontos]]*$V$3</f>
        <v>0.25025852958937178</v>
      </c>
      <c r="Y220" s="39">
        <f>MIP_4[[#This Row],[HH disponível]]-MIP_4[[#This Row],[HH AC TOT]]</f>
        <v>0.32500000000000007</v>
      </c>
      <c r="Z220" s="38">
        <f ca="1">MIP_4[[#This Row],[HH Produtivo
Total]]/MIP_4[[#This Row],[HH Trabalhado]]</f>
        <v>0.77002624489037452</v>
      </c>
      <c r="AA220" s="38">
        <f ca="1">MIP_4[[#This Row],[HH Produtivo
Total]]/MIP_4[[#This Row],[HH disponível]]</f>
        <v>0.68252326251646855</v>
      </c>
      <c r="AB220" s="38">
        <f>MIP_4[[#This Row],[HH Trabalhado]]/MIP_4[[#This Row],[HH disponível]]</f>
        <v>0.88636363636363658</v>
      </c>
      <c r="AC220" s="37" t="str">
        <f>LEFT(MIP_4[[#This Row],[Equipe]], SEARCH("/",MIP_4[[#This Row],[Equipe]],1)-1)</f>
        <v xml:space="preserve">JOILSON </v>
      </c>
      <c r="AD220" s="37" t="str">
        <f>RIGHT(MIP_4[[#This Row],[Equipe]], LEN(MIP_4[[#This Row],[Equipe]])-SEARCH("/",MIP_4[[#This Row],[Equipe]],1))</f>
        <v xml:space="preserve"> VALDEI</v>
      </c>
      <c r="AE220" s="44">
        <f>COUNTIFS('[1]Tempo parado'!G:G,"&gt;="&amp;MIP_4[[#This Row],[S.B Sitrack]],'[1]Tempo parado'!H:H,"&lt;="&amp;MIP_4[[#This Row],[C.B Sitrack]],'[1]Tempo parado'!A:A,MIP_4[[#This Row],[Placa]])</f>
        <v>0</v>
      </c>
      <c r="AF220" s="36"/>
      <c r="AG220" s="35"/>
      <c r="AH220" s="34"/>
      <c r="AI220" s="34"/>
      <c r="AJ22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2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2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20" s="32" t="str">
        <f>IFERROR(MIP_4[[#This Row],[Tempo parado]]/(MIP_4[[#This Row],[C.B Sitrack]]-MIP_4[[#This Row],[S.B Sitrack]]),"")</f>
        <v/>
      </c>
      <c r="AN220" s="30"/>
      <c r="AO220" s="44">
        <f>IF(AND(MIP_4[Exc]=0,MIP_4[Previsto / Realizado]="Realizado"),MIP_4[Sem],0)</f>
        <v>0</v>
      </c>
      <c r="AP220" s="29">
        <f>IF(AND(MIP_4[Exc]=0,MIP_4[Previsto / Realizado]="Realizado",ISBLANK(MIP_4[[#This Row],[S.B Sitrack]])=FALSE,ISBLANK(MIP_4[[#This Row],[C.B Sitrack]])=FALSE),MIP_4[Sem],0)</f>
        <v>0</v>
      </c>
    </row>
    <row r="221" spans="1:42" ht="15.75" x14ac:dyDescent="0.25">
      <c r="A221" s="44">
        <f>WEEKNUM(MIP_4[[#This Row],[Data]])</f>
        <v>28</v>
      </c>
      <c r="B221" s="45">
        <v>42927</v>
      </c>
      <c r="C221" s="45"/>
      <c r="D221" s="35" t="s">
        <v>10</v>
      </c>
      <c r="E221" s="35" t="s">
        <v>2</v>
      </c>
      <c r="F221" s="35"/>
      <c r="G221" s="44">
        <v>2</v>
      </c>
      <c r="H221" s="44">
        <f>7+1</f>
        <v>8</v>
      </c>
      <c r="I221" s="44">
        <v>0</v>
      </c>
      <c r="J221" s="44">
        <v>0</v>
      </c>
      <c r="K221" s="44">
        <v>0</v>
      </c>
      <c r="L221" s="43">
        <v>0.25</v>
      </c>
      <c r="M221" s="43">
        <v>0.2986111111111111</v>
      </c>
      <c r="N221" s="43">
        <v>0.64583333333333337</v>
      </c>
      <c r="O221" s="43">
        <v>0.65833333333333333</v>
      </c>
      <c r="P221" s="39"/>
      <c r="Q221" s="42" t="s">
        <v>394</v>
      </c>
      <c r="R221" s="44">
        <f>MIP_4[[#This Row],[PT-1]]+MIP_4[[#This Row],[PT-2]]*2+MIP_4[[#This Row],[PT-3]]*3+MIP_4[[#This Row],[PT &gt; 3 Pontos]]</f>
        <v>8</v>
      </c>
      <c r="S22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6.1111111111111061E-2</v>
      </c>
      <c r="T22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6.1111111111111061E-2</v>
      </c>
      <c r="U221" s="41">
        <f ca="1">MIP_4[[#This Row],[Eficiência]]</f>
        <v>0.65522233201580982</v>
      </c>
      <c r="V22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21" s="39">
        <f>IF(MIP_4[[#This Row],[P.S]]-MIP_4[[#This Row],[P.E]]&lt;0,1+MIP_4[[#This Row],[P.S]]-MIP_4[[#This Row],[P.E]]-1/24,MIP_4[[#This Row],[P.S]]-MIP_4[[#This Row],[P.E]]-1/24)</f>
        <v>0.36666666666666664</v>
      </c>
      <c r="X221" s="39">
        <f ca="1">MIP_4[[#This Row],[PT-1]]*$S$3+MIP_4[[#This Row],[PT-2]]*$T$3+MIP_4[[#This Row],[PT-3]]*$U$3+MIP_4[[#This Row],[PT &gt; 3 Pontos]]*$V$3</f>
        <v>0.20020682367149745</v>
      </c>
      <c r="Y221" s="39">
        <f>MIP_4[[#This Row],[HH disponível]]-MIP_4[[#This Row],[HH AC TOT]]</f>
        <v>0.30555555555555558</v>
      </c>
      <c r="Z221" s="38">
        <f ca="1">MIP_4[[#This Row],[HH Produtivo
Total]]/MIP_4[[#This Row],[HH Trabalhado]]</f>
        <v>0.65522233201580982</v>
      </c>
      <c r="AA221" s="38">
        <f ca="1">MIP_4[[#This Row],[HH Produtivo
Total]]/MIP_4[[#This Row],[HH disponível]]</f>
        <v>0.54601861001317487</v>
      </c>
      <c r="AB221" s="38">
        <f>MIP_4[[#This Row],[HH Trabalhado]]/MIP_4[[#This Row],[HH disponível]]</f>
        <v>0.83333333333333348</v>
      </c>
      <c r="AC221" s="37" t="str">
        <f>LEFT(MIP_4[[#This Row],[Equipe]], SEARCH("/",MIP_4[[#This Row],[Equipe]],1)-1)</f>
        <v xml:space="preserve">JOILSON </v>
      </c>
      <c r="AD221" s="37" t="str">
        <f>RIGHT(MIP_4[[#This Row],[Equipe]], LEN(MIP_4[[#This Row],[Equipe]])-SEARCH("/",MIP_4[[#This Row],[Equipe]],1))</f>
        <v xml:space="preserve"> VALDEI</v>
      </c>
      <c r="AE221" s="44">
        <f>COUNTIFS('[1]Tempo parado'!G:G,"&gt;="&amp;MIP_4[[#This Row],[S.B Sitrack]],'[1]Tempo parado'!H:H,"&lt;="&amp;MIP_4[[#This Row],[C.B Sitrack]],'[1]Tempo parado'!A:A,MIP_4[[#This Row],[Placa]])</f>
        <v>0</v>
      </c>
      <c r="AF221" s="36"/>
      <c r="AG221" s="35"/>
      <c r="AH221" s="34"/>
      <c r="AI221" s="34"/>
      <c r="AJ22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2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2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21" s="32" t="str">
        <f>IFERROR(MIP_4[[#This Row],[Tempo parado]]/(MIP_4[[#This Row],[C.B Sitrack]]-MIP_4[[#This Row],[S.B Sitrack]]),"")</f>
        <v/>
      </c>
      <c r="AN221" s="30"/>
      <c r="AO221" s="44">
        <f>IF(AND(MIP_4[Exc]=0,MIP_4[Previsto / Realizado]="Realizado"),MIP_4[Sem],0)</f>
        <v>28</v>
      </c>
      <c r="AP221" s="29">
        <f>IF(AND(MIP_4[Exc]=0,MIP_4[Previsto / Realizado]="Realizado",ISBLANK(MIP_4[[#This Row],[S.B Sitrack]])=FALSE,ISBLANK(MIP_4[[#This Row],[C.B Sitrack]])=FALSE),MIP_4[Sem],0)</f>
        <v>0</v>
      </c>
    </row>
    <row r="222" spans="1:42" ht="15.75" x14ac:dyDescent="0.25">
      <c r="A222" s="44">
        <f>WEEKNUM(MIP_4[[#This Row],[Data]])</f>
        <v>28</v>
      </c>
      <c r="B222" s="45">
        <v>42927</v>
      </c>
      <c r="C222" s="45"/>
      <c r="D222" s="35" t="s">
        <v>3</v>
      </c>
      <c r="E222" s="35" t="s">
        <v>5</v>
      </c>
      <c r="F222" s="35"/>
      <c r="G222" s="44">
        <v>2</v>
      </c>
      <c r="H222" s="44">
        <v>4</v>
      </c>
      <c r="I222" s="44">
        <v>1</v>
      </c>
      <c r="J222" s="44">
        <v>2</v>
      </c>
      <c r="K222" s="44">
        <v>0</v>
      </c>
      <c r="L222" s="43">
        <v>0.625</v>
      </c>
      <c r="M222" s="43">
        <v>0.64583333333333337</v>
      </c>
      <c r="N222" s="43">
        <f>1+18/24/60</f>
        <v>1.0125</v>
      </c>
      <c r="O222" s="43">
        <f>1+48/24/60</f>
        <v>1.0333333333333334</v>
      </c>
      <c r="P222" s="39"/>
      <c r="Q222" s="42"/>
      <c r="R222" s="44">
        <f>MIP_4[[#This Row],[PT-1]]+MIP_4[[#This Row],[PT-2]]*2+MIP_4[[#This Row],[PT-3]]*3+MIP_4[[#This Row],[PT &gt; 3 Pontos]]</f>
        <v>12</v>
      </c>
      <c r="S22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22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222" s="41">
        <f ca="1">MIP_4[[#This Row],[Eficiência]]</f>
        <v>0.82952472748668404</v>
      </c>
      <c r="V22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22" s="39">
        <f>IF(MIP_4[[#This Row],[P.S]]-MIP_4[[#This Row],[P.E]]&lt;0,1+MIP_4[[#This Row],[P.S]]-MIP_4[[#This Row],[P.E]]-1/24,MIP_4[[#This Row],[P.S]]-MIP_4[[#This Row],[P.E]]-1/24)</f>
        <v>0.36666666666666675</v>
      </c>
      <c r="X222" s="39">
        <f ca="1">MIP_4[[#This Row],[PT-1]]*$S$3+MIP_4[[#This Row],[PT-2]]*$T$3+MIP_4[[#This Row],[PT-3]]*$U$3+MIP_4[[#This Row],[PT &gt; 3 Pontos]]*$V$3</f>
        <v>0.26959553643317224</v>
      </c>
      <c r="Y222" s="39">
        <f>MIP_4[[#This Row],[HH disponível]]-MIP_4[[#This Row],[HH AC TOT]]</f>
        <v>0.3249999999999999</v>
      </c>
      <c r="Z222" s="38">
        <f ca="1">MIP_4[[#This Row],[HH Produtivo
Total]]/MIP_4[[#This Row],[HH Trabalhado]]</f>
        <v>0.82952472748668404</v>
      </c>
      <c r="AA222" s="38">
        <f ca="1">MIP_4[[#This Row],[HH Produtivo
Total]]/MIP_4[[#This Row],[HH disponível]]</f>
        <v>0.73526055390865142</v>
      </c>
      <c r="AB222" s="38">
        <f>MIP_4[[#This Row],[HH Trabalhado]]/MIP_4[[#This Row],[HH disponível]]</f>
        <v>0.88636363636363591</v>
      </c>
      <c r="AC222" s="37" t="str">
        <f>LEFT(MIP_4[[#This Row],[Equipe]], SEARCH("/",MIP_4[[#This Row],[Equipe]],1)-1)</f>
        <v xml:space="preserve">EDILTON </v>
      </c>
      <c r="AD222" s="37" t="str">
        <f>RIGHT(MIP_4[[#This Row],[Equipe]], LEN(MIP_4[[#This Row],[Equipe]])-SEARCH("/",MIP_4[[#This Row],[Equipe]],1))</f>
        <v xml:space="preserve"> GECIVALDO</v>
      </c>
      <c r="AE222" s="44">
        <f>COUNTIFS('[1]Tempo parado'!G:G,"&gt;="&amp;MIP_4[[#This Row],[S.B Sitrack]],'[1]Tempo parado'!H:H,"&lt;="&amp;MIP_4[[#This Row],[C.B Sitrack]],'[1]Tempo parado'!A:A,MIP_4[[#This Row],[Placa]])</f>
        <v>0</v>
      </c>
      <c r="AF222" s="36"/>
      <c r="AG222" s="35"/>
      <c r="AH222" s="34"/>
      <c r="AI222" s="34"/>
      <c r="AJ22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2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2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22" s="32" t="str">
        <f>IFERROR(MIP_4[[#This Row],[Tempo parado]]/(MIP_4[[#This Row],[C.B Sitrack]]-MIP_4[[#This Row],[S.B Sitrack]]),"")</f>
        <v/>
      </c>
      <c r="AN222" s="30"/>
      <c r="AO222" s="44">
        <f>IF(AND(MIP_4[Exc]=0,MIP_4[Previsto / Realizado]="Realizado"),MIP_4[Sem],0)</f>
        <v>0</v>
      </c>
      <c r="AP222" s="29">
        <f>IF(AND(MIP_4[Exc]=0,MIP_4[Previsto / Realizado]="Realizado",ISBLANK(MIP_4[[#This Row],[S.B Sitrack]])=FALSE,ISBLANK(MIP_4[[#This Row],[C.B Sitrack]])=FALSE),MIP_4[Sem],0)</f>
        <v>0</v>
      </c>
    </row>
    <row r="223" spans="1:42" ht="15.75" x14ac:dyDescent="0.25">
      <c r="A223" s="44">
        <f>WEEKNUM(MIP_4[[#This Row],[Data]])</f>
        <v>28</v>
      </c>
      <c r="B223" s="45">
        <v>42927</v>
      </c>
      <c r="C223" s="45"/>
      <c r="D223" s="35" t="s">
        <v>3</v>
      </c>
      <c r="E223" s="35" t="s">
        <v>2</v>
      </c>
      <c r="F223" s="35"/>
      <c r="G223" s="44">
        <v>2</v>
      </c>
      <c r="H223" s="44">
        <v>3</v>
      </c>
      <c r="I223" s="44">
        <v>1</v>
      </c>
      <c r="J223" s="44">
        <v>2</v>
      </c>
      <c r="K223" s="44">
        <v>0</v>
      </c>
      <c r="L223" s="43">
        <v>0.62430555555555556</v>
      </c>
      <c r="M223" s="43">
        <v>0.65486111111111112</v>
      </c>
      <c r="N223" s="43">
        <f>1+16/24/60</f>
        <v>1.0111111111111111</v>
      </c>
      <c r="O223" s="43">
        <f>1+50/24/60</f>
        <v>1.0347222222222223</v>
      </c>
      <c r="P223" s="39"/>
      <c r="Q223" s="42" t="s">
        <v>393</v>
      </c>
      <c r="R223" s="44">
        <f>MIP_4[[#This Row],[PT-1]]+MIP_4[[#This Row],[PT-2]]*2+MIP_4[[#This Row],[PT-3]]*3+MIP_4[[#This Row],[PT &gt; 3 Pontos]]</f>
        <v>11</v>
      </c>
      <c r="S22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5.4166666666666807E-2</v>
      </c>
      <c r="T22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5.4166666666666807E-2</v>
      </c>
      <c r="U223" s="41">
        <f ca="1">MIP_4[[#This Row],[Eficiência]]</f>
        <v>0.77744005342803224</v>
      </c>
      <c r="V22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23" s="39">
        <f>IF(MIP_4[[#This Row],[P.S]]-MIP_4[[#This Row],[P.E]]&lt;0,1+MIP_4[[#This Row],[P.S]]-MIP_4[[#This Row],[P.E]]-1/24,MIP_4[[#This Row],[P.S]]-MIP_4[[#This Row],[P.E]]-1/24)</f>
        <v>0.36875000000000008</v>
      </c>
      <c r="X223" s="39">
        <f ca="1">MIP_4[[#This Row],[PT-1]]*$S$3+MIP_4[[#This Row],[PT-2]]*$T$3+MIP_4[[#This Row],[PT-3]]*$U$3+MIP_4[[#This Row],[PT &gt; 3 Pontos]]*$V$3</f>
        <v>0.24456968347423511</v>
      </c>
      <c r="Y223" s="39">
        <f>MIP_4[[#This Row],[HH disponível]]-MIP_4[[#This Row],[HH AC TOT]]</f>
        <v>0.31458333333333327</v>
      </c>
      <c r="Z223" s="38">
        <f ca="1">MIP_4[[#This Row],[HH Produtivo
Total]]/MIP_4[[#This Row],[HH Trabalhado]]</f>
        <v>0.77744005342803224</v>
      </c>
      <c r="AA223" s="38">
        <f ca="1">MIP_4[[#This Row],[HH Produtivo
Total]]/MIP_4[[#This Row],[HH disponível]]</f>
        <v>0.66323981959114586</v>
      </c>
      <c r="AB223" s="38">
        <f>MIP_4[[#This Row],[HH Trabalhado]]/MIP_4[[#This Row],[HH disponível]]</f>
        <v>0.85310734463276805</v>
      </c>
      <c r="AC223" s="37" t="str">
        <f>LEFT(MIP_4[[#This Row],[Equipe]], SEARCH("/",MIP_4[[#This Row],[Equipe]],1)-1)</f>
        <v xml:space="preserve">EDILTON </v>
      </c>
      <c r="AD223" s="37" t="str">
        <f>RIGHT(MIP_4[[#This Row],[Equipe]], LEN(MIP_4[[#This Row],[Equipe]])-SEARCH("/",MIP_4[[#This Row],[Equipe]],1))</f>
        <v xml:space="preserve"> GECIVALDO</v>
      </c>
      <c r="AE223" s="44">
        <f>COUNTIFS('[1]Tempo parado'!G:G,"&gt;="&amp;MIP_4[[#This Row],[S.B Sitrack]],'[1]Tempo parado'!H:H,"&lt;="&amp;MIP_4[[#This Row],[C.B Sitrack]],'[1]Tempo parado'!A:A,MIP_4[[#This Row],[Placa]])</f>
        <v>0</v>
      </c>
      <c r="AF223" s="36"/>
      <c r="AG223" s="35"/>
      <c r="AH223" s="34"/>
      <c r="AI223" s="34"/>
      <c r="AJ22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2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2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23" s="32" t="str">
        <f>IFERROR(MIP_4[[#This Row],[Tempo parado]]/(MIP_4[[#This Row],[C.B Sitrack]]-MIP_4[[#This Row],[S.B Sitrack]]),"")</f>
        <v/>
      </c>
      <c r="AN223" s="30"/>
      <c r="AO223" s="44">
        <f>IF(AND(MIP_4[Exc]=0,MIP_4[Previsto / Realizado]="Realizado"),MIP_4[Sem],0)</f>
        <v>28</v>
      </c>
      <c r="AP223" s="29">
        <f>IF(AND(MIP_4[Exc]=0,MIP_4[Previsto / Realizado]="Realizado",ISBLANK(MIP_4[[#This Row],[S.B Sitrack]])=FALSE,ISBLANK(MIP_4[[#This Row],[C.B Sitrack]])=FALSE),MIP_4[Sem],0)</f>
        <v>0</v>
      </c>
    </row>
    <row r="224" spans="1:42" ht="15.75" x14ac:dyDescent="0.25">
      <c r="A224" s="44">
        <f>WEEKNUM(MIP_4[[#This Row],[Data]])</f>
        <v>28</v>
      </c>
      <c r="B224" s="45">
        <v>42927</v>
      </c>
      <c r="C224" s="45"/>
      <c r="D224" s="35" t="s">
        <v>7</v>
      </c>
      <c r="E224" s="35" t="s">
        <v>5</v>
      </c>
      <c r="F224" s="35"/>
      <c r="G224" s="44">
        <v>2</v>
      </c>
      <c r="H224" s="44">
        <v>3</v>
      </c>
      <c r="I224" s="44">
        <v>0</v>
      </c>
      <c r="J224" s="44">
        <v>0</v>
      </c>
      <c r="K224" s="44">
        <v>5</v>
      </c>
      <c r="L224" s="43">
        <v>0.625</v>
      </c>
      <c r="M224" s="43">
        <v>0.64583333333333337</v>
      </c>
      <c r="N224" s="43">
        <f>1+18/24/60</f>
        <v>1.0125</v>
      </c>
      <c r="O224" s="43">
        <f>1+48/24/60</f>
        <v>1.0333333333333334</v>
      </c>
      <c r="P224" s="39"/>
      <c r="Q224" s="42" t="s">
        <v>392</v>
      </c>
      <c r="R224" s="44">
        <f>MIP_4[[#This Row],[PT-1]]+MIP_4[[#This Row],[PT-2]]*2+MIP_4[[#This Row],[PT-3]]*3+MIP_4[[#This Row],[PT &gt; 3 Pontos]]</f>
        <v>8</v>
      </c>
      <c r="S22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22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224" s="41">
        <f ca="1">MIP_4[[#This Row],[Eficiência]]</f>
        <v>0.5425157331709265</v>
      </c>
      <c r="V22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24" s="39">
        <f>IF(MIP_4[[#This Row],[P.S]]-MIP_4[[#This Row],[P.E]]&lt;0,1+MIP_4[[#This Row],[P.S]]-MIP_4[[#This Row],[P.E]]-1/24,MIP_4[[#This Row],[P.S]]-MIP_4[[#This Row],[P.E]]-1/24)</f>
        <v>0.36666666666666675</v>
      </c>
      <c r="X224" s="39">
        <f ca="1">MIP_4[[#This Row],[PT-1]]*$S$3+MIP_4[[#This Row],[PT-2]]*$T$3+MIP_4[[#This Row],[PT-3]]*$U$3+MIP_4[[#This Row],[PT &gt; 3 Pontos]]*$V$3</f>
        <v>0.17631761328055107</v>
      </c>
      <c r="Y224" s="39">
        <f>MIP_4[[#This Row],[HH disponível]]-MIP_4[[#This Row],[HH AC TOT]]</f>
        <v>0.3249999999999999</v>
      </c>
      <c r="Z224" s="38">
        <f ca="1">MIP_4[[#This Row],[HH Produtivo
Total]]/MIP_4[[#This Row],[HH Trabalhado]]</f>
        <v>0.5425157331709265</v>
      </c>
      <c r="AA224" s="38">
        <f ca="1">MIP_4[[#This Row],[HH Produtivo
Total]]/MIP_4[[#This Row],[HH disponível]]</f>
        <v>0.48086621803786644</v>
      </c>
      <c r="AB224" s="38">
        <f>MIP_4[[#This Row],[HH Trabalhado]]/MIP_4[[#This Row],[HH disponível]]</f>
        <v>0.88636363636363591</v>
      </c>
      <c r="AC224" s="37" t="str">
        <f>LEFT(MIP_4[[#This Row],[Equipe]], SEARCH("/",MIP_4[[#This Row],[Equipe]],1)-1)</f>
        <v xml:space="preserve">ANDERSON </v>
      </c>
      <c r="AD224" s="37" t="str">
        <f>RIGHT(MIP_4[[#This Row],[Equipe]], LEN(MIP_4[[#This Row],[Equipe]])-SEARCH("/",MIP_4[[#This Row],[Equipe]],1))</f>
        <v xml:space="preserve"> MARCO</v>
      </c>
      <c r="AE224" s="44">
        <f>COUNTIFS('[1]Tempo parado'!G:G,"&gt;="&amp;MIP_4[[#This Row],[S.B Sitrack]],'[1]Tempo parado'!H:H,"&lt;="&amp;MIP_4[[#This Row],[C.B Sitrack]],'[1]Tempo parado'!A:A,MIP_4[[#This Row],[Placa]])</f>
        <v>0</v>
      </c>
      <c r="AF224" s="36"/>
      <c r="AG224" s="35"/>
      <c r="AH224" s="34"/>
      <c r="AI224" s="34"/>
      <c r="AJ22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2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2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24" s="32" t="str">
        <f>IFERROR(MIP_4[[#This Row],[Tempo parado]]/(MIP_4[[#This Row],[C.B Sitrack]]-MIP_4[[#This Row],[S.B Sitrack]]),"")</f>
        <v/>
      </c>
      <c r="AN224" s="30"/>
      <c r="AO224" s="44">
        <f>IF(AND(MIP_4[Exc]=0,MIP_4[Previsto / Realizado]="Realizado"),MIP_4[Sem],0)</f>
        <v>0</v>
      </c>
      <c r="AP224" s="29">
        <f>IF(AND(MIP_4[Exc]=0,MIP_4[Previsto / Realizado]="Realizado",ISBLANK(MIP_4[[#This Row],[S.B Sitrack]])=FALSE,ISBLANK(MIP_4[[#This Row],[C.B Sitrack]])=FALSE),MIP_4[Sem],0)</f>
        <v>0</v>
      </c>
    </row>
    <row r="225" spans="1:42" ht="15.75" x14ac:dyDescent="0.25">
      <c r="A225" s="44">
        <f>WEEKNUM(MIP_4[[#This Row],[Data]])</f>
        <v>28</v>
      </c>
      <c r="B225" s="45">
        <v>42927</v>
      </c>
      <c r="C225" s="45"/>
      <c r="D225" s="35" t="s">
        <v>7</v>
      </c>
      <c r="E225" s="35" t="s">
        <v>2</v>
      </c>
      <c r="F225" s="35"/>
      <c r="G225" s="44">
        <v>2</v>
      </c>
      <c r="H225" s="44">
        <v>3</v>
      </c>
      <c r="I225" s="44">
        <v>0</v>
      </c>
      <c r="J225" s="44">
        <v>0</v>
      </c>
      <c r="K225" s="44">
        <f>5+7</f>
        <v>12</v>
      </c>
      <c r="L225" s="43">
        <v>0.6333333333333333</v>
      </c>
      <c r="M225" s="43">
        <v>0.66319444444444442</v>
      </c>
      <c r="N225" s="43">
        <f>1+0/24/60</f>
        <v>1</v>
      </c>
      <c r="O225" s="43">
        <f>1+50/24/60</f>
        <v>1.0347222222222223</v>
      </c>
      <c r="P225" s="39"/>
      <c r="Q225" s="42" t="s">
        <v>391</v>
      </c>
      <c r="R225" s="44">
        <f>MIP_4[[#This Row],[PT-1]]+MIP_4[[#This Row],[PT-2]]*2+MIP_4[[#This Row],[PT-3]]*3+MIP_4[[#This Row],[PT &gt; 3 Pontos]]</f>
        <v>15</v>
      </c>
      <c r="S22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6.4583333333333437E-2</v>
      </c>
      <c r="T22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6.4583333333333437E-2</v>
      </c>
      <c r="U225" s="41">
        <f ca="1">MIP_4[[#This Row],[Eficiência]]</f>
        <v>1.077640736004547</v>
      </c>
      <c r="V22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25" s="39">
        <f>IF(MIP_4[[#This Row],[P.S]]-MIP_4[[#This Row],[P.E]]&lt;0,1+MIP_4[[#This Row],[P.S]]-MIP_4[[#This Row],[P.E]]-1/24,MIP_4[[#This Row],[P.S]]-MIP_4[[#This Row],[P.E]]-1/24)</f>
        <v>0.35972222222222233</v>
      </c>
      <c r="X225" s="39">
        <f ca="1">MIP_4[[#This Row],[PT-1]]*$S$3+MIP_4[[#This Row],[PT-2]]*$T$3+MIP_4[[#This Row],[PT-3]]*$U$3+MIP_4[[#This Row],[PT &gt; 3 Pontos]]*$V$3</f>
        <v>0.31805368944578644</v>
      </c>
      <c r="Y225" s="39">
        <f>MIP_4[[#This Row],[HH disponível]]-MIP_4[[#This Row],[HH AC TOT]]</f>
        <v>0.2951388888888889</v>
      </c>
      <c r="Z225" s="38">
        <f ca="1">MIP_4[[#This Row],[HH Produtivo
Total]]/MIP_4[[#This Row],[HH Trabalhado]]</f>
        <v>1.077640736004547</v>
      </c>
      <c r="AA225" s="38">
        <f ca="1">MIP_4[[#This Row],[HH Produtivo
Total]]/MIP_4[[#This Row],[HH disponível]]</f>
        <v>0.8841646965288269</v>
      </c>
      <c r="AB225" s="38">
        <f>MIP_4[[#This Row],[HH Trabalhado]]/MIP_4[[#This Row],[HH disponível]]</f>
        <v>0.82046332046332027</v>
      </c>
      <c r="AC225" s="37" t="str">
        <f>LEFT(MIP_4[[#This Row],[Equipe]], SEARCH("/",MIP_4[[#This Row],[Equipe]],1)-1)</f>
        <v xml:space="preserve">ANDERSON </v>
      </c>
      <c r="AD225" s="37" t="str">
        <f>RIGHT(MIP_4[[#This Row],[Equipe]], LEN(MIP_4[[#This Row],[Equipe]])-SEARCH("/",MIP_4[[#This Row],[Equipe]],1))</f>
        <v xml:space="preserve"> MARCO</v>
      </c>
      <c r="AE225" s="44">
        <f>COUNTIFS('[1]Tempo parado'!G:G,"&gt;="&amp;MIP_4[[#This Row],[S.B Sitrack]],'[1]Tempo parado'!H:H,"&lt;="&amp;MIP_4[[#This Row],[C.B Sitrack]],'[1]Tempo parado'!A:A,MIP_4[[#This Row],[Placa]])</f>
        <v>0</v>
      </c>
      <c r="AF225" s="36"/>
      <c r="AG225" s="35"/>
      <c r="AH225" s="34"/>
      <c r="AI225" s="34"/>
      <c r="AJ22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2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2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25" s="32" t="str">
        <f>IFERROR(MIP_4[[#This Row],[Tempo parado]]/(MIP_4[[#This Row],[C.B Sitrack]]-MIP_4[[#This Row],[S.B Sitrack]]),"")</f>
        <v/>
      </c>
      <c r="AN225" s="30"/>
      <c r="AO225" s="44">
        <f>IF(AND(MIP_4[Exc]=0,MIP_4[Previsto / Realizado]="Realizado"),MIP_4[Sem],0)</f>
        <v>28</v>
      </c>
      <c r="AP225" s="29">
        <f>IF(AND(MIP_4[Exc]=0,MIP_4[Previsto / Realizado]="Realizado",ISBLANK(MIP_4[[#This Row],[S.B Sitrack]])=FALSE,ISBLANK(MIP_4[[#This Row],[C.B Sitrack]])=FALSE),MIP_4[Sem],0)</f>
        <v>0</v>
      </c>
    </row>
    <row r="226" spans="1:42" ht="15.75" x14ac:dyDescent="0.25">
      <c r="A226" s="44">
        <f>WEEKNUM(MIP_4[[#This Row],[Data]])</f>
        <v>28</v>
      </c>
      <c r="B226" s="45">
        <v>42927</v>
      </c>
      <c r="C226" s="45"/>
      <c r="D226" s="35" t="s">
        <v>389</v>
      </c>
      <c r="E226" s="35" t="s">
        <v>5</v>
      </c>
      <c r="F226" s="35"/>
      <c r="G226" s="44">
        <v>2</v>
      </c>
      <c r="H226" s="44">
        <v>4</v>
      </c>
      <c r="I226" s="44">
        <v>1</v>
      </c>
      <c r="J226" s="44">
        <v>0</v>
      </c>
      <c r="K226" s="44">
        <v>0</v>
      </c>
      <c r="L226" s="43">
        <v>0.625</v>
      </c>
      <c r="M226" s="43">
        <v>0.64583333333333337</v>
      </c>
      <c r="N226" s="43">
        <f>1+18/24/60</f>
        <v>1.0125</v>
      </c>
      <c r="O226" s="43">
        <f>1+48/24/60</f>
        <v>1.0333333333333334</v>
      </c>
      <c r="P226" s="39"/>
      <c r="Q226" s="42" t="s">
        <v>390</v>
      </c>
      <c r="R226" s="44">
        <f>MIP_4[[#This Row],[PT-1]]+MIP_4[[#This Row],[PT-2]]*2+MIP_4[[#This Row],[PT-3]]*3+MIP_4[[#This Row],[PT &gt; 3 Pontos]]</f>
        <v>6</v>
      </c>
      <c r="S22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22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226" s="41">
        <f ca="1">MIP_4[[#This Row],[Eficiência]]</f>
        <v>0.44311439365787181</v>
      </c>
      <c r="V22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26" s="39">
        <f>IF(MIP_4[[#This Row],[P.S]]-MIP_4[[#This Row],[P.E]]&lt;0,1+MIP_4[[#This Row],[P.S]]-MIP_4[[#This Row],[P.E]]-1/24,MIP_4[[#This Row],[P.S]]-MIP_4[[#This Row],[P.E]]-1/24)</f>
        <v>0.36666666666666675</v>
      </c>
      <c r="X226" s="39">
        <f ca="1">MIP_4[[#This Row],[PT-1]]*$S$3+MIP_4[[#This Row],[PT-2]]*$T$3+MIP_4[[#This Row],[PT-3]]*$U$3+MIP_4[[#This Row],[PT &gt; 3 Pontos]]*$V$3</f>
        <v>0.1440121779388083</v>
      </c>
      <c r="Y226" s="39">
        <f>MIP_4[[#This Row],[HH disponível]]-MIP_4[[#This Row],[HH AC TOT]]</f>
        <v>0.3249999999999999</v>
      </c>
      <c r="Z226" s="38">
        <f ca="1">MIP_4[[#This Row],[HH Produtivo
Total]]/MIP_4[[#This Row],[HH Trabalhado]]</f>
        <v>0.44311439365787181</v>
      </c>
      <c r="AA226" s="38">
        <f ca="1">MIP_4[[#This Row],[HH Produtivo
Total]]/MIP_4[[#This Row],[HH disponível]]</f>
        <v>0.39276048528765889</v>
      </c>
      <c r="AB226" s="38">
        <f>MIP_4[[#This Row],[HH Trabalhado]]/MIP_4[[#This Row],[HH disponível]]</f>
        <v>0.88636363636363591</v>
      </c>
      <c r="AC226" s="37" t="str">
        <f>LEFT(MIP_4[[#This Row],[Equipe]], SEARCH("/",MIP_4[[#This Row],[Equipe]],1)-1)</f>
        <v xml:space="preserve">CLEBER </v>
      </c>
      <c r="AD226" s="37" t="str">
        <f>RIGHT(MIP_4[[#This Row],[Equipe]], LEN(MIP_4[[#This Row],[Equipe]])-SEARCH("/",MIP_4[[#This Row],[Equipe]],1))</f>
        <v xml:space="preserve"> HERVAL</v>
      </c>
      <c r="AE226" s="44">
        <f>COUNTIFS('[1]Tempo parado'!G:G,"&gt;="&amp;MIP_4[[#This Row],[S.B Sitrack]],'[1]Tempo parado'!H:H,"&lt;="&amp;MIP_4[[#This Row],[C.B Sitrack]],'[1]Tempo parado'!A:A,MIP_4[[#This Row],[Placa]])</f>
        <v>0</v>
      </c>
      <c r="AF226" s="36"/>
      <c r="AG226" s="35"/>
      <c r="AH226" s="34"/>
      <c r="AI226" s="34"/>
      <c r="AJ22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2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2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26" s="32" t="str">
        <f>IFERROR(MIP_4[[#This Row],[Tempo parado]]/(MIP_4[[#This Row],[C.B Sitrack]]-MIP_4[[#This Row],[S.B Sitrack]]),"")</f>
        <v/>
      </c>
      <c r="AN226" s="30"/>
      <c r="AO226" s="44">
        <f>IF(AND(MIP_4[Exc]=0,MIP_4[Previsto / Realizado]="Realizado"),MIP_4[Sem],0)</f>
        <v>0</v>
      </c>
      <c r="AP226" s="29">
        <f>IF(AND(MIP_4[Exc]=0,MIP_4[Previsto / Realizado]="Realizado",ISBLANK(MIP_4[[#This Row],[S.B Sitrack]])=FALSE,ISBLANK(MIP_4[[#This Row],[C.B Sitrack]])=FALSE),MIP_4[Sem],0)</f>
        <v>0</v>
      </c>
    </row>
    <row r="227" spans="1:42" ht="15.75" x14ac:dyDescent="0.25">
      <c r="A227" s="44">
        <f>WEEKNUM(MIP_4[[#This Row],[Data]])</f>
        <v>28</v>
      </c>
      <c r="B227" s="45">
        <v>42927</v>
      </c>
      <c r="C227" s="45"/>
      <c r="D227" s="35" t="s">
        <v>389</v>
      </c>
      <c r="E227" s="35" t="s">
        <v>2</v>
      </c>
      <c r="F227" s="35"/>
      <c r="G227" s="44">
        <v>2</v>
      </c>
      <c r="H227" s="44">
        <v>4</v>
      </c>
      <c r="I227" s="44">
        <v>1</v>
      </c>
      <c r="J227" s="44">
        <v>0</v>
      </c>
      <c r="K227" s="44">
        <v>11</v>
      </c>
      <c r="L227" s="43">
        <v>0.62777777777777777</v>
      </c>
      <c r="M227" s="43">
        <v>0.67013888888888884</v>
      </c>
      <c r="N227" s="43">
        <v>0.9784722222222223</v>
      </c>
      <c r="O227" s="43">
        <f>1+51/24/60</f>
        <v>1.0354166666666667</v>
      </c>
      <c r="P227" s="39"/>
      <c r="Q227" s="42" t="s">
        <v>388</v>
      </c>
      <c r="R227" s="44">
        <f>MIP_4[[#This Row],[PT-1]]+MIP_4[[#This Row],[PT-2]]*2+MIP_4[[#This Row],[PT-3]]*3+MIP_4[[#This Row],[PT &gt; 3 Pontos]]</f>
        <v>17</v>
      </c>
      <c r="S22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9.9305555555555425E-2</v>
      </c>
      <c r="T22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9.9305555555555425E-2</v>
      </c>
      <c r="U227" s="41">
        <f ca="1">MIP_4[[#This Row],[Eficiência]]</f>
        <v>1.3752761161013818</v>
      </c>
      <c r="V22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27" s="39">
        <f>IF(MIP_4[[#This Row],[P.S]]-MIP_4[[#This Row],[P.E]]&lt;0,1+MIP_4[[#This Row],[P.S]]-MIP_4[[#This Row],[P.E]]-1/24,MIP_4[[#This Row],[P.S]]-MIP_4[[#This Row],[P.E]]-1/24)</f>
        <v>0.3659722222222222</v>
      </c>
      <c r="X227" s="39">
        <f ca="1">MIP_4[[#This Row],[PT-1]]*$S$3+MIP_4[[#This Row],[PT-2]]*$T$3+MIP_4[[#This Row],[PT-3]]*$U$3+MIP_4[[#This Row],[PT &gt; 3 Pontos]]*$V$3</f>
        <v>0.36674029762703531</v>
      </c>
      <c r="Y227" s="39">
        <f>MIP_4[[#This Row],[HH disponível]]-MIP_4[[#This Row],[HH AC TOT]]</f>
        <v>0.26666666666666677</v>
      </c>
      <c r="Z227" s="38">
        <f ca="1">MIP_4[[#This Row],[HH Produtivo
Total]]/MIP_4[[#This Row],[HH Trabalhado]]</f>
        <v>1.3752761161013818</v>
      </c>
      <c r="AA227" s="38">
        <f ca="1">MIP_4[[#This Row],[HH Produtivo
Total]]/MIP_4[[#This Row],[HH disponível]]</f>
        <v>1.0020987259638157</v>
      </c>
      <c r="AB227" s="38">
        <f>MIP_4[[#This Row],[HH Trabalhado]]/MIP_4[[#This Row],[HH disponível]]</f>
        <v>0.72865275142315022</v>
      </c>
      <c r="AC227" s="37" t="str">
        <f>LEFT(MIP_4[[#This Row],[Equipe]], SEARCH("/",MIP_4[[#This Row],[Equipe]],1)-1)</f>
        <v xml:space="preserve">CLEBER </v>
      </c>
      <c r="AD227" s="37" t="str">
        <f>RIGHT(MIP_4[[#This Row],[Equipe]], LEN(MIP_4[[#This Row],[Equipe]])-SEARCH("/",MIP_4[[#This Row],[Equipe]],1))</f>
        <v xml:space="preserve"> HERVAL</v>
      </c>
      <c r="AE227" s="44">
        <f>COUNTIFS('[1]Tempo parado'!G:G,"&gt;="&amp;MIP_4[[#This Row],[S.B Sitrack]],'[1]Tempo parado'!H:H,"&lt;="&amp;MIP_4[[#This Row],[C.B Sitrack]],'[1]Tempo parado'!A:A,MIP_4[[#This Row],[Placa]])</f>
        <v>0</v>
      </c>
      <c r="AF227" s="36"/>
      <c r="AG227" s="35"/>
      <c r="AH227" s="34"/>
      <c r="AI227" s="34"/>
      <c r="AJ22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2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2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27" s="32" t="str">
        <f>IFERROR(MIP_4[[#This Row],[Tempo parado]]/(MIP_4[[#This Row],[C.B Sitrack]]-MIP_4[[#This Row],[S.B Sitrack]]),"")</f>
        <v/>
      </c>
      <c r="AN227" s="30"/>
      <c r="AO227" s="44">
        <f>IF(AND(MIP_4[Exc]=0,MIP_4[Previsto / Realizado]="Realizado"),MIP_4[Sem],0)</f>
        <v>28</v>
      </c>
      <c r="AP227" s="29">
        <f>IF(AND(MIP_4[Exc]=0,MIP_4[Previsto / Realizado]="Realizado",ISBLANK(MIP_4[[#This Row],[S.B Sitrack]])=FALSE,ISBLANK(MIP_4[[#This Row],[C.B Sitrack]])=FALSE),MIP_4[Sem],0)</f>
        <v>0</v>
      </c>
    </row>
    <row r="228" spans="1:42" ht="15.75" x14ac:dyDescent="0.25">
      <c r="A228" s="44">
        <f>WEEKNUM(MIP_4[[#This Row],[Data]])</f>
        <v>28</v>
      </c>
      <c r="B228" s="45">
        <v>42928</v>
      </c>
      <c r="C228" s="45"/>
      <c r="D228" s="35" t="s">
        <v>384</v>
      </c>
      <c r="E228" s="35" t="s">
        <v>5</v>
      </c>
      <c r="F228" s="35"/>
      <c r="G228" s="44">
        <v>2</v>
      </c>
      <c r="H228" s="44">
        <v>4</v>
      </c>
      <c r="I228" s="44">
        <v>2</v>
      </c>
      <c r="J228" s="44">
        <v>1</v>
      </c>
      <c r="K228" s="44">
        <v>0</v>
      </c>
      <c r="L228" s="43">
        <v>0.25</v>
      </c>
      <c r="M228" s="43">
        <v>0.27083333333333331</v>
      </c>
      <c r="N228" s="43">
        <v>0.63750000000000007</v>
      </c>
      <c r="O228" s="43">
        <v>0.65833333333333333</v>
      </c>
      <c r="P228" s="39"/>
      <c r="Q228" s="42"/>
      <c r="R228" s="44">
        <f>MIP_4[[#This Row],[PT-1]]+MIP_4[[#This Row],[PT-2]]*2+MIP_4[[#This Row],[PT-3]]*3+MIP_4[[#This Row],[PT &gt; 3 Pontos]]</f>
        <v>11</v>
      </c>
      <c r="S22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22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228" s="41">
        <f ca="1">MIP_4[[#This Row],[Eficiência]]</f>
        <v>0.77142345627399944</v>
      </c>
      <c r="V22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28" s="39">
        <f>IF(MIP_4[[#This Row],[P.S]]-MIP_4[[#This Row],[P.E]]&lt;0,1+MIP_4[[#This Row],[P.S]]-MIP_4[[#This Row],[P.E]]-1/24,MIP_4[[#This Row],[P.S]]-MIP_4[[#This Row],[P.E]]-1/24)</f>
        <v>0.36666666666666664</v>
      </c>
      <c r="X228" s="39">
        <f ca="1">MIP_4[[#This Row],[PT-1]]*$S$3+MIP_4[[#This Row],[PT-2]]*$T$3+MIP_4[[#This Row],[PT-3]]*$U$3+MIP_4[[#This Row],[PT &gt; 3 Pontos]]*$V$3</f>
        <v>0.25071262328904986</v>
      </c>
      <c r="Y228" s="39">
        <f>MIP_4[[#This Row],[HH disponível]]-MIP_4[[#This Row],[HH AC TOT]]</f>
        <v>0.32500000000000007</v>
      </c>
      <c r="Z228" s="38">
        <f ca="1">MIP_4[[#This Row],[HH Produtivo
Total]]/MIP_4[[#This Row],[HH Trabalhado]]</f>
        <v>0.77142345627399944</v>
      </c>
      <c r="AA228" s="38">
        <f ca="1">MIP_4[[#This Row],[HH Produtivo
Total]]/MIP_4[[#This Row],[HH disponível]]</f>
        <v>0.68376169987922697</v>
      </c>
      <c r="AB228" s="38">
        <f>MIP_4[[#This Row],[HH Trabalhado]]/MIP_4[[#This Row],[HH disponível]]</f>
        <v>0.88636363636363658</v>
      </c>
      <c r="AC228" s="37" t="str">
        <f>LEFT(MIP_4[[#This Row],[Equipe]], SEARCH("/",MIP_4[[#This Row],[Equipe]],1)-1)</f>
        <v xml:space="preserve">GERALDO </v>
      </c>
      <c r="AD228" s="37" t="str">
        <f>RIGHT(MIP_4[[#This Row],[Equipe]], LEN(MIP_4[[#This Row],[Equipe]])-SEARCH("/",MIP_4[[#This Row],[Equipe]],1))</f>
        <v xml:space="preserve"> VALDEI</v>
      </c>
      <c r="AE228" s="44">
        <f>COUNTIFS('[1]Tempo parado'!G:G,"&gt;="&amp;MIP_4[[#This Row],[S.B Sitrack]],'[1]Tempo parado'!H:H,"&lt;="&amp;MIP_4[[#This Row],[C.B Sitrack]],'[1]Tempo parado'!A:A,MIP_4[[#This Row],[Placa]])</f>
        <v>0</v>
      </c>
      <c r="AF228" s="36"/>
      <c r="AG228" s="35"/>
      <c r="AH228" s="34"/>
      <c r="AI228" s="34"/>
      <c r="AJ22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2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2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28" s="32" t="str">
        <f>IFERROR(MIP_4[[#This Row],[Tempo parado]]/(MIP_4[[#This Row],[C.B Sitrack]]-MIP_4[[#This Row],[S.B Sitrack]]),"")</f>
        <v/>
      </c>
      <c r="AN228" s="30"/>
      <c r="AO228" s="44">
        <f>IF(AND(MIP_4[Exc]=0,MIP_4[Previsto / Realizado]="Realizado"),MIP_4[Sem],0)</f>
        <v>0</v>
      </c>
      <c r="AP228" s="29">
        <f>IF(AND(MIP_4[Exc]=0,MIP_4[Previsto / Realizado]="Realizado",ISBLANK(MIP_4[[#This Row],[S.B Sitrack]])=FALSE,ISBLANK(MIP_4[[#This Row],[C.B Sitrack]])=FALSE),MIP_4[Sem],0)</f>
        <v>0</v>
      </c>
    </row>
    <row r="229" spans="1:42" ht="15.75" x14ac:dyDescent="0.25">
      <c r="A229" s="44">
        <f>WEEKNUM(MIP_4[[#This Row],[Data]])</f>
        <v>28</v>
      </c>
      <c r="B229" s="45">
        <v>42928</v>
      </c>
      <c r="C229" s="45"/>
      <c r="D229" s="35" t="s">
        <v>384</v>
      </c>
      <c r="E229" s="35" t="s">
        <v>2</v>
      </c>
      <c r="F229" s="35"/>
      <c r="G229" s="44">
        <v>2</v>
      </c>
      <c r="H229" s="44">
        <v>4</v>
      </c>
      <c r="I229" s="44">
        <v>1</v>
      </c>
      <c r="J229" s="44">
        <v>0</v>
      </c>
      <c r="K229" s="44">
        <v>0</v>
      </c>
      <c r="L229" s="43">
        <v>0.24236111111111111</v>
      </c>
      <c r="M229" s="43">
        <v>0.2951388888888889</v>
      </c>
      <c r="N229" s="43">
        <v>0.6</v>
      </c>
      <c r="O229" s="43">
        <v>0.61111111111111105</v>
      </c>
      <c r="P229" s="39"/>
      <c r="Q229" s="42" t="s">
        <v>370</v>
      </c>
      <c r="R229" s="44">
        <f>MIP_4[[#This Row],[PT-1]]+MIP_4[[#This Row],[PT-2]]*2+MIP_4[[#This Row],[PT-3]]*3+MIP_4[[#This Row],[PT &gt; 3 Pontos]]</f>
        <v>6</v>
      </c>
      <c r="S22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6.3888888888888856E-2</v>
      </c>
      <c r="T22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6.3888888888888856E-2</v>
      </c>
      <c r="U229" s="41">
        <f ca="1">MIP_4[[#This Row],[Eficiência]]</f>
        <v>0.54717028029520842</v>
      </c>
      <c r="V22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29" s="39">
        <f>IF(MIP_4[[#This Row],[P.S]]-MIP_4[[#This Row],[P.E]]&lt;0,1+MIP_4[[#This Row],[P.S]]-MIP_4[[#This Row],[P.E]]-1/24,MIP_4[[#This Row],[P.S]]-MIP_4[[#This Row],[P.E]]-1/24)</f>
        <v>0.32708333333333323</v>
      </c>
      <c r="X229" s="39">
        <f ca="1">MIP_4[[#This Row],[PT-1]]*$S$3+MIP_4[[#This Row],[PT-2]]*$T$3+MIP_4[[#This Row],[PT-3]]*$U$3+MIP_4[[#This Row],[PT &gt; 3 Pontos]]*$V$3</f>
        <v>0.1440121779388083</v>
      </c>
      <c r="Y229" s="39">
        <f>MIP_4[[#This Row],[HH disponível]]-MIP_4[[#This Row],[HH AC TOT]]</f>
        <v>0.2631944444444444</v>
      </c>
      <c r="Z229" s="38">
        <f ca="1">MIP_4[[#This Row],[HH Produtivo
Total]]/MIP_4[[#This Row],[HH Trabalhado]]</f>
        <v>0.54717028029520842</v>
      </c>
      <c r="AA229" s="38">
        <f ca="1">MIP_4[[#This Row],[HH Produtivo
Total]]/MIP_4[[#This Row],[HH disponível]]</f>
        <v>0.44029200898489174</v>
      </c>
      <c r="AB229" s="38">
        <f>MIP_4[[#This Row],[HH Trabalhado]]/MIP_4[[#This Row],[HH disponível]]</f>
        <v>0.80467091295116788</v>
      </c>
      <c r="AC229" s="37" t="str">
        <f>LEFT(MIP_4[[#This Row],[Equipe]], SEARCH("/",MIP_4[[#This Row],[Equipe]],1)-1)</f>
        <v xml:space="preserve">GERALDO </v>
      </c>
      <c r="AD229" s="37" t="str">
        <f>RIGHT(MIP_4[[#This Row],[Equipe]], LEN(MIP_4[[#This Row],[Equipe]])-SEARCH("/",MIP_4[[#This Row],[Equipe]],1))</f>
        <v xml:space="preserve"> VALDEI</v>
      </c>
      <c r="AE229" s="44">
        <f>COUNTIFS('[1]Tempo parado'!G:G,"&gt;="&amp;MIP_4[[#This Row],[S.B Sitrack]],'[1]Tempo parado'!H:H,"&lt;="&amp;MIP_4[[#This Row],[C.B Sitrack]],'[1]Tempo parado'!A:A,MIP_4[[#This Row],[Placa]])</f>
        <v>0</v>
      </c>
      <c r="AF229" s="36"/>
      <c r="AG229" s="35"/>
      <c r="AH229" s="34"/>
      <c r="AI229" s="34"/>
      <c r="AJ22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2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2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29" s="32" t="str">
        <f>IFERROR(MIP_4[[#This Row],[Tempo parado]]/(MIP_4[[#This Row],[C.B Sitrack]]-MIP_4[[#This Row],[S.B Sitrack]]),"")</f>
        <v/>
      </c>
      <c r="AN229" s="30"/>
      <c r="AO229" s="44">
        <f>IF(AND(MIP_4[Exc]=0,MIP_4[Previsto / Realizado]="Realizado"),MIP_4[Sem],0)</f>
        <v>28</v>
      </c>
      <c r="AP229" s="29">
        <f>IF(AND(MIP_4[Exc]=0,MIP_4[Previsto / Realizado]="Realizado",ISBLANK(MIP_4[[#This Row],[S.B Sitrack]])=FALSE,ISBLANK(MIP_4[[#This Row],[C.B Sitrack]])=FALSE),MIP_4[Sem],0)</f>
        <v>0</v>
      </c>
    </row>
    <row r="230" spans="1:42" ht="15.75" x14ac:dyDescent="0.25">
      <c r="A230" s="44">
        <f>WEEKNUM(MIP_4[[#This Row],[Data]])</f>
        <v>28</v>
      </c>
      <c r="B230" s="45">
        <v>42928</v>
      </c>
      <c r="C230" s="45"/>
      <c r="D230" s="35" t="s">
        <v>3</v>
      </c>
      <c r="E230" s="35" t="s">
        <v>5</v>
      </c>
      <c r="F230" s="35"/>
      <c r="G230" s="44">
        <v>2</v>
      </c>
      <c r="H230" s="44">
        <v>2</v>
      </c>
      <c r="I230" s="44">
        <v>1</v>
      </c>
      <c r="J230" s="44">
        <v>1</v>
      </c>
      <c r="K230" s="44">
        <v>12</v>
      </c>
      <c r="L230" s="43">
        <v>0.625</v>
      </c>
      <c r="M230" s="43">
        <v>0.64583333333333337</v>
      </c>
      <c r="N230" s="43">
        <f>1+18/24/60</f>
        <v>1.0125</v>
      </c>
      <c r="O230" s="43">
        <f>1+48/24/60</f>
        <v>1.0333333333333334</v>
      </c>
      <c r="P230" s="39"/>
      <c r="Q230" s="42"/>
      <c r="R230" s="44">
        <f>MIP_4[[#This Row],[PT-1]]+MIP_4[[#This Row],[PT-2]]*2+MIP_4[[#This Row],[PT-3]]*3+MIP_4[[#This Row],[PT &gt; 3 Pontos]]</f>
        <v>19</v>
      </c>
      <c r="S23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23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230" s="41">
        <f ca="1">MIP_4[[#This Row],[Eficiência]]</f>
        <v>1.2299331748833569</v>
      </c>
      <c r="V23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30" s="39">
        <f>IF(MIP_4[[#This Row],[P.S]]-MIP_4[[#This Row],[P.E]]&lt;0,1+MIP_4[[#This Row],[P.S]]-MIP_4[[#This Row],[P.E]]-1/24,MIP_4[[#This Row],[P.S]]-MIP_4[[#This Row],[P.E]]-1/24)</f>
        <v>0.36666666666666675</v>
      </c>
      <c r="X230" s="39">
        <f ca="1">MIP_4[[#This Row],[PT-1]]*$S$3+MIP_4[[#This Row],[PT-2]]*$T$3+MIP_4[[#This Row],[PT-3]]*$U$3+MIP_4[[#This Row],[PT &gt; 3 Pontos]]*$V$3</f>
        <v>0.39972828183709086</v>
      </c>
      <c r="Y230" s="39">
        <f>MIP_4[[#This Row],[HH disponível]]-MIP_4[[#This Row],[HH AC TOT]]</f>
        <v>0.3249999999999999</v>
      </c>
      <c r="Z230" s="38">
        <f ca="1">MIP_4[[#This Row],[HH Produtivo
Total]]/MIP_4[[#This Row],[HH Trabalhado]]</f>
        <v>1.2299331748833569</v>
      </c>
      <c r="AA230" s="38">
        <f ca="1">MIP_4[[#This Row],[HH Produtivo
Total]]/MIP_4[[#This Row],[HH disponível]]</f>
        <v>1.0901680413738839</v>
      </c>
      <c r="AB230" s="38">
        <f>MIP_4[[#This Row],[HH Trabalhado]]/MIP_4[[#This Row],[HH disponível]]</f>
        <v>0.88636363636363591</v>
      </c>
      <c r="AC230" s="37" t="str">
        <f>LEFT(MIP_4[[#This Row],[Equipe]], SEARCH("/",MIP_4[[#This Row],[Equipe]],1)-1)</f>
        <v xml:space="preserve">EDILTON </v>
      </c>
      <c r="AD230" s="37" t="str">
        <f>RIGHT(MIP_4[[#This Row],[Equipe]], LEN(MIP_4[[#This Row],[Equipe]])-SEARCH("/",MIP_4[[#This Row],[Equipe]],1))</f>
        <v xml:space="preserve"> GECIVALDO</v>
      </c>
      <c r="AE230" s="44">
        <f>COUNTIFS('[1]Tempo parado'!G:G,"&gt;="&amp;MIP_4[[#This Row],[S.B Sitrack]],'[1]Tempo parado'!H:H,"&lt;="&amp;MIP_4[[#This Row],[C.B Sitrack]],'[1]Tempo parado'!A:A,MIP_4[[#This Row],[Placa]])</f>
        <v>0</v>
      </c>
      <c r="AF230" s="36"/>
      <c r="AG230" s="35"/>
      <c r="AH230" s="34"/>
      <c r="AI230" s="34"/>
      <c r="AJ23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3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3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30" s="32" t="str">
        <f>IFERROR(MIP_4[[#This Row],[Tempo parado]]/(MIP_4[[#This Row],[C.B Sitrack]]-MIP_4[[#This Row],[S.B Sitrack]]),"")</f>
        <v/>
      </c>
      <c r="AN230" s="30"/>
      <c r="AO230" s="44">
        <f>IF(AND(MIP_4[Exc]=0,MIP_4[Previsto / Realizado]="Realizado"),MIP_4[Sem],0)</f>
        <v>0</v>
      </c>
      <c r="AP230" s="29">
        <f>IF(AND(MIP_4[Exc]=0,MIP_4[Previsto / Realizado]="Realizado",ISBLANK(MIP_4[[#This Row],[S.B Sitrack]])=FALSE,ISBLANK(MIP_4[[#This Row],[C.B Sitrack]])=FALSE),MIP_4[Sem],0)</f>
        <v>0</v>
      </c>
    </row>
    <row r="231" spans="1:42" ht="15.75" x14ac:dyDescent="0.25">
      <c r="A231" s="44">
        <f>WEEKNUM(MIP_4[[#This Row],[Data]])</f>
        <v>28</v>
      </c>
      <c r="B231" s="45">
        <v>42928</v>
      </c>
      <c r="C231" s="45"/>
      <c r="D231" s="35" t="s">
        <v>3</v>
      </c>
      <c r="E231" s="35" t="s">
        <v>2</v>
      </c>
      <c r="F231" s="35"/>
      <c r="G231" s="44">
        <v>2</v>
      </c>
      <c r="H231" s="44">
        <v>2</v>
      </c>
      <c r="I231" s="44">
        <v>1</v>
      </c>
      <c r="J231" s="44">
        <v>1</v>
      </c>
      <c r="K231" s="44">
        <v>10</v>
      </c>
      <c r="L231" s="43">
        <v>0.63124999999999998</v>
      </c>
      <c r="M231" s="43">
        <v>0.67013888888888884</v>
      </c>
      <c r="N231" s="43">
        <f>1+27/24/60</f>
        <v>1.01875</v>
      </c>
      <c r="O231" s="43">
        <f>1+39/24/60</f>
        <v>1.0270833333333333</v>
      </c>
      <c r="P231" s="39"/>
      <c r="Q231" s="42"/>
      <c r="R231" s="44">
        <f>MIP_4[[#This Row],[PT-1]]+MIP_4[[#This Row],[PT-2]]*2+MIP_4[[#This Row],[PT-3]]*3+MIP_4[[#This Row],[PT &gt; 3 Pontos]]</f>
        <v>17</v>
      </c>
      <c r="S23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4.7222222222222165E-2</v>
      </c>
      <c r="T23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4.7222222222222165E-2</v>
      </c>
      <c r="U231" s="41">
        <f ca="1">MIP_4[[#This Row],[Eficiência]]</f>
        <v>1.1703494445901734</v>
      </c>
      <c r="V23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31" s="39">
        <f>IF(MIP_4[[#This Row],[P.S]]-MIP_4[[#This Row],[P.E]]&lt;0,1+MIP_4[[#This Row],[P.S]]-MIP_4[[#This Row],[P.E]]-1/24,MIP_4[[#This Row],[P.S]]-MIP_4[[#This Row],[P.E]]-1/24)</f>
        <v>0.35416666666666669</v>
      </c>
      <c r="X231" s="39">
        <f ca="1">MIP_4[[#This Row],[PT-1]]*$S$3+MIP_4[[#This Row],[PT-2]]*$T$3+MIP_4[[#This Row],[PT-3]]*$U$3+MIP_4[[#This Row],[PT &gt; 3 Pontos]]*$V$3</f>
        <v>0.359232260075595</v>
      </c>
      <c r="Y231" s="39">
        <f>MIP_4[[#This Row],[HH disponível]]-MIP_4[[#This Row],[HH AC TOT]]</f>
        <v>0.30694444444444452</v>
      </c>
      <c r="Z231" s="38">
        <f ca="1">MIP_4[[#This Row],[HH Produtivo
Total]]/MIP_4[[#This Row],[HH Trabalhado]]</f>
        <v>1.1703494445901734</v>
      </c>
      <c r="AA231" s="38">
        <f ca="1">MIP_4[[#This Row],[HH Produtivo
Total]]/MIP_4[[#This Row],[HH disponível]]</f>
        <v>1.0143028519781505</v>
      </c>
      <c r="AB231" s="38">
        <f>MIP_4[[#This Row],[HH Trabalhado]]/MIP_4[[#This Row],[HH disponível]]</f>
        <v>0.86666666666666681</v>
      </c>
      <c r="AC231" s="37" t="str">
        <f>LEFT(MIP_4[[#This Row],[Equipe]], SEARCH("/",MIP_4[[#This Row],[Equipe]],1)-1)</f>
        <v xml:space="preserve">EDILTON </v>
      </c>
      <c r="AD231" s="37" t="str">
        <f>RIGHT(MIP_4[[#This Row],[Equipe]], LEN(MIP_4[[#This Row],[Equipe]])-SEARCH("/",MIP_4[[#This Row],[Equipe]],1))</f>
        <v xml:space="preserve"> GECIVALDO</v>
      </c>
      <c r="AE231" s="44">
        <f>COUNTIFS('[1]Tempo parado'!G:G,"&gt;="&amp;MIP_4[[#This Row],[S.B Sitrack]],'[1]Tempo parado'!H:H,"&lt;="&amp;MIP_4[[#This Row],[C.B Sitrack]],'[1]Tempo parado'!A:A,MIP_4[[#This Row],[Placa]])</f>
        <v>0</v>
      </c>
      <c r="AF231" s="36"/>
      <c r="AG231" s="35"/>
      <c r="AH231" s="34"/>
      <c r="AI231" s="34"/>
      <c r="AJ23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3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3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31" s="32" t="str">
        <f>IFERROR(MIP_4[[#This Row],[Tempo parado]]/(MIP_4[[#This Row],[C.B Sitrack]]-MIP_4[[#This Row],[S.B Sitrack]]),"")</f>
        <v/>
      </c>
      <c r="AN231" s="30"/>
      <c r="AO231" s="44">
        <f>IF(AND(MIP_4[Exc]=0,MIP_4[Previsto / Realizado]="Realizado"),MIP_4[Sem],0)</f>
        <v>28</v>
      </c>
      <c r="AP231" s="29">
        <f>IF(AND(MIP_4[Exc]=0,MIP_4[Previsto / Realizado]="Realizado",ISBLANK(MIP_4[[#This Row],[S.B Sitrack]])=FALSE,ISBLANK(MIP_4[[#This Row],[C.B Sitrack]])=FALSE),MIP_4[Sem],0)</f>
        <v>0</v>
      </c>
    </row>
    <row r="232" spans="1:42" ht="15.75" x14ac:dyDescent="0.25">
      <c r="A232" s="44">
        <f>WEEKNUM(MIP_4[[#This Row],[Data]])</f>
        <v>28</v>
      </c>
      <c r="B232" s="45">
        <v>42928</v>
      </c>
      <c r="C232" s="45"/>
      <c r="D232" s="35" t="s">
        <v>19</v>
      </c>
      <c r="E232" s="35" t="s">
        <v>5</v>
      </c>
      <c r="F232" s="35"/>
      <c r="G232" s="44">
        <v>2</v>
      </c>
      <c r="H232" s="44">
        <v>0</v>
      </c>
      <c r="I232" s="44">
        <v>2</v>
      </c>
      <c r="J232" s="44">
        <v>2</v>
      </c>
      <c r="K232" s="44">
        <v>8</v>
      </c>
      <c r="L232" s="43">
        <v>0.625</v>
      </c>
      <c r="M232" s="43">
        <v>0.64583333333333337</v>
      </c>
      <c r="N232" s="43">
        <f>1+18/24/60</f>
        <v>1.0125</v>
      </c>
      <c r="O232" s="43">
        <f>1+48/24/60</f>
        <v>1.0333333333333334</v>
      </c>
      <c r="P232" s="39"/>
      <c r="Q232" s="42"/>
      <c r="R232" s="44">
        <f>MIP_4[[#This Row],[PT-1]]+MIP_4[[#This Row],[PT-2]]*2+MIP_4[[#This Row],[PT-3]]*3+MIP_4[[#This Row],[PT &gt; 3 Pontos]]</f>
        <v>18</v>
      </c>
      <c r="S23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23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232" s="41">
        <f ca="1">MIP_4[[#This Row],[Eficiência]]</f>
        <v>1.1550307007583585</v>
      </c>
      <c r="V23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32" s="39">
        <f>IF(MIP_4[[#This Row],[P.S]]-MIP_4[[#This Row],[P.E]]&lt;0,1+MIP_4[[#This Row],[P.S]]-MIP_4[[#This Row],[P.E]]-1/24,MIP_4[[#This Row],[P.S]]-MIP_4[[#This Row],[P.E]]-1/24)</f>
        <v>0.36666666666666675</v>
      </c>
      <c r="X232" s="39">
        <f ca="1">MIP_4[[#This Row],[PT-1]]*$S$3+MIP_4[[#This Row],[PT-2]]*$T$3+MIP_4[[#This Row],[PT-3]]*$U$3+MIP_4[[#This Row],[PT &gt; 3 Pontos]]*$V$3</f>
        <v>0.3753849777464664</v>
      </c>
      <c r="Y232" s="39">
        <f>MIP_4[[#This Row],[HH disponível]]-MIP_4[[#This Row],[HH AC TOT]]</f>
        <v>0.3249999999999999</v>
      </c>
      <c r="Z232" s="38">
        <f ca="1">MIP_4[[#This Row],[HH Produtivo
Total]]/MIP_4[[#This Row],[HH Trabalhado]]</f>
        <v>1.1550307007583585</v>
      </c>
      <c r="AA232" s="38">
        <f ca="1">MIP_4[[#This Row],[HH Produtivo
Total]]/MIP_4[[#This Row],[HH disponível]]</f>
        <v>1.0237772120358173</v>
      </c>
      <c r="AB232" s="38">
        <f>MIP_4[[#This Row],[HH Trabalhado]]/MIP_4[[#This Row],[HH disponível]]</f>
        <v>0.88636363636363591</v>
      </c>
      <c r="AC232" s="37" t="str">
        <f>LEFT(MIP_4[[#This Row],[Equipe]], SEARCH("/",MIP_4[[#This Row],[Equipe]],1)-1)</f>
        <v xml:space="preserve">ADEMÁRIO </v>
      </c>
      <c r="AD232" s="37" t="str">
        <f>RIGHT(MIP_4[[#This Row],[Equipe]], LEN(MIP_4[[#This Row],[Equipe]])-SEARCH("/",MIP_4[[#This Row],[Equipe]],1))</f>
        <v xml:space="preserve"> RONALDO</v>
      </c>
      <c r="AE232" s="44">
        <f>COUNTIFS('[1]Tempo parado'!G:G,"&gt;="&amp;MIP_4[[#This Row],[S.B Sitrack]],'[1]Tempo parado'!H:H,"&lt;="&amp;MIP_4[[#This Row],[C.B Sitrack]],'[1]Tempo parado'!A:A,MIP_4[[#This Row],[Placa]])</f>
        <v>0</v>
      </c>
      <c r="AF232" s="36"/>
      <c r="AG232" s="35"/>
      <c r="AH232" s="34"/>
      <c r="AI232" s="34"/>
      <c r="AJ23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3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3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32" s="32" t="str">
        <f>IFERROR(MIP_4[[#This Row],[Tempo parado]]/(MIP_4[[#This Row],[C.B Sitrack]]-MIP_4[[#This Row],[S.B Sitrack]]),"")</f>
        <v/>
      </c>
      <c r="AN232" s="30"/>
      <c r="AO232" s="44">
        <f>IF(AND(MIP_4[Exc]=0,MIP_4[Previsto / Realizado]="Realizado"),MIP_4[Sem],0)</f>
        <v>0</v>
      </c>
      <c r="AP232" s="29">
        <f>IF(AND(MIP_4[Exc]=0,MIP_4[Previsto / Realizado]="Realizado",ISBLANK(MIP_4[[#This Row],[S.B Sitrack]])=FALSE,ISBLANK(MIP_4[[#This Row],[C.B Sitrack]])=FALSE),MIP_4[Sem],0)</f>
        <v>0</v>
      </c>
    </row>
    <row r="233" spans="1:42" ht="15.75" x14ac:dyDescent="0.25">
      <c r="A233" s="44">
        <f>WEEKNUM(MIP_4[[#This Row],[Data]])</f>
        <v>28</v>
      </c>
      <c r="B233" s="45">
        <v>42928</v>
      </c>
      <c r="C233" s="45"/>
      <c r="D233" s="35" t="s">
        <v>19</v>
      </c>
      <c r="E233" s="35" t="s">
        <v>2</v>
      </c>
      <c r="F233" s="35"/>
      <c r="G233" s="44">
        <v>2</v>
      </c>
      <c r="H233" s="44">
        <v>0</v>
      </c>
      <c r="I233" s="44">
        <v>0</v>
      </c>
      <c r="J233" s="44">
        <v>0</v>
      </c>
      <c r="K233" s="44">
        <v>16</v>
      </c>
      <c r="L233" s="43">
        <v>0.65138888888888891</v>
      </c>
      <c r="M233" s="43">
        <v>0.67013888888888884</v>
      </c>
      <c r="N233" s="43">
        <f>1+37/24/60</f>
        <v>1.0256944444444445</v>
      </c>
      <c r="O233" s="43">
        <f>1+67/24/60</f>
        <v>1.0465277777777777</v>
      </c>
      <c r="P233" s="39"/>
      <c r="Q233" s="42" t="s">
        <v>387</v>
      </c>
      <c r="R233" s="44">
        <f>MIP_4[[#This Row],[PT-1]]+MIP_4[[#This Row],[PT-2]]*2+MIP_4[[#This Row],[PT-3]]*3+MIP_4[[#This Row],[PT &gt; 3 Pontos]]</f>
        <v>16</v>
      </c>
      <c r="S23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3.9583333333333193E-2</v>
      </c>
      <c r="T23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3.9583333333333193E-2</v>
      </c>
      <c r="U233" s="41">
        <f ca="1">MIP_4[[#This Row],[Eficiência]]</f>
        <v>1.0321109971071498</v>
      </c>
      <c r="V23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33" s="39">
        <f>IF(MIP_4[[#This Row],[P.S]]-MIP_4[[#This Row],[P.E]]&lt;0,1+MIP_4[[#This Row],[P.S]]-MIP_4[[#This Row],[P.E]]-1/24,MIP_4[[#This Row],[P.S]]-MIP_4[[#This Row],[P.E]]-1/24)</f>
        <v>0.35347222222222213</v>
      </c>
      <c r="X233" s="39">
        <f ca="1">MIP_4[[#This Row],[PT-1]]*$S$3+MIP_4[[#This Row],[PT-2]]*$T$3+MIP_4[[#This Row],[PT-3]]*$U$3+MIP_4[[#This Row],[PT &gt; 3 Pontos]]*$V$3</f>
        <v>0.32396817409196654</v>
      </c>
      <c r="Y233" s="39">
        <f>MIP_4[[#This Row],[HH disponível]]-MIP_4[[#This Row],[HH AC TOT]]</f>
        <v>0.31388888888888894</v>
      </c>
      <c r="Z233" s="38">
        <f ca="1">MIP_4[[#This Row],[HH Produtivo
Total]]/MIP_4[[#This Row],[HH Trabalhado]]</f>
        <v>1.0321109971071498</v>
      </c>
      <c r="AA233" s="38">
        <f ca="1">MIP_4[[#This Row],[HH Produtivo
Total]]/MIP_4[[#This Row],[HH disponível]]</f>
        <v>0.91653078721499404</v>
      </c>
      <c r="AB233" s="38">
        <f>MIP_4[[#This Row],[HH Trabalhado]]/MIP_4[[#This Row],[HH disponível]]</f>
        <v>0.88801571709233829</v>
      </c>
      <c r="AC233" s="37" t="str">
        <f>LEFT(MIP_4[[#This Row],[Equipe]], SEARCH("/",MIP_4[[#This Row],[Equipe]],1)-1)</f>
        <v xml:space="preserve">ADEMÁRIO </v>
      </c>
      <c r="AD233" s="37" t="str">
        <f>RIGHT(MIP_4[[#This Row],[Equipe]], LEN(MIP_4[[#This Row],[Equipe]])-SEARCH("/",MIP_4[[#This Row],[Equipe]],1))</f>
        <v xml:space="preserve"> RONALDO</v>
      </c>
      <c r="AE233" s="44">
        <f>COUNTIFS('[1]Tempo parado'!G:G,"&gt;="&amp;MIP_4[[#This Row],[S.B Sitrack]],'[1]Tempo parado'!H:H,"&lt;="&amp;MIP_4[[#This Row],[C.B Sitrack]],'[1]Tempo parado'!A:A,MIP_4[[#This Row],[Placa]])</f>
        <v>0</v>
      </c>
      <c r="AF233" s="36"/>
      <c r="AG233" s="35"/>
      <c r="AH233" s="34"/>
      <c r="AI233" s="34"/>
      <c r="AJ23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3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3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33" s="32" t="str">
        <f>IFERROR(MIP_4[[#This Row],[Tempo parado]]/(MIP_4[[#This Row],[C.B Sitrack]]-MIP_4[[#This Row],[S.B Sitrack]]),"")</f>
        <v/>
      </c>
      <c r="AN233" s="30"/>
      <c r="AO233" s="44">
        <f>IF(AND(MIP_4[Exc]=0,MIP_4[Previsto / Realizado]="Realizado"),MIP_4[Sem],0)</f>
        <v>28</v>
      </c>
      <c r="AP233" s="29">
        <f>IF(AND(MIP_4[Exc]=0,MIP_4[Previsto / Realizado]="Realizado",ISBLANK(MIP_4[[#This Row],[S.B Sitrack]])=FALSE,ISBLANK(MIP_4[[#This Row],[C.B Sitrack]])=FALSE),MIP_4[Sem],0)</f>
        <v>0</v>
      </c>
    </row>
    <row r="234" spans="1:42" ht="15.75" x14ac:dyDescent="0.25">
      <c r="A234" s="44">
        <f>WEEKNUM(MIP_4[[#This Row],[Data]])</f>
        <v>28</v>
      </c>
      <c r="B234" s="45">
        <v>42929</v>
      </c>
      <c r="C234" s="45"/>
      <c r="D234" s="35" t="s">
        <v>7</v>
      </c>
      <c r="E234" s="35" t="s">
        <v>5</v>
      </c>
      <c r="F234" s="35"/>
      <c r="G234" s="44">
        <v>2</v>
      </c>
      <c r="H234" s="44">
        <v>7</v>
      </c>
      <c r="I234" s="44">
        <v>2</v>
      </c>
      <c r="J234" s="44">
        <v>1</v>
      </c>
      <c r="K234" s="44">
        <v>0</v>
      </c>
      <c r="L234" s="43">
        <v>0.625</v>
      </c>
      <c r="M234" s="43">
        <v>0.64583333333333337</v>
      </c>
      <c r="N234" s="43">
        <f>1+18/24/60</f>
        <v>1.0125</v>
      </c>
      <c r="O234" s="43">
        <f>1+48/24/60</f>
        <v>1.0333333333333334</v>
      </c>
      <c r="P234" s="39"/>
      <c r="Q234" s="42"/>
      <c r="R234" s="44">
        <f>MIP_4[[#This Row],[PT-1]]+MIP_4[[#This Row],[PT-2]]*2+MIP_4[[#This Row],[PT-3]]*3+MIP_4[[#This Row],[PT &gt; 3 Pontos]]</f>
        <v>14</v>
      </c>
      <c r="S23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23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234" s="41">
        <f ca="1">MIP_4[[#This Row],[Eficiência]]</f>
        <v>1.0024313297411123</v>
      </c>
      <c r="V23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34" s="39">
        <f>IF(MIP_4[[#This Row],[P.S]]-MIP_4[[#This Row],[P.E]]&lt;0,1+MIP_4[[#This Row],[P.S]]-MIP_4[[#This Row],[P.E]]-1/24,MIP_4[[#This Row],[P.S]]-MIP_4[[#This Row],[P.E]]-1/24)</f>
        <v>0.36666666666666675</v>
      </c>
      <c r="X234" s="39">
        <f ca="1">MIP_4[[#This Row],[PT-1]]*$S$3+MIP_4[[#This Row],[PT-2]]*$T$3+MIP_4[[#This Row],[PT-3]]*$U$3+MIP_4[[#This Row],[PT &gt; 3 Pontos]]*$V$3</f>
        <v>0.32579018216586142</v>
      </c>
      <c r="Y234" s="39">
        <f>MIP_4[[#This Row],[HH disponível]]-MIP_4[[#This Row],[HH AC TOT]]</f>
        <v>0.3249999999999999</v>
      </c>
      <c r="Z234" s="38">
        <f ca="1">MIP_4[[#This Row],[HH Produtivo
Total]]/MIP_4[[#This Row],[HH Trabalhado]]</f>
        <v>1.0024313297411123</v>
      </c>
      <c r="AA234" s="38">
        <f ca="1">MIP_4[[#This Row],[HH Produtivo
Total]]/MIP_4[[#This Row],[HH disponível]]</f>
        <v>0.88851867863416734</v>
      </c>
      <c r="AB234" s="38">
        <f>MIP_4[[#This Row],[HH Trabalhado]]/MIP_4[[#This Row],[HH disponível]]</f>
        <v>0.88636363636363591</v>
      </c>
      <c r="AC234" s="37" t="str">
        <f>LEFT(MIP_4[[#This Row],[Equipe]], SEARCH("/",MIP_4[[#This Row],[Equipe]],1)-1)</f>
        <v xml:space="preserve">ANDERSON </v>
      </c>
      <c r="AD234" s="37" t="str">
        <f>RIGHT(MIP_4[[#This Row],[Equipe]], LEN(MIP_4[[#This Row],[Equipe]])-SEARCH("/",MIP_4[[#This Row],[Equipe]],1))</f>
        <v xml:space="preserve"> MARCO</v>
      </c>
      <c r="AE234" s="44">
        <f>COUNTIFS('[1]Tempo parado'!G:G,"&gt;="&amp;MIP_4[[#This Row],[S.B Sitrack]],'[1]Tempo parado'!H:H,"&lt;="&amp;MIP_4[[#This Row],[C.B Sitrack]],'[1]Tempo parado'!A:A,MIP_4[[#This Row],[Placa]])</f>
        <v>0</v>
      </c>
      <c r="AF234" s="36"/>
      <c r="AG234" s="35"/>
      <c r="AH234" s="34"/>
      <c r="AI234" s="34"/>
      <c r="AJ23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3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3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34" s="32" t="str">
        <f>IFERROR(MIP_4[[#This Row],[Tempo parado]]/(MIP_4[[#This Row],[C.B Sitrack]]-MIP_4[[#This Row],[S.B Sitrack]]),"")</f>
        <v/>
      </c>
      <c r="AN234" s="30"/>
      <c r="AO234" s="44">
        <f>IF(AND(MIP_4[Exc]=0,MIP_4[Previsto / Realizado]="Realizado"),MIP_4[Sem],0)</f>
        <v>0</v>
      </c>
      <c r="AP234" s="29">
        <f>IF(AND(MIP_4[Exc]=0,MIP_4[Previsto / Realizado]="Realizado",ISBLANK(MIP_4[[#This Row],[S.B Sitrack]])=FALSE,ISBLANK(MIP_4[[#This Row],[C.B Sitrack]])=FALSE),MIP_4[Sem],0)</f>
        <v>0</v>
      </c>
    </row>
    <row r="235" spans="1:42" ht="15.75" x14ac:dyDescent="0.25">
      <c r="A235" s="44">
        <f>WEEKNUM(MIP_4[[#This Row],[Data]])</f>
        <v>28</v>
      </c>
      <c r="B235" s="45">
        <v>42929</v>
      </c>
      <c r="C235" s="45"/>
      <c r="D235" s="35" t="s">
        <v>7</v>
      </c>
      <c r="E235" s="35" t="s">
        <v>2</v>
      </c>
      <c r="F235" s="35"/>
      <c r="G235" s="44">
        <v>2</v>
      </c>
      <c r="H235" s="44">
        <v>6</v>
      </c>
      <c r="I235" s="44">
        <v>1</v>
      </c>
      <c r="J235" s="44">
        <v>1</v>
      </c>
      <c r="K235" s="44">
        <v>0</v>
      </c>
      <c r="L235" s="43">
        <v>0.62430555555555556</v>
      </c>
      <c r="M235" s="43">
        <v>0.65138888888888891</v>
      </c>
      <c r="N235" s="43">
        <f>1+18/24/60</f>
        <v>1.0125</v>
      </c>
      <c r="O235" s="43">
        <f>1+48/24/60</f>
        <v>1.0333333333333334</v>
      </c>
      <c r="P235" s="39"/>
      <c r="Q235" s="42"/>
      <c r="R235" s="44">
        <f>MIP_4[[#This Row],[PT-1]]+MIP_4[[#This Row],[PT-2]]*2+MIP_4[[#This Row],[PT-3]]*3+MIP_4[[#This Row],[PT &gt; 3 Pontos]]</f>
        <v>11</v>
      </c>
      <c r="S23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4.7916666666666829E-2</v>
      </c>
      <c r="T23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4.7916666666666829E-2</v>
      </c>
      <c r="U235" s="41">
        <f ca="1">MIP_4[[#This Row],[Eficiência]]</f>
        <v>0.80406958884688084</v>
      </c>
      <c r="V23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35" s="39">
        <f>IF(MIP_4[[#This Row],[P.S]]-MIP_4[[#This Row],[P.E]]&lt;0,1+MIP_4[[#This Row],[P.S]]-MIP_4[[#This Row],[P.E]]-1/24,MIP_4[[#This Row],[P.S]]-MIP_4[[#This Row],[P.E]]-1/24)</f>
        <v>0.36736111111111119</v>
      </c>
      <c r="X235" s="39">
        <f ca="1">MIP_4[[#This Row],[PT-1]]*$S$3+MIP_4[[#This Row],[PT-2]]*$T$3+MIP_4[[#This Row],[PT-3]]*$U$3+MIP_4[[#This Row],[PT &gt; 3 Pontos]]*$V$3</f>
        <v>0.25685556310386465</v>
      </c>
      <c r="Y235" s="39">
        <f>MIP_4[[#This Row],[HH disponível]]-MIP_4[[#This Row],[HH AC TOT]]</f>
        <v>0.31944444444444436</v>
      </c>
      <c r="Z235" s="38">
        <f ca="1">MIP_4[[#This Row],[HH Produtivo
Total]]/MIP_4[[#This Row],[HH Trabalhado]]</f>
        <v>0.80406958884688084</v>
      </c>
      <c r="AA235" s="38">
        <f ca="1">MIP_4[[#This Row],[HH Produtivo
Total]]/MIP_4[[#This Row],[HH disponível]]</f>
        <v>0.69919094682337435</v>
      </c>
      <c r="AB235" s="38">
        <f>MIP_4[[#This Row],[HH Trabalhado]]/MIP_4[[#This Row],[HH disponível]]</f>
        <v>0.86956521739130388</v>
      </c>
      <c r="AC235" s="37" t="str">
        <f>LEFT(MIP_4[[#This Row],[Equipe]], SEARCH("/",MIP_4[[#This Row],[Equipe]],1)-1)</f>
        <v xml:space="preserve">ANDERSON </v>
      </c>
      <c r="AD235" s="37" t="str">
        <f>RIGHT(MIP_4[[#This Row],[Equipe]], LEN(MIP_4[[#This Row],[Equipe]])-SEARCH("/",MIP_4[[#This Row],[Equipe]],1))</f>
        <v xml:space="preserve"> MARCO</v>
      </c>
      <c r="AE235" s="44">
        <f>COUNTIFS('[1]Tempo parado'!G:G,"&gt;="&amp;MIP_4[[#This Row],[S.B Sitrack]],'[1]Tempo parado'!H:H,"&lt;="&amp;MIP_4[[#This Row],[C.B Sitrack]],'[1]Tempo parado'!A:A,MIP_4[[#This Row],[Placa]])</f>
        <v>0</v>
      </c>
      <c r="AF235" s="36"/>
      <c r="AG235" s="35"/>
      <c r="AH235" s="34"/>
      <c r="AI235" s="34"/>
      <c r="AJ23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3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3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35" s="32" t="str">
        <f>IFERROR(MIP_4[[#This Row],[Tempo parado]]/(MIP_4[[#This Row],[C.B Sitrack]]-MIP_4[[#This Row],[S.B Sitrack]]),"")</f>
        <v/>
      </c>
      <c r="AN235" s="30"/>
      <c r="AO235" s="44">
        <f>IF(AND(MIP_4[Exc]=0,MIP_4[Previsto / Realizado]="Realizado"),MIP_4[Sem],0)</f>
        <v>28</v>
      </c>
      <c r="AP235" s="29">
        <f>IF(AND(MIP_4[Exc]=0,MIP_4[Previsto / Realizado]="Realizado",ISBLANK(MIP_4[[#This Row],[S.B Sitrack]])=FALSE,ISBLANK(MIP_4[[#This Row],[C.B Sitrack]])=FALSE),MIP_4[Sem],0)</f>
        <v>0</v>
      </c>
    </row>
    <row r="236" spans="1:42" ht="15.75" x14ac:dyDescent="0.25">
      <c r="A236" s="44">
        <f>WEEKNUM(MIP_4[[#This Row],[Data]])</f>
        <v>28</v>
      </c>
      <c r="B236" s="45">
        <v>42929</v>
      </c>
      <c r="C236" s="45"/>
      <c r="D236" s="35" t="s">
        <v>19</v>
      </c>
      <c r="E236" s="35" t="s">
        <v>5</v>
      </c>
      <c r="F236" s="35"/>
      <c r="G236" s="44">
        <v>2</v>
      </c>
      <c r="H236" s="44">
        <v>6</v>
      </c>
      <c r="I236" s="44">
        <v>1</v>
      </c>
      <c r="J236" s="44">
        <v>2</v>
      </c>
      <c r="K236" s="44">
        <v>0</v>
      </c>
      <c r="L236" s="43">
        <v>0.625</v>
      </c>
      <c r="M236" s="43">
        <v>0.64583333333333337</v>
      </c>
      <c r="N236" s="43">
        <f>1+18/24/60</f>
        <v>1.0125</v>
      </c>
      <c r="O236" s="43">
        <f>1+48/24/60</f>
        <v>1.0333333333333334</v>
      </c>
      <c r="P236" s="39"/>
      <c r="Q236" s="42" t="s">
        <v>386</v>
      </c>
      <c r="R236" s="29">
        <f>MIP_4[[#This Row],[PT-1]]+MIP_4[[#This Row],[PT-2]]*2+MIP_4[[#This Row],[PT-3]]*3+MIP_4[[#This Row],[PT &gt; 3 Pontos]]</f>
        <v>14</v>
      </c>
      <c r="S23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23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236" s="41">
        <f ca="1">MIP_4[[#This Row],[Eficiência]]</f>
        <v>0.98352997646475915</v>
      </c>
      <c r="V23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36" s="39">
        <f>IF(MIP_4[[#This Row],[P.S]]-MIP_4[[#This Row],[P.E]]&lt;0,1+MIP_4[[#This Row],[P.S]]-MIP_4[[#This Row],[P.E]]-1/24,MIP_4[[#This Row],[P.S]]-MIP_4[[#This Row],[P.E]]-1/24)</f>
        <v>0.36666666666666675</v>
      </c>
      <c r="X236" s="39">
        <f ca="1">MIP_4[[#This Row],[PT-1]]*$S$3+MIP_4[[#This Row],[PT-2]]*$T$3+MIP_4[[#This Row],[PT-3]]*$U$3+MIP_4[[#This Row],[PT &gt; 3 Pontos]]*$V$3</f>
        <v>0.31964724235104663</v>
      </c>
      <c r="Y236" s="39">
        <f>MIP_4[[#This Row],[HH disponível]]-MIP_4[[#This Row],[HH AC TOT]]</f>
        <v>0.3249999999999999</v>
      </c>
      <c r="Z236" s="38">
        <f ca="1">MIP_4[[#This Row],[HH Produtivo
Total]]/MIP_4[[#This Row],[HH Trabalhado]]</f>
        <v>0.98352997646475915</v>
      </c>
      <c r="AA236" s="38">
        <f ca="1">MIP_4[[#This Row],[HH Produtivo
Total]]/MIP_4[[#This Row],[HH disponível]]</f>
        <v>0.87176520641194521</v>
      </c>
      <c r="AB236" s="38">
        <f>MIP_4[[#This Row],[HH Trabalhado]]/MIP_4[[#This Row],[HH disponível]]</f>
        <v>0.88636363636363591</v>
      </c>
      <c r="AC236" s="37" t="str">
        <f>LEFT(MIP_4[[#This Row],[Equipe]], SEARCH("/",MIP_4[[#This Row],[Equipe]],1)-1)</f>
        <v xml:space="preserve">ADEMÁRIO </v>
      </c>
      <c r="AD236" s="37" t="str">
        <f>RIGHT(MIP_4[[#This Row],[Equipe]], LEN(MIP_4[[#This Row],[Equipe]])-SEARCH("/",MIP_4[[#This Row],[Equipe]],1))</f>
        <v xml:space="preserve"> RONALDO</v>
      </c>
      <c r="AE236" s="44">
        <f>COUNTIFS('[1]Tempo parado'!G:G,"&gt;="&amp;MIP_4[[#This Row],[S.B Sitrack]],'[1]Tempo parado'!H:H,"&lt;="&amp;MIP_4[[#This Row],[C.B Sitrack]],'[1]Tempo parado'!A:A,MIP_4[[#This Row],[Placa]])</f>
        <v>0</v>
      </c>
      <c r="AF236" s="36"/>
      <c r="AG236" s="35"/>
      <c r="AH236" s="34"/>
      <c r="AI236" s="34"/>
      <c r="AJ23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3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3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36" s="32" t="str">
        <f>IFERROR(MIP_4[[#This Row],[Tempo parado]]/(MIP_4[[#This Row],[C.B Sitrack]]-MIP_4[[#This Row],[S.B Sitrack]]),"")</f>
        <v/>
      </c>
      <c r="AN236" s="30"/>
      <c r="AO236" s="44">
        <f>IF(AND(MIP_4[Exc]=0,MIP_4[Previsto / Realizado]="Realizado"),MIP_4[Sem],0)</f>
        <v>0</v>
      </c>
      <c r="AP236" s="29">
        <f>IF(AND(MIP_4[Exc]=0,MIP_4[Previsto / Realizado]="Realizado",ISBLANK(MIP_4[[#This Row],[S.B Sitrack]])=FALSE,ISBLANK(MIP_4[[#This Row],[C.B Sitrack]])=FALSE),MIP_4[Sem],0)</f>
        <v>0</v>
      </c>
    </row>
    <row r="237" spans="1:42" ht="15.75" x14ac:dyDescent="0.25">
      <c r="A237" s="44">
        <f>WEEKNUM(MIP_4[[#This Row],[Data]])</f>
        <v>28</v>
      </c>
      <c r="B237" s="45">
        <v>42929</v>
      </c>
      <c r="C237" s="45"/>
      <c r="D237" s="35" t="s">
        <v>19</v>
      </c>
      <c r="E237" s="35" t="s">
        <v>2</v>
      </c>
      <c r="F237" s="35"/>
      <c r="G237" s="44">
        <v>2</v>
      </c>
      <c r="H237" s="44">
        <v>6</v>
      </c>
      <c r="I237" s="44">
        <v>1</v>
      </c>
      <c r="J237" s="44">
        <v>1</v>
      </c>
      <c r="K237" s="44">
        <v>0</v>
      </c>
      <c r="L237" s="43">
        <v>0.62916666666666665</v>
      </c>
      <c r="M237" s="43">
        <v>0.65833333333333333</v>
      </c>
      <c r="N237" s="43">
        <f>1+10/24/60</f>
        <v>1.0069444444444444</v>
      </c>
      <c r="O237" s="43">
        <f>1+52/24/60</f>
        <v>1.0361111111111112</v>
      </c>
      <c r="P237" s="39"/>
      <c r="Q237" s="42" t="s">
        <v>385</v>
      </c>
      <c r="R237" s="29">
        <f>MIP_4[[#This Row],[PT-1]]+MIP_4[[#This Row],[PT-2]]*2+MIP_4[[#This Row],[PT-3]]*3+MIP_4[[#This Row],[PT &gt; 3 Pontos]]</f>
        <v>11</v>
      </c>
      <c r="S23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5.8333333333333459E-2</v>
      </c>
      <c r="T23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5.8333333333333459E-2</v>
      </c>
      <c r="U237" s="41">
        <f ca="1">MIP_4[[#This Row],[Eficiência]]</f>
        <v>0.83681450422978543</v>
      </c>
      <c r="V23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37" s="39">
        <f>IF(MIP_4[[#This Row],[P.S]]-MIP_4[[#This Row],[P.E]]&lt;0,1+MIP_4[[#This Row],[P.S]]-MIP_4[[#This Row],[P.E]]-1/24,MIP_4[[#This Row],[P.S]]-MIP_4[[#This Row],[P.E]]-1/24)</f>
        <v>0.36527777777777787</v>
      </c>
      <c r="X237" s="39">
        <f ca="1">MIP_4[[#This Row],[PT-1]]*$S$3+MIP_4[[#This Row],[PT-2]]*$T$3+MIP_4[[#This Row],[PT-3]]*$U$3+MIP_4[[#This Row],[PT &gt; 3 Pontos]]*$V$3</f>
        <v>0.25685556310386465</v>
      </c>
      <c r="Y237" s="39">
        <f>MIP_4[[#This Row],[HH disponível]]-MIP_4[[#This Row],[HH AC TOT]]</f>
        <v>0.30694444444444441</v>
      </c>
      <c r="Z237" s="38">
        <f ca="1">MIP_4[[#This Row],[HH Produtivo
Total]]/MIP_4[[#This Row],[HH Trabalhado]]</f>
        <v>0.83681450422978543</v>
      </c>
      <c r="AA237" s="38">
        <f ca="1">MIP_4[[#This Row],[HH Produtivo
Total]]/MIP_4[[#This Row],[HH disponível]]</f>
        <v>0.7031787278889069</v>
      </c>
      <c r="AB237" s="38">
        <f>MIP_4[[#This Row],[HH Trabalhado]]/MIP_4[[#This Row],[HH disponível]]</f>
        <v>0.84030418250950545</v>
      </c>
      <c r="AC237" s="37" t="str">
        <f>LEFT(MIP_4[[#This Row],[Equipe]], SEARCH("/",MIP_4[[#This Row],[Equipe]],1)-1)</f>
        <v xml:space="preserve">ADEMÁRIO </v>
      </c>
      <c r="AD237" s="37" t="str">
        <f>RIGHT(MIP_4[[#This Row],[Equipe]], LEN(MIP_4[[#This Row],[Equipe]])-SEARCH("/",MIP_4[[#This Row],[Equipe]],1))</f>
        <v xml:space="preserve"> RONALDO</v>
      </c>
      <c r="AE237" s="44">
        <f>COUNTIFS('[1]Tempo parado'!G:G,"&gt;="&amp;MIP_4[[#This Row],[S.B Sitrack]],'[1]Tempo parado'!H:H,"&lt;="&amp;MIP_4[[#This Row],[C.B Sitrack]],'[1]Tempo parado'!A:A,MIP_4[[#This Row],[Placa]])</f>
        <v>0</v>
      </c>
      <c r="AF237" s="36"/>
      <c r="AG237" s="35"/>
      <c r="AH237" s="34"/>
      <c r="AI237" s="34"/>
      <c r="AJ23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3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3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37" s="32" t="str">
        <f>IFERROR(MIP_4[[#This Row],[Tempo parado]]/(MIP_4[[#This Row],[C.B Sitrack]]-MIP_4[[#This Row],[S.B Sitrack]]),"")</f>
        <v/>
      </c>
      <c r="AN237" s="30"/>
      <c r="AO237" s="44">
        <f>IF(AND(MIP_4[Exc]=0,MIP_4[Previsto / Realizado]="Realizado"),MIP_4[Sem],0)</f>
        <v>28</v>
      </c>
      <c r="AP237" s="29">
        <f>IF(AND(MIP_4[Exc]=0,MIP_4[Previsto / Realizado]="Realizado",ISBLANK(MIP_4[[#This Row],[S.B Sitrack]])=FALSE,ISBLANK(MIP_4[[#This Row],[C.B Sitrack]])=FALSE),MIP_4[Sem],0)</f>
        <v>0</v>
      </c>
    </row>
    <row r="238" spans="1:42" ht="15.75" x14ac:dyDescent="0.25">
      <c r="A238" s="44">
        <f>WEEKNUM(MIP_4[[#This Row],[Data]])</f>
        <v>28</v>
      </c>
      <c r="B238" s="45">
        <v>42930</v>
      </c>
      <c r="C238" s="45"/>
      <c r="D238" s="35" t="s">
        <v>384</v>
      </c>
      <c r="E238" s="35" t="s">
        <v>5</v>
      </c>
      <c r="F238" s="35"/>
      <c r="G238" s="44">
        <v>2</v>
      </c>
      <c r="H238" s="44">
        <v>7</v>
      </c>
      <c r="I238" s="44">
        <v>2</v>
      </c>
      <c r="J238" s="44">
        <v>0</v>
      </c>
      <c r="K238" s="44">
        <v>4</v>
      </c>
      <c r="L238" s="43">
        <v>0.25</v>
      </c>
      <c r="M238" s="43">
        <v>0.27083333333333331</v>
      </c>
      <c r="N238" s="43">
        <v>0.63750000000000007</v>
      </c>
      <c r="O238" s="43">
        <v>0.65833333333333333</v>
      </c>
      <c r="P238" s="39"/>
      <c r="Q238" s="42"/>
      <c r="R238" s="29">
        <f>MIP_4[[#This Row],[PT-1]]+MIP_4[[#This Row],[PT-2]]*2+MIP_4[[#This Row],[PT-3]]*3+MIP_4[[#This Row],[PT &gt; 3 Pontos]]</f>
        <v>15</v>
      </c>
      <c r="S23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23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238" s="41">
        <f ca="1">MIP_4[[#This Row],[Eficiência]]</f>
        <v>1.0584324505897569</v>
      </c>
      <c r="V23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38" s="39">
        <f>IF(MIP_4[[#This Row],[P.S]]-MIP_4[[#This Row],[P.E]]&lt;0,1+MIP_4[[#This Row],[P.S]]-MIP_4[[#This Row],[P.E]]-1/24,MIP_4[[#This Row],[P.S]]-MIP_4[[#This Row],[P.E]]-1/24)</f>
        <v>0.36666666666666664</v>
      </c>
      <c r="X238" s="39">
        <f ca="1">MIP_4[[#This Row],[PT-1]]*$S$3+MIP_4[[#This Row],[PT-2]]*$T$3+MIP_4[[#This Row],[PT-3]]*$U$3+MIP_4[[#This Row],[PT &gt; 3 Pontos]]*$V$3</f>
        <v>0.34399054644167104</v>
      </c>
      <c r="Y238" s="39">
        <f>MIP_4[[#This Row],[HH disponível]]-MIP_4[[#This Row],[HH AC TOT]]</f>
        <v>0.32500000000000007</v>
      </c>
      <c r="Z238" s="38">
        <f ca="1">MIP_4[[#This Row],[HH Produtivo
Total]]/MIP_4[[#This Row],[HH Trabalhado]]</f>
        <v>1.0584324505897569</v>
      </c>
      <c r="AA238" s="38">
        <f ca="1">MIP_4[[#This Row],[HH Produtivo
Total]]/MIP_4[[#This Row],[HH disponível]]</f>
        <v>0.93815603575001205</v>
      </c>
      <c r="AB238" s="38">
        <f>MIP_4[[#This Row],[HH Trabalhado]]/MIP_4[[#This Row],[HH disponível]]</f>
        <v>0.88636363636363658</v>
      </c>
      <c r="AC238" s="37" t="str">
        <f>LEFT(MIP_4[[#This Row],[Equipe]], SEARCH("/",MIP_4[[#This Row],[Equipe]],1)-1)</f>
        <v xml:space="preserve">GERALDO </v>
      </c>
      <c r="AD238" s="37" t="str">
        <f>RIGHT(MIP_4[[#This Row],[Equipe]], LEN(MIP_4[[#This Row],[Equipe]])-SEARCH("/",MIP_4[[#This Row],[Equipe]],1))</f>
        <v xml:space="preserve"> VALDEI</v>
      </c>
      <c r="AE238" s="44">
        <f>COUNTIFS('[1]Tempo parado'!G:G,"&gt;="&amp;MIP_4[[#This Row],[S.B Sitrack]],'[1]Tempo parado'!H:H,"&lt;="&amp;MIP_4[[#This Row],[C.B Sitrack]],'[1]Tempo parado'!A:A,MIP_4[[#This Row],[Placa]])</f>
        <v>0</v>
      </c>
      <c r="AF238" s="36"/>
      <c r="AG238" s="35"/>
      <c r="AH238" s="34"/>
      <c r="AI238" s="34"/>
      <c r="AJ23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3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3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38" s="32" t="str">
        <f>IFERROR(MIP_4[[#This Row],[Tempo parado]]/(MIP_4[[#This Row],[C.B Sitrack]]-MIP_4[[#This Row],[S.B Sitrack]]),"")</f>
        <v/>
      </c>
      <c r="AN238" s="30"/>
      <c r="AO238" s="44">
        <f>IF(AND(MIP_4[Exc]=0,MIP_4[Previsto / Realizado]="Realizado"),MIP_4[Sem],0)</f>
        <v>0</v>
      </c>
      <c r="AP238" s="29">
        <f>IF(AND(MIP_4[Exc]=0,MIP_4[Previsto / Realizado]="Realizado",ISBLANK(MIP_4[[#This Row],[S.B Sitrack]])=FALSE,ISBLANK(MIP_4[[#This Row],[C.B Sitrack]])=FALSE),MIP_4[Sem],0)</f>
        <v>0</v>
      </c>
    </row>
    <row r="239" spans="1:42" ht="15.75" x14ac:dyDescent="0.25">
      <c r="A239" s="44">
        <f>WEEKNUM(MIP_4[[#This Row],[Data]])</f>
        <v>28</v>
      </c>
      <c r="B239" s="45">
        <v>42930</v>
      </c>
      <c r="C239" s="45"/>
      <c r="D239" s="35" t="s">
        <v>384</v>
      </c>
      <c r="E239" s="35" t="s">
        <v>2</v>
      </c>
      <c r="F239" s="35"/>
      <c r="G239" s="44">
        <v>2</v>
      </c>
      <c r="H239" s="44">
        <v>2</v>
      </c>
      <c r="I239" s="44">
        <v>2</v>
      </c>
      <c r="J239" s="44">
        <v>0</v>
      </c>
      <c r="K239" s="44">
        <v>4</v>
      </c>
      <c r="L239" s="43">
        <v>0.24444444444444446</v>
      </c>
      <c r="M239" s="43">
        <v>0.3888888888888889</v>
      </c>
      <c r="N239" s="43">
        <v>0.61458333333333337</v>
      </c>
      <c r="O239" s="43">
        <v>0.61736111111111114</v>
      </c>
      <c r="P239" s="39"/>
      <c r="Q239" s="42" t="s">
        <v>383</v>
      </c>
      <c r="R239" s="29">
        <f>MIP_4[[#This Row],[PT-1]]+MIP_4[[#This Row],[PT-2]]*2+MIP_4[[#This Row],[PT-3]]*3+MIP_4[[#This Row],[PT &gt; 3 Pontos]]</f>
        <v>10</v>
      </c>
      <c r="S23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0.1472222222222222</v>
      </c>
      <c r="T23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0.1472222222222222</v>
      </c>
      <c r="U239" s="41">
        <f ca="1">MIP_4[[#This Row],[Eficiência]]</f>
        <v>1.1892839455534288</v>
      </c>
      <c r="V23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39" s="39">
        <f>IF(MIP_4[[#This Row],[P.S]]-MIP_4[[#This Row],[P.E]]&lt;0,1+MIP_4[[#This Row],[P.S]]-MIP_4[[#This Row],[P.E]]-1/24,MIP_4[[#This Row],[P.S]]-MIP_4[[#This Row],[P.E]]-1/24)</f>
        <v>0.33124999999999999</v>
      </c>
      <c r="X239" s="39">
        <f ca="1">MIP_4[[#This Row],[PT-1]]*$S$3+MIP_4[[#This Row],[PT-2]]*$T$3+MIP_4[[#This Row],[PT-3]]*$U$3+MIP_4[[#This Row],[PT &gt; 3 Pontos]]*$V$3</f>
        <v>0.21886128164698518</v>
      </c>
      <c r="Y239" s="39">
        <f>MIP_4[[#This Row],[HH disponível]]-MIP_4[[#This Row],[HH AC TOT]]</f>
        <v>0.18402777777777779</v>
      </c>
      <c r="Z239" s="38">
        <f ca="1">MIP_4[[#This Row],[HH Produtivo
Total]]/MIP_4[[#This Row],[HH Trabalhado]]</f>
        <v>1.1892839455534288</v>
      </c>
      <c r="AA239" s="38">
        <f ca="1">MIP_4[[#This Row],[HH Produtivo
Total]]/MIP_4[[#This Row],[HH disponível]]</f>
        <v>0.66071330308523835</v>
      </c>
      <c r="AB239" s="38">
        <f>MIP_4[[#This Row],[HH Trabalhado]]/MIP_4[[#This Row],[HH disponível]]</f>
        <v>0.55555555555555558</v>
      </c>
      <c r="AC239" s="37" t="str">
        <f>LEFT(MIP_4[[#This Row],[Equipe]], SEARCH("/",MIP_4[[#This Row],[Equipe]],1)-1)</f>
        <v xml:space="preserve">GERALDO </v>
      </c>
      <c r="AD239" s="37" t="str">
        <f>RIGHT(MIP_4[[#This Row],[Equipe]], LEN(MIP_4[[#This Row],[Equipe]])-SEARCH("/",MIP_4[[#This Row],[Equipe]],1))</f>
        <v xml:space="preserve"> VALDEI</v>
      </c>
      <c r="AE239" s="44">
        <f>COUNTIFS('[1]Tempo parado'!G:G,"&gt;="&amp;MIP_4[[#This Row],[S.B Sitrack]],'[1]Tempo parado'!H:H,"&lt;="&amp;MIP_4[[#This Row],[C.B Sitrack]],'[1]Tempo parado'!A:A,MIP_4[[#This Row],[Placa]])</f>
        <v>0</v>
      </c>
      <c r="AF239" s="36"/>
      <c r="AG239" s="35"/>
      <c r="AH239" s="34"/>
      <c r="AI239" s="34"/>
      <c r="AJ23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3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3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39" s="32" t="str">
        <f>IFERROR(MIP_4[[#This Row],[Tempo parado]]/(MIP_4[[#This Row],[C.B Sitrack]]-MIP_4[[#This Row],[S.B Sitrack]]),"")</f>
        <v/>
      </c>
      <c r="AN239" s="30"/>
      <c r="AO239" s="44">
        <f>IF(AND(MIP_4[Exc]=0,MIP_4[Previsto / Realizado]="Realizado"),MIP_4[Sem],0)</f>
        <v>28</v>
      </c>
      <c r="AP239" s="29">
        <f>IF(AND(MIP_4[Exc]=0,MIP_4[Previsto / Realizado]="Realizado",ISBLANK(MIP_4[[#This Row],[S.B Sitrack]])=FALSE,ISBLANK(MIP_4[[#This Row],[C.B Sitrack]])=FALSE),MIP_4[Sem],0)</f>
        <v>0</v>
      </c>
    </row>
    <row r="240" spans="1:42" ht="15.75" x14ac:dyDescent="0.25">
      <c r="A240" s="44">
        <f>WEEKNUM(MIP_4[[#This Row],[Data]])</f>
        <v>28</v>
      </c>
      <c r="B240" s="45">
        <v>42930</v>
      </c>
      <c r="C240" s="45"/>
      <c r="D240" s="35" t="s">
        <v>3</v>
      </c>
      <c r="E240" s="35" t="s">
        <v>5</v>
      </c>
      <c r="F240" s="35"/>
      <c r="G240" s="44">
        <v>2</v>
      </c>
      <c r="H240" s="44">
        <v>6</v>
      </c>
      <c r="I240" s="44">
        <v>1</v>
      </c>
      <c r="J240" s="44">
        <v>0</v>
      </c>
      <c r="K240" s="44">
        <v>9</v>
      </c>
      <c r="L240" s="43">
        <v>0.625</v>
      </c>
      <c r="M240" s="43">
        <v>0.64583333333333337</v>
      </c>
      <c r="N240" s="43">
        <f>1+18/24/60</f>
        <v>1.0125</v>
      </c>
      <c r="O240" s="43">
        <f>1+48/24/60</f>
        <v>1.0333333333333334</v>
      </c>
      <c r="P240" s="39"/>
      <c r="Q240" s="42"/>
      <c r="R240" s="29">
        <f>MIP_4[[#This Row],[PT-1]]+MIP_4[[#This Row],[PT-2]]*2+MIP_4[[#This Row],[PT-3]]*3+MIP_4[[#This Row],[PT &gt; 3 Pontos]]</f>
        <v>17</v>
      </c>
      <c r="S24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24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240" s="41">
        <f ca="1">MIP_4[[#This Row],[Eficiência]]</f>
        <v>1.1578337901028122</v>
      </c>
      <c r="V24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40" s="39">
        <f>IF(MIP_4[[#This Row],[P.S]]-MIP_4[[#This Row],[P.E]]&lt;0,1+MIP_4[[#This Row],[P.S]]-MIP_4[[#This Row],[P.E]]-1/24,MIP_4[[#This Row],[P.S]]-MIP_4[[#This Row],[P.E]]-1/24)</f>
        <v>0.36666666666666675</v>
      </c>
      <c r="X240" s="39">
        <f ca="1">MIP_4[[#This Row],[PT-1]]*$S$3+MIP_4[[#This Row],[PT-2]]*$T$3+MIP_4[[#This Row],[PT-3]]*$U$3+MIP_4[[#This Row],[PT &gt; 3 Pontos]]*$V$3</f>
        <v>0.37629598178341384</v>
      </c>
      <c r="Y240" s="39">
        <f>MIP_4[[#This Row],[HH disponível]]-MIP_4[[#This Row],[HH AC TOT]]</f>
        <v>0.3249999999999999</v>
      </c>
      <c r="Z240" s="38">
        <f ca="1">MIP_4[[#This Row],[HH Produtivo
Total]]/MIP_4[[#This Row],[HH Trabalhado]]</f>
        <v>1.1578337901028122</v>
      </c>
      <c r="AA240" s="38">
        <f ca="1">MIP_4[[#This Row],[HH Produtivo
Total]]/MIP_4[[#This Row],[HH disponível]]</f>
        <v>1.0262617685002193</v>
      </c>
      <c r="AB240" s="38">
        <f>MIP_4[[#This Row],[HH Trabalhado]]/MIP_4[[#This Row],[HH disponível]]</f>
        <v>0.88636363636363591</v>
      </c>
      <c r="AC240" s="37" t="str">
        <f>LEFT(MIP_4[[#This Row],[Equipe]], SEARCH("/",MIP_4[[#This Row],[Equipe]],1)-1)</f>
        <v xml:space="preserve">EDILTON </v>
      </c>
      <c r="AD240" s="37" t="str">
        <f>RIGHT(MIP_4[[#This Row],[Equipe]], LEN(MIP_4[[#This Row],[Equipe]])-SEARCH("/",MIP_4[[#This Row],[Equipe]],1))</f>
        <v xml:space="preserve"> GECIVALDO</v>
      </c>
      <c r="AE240" s="44">
        <f>COUNTIFS('[1]Tempo parado'!G:G,"&gt;="&amp;MIP_4[[#This Row],[S.B Sitrack]],'[1]Tempo parado'!H:H,"&lt;="&amp;MIP_4[[#This Row],[C.B Sitrack]],'[1]Tempo parado'!A:A,MIP_4[[#This Row],[Placa]])</f>
        <v>0</v>
      </c>
      <c r="AF240" s="36"/>
      <c r="AG240" s="35"/>
      <c r="AH240" s="34"/>
      <c r="AI240" s="34"/>
      <c r="AJ24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4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4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40" s="32" t="str">
        <f>IFERROR(MIP_4[[#This Row],[Tempo parado]]/(MIP_4[[#This Row],[C.B Sitrack]]-MIP_4[[#This Row],[S.B Sitrack]]),"")</f>
        <v/>
      </c>
      <c r="AN240" s="30"/>
      <c r="AO240" s="44">
        <f>IF(AND(MIP_4[Exc]=0,MIP_4[Previsto / Realizado]="Realizado"),MIP_4[Sem],0)</f>
        <v>0</v>
      </c>
      <c r="AP240" s="29">
        <f>IF(AND(MIP_4[Exc]=0,MIP_4[Previsto / Realizado]="Realizado",ISBLANK(MIP_4[[#This Row],[S.B Sitrack]])=FALSE,ISBLANK(MIP_4[[#This Row],[C.B Sitrack]])=FALSE),MIP_4[Sem],0)</f>
        <v>0</v>
      </c>
    </row>
    <row r="241" spans="1:42" ht="15.75" x14ac:dyDescent="0.25">
      <c r="A241" s="44">
        <f>WEEKNUM(MIP_4[[#This Row],[Data]])</f>
        <v>28</v>
      </c>
      <c r="B241" s="45">
        <v>42930</v>
      </c>
      <c r="C241" s="45"/>
      <c r="D241" s="35" t="s">
        <v>3</v>
      </c>
      <c r="E241" s="35" t="s">
        <v>2</v>
      </c>
      <c r="F241" s="35"/>
      <c r="G241" s="44">
        <v>2</v>
      </c>
      <c r="H241" s="44">
        <v>6</v>
      </c>
      <c r="I241" s="44">
        <v>0</v>
      </c>
      <c r="J241" s="44">
        <v>0</v>
      </c>
      <c r="K241" s="44">
        <v>9</v>
      </c>
      <c r="L241" s="43">
        <v>0.62222222222222223</v>
      </c>
      <c r="M241" s="43">
        <v>0.66249999999999998</v>
      </c>
      <c r="N241" s="43">
        <f>1+17/24/60</f>
        <v>1.0118055555555556</v>
      </c>
      <c r="O241" s="43">
        <f>1+48/24/60</f>
        <v>1.0333333333333334</v>
      </c>
      <c r="P241" s="39"/>
      <c r="Q241" s="42"/>
      <c r="R241" s="29">
        <f>MIP_4[[#This Row],[PT-1]]+MIP_4[[#This Row],[PT-2]]*2+MIP_4[[#This Row],[PT-3]]*3+MIP_4[[#This Row],[PT &gt; 3 Pontos]]</f>
        <v>15</v>
      </c>
      <c r="S24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6.1805555555555558E-2</v>
      </c>
      <c r="T24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6.1805555555555558E-2</v>
      </c>
      <c r="U241" s="41">
        <f ca="1">MIP_4[[#This Row],[Eficiência]]</f>
        <v>1.0804460283966366</v>
      </c>
      <c r="V24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41" s="39">
        <f>IF(MIP_4[[#This Row],[P.S]]-MIP_4[[#This Row],[P.E]]&lt;0,1+MIP_4[[#This Row],[P.S]]-MIP_4[[#This Row],[P.E]]-1/24,MIP_4[[#This Row],[P.S]]-MIP_4[[#This Row],[P.E]]-1/24)</f>
        <v>0.36944444444444452</v>
      </c>
      <c r="X241" s="39">
        <f ca="1">MIP_4[[#This Row],[PT-1]]*$S$3+MIP_4[[#This Row],[PT-2]]*$T$3+MIP_4[[#This Row],[PT-3]]*$U$3+MIP_4[[#This Row],[PT &gt; 3 Pontos]]*$V$3</f>
        <v>0.33238721568035423</v>
      </c>
      <c r="Y241" s="39">
        <f>MIP_4[[#This Row],[HH disponível]]-MIP_4[[#This Row],[HH AC TOT]]</f>
        <v>0.30763888888888896</v>
      </c>
      <c r="Z241" s="38">
        <f ca="1">MIP_4[[#This Row],[HH Produtivo
Total]]/MIP_4[[#This Row],[HH Trabalhado]]</f>
        <v>1.0804460283966366</v>
      </c>
      <c r="AA241" s="38">
        <f ca="1">MIP_4[[#This Row],[HH Produtivo
Total]]/MIP_4[[#This Row],[HH disponível]]</f>
        <v>0.89969471913479326</v>
      </c>
      <c r="AB241" s="38">
        <f>MIP_4[[#This Row],[HH Trabalhado]]/MIP_4[[#This Row],[HH disponível]]</f>
        <v>0.83270676691729328</v>
      </c>
      <c r="AC241" s="37" t="str">
        <f>LEFT(MIP_4[[#This Row],[Equipe]], SEARCH("/",MIP_4[[#This Row],[Equipe]],1)-1)</f>
        <v xml:space="preserve">EDILTON </v>
      </c>
      <c r="AD241" s="37" t="str">
        <f>RIGHT(MIP_4[[#This Row],[Equipe]], LEN(MIP_4[[#This Row],[Equipe]])-SEARCH("/",MIP_4[[#This Row],[Equipe]],1))</f>
        <v xml:space="preserve"> GECIVALDO</v>
      </c>
      <c r="AE241" s="44">
        <f>COUNTIFS('[1]Tempo parado'!G:G,"&gt;="&amp;MIP_4[[#This Row],[S.B Sitrack]],'[1]Tempo parado'!H:H,"&lt;="&amp;MIP_4[[#This Row],[C.B Sitrack]],'[1]Tempo parado'!A:A,MIP_4[[#This Row],[Placa]])</f>
        <v>0</v>
      </c>
      <c r="AF241" s="36"/>
      <c r="AG241" s="35"/>
      <c r="AH241" s="34"/>
      <c r="AI241" s="34"/>
      <c r="AJ24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4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4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41" s="32" t="str">
        <f>IFERROR(MIP_4[[#This Row],[Tempo parado]]/(MIP_4[[#This Row],[C.B Sitrack]]-MIP_4[[#This Row],[S.B Sitrack]]),"")</f>
        <v/>
      </c>
      <c r="AN241" s="30"/>
      <c r="AO241" s="44">
        <f>IF(AND(MIP_4[Exc]=0,MIP_4[Previsto / Realizado]="Realizado"),MIP_4[Sem],0)</f>
        <v>28</v>
      </c>
      <c r="AP241" s="29">
        <f>IF(AND(MIP_4[Exc]=0,MIP_4[Previsto / Realizado]="Realizado",ISBLANK(MIP_4[[#This Row],[S.B Sitrack]])=FALSE,ISBLANK(MIP_4[[#This Row],[C.B Sitrack]])=FALSE),MIP_4[Sem],0)</f>
        <v>0</v>
      </c>
    </row>
    <row r="242" spans="1:42" ht="15.75" x14ac:dyDescent="0.25">
      <c r="A242" s="44">
        <f>WEEKNUM(MIP_4[[#This Row],[Data]])</f>
        <v>28</v>
      </c>
      <c r="B242" s="45">
        <v>42930</v>
      </c>
      <c r="C242" s="45"/>
      <c r="D242" s="35" t="s">
        <v>133</v>
      </c>
      <c r="E242" s="35" t="s">
        <v>5</v>
      </c>
      <c r="F242" s="35"/>
      <c r="G242" s="44">
        <v>3</v>
      </c>
      <c r="H242" s="44">
        <v>9</v>
      </c>
      <c r="I242" s="44">
        <v>0</v>
      </c>
      <c r="J242" s="44">
        <v>0</v>
      </c>
      <c r="K242" s="44">
        <v>4</v>
      </c>
      <c r="L242" s="43">
        <v>0.625</v>
      </c>
      <c r="M242" s="43">
        <v>0.64583333333333337</v>
      </c>
      <c r="N242" s="43">
        <f>1+18/24/60</f>
        <v>1.0125</v>
      </c>
      <c r="O242" s="43">
        <f>1+48/24/60</f>
        <v>1.0333333333333334</v>
      </c>
      <c r="P242" s="39"/>
      <c r="Q242" s="42"/>
      <c r="R242" s="29">
        <f>MIP_4[[#This Row],[PT-1]]+MIP_4[[#This Row],[PT-2]]*2+MIP_4[[#This Row],[PT-3]]*3+MIP_4[[#This Row],[PT &gt; 3 Pontos]]</f>
        <v>13</v>
      </c>
      <c r="S24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24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242" s="41">
        <f ca="1">MIP_4[[#This Row],[Eficiência]]</f>
        <v>0.94222990816438879</v>
      </c>
      <c r="V24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42" s="39">
        <f>IF(MIP_4[[#This Row],[P.S]]-MIP_4[[#This Row],[P.E]]&lt;0,1+MIP_4[[#This Row],[P.S]]-MIP_4[[#This Row],[P.E]]-1/24,MIP_4[[#This Row],[P.S]]-MIP_4[[#This Row],[P.E]]-1/24)</f>
        <v>0.36666666666666675</v>
      </c>
      <c r="X242" s="39">
        <f ca="1">MIP_4[[#This Row],[PT-1]]*$S$3+MIP_4[[#This Row],[PT-2]]*$T$3+MIP_4[[#This Row],[PT-3]]*$U$3+MIP_4[[#This Row],[PT &gt; 3 Pontos]]*$V$3</f>
        <v>0.30622472015342628</v>
      </c>
      <c r="Y242" s="39">
        <f>MIP_4[[#This Row],[HH disponível]]-MIP_4[[#This Row],[HH AC TOT]]</f>
        <v>0.3249999999999999</v>
      </c>
      <c r="Z242" s="38">
        <f ca="1">MIP_4[[#This Row],[HH Produtivo
Total]]/MIP_4[[#This Row],[HH Trabalhado]]</f>
        <v>0.94222990816438879</v>
      </c>
      <c r="AA242" s="38">
        <f ca="1">MIP_4[[#This Row],[HH Produtivo
Total]]/MIP_4[[#This Row],[HH disponível]]</f>
        <v>0.83515832769116238</v>
      </c>
      <c r="AB242" s="38">
        <f>MIP_4[[#This Row],[HH Trabalhado]]/MIP_4[[#This Row],[HH disponível]]</f>
        <v>0.88636363636363591</v>
      </c>
      <c r="AC242" s="37" t="str">
        <f>LEFT(MIP_4[[#This Row],[Equipe]], SEARCH("/",MIP_4[[#This Row],[Equipe]],1)-1)</f>
        <v xml:space="preserve">ANDERSON </v>
      </c>
      <c r="AD242" s="37" t="str">
        <f>RIGHT(MIP_4[[#This Row],[Equipe]], LEN(MIP_4[[#This Row],[Equipe]])-SEARCH("/",MIP_4[[#This Row],[Equipe]],1))</f>
        <v xml:space="preserve"> MARCO / RONALDO</v>
      </c>
      <c r="AE242" s="44">
        <f>COUNTIFS('[1]Tempo parado'!G:G,"&gt;="&amp;MIP_4[[#This Row],[S.B Sitrack]],'[1]Tempo parado'!H:H,"&lt;="&amp;MIP_4[[#This Row],[C.B Sitrack]],'[1]Tempo parado'!A:A,MIP_4[[#This Row],[Placa]])</f>
        <v>0</v>
      </c>
      <c r="AF242" s="36"/>
      <c r="AG242" s="35"/>
      <c r="AH242" s="34"/>
      <c r="AI242" s="34"/>
      <c r="AJ24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4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4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42" s="32" t="str">
        <f>IFERROR(MIP_4[[#This Row],[Tempo parado]]/(MIP_4[[#This Row],[C.B Sitrack]]-MIP_4[[#This Row],[S.B Sitrack]]),"")</f>
        <v/>
      </c>
      <c r="AN242" s="30"/>
      <c r="AO242" s="44">
        <f>IF(AND(MIP_4[Exc]=0,MIP_4[Previsto / Realizado]="Realizado"),MIP_4[Sem],0)</f>
        <v>0</v>
      </c>
      <c r="AP242" s="29">
        <f>IF(AND(MIP_4[Exc]=0,MIP_4[Previsto / Realizado]="Realizado",ISBLANK(MIP_4[[#This Row],[S.B Sitrack]])=FALSE,ISBLANK(MIP_4[[#This Row],[C.B Sitrack]])=FALSE),MIP_4[Sem],0)</f>
        <v>0</v>
      </c>
    </row>
    <row r="243" spans="1:42" ht="15.75" x14ac:dyDescent="0.25">
      <c r="A243" s="44">
        <f>WEEKNUM(MIP_4[[#This Row],[Data]])</f>
        <v>28</v>
      </c>
      <c r="B243" s="45">
        <v>42930</v>
      </c>
      <c r="C243" s="45"/>
      <c r="D243" s="35" t="s">
        <v>133</v>
      </c>
      <c r="E243" s="35" t="s">
        <v>2</v>
      </c>
      <c r="F243" s="35"/>
      <c r="G243" s="44">
        <v>3</v>
      </c>
      <c r="H243" s="44">
        <v>5</v>
      </c>
      <c r="I243" s="44">
        <v>1</v>
      </c>
      <c r="J243" s="44">
        <v>0</v>
      </c>
      <c r="K243" s="44">
        <v>4</v>
      </c>
      <c r="L243" s="43">
        <v>0.62430555555555556</v>
      </c>
      <c r="M243" s="43">
        <v>0.6645833333333333</v>
      </c>
      <c r="N243" s="43">
        <v>0.97916666666666663</v>
      </c>
      <c r="O243" s="43">
        <f>1+49/24/60</f>
        <v>1.0340277777777778</v>
      </c>
      <c r="P243" s="39"/>
      <c r="Q243" s="42" t="s">
        <v>382</v>
      </c>
      <c r="R243" s="29">
        <f>MIP_4[[#This Row],[PT-1]]+MIP_4[[#This Row],[PT-2]]*2+MIP_4[[#This Row],[PT-3]]*3+MIP_4[[#This Row],[PT &gt; 3 Pontos]]</f>
        <v>11</v>
      </c>
      <c r="S24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9.5138888888888884E-2</v>
      </c>
      <c r="T24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9.5138888888888884E-2</v>
      </c>
      <c r="U243" s="41">
        <f ca="1">MIP_4[[#This Row],[Eficiência]]</f>
        <v>0.91614073070193758</v>
      </c>
      <c r="V24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43" s="39">
        <f>IF(MIP_4[[#This Row],[P.S]]-MIP_4[[#This Row],[P.E]]&lt;0,1+MIP_4[[#This Row],[P.S]]-MIP_4[[#This Row],[P.E]]-1/24,MIP_4[[#This Row],[P.S]]-MIP_4[[#This Row],[P.E]]-1/24)</f>
        <v>0.36805555555555552</v>
      </c>
      <c r="X243" s="39">
        <f ca="1">MIP_4[[#This Row],[PT-1]]*$S$3+MIP_4[[#This Row],[PT-2]]*$T$3+MIP_4[[#This Row],[PT-3]]*$U$3+MIP_4[[#This Row],[PT &gt; 3 Pontos]]*$V$3</f>
        <v>0.2500300744207371</v>
      </c>
      <c r="Y243" s="39">
        <f>MIP_4[[#This Row],[HH disponível]]-MIP_4[[#This Row],[HH AC TOT]]</f>
        <v>0.27291666666666664</v>
      </c>
      <c r="Z243" s="38">
        <f ca="1">MIP_4[[#This Row],[HH Produtivo
Total]]/MIP_4[[#This Row],[HH Trabalhado]]</f>
        <v>0.91614073070193758</v>
      </c>
      <c r="AA243" s="38">
        <f ca="1">MIP_4[[#This Row],[HH Produtivo
Total]]/MIP_4[[#This Row],[HH disponível]]</f>
        <v>0.67932699465256874</v>
      </c>
      <c r="AB243" s="38">
        <f>MIP_4[[#This Row],[HH Trabalhado]]/MIP_4[[#This Row],[HH disponível]]</f>
        <v>0.7415094339622641</v>
      </c>
      <c r="AC243" s="37" t="str">
        <f>LEFT(MIP_4[[#This Row],[Equipe]], SEARCH("/",MIP_4[[#This Row],[Equipe]],1)-1)</f>
        <v xml:space="preserve">ANDERSON </v>
      </c>
      <c r="AD243" s="37" t="str">
        <f>RIGHT(MIP_4[[#This Row],[Equipe]], LEN(MIP_4[[#This Row],[Equipe]])-SEARCH("/",MIP_4[[#This Row],[Equipe]],1))</f>
        <v xml:space="preserve"> MARCO / RONALDO</v>
      </c>
      <c r="AE243" s="44">
        <f>COUNTIFS('[1]Tempo parado'!G:G,"&gt;="&amp;MIP_4[[#This Row],[S.B Sitrack]],'[1]Tempo parado'!H:H,"&lt;="&amp;MIP_4[[#This Row],[C.B Sitrack]],'[1]Tempo parado'!A:A,MIP_4[[#This Row],[Placa]])</f>
        <v>0</v>
      </c>
      <c r="AF243" s="36"/>
      <c r="AG243" s="35"/>
      <c r="AH243" s="34"/>
      <c r="AI243" s="34"/>
      <c r="AJ24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4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4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43" s="32" t="str">
        <f>IFERROR(MIP_4[[#This Row],[Tempo parado]]/(MIP_4[[#This Row],[C.B Sitrack]]-MIP_4[[#This Row],[S.B Sitrack]]),"")</f>
        <v/>
      </c>
      <c r="AN243" s="30"/>
      <c r="AO243" s="44">
        <f>IF(AND(MIP_4[Exc]=0,MIP_4[Previsto / Realizado]="Realizado"),MIP_4[Sem],0)</f>
        <v>28</v>
      </c>
      <c r="AP243" s="29">
        <f>IF(AND(MIP_4[Exc]=0,MIP_4[Previsto / Realizado]="Realizado",ISBLANK(MIP_4[[#This Row],[S.B Sitrack]])=FALSE,ISBLANK(MIP_4[[#This Row],[C.B Sitrack]])=FALSE),MIP_4[Sem],0)</f>
        <v>0</v>
      </c>
    </row>
    <row r="244" spans="1:42" ht="15.75" x14ac:dyDescent="0.25">
      <c r="A244" s="44">
        <f>WEEKNUM(MIP_4[[#This Row],[Data]])</f>
        <v>29</v>
      </c>
      <c r="B244" s="45">
        <v>42933</v>
      </c>
      <c r="C244" s="45"/>
      <c r="D244" s="35" t="s">
        <v>19</v>
      </c>
      <c r="E244" s="35" t="s">
        <v>5</v>
      </c>
      <c r="F244" s="35"/>
      <c r="G244" s="44">
        <v>2</v>
      </c>
      <c r="H244" s="44">
        <v>5</v>
      </c>
      <c r="I244" s="44">
        <v>2</v>
      </c>
      <c r="J244" s="44">
        <v>1</v>
      </c>
      <c r="K244" s="44">
        <v>0</v>
      </c>
      <c r="L244" s="43">
        <v>0.625</v>
      </c>
      <c r="M244" s="43">
        <v>0.64583333333333337</v>
      </c>
      <c r="N244" s="43">
        <f>1+18/24/60</f>
        <v>1.0125</v>
      </c>
      <c r="O244" s="43">
        <f>1+48/24/60</f>
        <v>1.0333333333333334</v>
      </c>
      <c r="P244" s="39"/>
      <c r="Q244" s="42"/>
      <c r="R244" s="29">
        <f>MIP_4[[#This Row],[PT-1]]+MIP_4[[#This Row],[PT-2]]*2+MIP_4[[#This Row],[PT-3]]*3+MIP_4[[#This Row],[PT &gt; 3 Pontos]]</f>
        <v>12</v>
      </c>
      <c r="S24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24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244" s="41">
        <f ca="1">MIP_4[[#This Row],[Eficiência]]</f>
        <v>0.84842608076303727</v>
      </c>
      <c r="V24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44" s="39">
        <f>IF(MIP_4[[#This Row],[P.S]]-MIP_4[[#This Row],[P.E]]&lt;0,1+MIP_4[[#This Row],[P.S]]-MIP_4[[#This Row],[P.E]]-1/24,MIP_4[[#This Row],[P.S]]-MIP_4[[#This Row],[P.E]]-1/24)</f>
        <v>0.36666666666666675</v>
      </c>
      <c r="X244" s="39">
        <f ca="1">MIP_4[[#This Row],[PT-1]]*$S$3+MIP_4[[#This Row],[PT-2]]*$T$3+MIP_4[[#This Row],[PT-3]]*$U$3+MIP_4[[#This Row],[PT &gt; 3 Pontos]]*$V$3</f>
        <v>0.27573847624798703</v>
      </c>
      <c r="Y244" s="39">
        <f>MIP_4[[#This Row],[HH disponível]]-MIP_4[[#This Row],[HH AC TOT]]</f>
        <v>0.3249999999999999</v>
      </c>
      <c r="Z244" s="38">
        <f ca="1">MIP_4[[#This Row],[HH Produtivo
Total]]/MIP_4[[#This Row],[HH Trabalhado]]</f>
        <v>0.84842608076303727</v>
      </c>
      <c r="AA244" s="38">
        <f ca="1">MIP_4[[#This Row],[HH Produtivo
Total]]/MIP_4[[#This Row],[HH disponível]]</f>
        <v>0.75201402613087354</v>
      </c>
      <c r="AB244" s="38">
        <f>MIP_4[[#This Row],[HH Trabalhado]]/MIP_4[[#This Row],[HH disponível]]</f>
        <v>0.88636363636363591</v>
      </c>
      <c r="AC244" s="37" t="str">
        <f>LEFT(MIP_4[[#This Row],[Equipe]], SEARCH("/",MIP_4[[#This Row],[Equipe]],1)-1)</f>
        <v xml:space="preserve">ADEMÁRIO </v>
      </c>
      <c r="AD244" s="37" t="str">
        <f>RIGHT(MIP_4[[#This Row],[Equipe]], LEN(MIP_4[[#This Row],[Equipe]])-SEARCH("/",MIP_4[[#This Row],[Equipe]],1))</f>
        <v xml:space="preserve"> RONALDO</v>
      </c>
      <c r="AE244" s="44">
        <f>COUNTIFS('[1]Tempo parado'!G:G,"&gt;="&amp;MIP_4[[#This Row],[S.B Sitrack]],'[1]Tempo parado'!H:H,"&lt;="&amp;MIP_4[[#This Row],[C.B Sitrack]],'[1]Tempo parado'!A:A,MIP_4[[#This Row],[Placa]])</f>
        <v>0</v>
      </c>
      <c r="AF244" s="36"/>
      <c r="AG244" s="35"/>
      <c r="AH244" s="34"/>
      <c r="AI244" s="34"/>
      <c r="AJ24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4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4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44" s="32" t="str">
        <f>IFERROR(MIP_4[[#This Row],[Tempo parado]]/(MIP_4[[#This Row],[C.B Sitrack]]-MIP_4[[#This Row],[S.B Sitrack]]),"")</f>
        <v/>
      </c>
      <c r="AN244" s="30"/>
      <c r="AO244" s="44">
        <f>IF(AND(MIP_4[Exc]=0,MIP_4[Previsto / Realizado]="Realizado"),MIP_4[Sem],0)</f>
        <v>0</v>
      </c>
      <c r="AP244" s="29">
        <f>IF(AND(MIP_4[Exc]=0,MIP_4[Previsto / Realizado]="Realizado",ISBLANK(MIP_4[[#This Row],[S.B Sitrack]])=FALSE,ISBLANK(MIP_4[[#This Row],[C.B Sitrack]])=FALSE),MIP_4[Sem],0)</f>
        <v>0</v>
      </c>
    </row>
    <row r="245" spans="1:42" ht="15.75" x14ac:dyDescent="0.25">
      <c r="A245" s="44">
        <f>WEEKNUM(MIP_4[[#This Row],[Data]])</f>
        <v>29</v>
      </c>
      <c r="B245" s="45">
        <v>42933</v>
      </c>
      <c r="C245" s="45"/>
      <c r="D245" s="35" t="s">
        <v>19</v>
      </c>
      <c r="E245" s="35" t="s">
        <v>2</v>
      </c>
      <c r="F245" s="35"/>
      <c r="G245" s="44">
        <v>2</v>
      </c>
      <c r="H245" s="44">
        <v>6</v>
      </c>
      <c r="I245" s="44">
        <v>2</v>
      </c>
      <c r="J245" s="44">
        <v>1</v>
      </c>
      <c r="K245" s="44">
        <v>0</v>
      </c>
      <c r="L245" s="43">
        <v>0.64513888888888882</v>
      </c>
      <c r="M245" s="43">
        <v>0.6645833333333333</v>
      </c>
      <c r="N245" s="43">
        <f>1+20/24/60</f>
        <v>1.0138888888888888</v>
      </c>
      <c r="O245" s="43">
        <f>1+54/24/60</f>
        <v>1.0375000000000001</v>
      </c>
      <c r="P245" s="39"/>
      <c r="Q245" s="42"/>
      <c r="R245" s="29">
        <f>MIP_4[[#This Row],[PT-1]]+MIP_4[[#This Row],[PT-2]]*2+MIP_4[[#This Row],[PT-3]]*3+MIP_4[[#This Row],[PT &gt; 3 Pontos]]</f>
        <v>13</v>
      </c>
      <c r="S24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4.3055555555555736E-2</v>
      </c>
      <c r="T24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4.3055555555555736E-2</v>
      </c>
      <c r="U245" s="41">
        <f ca="1">MIP_4[[#This Row],[Eficiência]]</f>
        <v>0.97765380148526182</v>
      </c>
      <c r="V24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45" s="39">
        <f>IF(MIP_4[[#This Row],[P.S]]-MIP_4[[#This Row],[P.E]]&lt;0,1+MIP_4[[#This Row],[P.S]]-MIP_4[[#This Row],[P.E]]-1/24,MIP_4[[#This Row],[P.S]]-MIP_4[[#This Row],[P.E]]-1/24)</f>
        <v>0.35069444444444459</v>
      </c>
      <c r="X245" s="39">
        <f ca="1">MIP_4[[#This Row],[PT-1]]*$S$3+MIP_4[[#This Row],[PT-2]]*$T$3+MIP_4[[#This Row],[PT-3]]*$U$3+MIP_4[[#This Row],[PT &gt; 3 Pontos]]*$V$3</f>
        <v>0.30076432920692425</v>
      </c>
      <c r="Y245" s="39">
        <f>MIP_4[[#This Row],[HH disponível]]-MIP_4[[#This Row],[HH AC TOT]]</f>
        <v>0.30763888888888885</v>
      </c>
      <c r="Z245" s="38">
        <f ca="1">MIP_4[[#This Row],[HH Produtivo
Total]]/MIP_4[[#This Row],[HH Trabalhado]]</f>
        <v>0.97765380148526182</v>
      </c>
      <c r="AA245" s="38">
        <f ca="1">MIP_4[[#This Row],[HH Produtivo
Total]]/MIP_4[[#This Row],[HH disponível]]</f>
        <v>0.85762501793657575</v>
      </c>
      <c r="AB245" s="38">
        <f>MIP_4[[#This Row],[HH Trabalhado]]/MIP_4[[#This Row],[HH disponível]]</f>
        <v>0.87722772277227679</v>
      </c>
      <c r="AC245" s="37" t="str">
        <f>LEFT(MIP_4[[#This Row],[Equipe]], SEARCH("/",MIP_4[[#This Row],[Equipe]],1)-1)</f>
        <v xml:space="preserve">ADEMÁRIO </v>
      </c>
      <c r="AD245" s="37" t="str">
        <f>RIGHT(MIP_4[[#This Row],[Equipe]], LEN(MIP_4[[#This Row],[Equipe]])-SEARCH("/",MIP_4[[#This Row],[Equipe]],1))</f>
        <v xml:space="preserve"> RONALDO</v>
      </c>
      <c r="AE245" s="44">
        <f>COUNTIFS('[1]Tempo parado'!G:G,"&gt;="&amp;MIP_4[[#This Row],[S.B Sitrack]],'[1]Tempo parado'!H:H,"&lt;="&amp;MIP_4[[#This Row],[C.B Sitrack]],'[1]Tempo parado'!A:A,MIP_4[[#This Row],[Placa]])</f>
        <v>0</v>
      </c>
      <c r="AF245" s="36"/>
      <c r="AG245" s="35"/>
      <c r="AH245" s="34"/>
      <c r="AI245" s="34"/>
      <c r="AJ24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4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4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45" s="32" t="str">
        <f>IFERROR(MIP_4[[#This Row],[Tempo parado]]/(MIP_4[[#This Row],[C.B Sitrack]]-MIP_4[[#This Row],[S.B Sitrack]]),"")</f>
        <v/>
      </c>
      <c r="AN245" s="30"/>
      <c r="AO245" s="44">
        <f>IF(AND(MIP_4[Exc]=0,MIP_4[Previsto / Realizado]="Realizado"),MIP_4[Sem],0)</f>
        <v>29</v>
      </c>
      <c r="AP245" s="29">
        <f>IF(AND(MIP_4[Exc]=0,MIP_4[Previsto / Realizado]="Realizado",ISBLANK(MIP_4[[#This Row],[S.B Sitrack]])=FALSE,ISBLANK(MIP_4[[#This Row],[C.B Sitrack]])=FALSE),MIP_4[Sem],0)</f>
        <v>0</v>
      </c>
    </row>
    <row r="246" spans="1:42" ht="15.75" x14ac:dyDescent="0.25">
      <c r="A246" s="44">
        <f>WEEKNUM(MIP_4[[#This Row],[Data]])</f>
        <v>29</v>
      </c>
      <c r="B246" s="45">
        <v>42933</v>
      </c>
      <c r="C246" s="45"/>
      <c r="D246" s="35" t="s">
        <v>7</v>
      </c>
      <c r="E246" s="35" t="s">
        <v>5</v>
      </c>
      <c r="F246" s="35"/>
      <c r="G246" s="44">
        <v>2</v>
      </c>
      <c r="H246" s="44">
        <v>5</v>
      </c>
      <c r="I246" s="44">
        <v>2</v>
      </c>
      <c r="J246" s="44">
        <v>0</v>
      </c>
      <c r="K246" s="44">
        <v>0</v>
      </c>
      <c r="L246" s="43">
        <v>0.625</v>
      </c>
      <c r="M246" s="43">
        <v>0.64583333333333337</v>
      </c>
      <c r="N246" s="43">
        <f>1+18/24/60</f>
        <v>1.0125</v>
      </c>
      <c r="O246" s="43">
        <f>1+48/24/60</f>
        <v>1.0333333333333334</v>
      </c>
      <c r="P246" s="39"/>
      <c r="Q246" s="42" t="s">
        <v>381</v>
      </c>
      <c r="R246" s="29">
        <f>MIP_4[[#This Row],[PT-1]]+MIP_4[[#This Row],[PT-2]]*2+MIP_4[[#This Row],[PT-3]]*3+MIP_4[[#This Row],[PT &gt; 3 Pontos]]</f>
        <v>9</v>
      </c>
      <c r="S24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24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246" s="41">
        <f ca="1">MIP_4[[#This Row],[Eficiência]]</f>
        <v>0.65522091384863113</v>
      </c>
      <c r="V24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46" s="39">
        <f>IF(MIP_4[[#This Row],[P.S]]-MIP_4[[#This Row],[P.E]]&lt;0,1+MIP_4[[#This Row],[P.S]]-MIP_4[[#This Row],[P.E]]-1/24,MIP_4[[#This Row],[P.S]]-MIP_4[[#This Row],[P.E]]-1/24)</f>
        <v>0.36666666666666675</v>
      </c>
      <c r="X246" s="39">
        <f ca="1">MIP_4[[#This Row],[PT-1]]*$S$3+MIP_4[[#This Row],[PT-2]]*$T$3+MIP_4[[#This Row],[PT-3]]*$U$3+MIP_4[[#This Row],[PT &gt; 3 Pontos]]*$V$3</f>
        <v>0.21294679700080504</v>
      </c>
      <c r="Y246" s="39">
        <f>MIP_4[[#This Row],[HH disponível]]-MIP_4[[#This Row],[HH AC TOT]]</f>
        <v>0.3249999999999999</v>
      </c>
      <c r="Z246" s="38">
        <f ca="1">MIP_4[[#This Row],[HH Produtivo
Total]]/MIP_4[[#This Row],[HH Trabalhado]]</f>
        <v>0.65522091384863113</v>
      </c>
      <c r="AA246" s="38">
        <f ca="1">MIP_4[[#This Row],[HH Produtivo
Total]]/MIP_4[[#This Row],[HH disponível]]</f>
        <v>0.5807639918203773</v>
      </c>
      <c r="AB246" s="38">
        <f>MIP_4[[#This Row],[HH Trabalhado]]/MIP_4[[#This Row],[HH disponível]]</f>
        <v>0.88636363636363591</v>
      </c>
      <c r="AC246" s="37" t="str">
        <f>LEFT(MIP_4[[#This Row],[Equipe]], SEARCH("/",MIP_4[[#This Row],[Equipe]],1)-1)</f>
        <v xml:space="preserve">ANDERSON </v>
      </c>
      <c r="AD246" s="37" t="str">
        <f>RIGHT(MIP_4[[#This Row],[Equipe]], LEN(MIP_4[[#This Row],[Equipe]])-SEARCH("/",MIP_4[[#This Row],[Equipe]],1))</f>
        <v xml:space="preserve"> MARCO</v>
      </c>
      <c r="AE246" s="44">
        <f>COUNTIFS('[1]Tempo parado'!G:G,"&gt;="&amp;MIP_4[[#This Row],[S.B Sitrack]],'[1]Tempo parado'!H:H,"&lt;="&amp;MIP_4[[#This Row],[C.B Sitrack]],'[1]Tempo parado'!A:A,MIP_4[[#This Row],[Placa]])</f>
        <v>0</v>
      </c>
      <c r="AF246" s="36"/>
      <c r="AG246" s="35"/>
      <c r="AH246" s="34"/>
      <c r="AI246" s="34"/>
      <c r="AJ24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4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4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46" s="32" t="str">
        <f>IFERROR(MIP_4[[#This Row],[Tempo parado]]/(MIP_4[[#This Row],[C.B Sitrack]]-MIP_4[[#This Row],[S.B Sitrack]]),"")</f>
        <v/>
      </c>
      <c r="AN246" s="30"/>
      <c r="AO246" s="44">
        <f>IF(AND(MIP_4[Exc]=0,MIP_4[Previsto / Realizado]="Realizado"),MIP_4[Sem],0)</f>
        <v>0</v>
      </c>
      <c r="AP246" s="29">
        <f>IF(AND(MIP_4[Exc]=0,MIP_4[Previsto / Realizado]="Realizado",ISBLANK(MIP_4[[#This Row],[S.B Sitrack]])=FALSE,ISBLANK(MIP_4[[#This Row],[C.B Sitrack]])=FALSE),MIP_4[Sem],0)</f>
        <v>0</v>
      </c>
    </row>
    <row r="247" spans="1:42" ht="15.75" x14ac:dyDescent="0.25">
      <c r="A247" s="44">
        <f>WEEKNUM(MIP_4[[#This Row],[Data]])</f>
        <v>29</v>
      </c>
      <c r="B247" s="45">
        <v>42933</v>
      </c>
      <c r="C247" s="45"/>
      <c r="D247" s="35" t="s">
        <v>7</v>
      </c>
      <c r="E247" s="35" t="s">
        <v>2</v>
      </c>
      <c r="F247" s="35"/>
      <c r="G247" s="44">
        <v>2</v>
      </c>
      <c r="H247" s="44">
        <v>5</v>
      </c>
      <c r="I247" s="44">
        <v>0</v>
      </c>
      <c r="J247" s="44">
        <v>0</v>
      </c>
      <c r="K247" s="44">
        <v>0</v>
      </c>
      <c r="L247" s="43">
        <v>0.63055555555555554</v>
      </c>
      <c r="M247" s="43">
        <v>0.65972222222222221</v>
      </c>
      <c r="N247" s="43">
        <v>0.83819444444444446</v>
      </c>
      <c r="O247" s="43">
        <v>0.83819444444444446</v>
      </c>
      <c r="P247" s="39"/>
      <c r="Q247" s="42" t="s">
        <v>380</v>
      </c>
      <c r="R247" s="29">
        <f>MIP_4[[#This Row],[PT-1]]+MIP_4[[#This Row],[PT-2]]*2+MIP_4[[#This Row],[PT-3]]*3+MIP_4[[#This Row],[PT &gt; 3 Pontos]]</f>
        <v>5</v>
      </c>
      <c r="S24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2.9166666666666674E-2</v>
      </c>
      <c r="T24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2.9166666666666674E-2</v>
      </c>
      <c r="U247" s="41">
        <f ca="1">MIP_4[[#This Row],[Eficiência]]</f>
        <v>0.91465046347384582</v>
      </c>
      <c r="V24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47" s="39">
        <f>IF(MIP_4[[#This Row],[P.S]]-MIP_4[[#This Row],[P.E]]&lt;0,1+MIP_4[[#This Row],[P.S]]-MIP_4[[#This Row],[P.E]]-1/24,MIP_4[[#This Row],[P.S]]-MIP_4[[#This Row],[P.E]]-1/24)</f>
        <v>0.16597222222222227</v>
      </c>
      <c r="X247" s="39">
        <f ca="1">MIP_4[[#This Row],[PT-1]]*$S$3+MIP_4[[#This Row],[PT-2]]*$T$3+MIP_4[[#This Row],[PT-3]]*$U$3+MIP_4[[#This Row],[PT &gt; 3 Pontos]]*$V$3</f>
        <v>0.12512926479468589</v>
      </c>
      <c r="Y247" s="39">
        <f>MIP_4[[#This Row],[HH disponível]]-MIP_4[[#This Row],[HH AC TOT]]</f>
        <v>0.1368055555555556</v>
      </c>
      <c r="Z247" s="38">
        <f ca="1">MIP_4[[#This Row],[HH Produtivo
Total]]/MIP_4[[#This Row],[HH Trabalhado]]</f>
        <v>0.91465046347384582</v>
      </c>
      <c r="AA247" s="38">
        <f ca="1">MIP_4[[#This Row],[HH Produtivo
Total]]/MIP_4[[#This Row],[HH disponível]]</f>
        <v>0.75391690922321186</v>
      </c>
      <c r="AB247" s="38">
        <f>MIP_4[[#This Row],[HH Trabalhado]]/MIP_4[[#This Row],[HH disponível]]</f>
        <v>0.82426778242677823</v>
      </c>
      <c r="AC247" s="37" t="str">
        <f>LEFT(MIP_4[[#This Row],[Equipe]], SEARCH("/",MIP_4[[#This Row],[Equipe]],1)-1)</f>
        <v xml:space="preserve">ANDERSON </v>
      </c>
      <c r="AD247" s="37" t="str">
        <f>RIGHT(MIP_4[[#This Row],[Equipe]], LEN(MIP_4[[#This Row],[Equipe]])-SEARCH("/",MIP_4[[#This Row],[Equipe]],1))</f>
        <v xml:space="preserve"> MARCO</v>
      </c>
      <c r="AE247" s="44">
        <f>COUNTIFS('[1]Tempo parado'!G:G,"&gt;="&amp;MIP_4[[#This Row],[S.B Sitrack]],'[1]Tempo parado'!H:H,"&lt;="&amp;MIP_4[[#This Row],[C.B Sitrack]],'[1]Tempo parado'!A:A,MIP_4[[#This Row],[Placa]])</f>
        <v>0</v>
      </c>
      <c r="AF247" s="36"/>
      <c r="AG247" s="35"/>
      <c r="AH247" s="34"/>
      <c r="AI247" s="34"/>
      <c r="AJ24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4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4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47" s="32" t="str">
        <f>IFERROR(MIP_4[[#This Row],[Tempo parado]]/(MIP_4[[#This Row],[C.B Sitrack]]-MIP_4[[#This Row],[S.B Sitrack]]),"")</f>
        <v/>
      </c>
      <c r="AN247" s="30"/>
      <c r="AO247" s="44">
        <f>IF(AND(MIP_4[Exc]=0,MIP_4[Previsto / Realizado]="Realizado"),MIP_4[Sem],0)</f>
        <v>29</v>
      </c>
      <c r="AP247" s="29">
        <f>IF(AND(MIP_4[Exc]=0,MIP_4[Previsto / Realizado]="Realizado",ISBLANK(MIP_4[[#This Row],[S.B Sitrack]])=FALSE,ISBLANK(MIP_4[[#This Row],[C.B Sitrack]])=FALSE),MIP_4[Sem],0)</f>
        <v>0</v>
      </c>
    </row>
    <row r="248" spans="1:42" ht="15.75" x14ac:dyDescent="0.25">
      <c r="A248" s="44">
        <f>WEEKNUM(MIP_4[[#This Row],[Data]])</f>
        <v>29</v>
      </c>
      <c r="B248" s="45">
        <v>42934</v>
      </c>
      <c r="C248" s="45"/>
      <c r="D248" s="35" t="s">
        <v>10</v>
      </c>
      <c r="E248" s="35" t="s">
        <v>5</v>
      </c>
      <c r="F248" s="35"/>
      <c r="G248" s="44">
        <v>2</v>
      </c>
      <c r="H248" s="44">
        <v>8</v>
      </c>
      <c r="I248" s="44">
        <v>4</v>
      </c>
      <c r="J248" s="44">
        <v>0</v>
      </c>
      <c r="K248" s="44">
        <v>0</v>
      </c>
      <c r="L248" s="43">
        <v>0.25</v>
      </c>
      <c r="M248" s="43">
        <v>0.27083333333333331</v>
      </c>
      <c r="N248" s="43">
        <v>0.63750000000000007</v>
      </c>
      <c r="O248" s="43">
        <v>0.65833333333333333</v>
      </c>
      <c r="P248" s="39"/>
      <c r="Q248" s="42"/>
      <c r="R248" s="29">
        <f>MIP_4[[#This Row],[PT-1]]+MIP_4[[#This Row],[PT-2]]*2+MIP_4[[#This Row],[PT-3]]*3+MIP_4[[#This Row],[PT &gt; 3 Pontos]]</f>
        <v>16</v>
      </c>
      <c r="S24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24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248" s="41">
        <f ca="1">MIP_4[[#This Row],[Eficiência]]</f>
        <v>1.1564365787191866</v>
      </c>
      <c r="V24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48" s="39">
        <f>IF(MIP_4[[#This Row],[P.S]]-MIP_4[[#This Row],[P.E]]&lt;0,1+MIP_4[[#This Row],[P.S]]-MIP_4[[#This Row],[P.E]]-1/24,MIP_4[[#This Row],[P.S]]-MIP_4[[#This Row],[P.E]]-1/24)</f>
        <v>0.36666666666666664</v>
      </c>
      <c r="X248" s="39">
        <f ca="1">MIP_4[[#This Row],[PT-1]]*$S$3+MIP_4[[#This Row],[PT-2]]*$T$3+MIP_4[[#This Row],[PT-3]]*$U$3+MIP_4[[#This Row],[PT &gt; 3 Pontos]]*$V$3</f>
        <v>0.37584188808373575</v>
      </c>
      <c r="Y248" s="39">
        <f>MIP_4[[#This Row],[HH disponível]]-MIP_4[[#This Row],[HH AC TOT]]</f>
        <v>0.32500000000000007</v>
      </c>
      <c r="Z248" s="38">
        <f ca="1">MIP_4[[#This Row],[HH Produtivo
Total]]/MIP_4[[#This Row],[HH Trabalhado]]</f>
        <v>1.1564365787191866</v>
      </c>
      <c r="AA248" s="38">
        <f ca="1">MIP_4[[#This Row],[HH Produtivo
Total]]/MIP_4[[#This Row],[HH disponível]]</f>
        <v>1.0250233311374612</v>
      </c>
      <c r="AB248" s="38">
        <f>MIP_4[[#This Row],[HH Trabalhado]]/MIP_4[[#This Row],[HH disponível]]</f>
        <v>0.88636363636363658</v>
      </c>
      <c r="AC248" s="37" t="str">
        <f>LEFT(MIP_4[[#This Row],[Equipe]], SEARCH("/",MIP_4[[#This Row],[Equipe]],1)-1)</f>
        <v xml:space="preserve">JOILSON </v>
      </c>
      <c r="AD248" s="37" t="str">
        <f>RIGHT(MIP_4[[#This Row],[Equipe]], LEN(MIP_4[[#This Row],[Equipe]])-SEARCH("/",MIP_4[[#This Row],[Equipe]],1))</f>
        <v xml:space="preserve"> VALDEI</v>
      </c>
      <c r="AE248" s="44">
        <f>COUNTIFS('[1]Tempo parado'!G:G,"&gt;="&amp;MIP_4[[#This Row],[S.B Sitrack]],'[1]Tempo parado'!H:H,"&lt;="&amp;MIP_4[[#This Row],[C.B Sitrack]],'[1]Tempo parado'!A:A,MIP_4[[#This Row],[Placa]])</f>
        <v>0</v>
      </c>
      <c r="AF248" s="36"/>
      <c r="AG248" s="35"/>
      <c r="AH248" s="34"/>
      <c r="AI248" s="34"/>
      <c r="AJ24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4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4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48" s="32" t="str">
        <f>IFERROR(MIP_4[[#This Row],[Tempo parado]]/(MIP_4[[#This Row],[C.B Sitrack]]-MIP_4[[#This Row],[S.B Sitrack]]),"")</f>
        <v/>
      </c>
      <c r="AN248" s="30"/>
      <c r="AO248" s="44">
        <f>IF(AND(MIP_4[Exc]=0,MIP_4[Previsto / Realizado]="Realizado"),MIP_4[Sem],0)</f>
        <v>0</v>
      </c>
      <c r="AP248" s="29">
        <f>IF(AND(MIP_4[Exc]=0,MIP_4[Previsto / Realizado]="Realizado",ISBLANK(MIP_4[[#This Row],[S.B Sitrack]])=FALSE,ISBLANK(MIP_4[[#This Row],[C.B Sitrack]])=FALSE),MIP_4[Sem],0)</f>
        <v>0</v>
      </c>
    </row>
    <row r="249" spans="1:42" ht="15.75" x14ac:dyDescent="0.25">
      <c r="A249" s="44">
        <f>WEEKNUM(MIP_4[[#This Row],[Data]])</f>
        <v>29</v>
      </c>
      <c r="B249" s="45">
        <v>42934</v>
      </c>
      <c r="C249" s="45"/>
      <c r="D249" s="35" t="s">
        <v>10</v>
      </c>
      <c r="E249" s="35" t="s">
        <v>2</v>
      </c>
      <c r="F249" s="35"/>
      <c r="G249" s="44">
        <v>2</v>
      </c>
      <c r="H249" s="44">
        <v>7</v>
      </c>
      <c r="I249" s="44">
        <v>2</v>
      </c>
      <c r="J249" s="44">
        <v>0</v>
      </c>
      <c r="K249" s="44">
        <v>0</v>
      </c>
      <c r="L249" s="43">
        <v>0.25138888888888888</v>
      </c>
      <c r="M249" s="43">
        <v>0.28472222222222221</v>
      </c>
      <c r="N249" s="43">
        <v>0.63194444444444442</v>
      </c>
      <c r="O249" s="43">
        <v>0.65833333333333333</v>
      </c>
      <c r="P249" s="39"/>
      <c r="Q249" s="42"/>
      <c r="R249" s="29">
        <f>MIP_4[[#This Row],[PT-1]]+MIP_4[[#This Row],[PT-2]]*2+MIP_4[[#This Row],[PT-3]]*3+MIP_4[[#This Row],[PT &gt; 3 Pontos]]</f>
        <v>11</v>
      </c>
      <c r="S24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5.9722222222222232E-2</v>
      </c>
      <c r="T24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5.9722222222222232E-2</v>
      </c>
      <c r="U249" s="41">
        <f ca="1">MIP_4[[#This Row],[Eficiência]]</f>
        <v>0.8607223731884055</v>
      </c>
      <c r="V24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49" s="39">
        <f>IF(MIP_4[[#This Row],[P.S]]-MIP_4[[#This Row],[P.E]]&lt;0,1+MIP_4[[#This Row],[P.S]]-MIP_4[[#This Row],[P.E]]-1/24,MIP_4[[#This Row],[P.S]]-MIP_4[[#This Row],[P.E]]-1/24)</f>
        <v>0.36527777777777776</v>
      </c>
      <c r="X249" s="39">
        <f ca="1">MIP_4[[#This Row],[PT-1]]*$S$3+MIP_4[[#This Row],[PT-2]]*$T$3+MIP_4[[#This Row],[PT-3]]*$U$3+MIP_4[[#This Row],[PT &gt; 3 Pontos]]*$V$3</f>
        <v>0.26299850291867943</v>
      </c>
      <c r="Y249" s="39">
        <f>MIP_4[[#This Row],[HH disponível]]-MIP_4[[#This Row],[HH AC TOT]]</f>
        <v>0.30555555555555552</v>
      </c>
      <c r="Z249" s="38">
        <f ca="1">MIP_4[[#This Row],[HH Produtivo
Total]]/MIP_4[[#This Row],[HH Trabalhado]]</f>
        <v>0.8607223731884055</v>
      </c>
      <c r="AA249" s="38">
        <f ca="1">MIP_4[[#This Row],[HH Produtivo
Total]]/MIP_4[[#This Row],[HH disponível]]</f>
        <v>0.71999590152642279</v>
      </c>
      <c r="AB249" s="38">
        <f>MIP_4[[#This Row],[HH Trabalhado]]/MIP_4[[#This Row],[HH disponível]]</f>
        <v>0.83650190114068435</v>
      </c>
      <c r="AC249" s="37" t="str">
        <f>LEFT(MIP_4[[#This Row],[Equipe]], SEARCH("/",MIP_4[[#This Row],[Equipe]],1)-1)</f>
        <v xml:space="preserve">JOILSON </v>
      </c>
      <c r="AD249" s="37" t="str">
        <f>RIGHT(MIP_4[[#This Row],[Equipe]], LEN(MIP_4[[#This Row],[Equipe]])-SEARCH("/",MIP_4[[#This Row],[Equipe]],1))</f>
        <v xml:space="preserve"> VALDEI</v>
      </c>
      <c r="AE249" s="44">
        <f>COUNTIFS('[1]Tempo parado'!G:G,"&gt;="&amp;MIP_4[[#This Row],[S.B Sitrack]],'[1]Tempo parado'!H:H,"&lt;="&amp;MIP_4[[#This Row],[C.B Sitrack]],'[1]Tempo parado'!A:A,MIP_4[[#This Row],[Placa]])</f>
        <v>0</v>
      </c>
      <c r="AF249" s="36"/>
      <c r="AG249" s="35"/>
      <c r="AH249" s="34"/>
      <c r="AI249" s="34"/>
      <c r="AJ24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4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4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49" s="32" t="str">
        <f>IFERROR(MIP_4[[#This Row],[Tempo parado]]/(MIP_4[[#This Row],[C.B Sitrack]]-MIP_4[[#This Row],[S.B Sitrack]]),"")</f>
        <v/>
      </c>
      <c r="AN249" s="30"/>
      <c r="AO249" s="44">
        <f>IF(AND(MIP_4[Exc]=0,MIP_4[Previsto / Realizado]="Realizado"),MIP_4[Sem],0)</f>
        <v>29</v>
      </c>
      <c r="AP249" s="29">
        <f>IF(AND(MIP_4[Exc]=0,MIP_4[Previsto / Realizado]="Realizado",ISBLANK(MIP_4[[#This Row],[S.B Sitrack]])=FALSE,ISBLANK(MIP_4[[#This Row],[C.B Sitrack]])=FALSE),MIP_4[Sem],0)</f>
        <v>0</v>
      </c>
    </row>
    <row r="250" spans="1:42" ht="15.75" x14ac:dyDescent="0.25">
      <c r="A250" s="44">
        <f>WEEKNUM(MIP_4[[#This Row],[Data]])</f>
        <v>29</v>
      </c>
      <c r="B250" s="45">
        <v>42934</v>
      </c>
      <c r="C250" s="45"/>
      <c r="D250" s="35" t="s">
        <v>3</v>
      </c>
      <c r="E250" s="35" t="s">
        <v>5</v>
      </c>
      <c r="F250" s="35"/>
      <c r="G250" s="44">
        <v>2</v>
      </c>
      <c r="H250" s="44">
        <v>3</v>
      </c>
      <c r="I250" s="44">
        <v>3</v>
      </c>
      <c r="J250" s="44">
        <v>0</v>
      </c>
      <c r="K250" s="44">
        <v>6</v>
      </c>
      <c r="L250" s="43">
        <v>0.625</v>
      </c>
      <c r="M250" s="43">
        <v>0.64583333333333337</v>
      </c>
      <c r="N250" s="43">
        <f>1+18/24/60</f>
        <v>1.0125</v>
      </c>
      <c r="O250" s="43">
        <f>1+48/24/60</f>
        <v>1.0333333333333334</v>
      </c>
      <c r="P250" s="39"/>
      <c r="Q250" s="42"/>
      <c r="R250" s="29">
        <f>MIP_4[[#This Row],[PT-1]]+MIP_4[[#This Row],[PT-2]]*2+MIP_4[[#This Row],[PT-3]]*3+MIP_4[[#This Row],[PT &gt; 3 Pontos]]</f>
        <v>15</v>
      </c>
      <c r="S25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25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250" s="41">
        <f ca="1">MIP_4[[#This Row],[Eficiência]]</f>
        <v>1.010128992216855</v>
      </c>
      <c r="V25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50" s="39">
        <f>IF(MIP_4[[#This Row],[P.S]]-MIP_4[[#This Row],[P.E]]&lt;0,1+MIP_4[[#This Row],[P.S]]-MIP_4[[#This Row],[P.E]]-1/24,MIP_4[[#This Row],[P.S]]-MIP_4[[#This Row],[P.E]]-1/24)</f>
        <v>0.36666666666666675</v>
      </c>
      <c r="X250" s="39">
        <f ca="1">MIP_4[[#This Row],[PT-1]]*$S$3+MIP_4[[#This Row],[PT-2]]*$T$3+MIP_4[[#This Row],[PT-3]]*$U$3+MIP_4[[#This Row],[PT &gt; 3 Pontos]]*$V$3</f>
        <v>0.32829192247047778</v>
      </c>
      <c r="Y250" s="39">
        <f>MIP_4[[#This Row],[HH disponível]]-MIP_4[[#This Row],[HH AC TOT]]</f>
        <v>0.3249999999999999</v>
      </c>
      <c r="Z250" s="38">
        <f ca="1">MIP_4[[#This Row],[HH Produtivo
Total]]/MIP_4[[#This Row],[HH Trabalhado]]</f>
        <v>1.010128992216855</v>
      </c>
      <c r="AA250" s="38">
        <f ca="1">MIP_4[[#This Row],[HH Produtivo
Total]]/MIP_4[[#This Row],[HH disponível]]</f>
        <v>0.8953416067376665</v>
      </c>
      <c r="AB250" s="38">
        <f>MIP_4[[#This Row],[HH Trabalhado]]/MIP_4[[#This Row],[HH disponível]]</f>
        <v>0.88636363636363591</v>
      </c>
      <c r="AC250" s="37" t="str">
        <f>LEFT(MIP_4[[#This Row],[Equipe]], SEARCH("/",MIP_4[[#This Row],[Equipe]],1)-1)</f>
        <v xml:space="preserve">EDILTON </v>
      </c>
      <c r="AD250" s="37" t="str">
        <f>RIGHT(MIP_4[[#This Row],[Equipe]], LEN(MIP_4[[#This Row],[Equipe]])-SEARCH("/",MIP_4[[#This Row],[Equipe]],1))</f>
        <v xml:space="preserve"> GECIVALDO</v>
      </c>
      <c r="AE250" s="44">
        <f>COUNTIFS('[1]Tempo parado'!G:G,"&gt;="&amp;MIP_4[[#This Row],[S.B Sitrack]],'[1]Tempo parado'!H:H,"&lt;="&amp;MIP_4[[#This Row],[C.B Sitrack]],'[1]Tempo parado'!A:A,MIP_4[[#This Row],[Placa]])</f>
        <v>0</v>
      </c>
      <c r="AF250" s="36"/>
      <c r="AG250" s="35"/>
      <c r="AH250" s="34"/>
      <c r="AI250" s="34"/>
      <c r="AJ25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5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5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50" s="32" t="str">
        <f>IFERROR(MIP_4[[#This Row],[Tempo parado]]/(MIP_4[[#This Row],[C.B Sitrack]]-MIP_4[[#This Row],[S.B Sitrack]]),"")</f>
        <v/>
      </c>
      <c r="AN250" s="30"/>
      <c r="AO250" s="44">
        <f>IF(AND(MIP_4[Exc]=0,MIP_4[Previsto / Realizado]="Realizado"),MIP_4[Sem],0)</f>
        <v>0</v>
      </c>
      <c r="AP250" s="29">
        <f>IF(AND(MIP_4[Exc]=0,MIP_4[Previsto / Realizado]="Realizado",ISBLANK(MIP_4[[#This Row],[S.B Sitrack]])=FALSE,ISBLANK(MIP_4[[#This Row],[C.B Sitrack]])=FALSE),MIP_4[Sem],0)</f>
        <v>0</v>
      </c>
    </row>
    <row r="251" spans="1:42" ht="15.75" x14ac:dyDescent="0.25">
      <c r="A251" s="44">
        <f>WEEKNUM(MIP_4[[#This Row],[Data]])</f>
        <v>29</v>
      </c>
      <c r="B251" s="45">
        <v>42934</v>
      </c>
      <c r="C251" s="45"/>
      <c r="D251" s="35" t="s">
        <v>3</v>
      </c>
      <c r="E251" s="35" t="s">
        <v>2</v>
      </c>
      <c r="F251" s="35"/>
      <c r="G251" s="44">
        <v>2</v>
      </c>
      <c r="H251" s="44">
        <v>3</v>
      </c>
      <c r="I251" s="44">
        <v>0</v>
      </c>
      <c r="J251" s="44">
        <v>0</v>
      </c>
      <c r="K251" s="44">
        <v>6</v>
      </c>
      <c r="L251" s="43">
        <v>0.625</v>
      </c>
      <c r="M251" s="43">
        <v>0.66666666666666663</v>
      </c>
      <c r="N251" s="43">
        <f>1+43/24/60</f>
        <v>1.0298611111111111</v>
      </c>
      <c r="O251" s="43">
        <f>1+52/24/60</f>
        <v>1.0361111111111112</v>
      </c>
      <c r="P251" s="39"/>
      <c r="Q251" s="42" t="s">
        <v>378</v>
      </c>
      <c r="R251" s="29">
        <f>MIP_4[[#This Row],[PT-1]]+MIP_4[[#This Row],[PT-2]]*2+MIP_4[[#This Row],[PT-3]]*3+MIP_4[[#This Row],[PT &gt; 3 Pontos]]</f>
        <v>9</v>
      </c>
      <c r="S25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4.7916666666666718E-2</v>
      </c>
      <c r="T25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4.7916666666666718E-2</v>
      </c>
      <c r="U251" s="41">
        <f ca="1">MIP_4[[#This Row],[Eficiência]]</f>
        <v>0.61134880948654546</v>
      </c>
      <c r="V25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51" s="39">
        <f>IF(MIP_4[[#This Row],[P.S]]-MIP_4[[#This Row],[P.E]]&lt;0,1+MIP_4[[#This Row],[P.S]]-MIP_4[[#This Row],[P.E]]-1/24,MIP_4[[#This Row],[P.S]]-MIP_4[[#This Row],[P.E]]-1/24)</f>
        <v>0.36944444444444452</v>
      </c>
      <c r="X251" s="39">
        <f ca="1">MIP_4[[#This Row],[PT-1]]*$S$3+MIP_4[[#This Row],[PT-2]]*$T$3+MIP_4[[#This Row],[PT-3]]*$U$3+MIP_4[[#This Row],[PT &gt; 3 Pontos]]*$V$3</f>
        <v>0.196565624161299</v>
      </c>
      <c r="Y251" s="39">
        <f>MIP_4[[#This Row],[HH disponível]]-MIP_4[[#This Row],[HH AC TOT]]</f>
        <v>0.3215277777777778</v>
      </c>
      <c r="Z251" s="38">
        <f ca="1">MIP_4[[#This Row],[HH Produtivo
Total]]/MIP_4[[#This Row],[HH Trabalhado]]</f>
        <v>0.61134880948654546</v>
      </c>
      <c r="AA251" s="38">
        <f ca="1">MIP_4[[#This Row],[HH Produtivo
Total]]/MIP_4[[#This Row],[HH disponível]]</f>
        <v>0.53205732855689947</v>
      </c>
      <c r="AB251" s="38">
        <f>MIP_4[[#This Row],[HH Trabalhado]]/MIP_4[[#This Row],[HH disponível]]</f>
        <v>0.87030075187969913</v>
      </c>
      <c r="AC251" s="37" t="str">
        <f>LEFT(MIP_4[[#This Row],[Equipe]], SEARCH("/",MIP_4[[#This Row],[Equipe]],1)-1)</f>
        <v xml:space="preserve">EDILTON </v>
      </c>
      <c r="AD251" s="37" t="str">
        <f>RIGHT(MIP_4[[#This Row],[Equipe]], LEN(MIP_4[[#This Row],[Equipe]])-SEARCH("/",MIP_4[[#This Row],[Equipe]],1))</f>
        <v xml:space="preserve"> GECIVALDO</v>
      </c>
      <c r="AE251" s="44">
        <f>COUNTIFS('[1]Tempo parado'!G:G,"&gt;="&amp;MIP_4[[#This Row],[S.B Sitrack]],'[1]Tempo parado'!H:H,"&lt;="&amp;MIP_4[[#This Row],[C.B Sitrack]],'[1]Tempo parado'!A:A,MIP_4[[#This Row],[Placa]])</f>
        <v>0</v>
      </c>
      <c r="AF251" s="36"/>
      <c r="AG251" s="35"/>
      <c r="AH251" s="34"/>
      <c r="AI251" s="34"/>
      <c r="AJ25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5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5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51" s="32" t="str">
        <f>IFERROR(MIP_4[[#This Row],[Tempo parado]]/(MIP_4[[#This Row],[C.B Sitrack]]-MIP_4[[#This Row],[S.B Sitrack]]),"")</f>
        <v/>
      </c>
      <c r="AN251" s="30"/>
      <c r="AO251" s="44">
        <f>IF(AND(MIP_4[Exc]=0,MIP_4[Previsto / Realizado]="Realizado"),MIP_4[Sem],0)</f>
        <v>29</v>
      </c>
      <c r="AP251" s="29">
        <f>IF(AND(MIP_4[Exc]=0,MIP_4[Previsto / Realizado]="Realizado",ISBLANK(MIP_4[[#This Row],[S.B Sitrack]])=FALSE,ISBLANK(MIP_4[[#This Row],[C.B Sitrack]])=FALSE),MIP_4[Sem],0)</f>
        <v>0</v>
      </c>
    </row>
    <row r="252" spans="1:42" ht="15.75" x14ac:dyDescent="0.25">
      <c r="A252" s="44">
        <f>WEEKNUM(MIP_4[[#This Row],[Data]])</f>
        <v>29</v>
      </c>
      <c r="B252" s="45">
        <v>42934</v>
      </c>
      <c r="C252" s="45"/>
      <c r="D252" s="35" t="s">
        <v>19</v>
      </c>
      <c r="E252" s="35" t="s">
        <v>5</v>
      </c>
      <c r="F252" s="35"/>
      <c r="G252" s="44">
        <v>2</v>
      </c>
      <c r="H252" s="44">
        <v>2</v>
      </c>
      <c r="I252" s="44">
        <v>1</v>
      </c>
      <c r="J252" s="44">
        <v>1</v>
      </c>
      <c r="K252" s="44">
        <v>0</v>
      </c>
      <c r="L252" s="43">
        <v>0.625</v>
      </c>
      <c r="M252" s="43">
        <v>0.64583333333333337</v>
      </c>
      <c r="N252" s="43">
        <f>1+18/24/60</f>
        <v>1.0125</v>
      </c>
      <c r="O252" s="43">
        <f>1+48/24/60</f>
        <v>1.0333333333333334</v>
      </c>
      <c r="P252" s="39"/>
      <c r="Q252" s="42" t="s">
        <v>379</v>
      </c>
      <c r="R252" s="29">
        <f>MIP_4[[#This Row],[PT-1]]+MIP_4[[#This Row],[PT-2]]*2+MIP_4[[#This Row],[PT-3]]*3+MIP_4[[#This Row],[PT &gt; 3 Pontos]]</f>
        <v>7</v>
      </c>
      <c r="S25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25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252" s="41">
        <f ca="1">MIP_4[[#This Row],[Eficiência]]</f>
        <v>0.48231431159420302</v>
      </c>
      <c r="V25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52" s="39">
        <f>IF(MIP_4[[#This Row],[P.S]]-MIP_4[[#This Row],[P.E]]&lt;0,1+MIP_4[[#This Row],[P.S]]-MIP_4[[#This Row],[P.E]]-1/24,MIP_4[[#This Row],[P.S]]-MIP_4[[#This Row],[P.E]]-1/24)</f>
        <v>0.36666666666666675</v>
      </c>
      <c r="X252" s="39">
        <f ca="1">MIP_4[[#This Row],[PT-1]]*$S$3+MIP_4[[#This Row],[PT-2]]*$T$3+MIP_4[[#This Row],[PT-3]]*$U$3+MIP_4[[#This Row],[PT &gt; 3 Pontos]]*$V$3</f>
        <v>0.15675215126811592</v>
      </c>
      <c r="Y252" s="39">
        <f>MIP_4[[#This Row],[HH disponível]]-MIP_4[[#This Row],[HH AC TOT]]</f>
        <v>0.3249999999999999</v>
      </c>
      <c r="Z252" s="38">
        <f ca="1">MIP_4[[#This Row],[HH Produtivo
Total]]/MIP_4[[#This Row],[HH Trabalhado]]</f>
        <v>0.48231431159420302</v>
      </c>
      <c r="AA252" s="38">
        <f ca="1">MIP_4[[#This Row],[HH Produtivo
Total]]/MIP_4[[#This Row],[HH disponível]]</f>
        <v>0.42750586709486149</v>
      </c>
      <c r="AB252" s="38">
        <f>MIP_4[[#This Row],[HH Trabalhado]]/MIP_4[[#This Row],[HH disponível]]</f>
        <v>0.88636363636363591</v>
      </c>
      <c r="AC252" s="37" t="str">
        <f>LEFT(MIP_4[[#This Row],[Equipe]], SEARCH("/",MIP_4[[#This Row],[Equipe]],1)-1)</f>
        <v xml:space="preserve">ADEMÁRIO </v>
      </c>
      <c r="AD252" s="37" t="str">
        <f>RIGHT(MIP_4[[#This Row],[Equipe]], LEN(MIP_4[[#This Row],[Equipe]])-SEARCH("/",MIP_4[[#This Row],[Equipe]],1))</f>
        <v xml:space="preserve"> RONALDO</v>
      </c>
      <c r="AE252" s="44">
        <f>COUNTIFS('[1]Tempo parado'!G:G,"&gt;="&amp;MIP_4[[#This Row],[S.B Sitrack]],'[1]Tempo parado'!H:H,"&lt;="&amp;MIP_4[[#This Row],[C.B Sitrack]],'[1]Tempo parado'!A:A,MIP_4[[#This Row],[Placa]])</f>
        <v>0</v>
      </c>
      <c r="AF252" s="36"/>
      <c r="AG252" s="35"/>
      <c r="AH252" s="34"/>
      <c r="AI252" s="34"/>
      <c r="AJ25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5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5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52" s="32" t="str">
        <f>IFERROR(MIP_4[[#This Row],[Tempo parado]]/(MIP_4[[#This Row],[C.B Sitrack]]-MIP_4[[#This Row],[S.B Sitrack]]),"")</f>
        <v/>
      </c>
      <c r="AN252" s="30"/>
      <c r="AO252" s="44">
        <f>IF(AND(MIP_4[Exc]=0,MIP_4[Previsto / Realizado]="Realizado"),MIP_4[Sem],0)</f>
        <v>0</v>
      </c>
      <c r="AP252" s="29">
        <f>IF(AND(MIP_4[Exc]=0,MIP_4[Previsto / Realizado]="Realizado",ISBLANK(MIP_4[[#This Row],[S.B Sitrack]])=FALSE,ISBLANK(MIP_4[[#This Row],[C.B Sitrack]])=FALSE),MIP_4[Sem],0)</f>
        <v>0</v>
      </c>
    </row>
    <row r="253" spans="1:42" ht="15.75" x14ac:dyDescent="0.25">
      <c r="A253" s="44">
        <f>WEEKNUM(MIP_4[[#This Row],[Data]])</f>
        <v>29</v>
      </c>
      <c r="B253" s="45">
        <v>42934</v>
      </c>
      <c r="C253" s="45"/>
      <c r="D253" s="35" t="s">
        <v>19</v>
      </c>
      <c r="E253" s="35" t="s">
        <v>2</v>
      </c>
      <c r="F253" s="35"/>
      <c r="G253" s="44">
        <v>2</v>
      </c>
      <c r="H253" s="44">
        <v>2</v>
      </c>
      <c r="I253" s="44">
        <v>2</v>
      </c>
      <c r="J253" s="44">
        <v>1</v>
      </c>
      <c r="K253" s="44">
        <v>0</v>
      </c>
      <c r="L253" s="43">
        <v>0.64583333333333337</v>
      </c>
      <c r="M253" s="43">
        <v>0.67013888888888884</v>
      </c>
      <c r="N253" s="43">
        <f>1+43/24/60</f>
        <v>1.0298611111111111</v>
      </c>
      <c r="O253" s="43">
        <f>1+55/24/60</f>
        <v>1.0381944444444444</v>
      </c>
      <c r="P253" s="39"/>
      <c r="Q253" s="42" t="s">
        <v>378</v>
      </c>
      <c r="R253" s="29">
        <f>MIP_4[[#This Row],[PT-1]]+MIP_4[[#This Row],[PT-2]]*2+MIP_4[[#This Row],[PT-3]]*3+MIP_4[[#This Row],[PT &gt; 3 Pontos]]</f>
        <v>9</v>
      </c>
      <c r="S25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3.2638888888888773E-2</v>
      </c>
      <c r="T25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3.2638888888888773E-2</v>
      </c>
      <c r="U253" s="41">
        <f ca="1">MIP_4[[#This Row],[Eficiência]]</f>
        <v>0.6308989541801151</v>
      </c>
      <c r="V25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53" s="39">
        <f>IF(MIP_4[[#This Row],[P.S]]-MIP_4[[#This Row],[P.E]]&lt;0,1+MIP_4[[#This Row],[P.S]]-MIP_4[[#This Row],[P.E]]-1/24,MIP_4[[#This Row],[P.S]]-MIP_4[[#This Row],[P.E]]-1/24)</f>
        <v>0.35069444444444436</v>
      </c>
      <c r="X253" s="39">
        <f ca="1">MIP_4[[#This Row],[PT-1]]*$S$3+MIP_4[[#This Row],[PT-2]]*$T$3+MIP_4[[#This Row],[PT-3]]*$U$3+MIP_4[[#This Row],[PT &gt; 3 Pontos]]*$V$3</f>
        <v>0.20066091737117553</v>
      </c>
      <c r="Y253" s="39">
        <f>MIP_4[[#This Row],[HH disponível]]-MIP_4[[#This Row],[HH AC TOT]]</f>
        <v>0.31805555555555559</v>
      </c>
      <c r="Z253" s="38">
        <f ca="1">MIP_4[[#This Row],[HH Produtivo
Total]]/MIP_4[[#This Row],[HH Trabalhado]]</f>
        <v>0.6308989541801151</v>
      </c>
      <c r="AA253" s="38">
        <f ca="1">MIP_4[[#This Row],[HH Produtivo
Total]]/MIP_4[[#This Row],[HH disponível]]</f>
        <v>0.57218162577127296</v>
      </c>
      <c r="AB253" s="38">
        <f>MIP_4[[#This Row],[HH Trabalhado]]/MIP_4[[#This Row],[HH disponível]]</f>
        <v>0.90693069306930729</v>
      </c>
      <c r="AC253" s="37" t="str">
        <f>LEFT(MIP_4[[#This Row],[Equipe]], SEARCH("/",MIP_4[[#This Row],[Equipe]],1)-1)</f>
        <v xml:space="preserve">ADEMÁRIO </v>
      </c>
      <c r="AD253" s="37" t="str">
        <f>RIGHT(MIP_4[[#This Row],[Equipe]], LEN(MIP_4[[#This Row],[Equipe]])-SEARCH("/",MIP_4[[#This Row],[Equipe]],1))</f>
        <v xml:space="preserve"> RONALDO</v>
      </c>
      <c r="AE253" s="44">
        <f>COUNTIFS('[1]Tempo parado'!G:G,"&gt;="&amp;MIP_4[[#This Row],[S.B Sitrack]],'[1]Tempo parado'!H:H,"&lt;="&amp;MIP_4[[#This Row],[C.B Sitrack]],'[1]Tempo parado'!A:A,MIP_4[[#This Row],[Placa]])</f>
        <v>0</v>
      </c>
      <c r="AF253" s="36"/>
      <c r="AG253" s="35"/>
      <c r="AH253" s="34"/>
      <c r="AI253" s="34"/>
      <c r="AJ25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5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5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53" s="32" t="str">
        <f>IFERROR(MIP_4[[#This Row],[Tempo parado]]/(MIP_4[[#This Row],[C.B Sitrack]]-MIP_4[[#This Row],[S.B Sitrack]]),"")</f>
        <v/>
      </c>
      <c r="AN253" s="30"/>
      <c r="AO253" s="44">
        <f>IF(AND(MIP_4[Exc]=0,MIP_4[Previsto / Realizado]="Realizado"),MIP_4[Sem],0)</f>
        <v>29</v>
      </c>
      <c r="AP253" s="29">
        <f>IF(AND(MIP_4[Exc]=0,MIP_4[Previsto / Realizado]="Realizado",ISBLANK(MIP_4[[#This Row],[S.B Sitrack]])=FALSE,ISBLANK(MIP_4[[#This Row],[C.B Sitrack]])=FALSE),MIP_4[Sem],0)</f>
        <v>0</v>
      </c>
    </row>
    <row r="254" spans="1:42" ht="15.75" x14ac:dyDescent="0.25">
      <c r="A254" s="44">
        <f>WEEKNUM(MIP_4[[#This Row],[Data]])</f>
        <v>29</v>
      </c>
      <c r="B254" s="45">
        <v>42935</v>
      </c>
      <c r="C254" s="45"/>
      <c r="D254" s="35" t="s">
        <v>3</v>
      </c>
      <c r="E254" s="35" t="s">
        <v>5</v>
      </c>
      <c r="F254" s="35"/>
      <c r="G254" s="44">
        <v>2</v>
      </c>
      <c r="H254" s="44">
        <v>7</v>
      </c>
      <c r="I254" s="44">
        <v>1</v>
      </c>
      <c r="J254" s="44">
        <v>1</v>
      </c>
      <c r="K254" s="44">
        <v>0</v>
      </c>
      <c r="L254" s="43">
        <v>0.625</v>
      </c>
      <c r="M254" s="43">
        <v>0.64583333333333337</v>
      </c>
      <c r="N254" s="43">
        <f>1+18/24/60</f>
        <v>1.0125</v>
      </c>
      <c r="O254" s="43">
        <f>1+48/24/60</f>
        <v>1.0333333333333334</v>
      </c>
      <c r="P254" s="39"/>
      <c r="Q254" s="42" t="s">
        <v>377</v>
      </c>
      <c r="R254" s="29">
        <f>MIP_4[[#This Row],[PT-1]]+MIP_4[[#This Row],[PT-2]]*2+MIP_4[[#This Row],[PT-3]]*3+MIP_4[[#This Row],[PT &gt; 3 Pontos]]</f>
        <v>12</v>
      </c>
      <c r="S25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25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254" s="41">
        <f ca="1">MIP_4[[#This Row],[Eficiência]]</f>
        <v>0.8673274340393905</v>
      </c>
      <c r="V25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54" s="39">
        <f>IF(MIP_4[[#This Row],[P.S]]-MIP_4[[#This Row],[P.E]]&lt;0,1+MIP_4[[#This Row],[P.S]]-MIP_4[[#This Row],[P.E]]-1/24,MIP_4[[#This Row],[P.S]]-MIP_4[[#This Row],[P.E]]-1/24)</f>
        <v>0.36666666666666675</v>
      </c>
      <c r="X254" s="39">
        <f ca="1">MIP_4[[#This Row],[PT-1]]*$S$3+MIP_4[[#This Row],[PT-2]]*$T$3+MIP_4[[#This Row],[PT-3]]*$U$3+MIP_4[[#This Row],[PT &gt; 3 Pontos]]*$V$3</f>
        <v>0.28188141606280182</v>
      </c>
      <c r="Y254" s="39">
        <f>MIP_4[[#This Row],[HH disponível]]-MIP_4[[#This Row],[HH AC TOT]]</f>
        <v>0.3249999999999999</v>
      </c>
      <c r="Z254" s="38">
        <f ca="1">MIP_4[[#This Row],[HH Produtivo
Total]]/MIP_4[[#This Row],[HH Trabalhado]]</f>
        <v>0.8673274340393905</v>
      </c>
      <c r="AA254" s="38">
        <f ca="1">MIP_4[[#This Row],[HH Produtivo
Total]]/MIP_4[[#This Row],[HH disponível]]</f>
        <v>0.76876749835309566</v>
      </c>
      <c r="AB254" s="38">
        <f>MIP_4[[#This Row],[HH Trabalhado]]/MIP_4[[#This Row],[HH disponível]]</f>
        <v>0.88636363636363591</v>
      </c>
      <c r="AC254" s="37" t="str">
        <f>LEFT(MIP_4[[#This Row],[Equipe]], SEARCH("/",MIP_4[[#This Row],[Equipe]],1)-1)</f>
        <v xml:space="preserve">EDILTON </v>
      </c>
      <c r="AD254" s="37" t="str">
        <f>RIGHT(MIP_4[[#This Row],[Equipe]], LEN(MIP_4[[#This Row],[Equipe]])-SEARCH("/",MIP_4[[#This Row],[Equipe]],1))</f>
        <v xml:space="preserve"> GECIVALDO</v>
      </c>
      <c r="AE254" s="44">
        <f>COUNTIFS('[1]Tempo parado'!G:G,"&gt;="&amp;MIP_4[[#This Row],[S.B Sitrack]],'[1]Tempo parado'!H:H,"&lt;="&amp;MIP_4[[#This Row],[C.B Sitrack]],'[1]Tempo parado'!A:A,MIP_4[[#This Row],[Placa]])</f>
        <v>0</v>
      </c>
      <c r="AF254" s="36"/>
      <c r="AG254" s="35"/>
      <c r="AH254" s="34"/>
      <c r="AI254" s="34"/>
      <c r="AJ25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5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5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54" s="32" t="str">
        <f>IFERROR(MIP_4[[#This Row],[Tempo parado]]/(MIP_4[[#This Row],[C.B Sitrack]]-MIP_4[[#This Row],[S.B Sitrack]]),"")</f>
        <v/>
      </c>
      <c r="AN254" s="30"/>
      <c r="AO254" s="44">
        <f>IF(AND(MIP_4[Exc]=0,MIP_4[Previsto / Realizado]="Realizado"),MIP_4[Sem],0)</f>
        <v>0</v>
      </c>
      <c r="AP254" s="29">
        <f>IF(AND(MIP_4[Exc]=0,MIP_4[Previsto / Realizado]="Realizado",ISBLANK(MIP_4[[#This Row],[S.B Sitrack]])=FALSE,ISBLANK(MIP_4[[#This Row],[C.B Sitrack]])=FALSE),MIP_4[Sem],0)</f>
        <v>0</v>
      </c>
    </row>
    <row r="255" spans="1:42" ht="15.75" x14ac:dyDescent="0.25">
      <c r="A255" s="44">
        <f>WEEKNUM(MIP_4[[#This Row],[Data]])</f>
        <v>29</v>
      </c>
      <c r="B255" s="45">
        <v>42935</v>
      </c>
      <c r="C255" s="45"/>
      <c r="D255" s="35" t="s">
        <v>3</v>
      </c>
      <c r="E255" s="35" t="s">
        <v>2</v>
      </c>
      <c r="F255" s="35"/>
      <c r="G255" s="44">
        <v>2</v>
      </c>
      <c r="H255" s="44">
        <v>8</v>
      </c>
      <c r="I255" s="44">
        <v>1</v>
      </c>
      <c r="J255" s="44">
        <v>1</v>
      </c>
      <c r="K255" s="44">
        <v>0</v>
      </c>
      <c r="L255" s="43">
        <v>0.63055555555555554</v>
      </c>
      <c r="M255" s="43">
        <v>0.67361111111111116</v>
      </c>
      <c r="N255" s="43">
        <f>1+41/24/60</f>
        <v>1.0284722222222222</v>
      </c>
      <c r="O255" s="43">
        <f>1+57/24/60</f>
        <v>1.0395833333333333</v>
      </c>
      <c r="P255" s="39"/>
      <c r="Q255" s="42"/>
      <c r="R255" s="29">
        <f>MIP_4[[#This Row],[PT-1]]+MIP_4[[#This Row],[PT-2]]*2+MIP_4[[#This Row],[PT-3]]*3+MIP_4[[#This Row],[PT &gt; 3 Pontos]]</f>
        <v>13</v>
      </c>
      <c r="S25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5.4166666666666696E-2</v>
      </c>
      <c r="T25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5.4166666666666696E-2</v>
      </c>
      <c r="U255" s="41">
        <f ca="1">MIP_4[[#This Row],[Eficiência]]</f>
        <v>0.97992564831774787</v>
      </c>
      <c r="V25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55" s="39">
        <f>IF(MIP_4[[#This Row],[P.S]]-MIP_4[[#This Row],[P.E]]&lt;0,1+MIP_4[[#This Row],[P.S]]-MIP_4[[#This Row],[P.E]]-1/24,MIP_4[[#This Row],[P.S]]-MIP_4[[#This Row],[P.E]]-1/24)</f>
        <v>0.36736111111111108</v>
      </c>
      <c r="X255" s="39">
        <f ca="1">MIP_4[[#This Row],[PT-1]]*$S$3+MIP_4[[#This Row],[PT-2]]*$T$3+MIP_4[[#This Row],[PT-3]]*$U$3+MIP_4[[#This Row],[PT &gt; 3 Pontos]]*$V$3</f>
        <v>0.30690726902173904</v>
      </c>
      <c r="Y255" s="39">
        <f>MIP_4[[#This Row],[HH disponível]]-MIP_4[[#This Row],[HH AC TOT]]</f>
        <v>0.31319444444444439</v>
      </c>
      <c r="Z255" s="38">
        <f ca="1">MIP_4[[#This Row],[HH Produtivo
Total]]/MIP_4[[#This Row],[HH Trabalhado]]</f>
        <v>0.97992564831774787</v>
      </c>
      <c r="AA255" s="38">
        <f ca="1">MIP_4[[#This Row],[HH Produtivo
Total]]/MIP_4[[#This Row],[HH disponível]]</f>
        <v>0.83543755650530105</v>
      </c>
      <c r="AB255" s="38">
        <f>MIP_4[[#This Row],[HH Trabalhado]]/MIP_4[[#This Row],[HH disponível]]</f>
        <v>0.85255198487712658</v>
      </c>
      <c r="AC255" s="37" t="str">
        <f>LEFT(MIP_4[[#This Row],[Equipe]], SEARCH("/",MIP_4[[#This Row],[Equipe]],1)-1)</f>
        <v xml:space="preserve">EDILTON </v>
      </c>
      <c r="AD255" s="37" t="str">
        <f>RIGHT(MIP_4[[#This Row],[Equipe]], LEN(MIP_4[[#This Row],[Equipe]])-SEARCH("/",MIP_4[[#This Row],[Equipe]],1))</f>
        <v xml:space="preserve"> GECIVALDO</v>
      </c>
      <c r="AE255" s="44">
        <f>COUNTIFS('[1]Tempo parado'!G:G,"&gt;="&amp;MIP_4[[#This Row],[S.B Sitrack]],'[1]Tempo parado'!H:H,"&lt;="&amp;MIP_4[[#This Row],[C.B Sitrack]],'[1]Tempo parado'!A:A,MIP_4[[#This Row],[Placa]])</f>
        <v>0</v>
      </c>
      <c r="AF255" s="36"/>
      <c r="AG255" s="35"/>
      <c r="AH255" s="34"/>
      <c r="AI255" s="34"/>
      <c r="AJ25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5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5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55" s="32" t="str">
        <f>IFERROR(MIP_4[[#This Row],[Tempo parado]]/(MIP_4[[#This Row],[C.B Sitrack]]-MIP_4[[#This Row],[S.B Sitrack]]),"")</f>
        <v/>
      </c>
      <c r="AN255" s="30"/>
      <c r="AO255" s="44">
        <f>IF(AND(MIP_4[Exc]=0,MIP_4[Previsto / Realizado]="Realizado"),MIP_4[Sem],0)</f>
        <v>29</v>
      </c>
      <c r="AP255" s="29">
        <f>IF(AND(MIP_4[Exc]=0,MIP_4[Previsto / Realizado]="Realizado",ISBLANK(MIP_4[[#This Row],[S.B Sitrack]])=FALSE,ISBLANK(MIP_4[[#This Row],[C.B Sitrack]])=FALSE),MIP_4[Sem],0)</f>
        <v>0</v>
      </c>
    </row>
    <row r="256" spans="1:42" ht="15.75" x14ac:dyDescent="0.25">
      <c r="A256" s="44">
        <f>WEEKNUM(MIP_4[[#This Row],[Data]])</f>
        <v>29</v>
      </c>
      <c r="B256" s="45">
        <v>42935</v>
      </c>
      <c r="C256" s="45"/>
      <c r="D256" s="35" t="s">
        <v>19</v>
      </c>
      <c r="E256" s="35" t="s">
        <v>5</v>
      </c>
      <c r="F256" s="35"/>
      <c r="G256" s="44">
        <v>2</v>
      </c>
      <c r="H256" s="44">
        <v>5</v>
      </c>
      <c r="I256" s="44">
        <v>2</v>
      </c>
      <c r="J256" s="44">
        <v>0</v>
      </c>
      <c r="K256" s="44">
        <v>0</v>
      </c>
      <c r="L256" s="43">
        <v>0.625</v>
      </c>
      <c r="M256" s="43">
        <v>0.64583333333333337</v>
      </c>
      <c r="N256" s="43">
        <f>1+18/24/60</f>
        <v>1.0125</v>
      </c>
      <c r="O256" s="43">
        <f>1+48/24/60</f>
        <v>1.0333333333333334</v>
      </c>
      <c r="P256" s="39"/>
      <c r="Q256" s="42"/>
      <c r="R256" s="29">
        <f>MIP_4[[#This Row],[PT-1]]+MIP_4[[#This Row],[PT-2]]*2+MIP_4[[#This Row],[PT-3]]*3+MIP_4[[#This Row],[PT &gt; 3 Pontos]]</f>
        <v>9</v>
      </c>
      <c r="S25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25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256" s="41">
        <f ca="1">MIP_4[[#This Row],[Eficiência]]</f>
        <v>0.65522091384863113</v>
      </c>
      <c r="V25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56" s="39">
        <f>IF(MIP_4[[#This Row],[P.S]]-MIP_4[[#This Row],[P.E]]&lt;0,1+MIP_4[[#This Row],[P.S]]-MIP_4[[#This Row],[P.E]]-1/24,MIP_4[[#This Row],[P.S]]-MIP_4[[#This Row],[P.E]]-1/24)</f>
        <v>0.36666666666666675</v>
      </c>
      <c r="X256" s="39">
        <f ca="1">MIP_4[[#This Row],[PT-1]]*$S$3+MIP_4[[#This Row],[PT-2]]*$T$3+MIP_4[[#This Row],[PT-3]]*$U$3+MIP_4[[#This Row],[PT &gt; 3 Pontos]]*$V$3</f>
        <v>0.21294679700080504</v>
      </c>
      <c r="Y256" s="39">
        <f>MIP_4[[#This Row],[HH disponível]]-MIP_4[[#This Row],[HH AC TOT]]</f>
        <v>0.3249999999999999</v>
      </c>
      <c r="Z256" s="38">
        <f ca="1">MIP_4[[#This Row],[HH Produtivo
Total]]/MIP_4[[#This Row],[HH Trabalhado]]</f>
        <v>0.65522091384863113</v>
      </c>
      <c r="AA256" s="38">
        <f ca="1">MIP_4[[#This Row],[HH Produtivo
Total]]/MIP_4[[#This Row],[HH disponível]]</f>
        <v>0.5807639918203773</v>
      </c>
      <c r="AB256" s="38">
        <f>MIP_4[[#This Row],[HH Trabalhado]]/MIP_4[[#This Row],[HH disponível]]</f>
        <v>0.88636363636363591</v>
      </c>
      <c r="AC256" s="37" t="str">
        <f>LEFT(MIP_4[[#This Row],[Equipe]], SEARCH("/",MIP_4[[#This Row],[Equipe]],1)-1)</f>
        <v xml:space="preserve">ADEMÁRIO </v>
      </c>
      <c r="AD256" s="37" t="str">
        <f>RIGHT(MIP_4[[#This Row],[Equipe]], LEN(MIP_4[[#This Row],[Equipe]])-SEARCH("/",MIP_4[[#This Row],[Equipe]],1))</f>
        <v xml:space="preserve"> RONALDO</v>
      </c>
      <c r="AE256" s="44">
        <f>COUNTIFS('[1]Tempo parado'!G:G,"&gt;="&amp;MIP_4[[#This Row],[S.B Sitrack]],'[1]Tempo parado'!H:H,"&lt;="&amp;MIP_4[[#This Row],[C.B Sitrack]],'[1]Tempo parado'!A:A,MIP_4[[#This Row],[Placa]])</f>
        <v>0</v>
      </c>
      <c r="AF256" s="36"/>
      <c r="AG256" s="35"/>
      <c r="AH256" s="34"/>
      <c r="AI256" s="34"/>
      <c r="AJ25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5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5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56" s="32" t="str">
        <f>IFERROR(MIP_4[[#This Row],[Tempo parado]]/(MIP_4[[#This Row],[C.B Sitrack]]-MIP_4[[#This Row],[S.B Sitrack]]),"")</f>
        <v/>
      </c>
      <c r="AN256" s="30"/>
      <c r="AO256" s="44">
        <f>IF(AND(MIP_4[Exc]=0,MIP_4[Previsto / Realizado]="Realizado"),MIP_4[Sem],0)</f>
        <v>0</v>
      </c>
      <c r="AP256" s="29">
        <f>IF(AND(MIP_4[Exc]=0,MIP_4[Previsto / Realizado]="Realizado",ISBLANK(MIP_4[[#This Row],[S.B Sitrack]])=FALSE,ISBLANK(MIP_4[[#This Row],[C.B Sitrack]])=FALSE),MIP_4[Sem],0)</f>
        <v>0</v>
      </c>
    </row>
    <row r="257" spans="1:42" ht="15.75" x14ac:dyDescent="0.25">
      <c r="A257" s="44">
        <f>WEEKNUM(MIP_4[[#This Row],[Data]])</f>
        <v>29</v>
      </c>
      <c r="B257" s="45">
        <v>42935</v>
      </c>
      <c r="C257" s="45"/>
      <c r="D257" s="35" t="s">
        <v>19</v>
      </c>
      <c r="E257" s="35" t="s">
        <v>2</v>
      </c>
      <c r="F257" s="35"/>
      <c r="G257" s="44">
        <v>2</v>
      </c>
      <c r="H257" s="44">
        <v>8</v>
      </c>
      <c r="I257" s="44">
        <v>3</v>
      </c>
      <c r="J257" s="44">
        <v>1</v>
      </c>
      <c r="K257" s="44">
        <v>4</v>
      </c>
      <c r="L257" s="43">
        <v>0.65625</v>
      </c>
      <c r="M257" s="43">
        <v>0.67361111111111116</v>
      </c>
      <c r="N257" s="43">
        <f>1+41/24/60</f>
        <v>1.0284722222222222</v>
      </c>
      <c r="O257" s="43">
        <f>1+75/24/60</f>
        <v>1.0520833333333333</v>
      </c>
      <c r="P257" s="39"/>
      <c r="Q257" s="42" t="s">
        <v>376</v>
      </c>
      <c r="R257" s="29">
        <f>MIP_4[[#This Row],[PT-1]]+MIP_4[[#This Row],[PT-2]]*2+MIP_4[[#This Row],[PT-3]]*3+MIP_4[[#This Row],[PT &gt; 3 Pontos]]</f>
        <v>21</v>
      </c>
      <c r="S25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4.0972222222222188E-2</v>
      </c>
      <c r="T25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4.0972222222222188E-2</v>
      </c>
      <c r="U257" s="41">
        <f ca="1">MIP_4[[#This Row],[Eficiência]]</f>
        <v>1.5189185286945097</v>
      </c>
      <c r="V25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57" s="39">
        <f>IF(MIP_4[[#This Row],[P.S]]-MIP_4[[#This Row],[P.E]]&lt;0,1+MIP_4[[#This Row],[P.S]]-MIP_4[[#This Row],[P.E]]-1/24,MIP_4[[#This Row],[P.S]]-MIP_4[[#This Row],[P.E]]-1/24)</f>
        <v>0.35416666666666657</v>
      </c>
      <c r="X257" s="39">
        <f ca="1">MIP_4[[#This Row],[PT-1]]*$S$3+MIP_4[[#This Row],[PT-2]]*$T$3+MIP_4[[#This Row],[PT-3]]*$U$3+MIP_4[[#This Row],[PT &gt; 3 Pontos]]*$V$3</f>
        <v>0.47571684475084985</v>
      </c>
      <c r="Y257" s="39">
        <f>MIP_4[[#This Row],[HH disponível]]-MIP_4[[#This Row],[HH AC TOT]]</f>
        <v>0.31319444444444439</v>
      </c>
      <c r="Z257" s="38">
        <f ca="1">MIP_4[[#This Row],[HH Produtivo
Total]]/MIP_4[[#This Row],[HH Trabalhado]]</f>
        <v>1.5189185286945097</v>
      </c>
      <c r="AA257" s="38">
        <f ca="1">MIP_4[[#This Row],[HH Produtivo
Total]]/MIP_4[[#This Row],[HH disponível]]</f>
        <v>1.3432005028259293</v>
      </c>
      <c r="AB257" s="38">
        <f>MIP_4[[#This Row],[HH Trabalhado]]/MIP_4[[#This Row],[HH disponível]]</f>
        <v>0.88431372549019616</v>
      </c>
      <c r="AC257" s="37" t="str">
        <f>LEFT(MIP_4[[#This Row],[Equipe]], SEARCH("/",MIP_4[[#This Row],[Equipe]],1)-1)</f>
        <v xml:space="preserve">ADEMÁRIO </v>
      </c>
      <c r="AD257" s="37" t="str">
        <f>RIGHT(MIP_4[[#This Row],[Equipe]], LEN(MIP_4[[#This Row],[Equipe]])-SEARCH("/",MIP_4[[#This Row],[Equipe]],1))</f>
        <v xml:space="preserve"> RONALDO</v>
      </c>
      <c r="AE257" s="44">
        <f>COUNTIFS('[1]Tempo parado'!G:G,"&gt;="&amp;MIP_4[[#This Row],[S.B Sitrack]],'[1]Tempo parado'!H:H,"&lt;="&amp;MIP_4[[#This Row],[C.B Sitrack]],'[1]Tempo parado'!A:A,MIP_4[[#This Row],[Placa]])</f>
        <v>0</v>
      </c>
      <c r="AF257" s="36"/>
      <c r="AG257" s="35"/>
      <c r="AH257" s="34"/>
      <c r="AI257" s="34"/>
      <c r="AJ25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5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5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57" s="32" t="str">
        <f>IFERROR(MIP_4[[#This Row],[Tempo parado]]/(MIP_4[[#This Row],[C.B Sitrack]]-MIP_4[[#This Row],[S.B Sitrack]]),"")</f>
        <v/>
      </c>
      <c r="AN257" s="30"/>
      <c r="AO257" s="44">
        <f>IF(AND(MIP_4[Exc]=0,MIP_4[Previsto / Realizado]="Realizado"),MIP_4[Sem],0)</f>
        <v>29</v>
      </c>
      <c r="AP257" s="29">
        <f>IF(AND(MIP_4[Exc]=0,MIP_4[Previsto / Realizado]="Realizado",ISBLANK(MIP_4[[#This Row],[S.B Sitrack]])=FALSE,ISBLANK(MIP_4[[#This Row],[C.B Sitrack]])=FALSE),MIP_4[Sem],0)</f>
        <v>0</v>
      </c>
    </row>
    <row r="258" spans="1:42" ht="15.75" x14ac:dyDescent="0.25">
      <c r="A258" s="44">
        <f>WEEKNUM(MIP_4[[#This Row],[Data]])</f>
        <v>29</v>
      </c>
      <c r="B258" s="45">
        <v>42936</v>
      </c>
      <c r="C258" s="45"/>
      <c r="D258" s="35" t="s">
        <v>10</v>
      </c>
      <c r="E258" s="35" t="s">
        <v>5</v>
      </c>
      <c r="F258" s="35"/>
      <c r="G258" s="44">
        <v>2</v>
      </c>
      <c r="H258" s="44">
        <v>5</v>
      </c>
      <c r="I258" s="44">
        <v>1</v>
      </c>
      <c r="J258" s="44">
        <v>0</v>
      </c>
      <c r="K258" s="44">
        <v>5</v>
      </c>
      <c r="L258" s="43">
        <v>0.25</v>
      </c>
      <c r="M258" s="43">
        <v>0.27083333333333331</v>
      </c>
      <c r="N258" s="43">
        <v>0.63750000000000007</v>
      </c>
      <c r="O258" s="43">
        <v>0.65833333333333333</v>
      </c>
      <c r="P258" s="39"/>
      <c r="Q258" s="42"/>
      <c r="R258" s="29">
        <f>MIP_4[[#This Row],[PT-1]]+MIP_4[[#This Row],[PT-2]]*2+MIP_4[[#This Row],[PT-3]]*3+MIP_4[[#This Row],[PT &gt; 3 Pontos]]</f>
        <v>12</v>
      </c>
      <c r="S25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25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258" s="41">
        <f ca="1">MIP_4[[#This Row],[Eficiência]]</f>
        <v>0.83162487785072292</v>
      </c>
      <c r="V25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58" s="39">
        <f>IF(MIP_4[[#This Row],[P.S]]-MIP_4[[#This Row],[P.E]]&lt;0,1+MIP_4[[#This Row],[P.S]]-MIP_4[[#This Row],[P.E]]-1/24,MIP_4[[#This Row],[P.S]]-MIP_4[[#This Row],[P.E]]-1/24)</f>
        <v>0.36666666666666664</v>
      </c>
      <c r="X258" s="39">
        <f ca="1">MIP_4[[#This Row],[PT-1]]*$S$3+MIP_4[[#This Row],[PT-2]]*$T$3+MIP_4[[#This Row],[PT-3]]*$U$3+MIP_4[[#This Row],[PT &gt; 3 Pontos]]*$V$3</f>
        <v>0.270278085301485</v>
      </c>
      <c r="Y258" s="39">
        <f>MIP_4[[#This Row],[HH disponível]]-MIP_4[[#This Row],[HH AC TOT]]</f>
        <v>0.32500000000000007</v>
      </c>
      <c r="Z258" s="38">
        <f ca="1">MIP_4[[#This Row],[HH Produtivo
Total]]/MIP_4[[#This Row],[HH Trabalhado]]</f>
        <v>0.83162487785072292</v>
      </c>
      <c r="AA258" s="38">
        <f ca="1">MIP_4[[#This Row],[HH Produtivo
Total]]/MIP_4[[#This Row],[HH disponível]]</f>
        <v>0.73712205082223192</v>
      </c>
      <c r="AB258" s="38">
        <f>MIP_4[[#This Row],[HH Trabalhado]]/MIP_4[[#This Row],[HH disponível]]</f>
        <v>0.88636363636363658</v>
      </c>
      <c r="AC258" s="37" t="str">
        <f>LEFT(MIP_4[[#This Row],[Equipe]], SEARCH("/",MIP_4[[#This Row],[Equipe]],1)-1)</f>
        <v xml:space="preserve">JOILSON </v>
      </c>
      <c r="AD258" s="37" t="str">
        <f>RIGHT(MIP_4[[#This Row],[Equipe]], LEN(MIP_4[[#This Row],[Equipe]])-SEARCH("/",MIP_4[[#This Row],[Equipe]],1))</f>
        <v xml:space="preserve"> VALDEI</v>
      </c>
      <c r="AE258" s="44">
        <f>COUNTIFS('[1]Tempo parado'!G:G,"&gt;="&amp;MIP_4[[#This Row],[S.B Sitrack]],'[1]Tempo parado'!H:H,"&lt;="&amp;MIP_4[[#This Row],[C.B Sitrack]],'[1]Tempo parado'!A:A,MIP_4[[#This Row],[Placa]])</f>
        <v>0</v>
      </c>
      <c r="AF258" s="36"/>
      <c r="AG258" s="35"/>
      <c r="AH258" s="34"/>
      <c r="AI258" s="34"/>
      <c r="AJ25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5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5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58" s="32" t="str">
        <f>IFERROR(MIP_4[[#This Row],[Tempo parado]]/(MIP_4[[#This Row],[C.B Sitrack]]-MIP_4[[#This Row],[S.B Sitrack]]),"")</f>
        <v/>
      </c>
      <c r="AN258" s="30"/>
      <c r="AO258" s="44">
        <f>IF(AND(MIP_4[Exc]=0,MIP_4[Previsto / Realizado]="Realizado"),MIP_4[Sem],0)</f>
        <v>0</v>
      </c>
      <c r="AP258" s="29">
        <f>IF(AND(MIP_4[Exc]=0,MIP_4[Previsto / Realizado]="Realizado",ISBLANK(MIP_4[[#This Row],[S.B Sitrack]])=FALSE,ISBLANK(MIP_4[[#This Row],[C.B Sitrack]])=FALSE),MIP_4[Sem],0)</f>
        <v>0</v>
      </c>
    </row>
    <row r="259" spans="1:42" ht="15.75" x14ac:dyDescent="0.25">
      <c r="A259" s="44">
        <f>WEEKNUM(MIP_4[[#This Row],[Data]])</f>
        <v>29</v>
      </c>
      <c r="B259" s="45">
        <v>42936</v>
      </c>
      <c r="C259" s="45"/>
      <c r="D259" s="35" t="s">
        <v>10</v>
      </c>
      <c r="E259" s="35" t="s">
        <v>2</v>
      </c>
      <c r="F259" s="35"/>
      <c r="G259" s="44">
        <v>2</v>
      </c>
      <c r="H259" s="44">
        <v>4</v>
      </c>
      <c r="I259" s="44">
        <v>1</v>
      </c>
      <c r="J259" s="44">
        <v>0</v>
      </c>
      <c r="K259" s="44">
        <v>5</v>
      </c>
      <c r="L259" s="43">
        <v>0.25138888888888888</v>
      </c>
      <c r="M259" s="43">
        <v>0.2951388888888889</v>
      </c>
      <c r="N259" s="43">
        <v>0.64930555555555558</v>
      </c>
      <c r="O259" s="43">
        <v>0.66111111111111109</v>
      </c>
      <c r="P259" s="39"/>
      <c r="Q259" s="42" t="s">
        <v>375</v>
      </c>
      <c r="R259" s="29">
        <f>MIP_4[[#This Row],[PT-1]]+MIP_4[[#This Row],[PT-2]]*2+MIP_4[[#This Row],[PT-3]]*3+MIP_4[[#This Row],[PT &gt; 3 Pontos]]</f>
        <v>11</v>
      </c>
      <c r="S25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5.5555555555555525E-2</v>
      </c>
      <c r="T25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5.5555555555555525E-2</v>
      </c>
      <c r="U259" s="41">
        <f ca="1">MIP_4[[#This Row],[Eficiência]]</f>
        <v>0.7848071434961531</v>
      </c>
      <c r="V25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59" s="39">
        <f>IF(MIP_4[[#This Row],[P.S]]-MIP_4[[#This Row],[P.E]]&lt;0,1+MIP_4[[#This Row],[P.S]]-MIP_4[[#This Row],[P.E]]-1/24,MIP_4[[#This Row],[P.S]]-MIP_4[[#This Row],[P.E]]-1/24)</f>
        <v>0.36805555555555552</v>
      </c>
      <c r="X259" s="39">
        <f ca="1">MIP_4[[#This Row],[PT-1]]*$S$3+MIP_4[[#This Row],[PT-2]]*$T$3+MIP_4[[#This Row],[PT-3]]*$U$3+MIP_4[[#This Row],[PT &gt; 3 Pontos]]*$V$3</f>
        <v>0.24525223234254784</v>
      </c>
      <c r="Y259" s="39">
        <f>MIP_4[[#This Row],[HH disponível]]-MIP_4[[#This Row],[HH AC TOT]]</f>
        <v>0.3125</v>
      </c>
      <c r="Z259" s="38">
        <f ca="1">MIP_4[[#This Row],[HH Produtivo
Total]]/MIP_4[[#This Row],[HH Trabalhado]]</f>
        <v>0.7848071434961531</v>
      </c>
      <c r="AA259" s="38">
        <f ca="1">MIP_4[[#This Row],[HH Produtivo
Total]]/MIP_4[[#This Row],[HH disponível]]</f>
        <v>0.66634568787409232</v>
      </c>
      <c r="AB259" s="38">
        <f>MIP_4[[#This Row],[HH Trabalhado]]/MIP_4[[#This Row],[HH disponível]]</f>
        <v>0.84905660377358494</v>
      </c>
      <c r="AC259" s="37" t="str">
        <f>LEFT(MIP_4[[#This Row],[Equipe]], SEARCH("/",MIP_4[[#This Row],[Equipe]],1)-1)</f>
        <v xml:space="preserve">JOILSON </v>
      </c>
      <c r="AD259" s="37" t="str">
        <f>RIGHT(MIP_4[[#This Row],[Equipe]], LEN(MIP_4[[#This Row],[Equipe]])-SEARCH("/",MIP_4[[#This Row],[Equipe]],1))</f>
        <v xml:space="preserve"> VALDEI</v>
      </c>
      <c r="AE259" s="44">
        <f>COUNTIFS('[1]Tempo parado'!G:G,"&gt;="&amp;MIP_4[[#This Row],[S.B Sitrack]],'[1]Tempo parado'!H:H,"&lt;="&amp;MIP_4[[#This Row],[C.B Sitrack]],'[1]Tempo parado'!A:A,MIP_4[[#This Row],[Placa]])</f>
        <v>0</v>
      </c>
      <c r="AF259" s="36"/>
      <c r="AG259" s="35"/>
      <c r="AH259" s="34"/>
      <c r="AI259" s="34"/>
      <c r="AJ25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5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5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59" s="32" t="str">
        <f>IFERROR(MIP_4[[#This Row],[Tempo parado]]/(MIP_4[[#This Row],[C.B Sitrack]]-MIP_4[[#This Row],[S.B Sitrack]]),"")</f>
        <v/>
      </c>
      <c r="AN259" s="30"/>
      <c r="AO259" s="44">
        <f>IF(AND(MIP_4[Exc]=0,MIP_4[Previsto / Realizado]="Realizado"),MIP_4[Sem],0)</f>
        <v>29</v>
      </c>
      <c r="AP259" s="29">
        <f>IF(AND(MIP_4[Exc]=0,MIP_4[Previsto / Realizado]="Realizado",ISBLANK(MIP_4[[#This Row],[S.B Sitrack]])=FALSE,ISBLANK(MIP_4[[#This Row],[C.B Sitrack]])=FALSE),MIP_4[Sem],0)</f>
        <v>0</v>
      </c>
    </row>
    <row r="260" spans="1:42" ht="15.75" x14ac:dyDescent="0.25">
      <c r="A260" s="44">
        <f>WEEKNUM(MIP_4[[#This Row],[Data]])</f>
        <v>29</v>
      </c>
      <c r="B260" s="45">
        <v>42936</v>
      </c>
      <c r="C260" s="45"/>
      <c r="D260" s="35" t="s">
        <v>3</v>
      </c>
      <c r="E260" s="35" t="s">
        <v>5</v>
      </c>
      <c r="F260" s="35"/>
      <c r="G260" s="44">
        <v>2</v>
      </c>
      <c r="H260" s="44">
        <v>6</v>
      </c>
      <c r="I260" s="44">
        <v>3</v>
      </c>
      <c r="J260" s="44">
        <v>0</v>
      </c>
      <c r="K260" s="44">
        <v>0</v>
      </c>
      <c r="L260" s="43">
        <v>0.625</v>
      </c>
      <c r="M260" s="43">
        <v>0.64583333333333337</v>
      </c>
      <c r="N260" s="43">
        <f>1+18/24/60</f>
        <v>1.0125</v>
      </c>
      <c r="O260" s="43">
        <f>1+48/24/60</f>
        <v>1.0333333333333334</v>
      </c>
      <c r="P260" s="39"/>
      <c r="Q260" s="42" t="s">
        <v>374</v>
      </c>
      <c r="R260" s="29">
        <f>MIP_4[[#This Row],[PT-1]]+MIP_4[[#This Row],[PT-2]]*2+MIP_4[[#This Row],[PT-3]]*3+MIP_4[[#This Row],[PT &gt; 3 Pontos]]</f>
        <v>12</v>
      </c>
      <c r="S26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26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260" s="41">
        <f ca="1">MIP_4[[#This Row],[Eficiência]]</f>
        <v>0.8673274340393905</v>
      </c>
      <c r="V26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60" s="39">
        <f>IF(MIP_4[[#This Row],[P.S]]-MIP_4[[#This Row],[P.E]]&lt;0,1+MIP_4[[#This Row],[P.S]]-MIP_4[[#This Row],[P.E]]-1/24,MIP_4[[#This Row],[P.S]]-MIP_4[[#This Row],[P.E]]-1/24)</f>
        <v>0.36666666666666675</v>
      </c>
      <c r="X260" s="39">
        <f ca="1">MIP_4[[#This Row],[PT-1]]*$S$3+MIP_4[[#This Row],[PT-2]]*$T$3+MIP_4[[#This Row],[PT-3]]*$U$3+MIP_4[[#This Row],[PT &gt; 3 Pontos]]*$V$3</f>
        <v>0.28188141606280182</v>
      </c>
      <c r="Y260" s="39">
        <f>MIP_4[[#This Row],[HH disponível]]-MIP_4[[#This Row],[HH AC TOT]]</f>
        <v>0.3249999999999999</v>
      </c>
      <c r="Z260" s="38">
        <f ca="1">MIP_4[[#This Row],[HH Produtivo
Total]]/MIP_4[[#This Row],[HH Trabalhado]]</f>
        <v>0.8673274340393905</v>
      </c>
      <c r="AA260" s="38">
        <f ca="1">MIP_4[[#This Row],[HH Produtivo
Total]]/MIP_4[[#This Row],[HH disponível]]</f>
        <v>0.76876749835309566</v>
      </c>
      <c r="AB260" s="38">
        <f>MIP_4[[#This Row],[HH Trabalhado]]/MIP_4[[#This Row],[HH disponível]]</f>
        <v>0.88636363636363591</v>
      </c>
      <c r="AC260" s="37" t="str">
        <f>LEFT(MIP_4[[#This Row],[Equipe]], SEARCH("/",MIP_4[[#This Row],[Equipe]],1)-1)</f>
        <v xml:space="preserve">EDILTON </v>
      </c>
      <c r="AD260" s="37" t="str">
        <f>RIGHT(MIP_4[[#This Row],[Equipe]], LEN(MIP_4[[#This Row],[Equipe]])-SEARCH("/",MIP_4[[#This Row],[Equipe]],1))</f>
        <v xml:space="preserve"> GECIVALDO</v>
      </c>
      <c r="AE260" s="44">
        <f>COUNTIFS('[1]Tempo parado'!G:G,"&gt;="&amp;MIP_4[[#This Row],[S.B Sitrack]],'[1]Tempo parado'!H:H,"&lt;="&amp;MIP_4[[#This Row],[C.B Sitrack]],'[1]Tempo parado'!A:A,MIP_4[[#This Row],[Placa]])</f>
        <v>0</v>
      </c>
      <c r="AF260" s="36"/>
      <c r="AG260" s="35"/>
      <c r="AH260" s="34"/>
      <c r="AI260" s="34"/>
      <c r="AJ26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6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6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60" s="32" t="str">
        <f>IFERROR(MIP_4[[#This Row],[Tempo parado]]/(MIP_4[[#This Row],[C.B Sitrack]]-MIP_4[[#This Row],[S.B Sitrack]]),"")</f>
        <v/>
      </c>
      <c r="AN260" s="30"/>
      <c r="AO260" s="44">
        <f>IF(AND(MIP_4[Exc]=0,MIP_4[Previsto / Realizado]="Realizado"),MIP_4[Sem],0)</f>
        <v>0</v>
      </c>
      <c r="AP260" s="29">
        <f>IF(AND(MIP_4[Exc]=0,MIP_4[Previsto / Realizado]="Realizado",ISBLANK(MIP_4[[#This Row],[S.B Sitrack]])=FALSE,ISBLANK(MIP_4[[#This Row],[C.B Sitrack]])=FALSE),MIP_4[Sem],0)</f>
        <v>0</v>
      </c>
    </row>
    <row r="261" spans="1:42" ht="15.75" x14ac:dyDescent="0.25">
      <c r="A261" s="44">
        <f>WEEKNUM(MIP_4[[#This Row],[Data]])</f>
        <v>29</v>
      </c>
      <c r="B261" s="45">
        <v>42936</v>
      </c>
      <c r="C261" s="45"/>
      <c r="D261" s="35" t="s">
        <v>3</v>
      </c>
      <c r="E261" s="35" t="s">
        <v>2</v>
      </c>
      <c r="F261" s="35"/>
      <c r="G261" s="44">
        <v>2</v>
      </c>
      <c r="H261" s="44">
        <v>6</v>
      </c>
      <c r="I261" s="44">
        <v>2</v>
      </c>
      <c r="J261" s="44">
        <v>0</v>
      </c>
      <c r="K261" s="44">
        <v>4</v>
      </c>
      <c r="L261" s="43">
        <v>0.62708333333333333</v>
      </c>
      <c r="M261" s="43">
        <v>0.67013888888888884</v>
      </c>
      <c r="N261" s="43">
        <f>1+35/24/60</f>
        <v>1.0243055555555556</v>
      </c>
      <c r="O261" s="43">
        <f>1+52/24/60</f>
        <v>1.0361111111111112</v>
      </c>
      <c r="P261" s="39"/>
      <c r="Q261" s="42" t="s">
        <v>373</v>
      </c>
      <c r="R261" s="29">
        <f>MIP_4[[#This Row],[PT-1]]+MIP_4[[#This Row],[PT-2]]*2+MIP_4[[#This Row],[PT-3]]*3+MIP_4[[#This Row],[PT &gt; 3 Pontos]]</f>
        <v>14</v>
      </c>
      <c r="S26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5.4861111111111138E-2</v>
      </c>
      <c r="T26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5.4861111111111138E-2</v>
      </c>
      <c r="U261" s="41">
        <f ca="1">MIP_4[[#This Row],[Eficiência]]</f>
        <v>1.0206870191447484</v>
      </c>
      <c r="V26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61" s="39">
        <f>IF(MIP_4[[#This Row],[P.S]]-MIP_4[[#This Row],[P.E]]&lt;0,1+MIP_4[[#This Row],[P.S]]-MIP_4[[#This Row],[P.E]]-1/24,MIP_4[[#This Row],[P.S]]-MIP_4[[#This Row],[P.E]]-1/24)</f>
        <v>0.36736111111111119</v>
      </c>
      <c r="X261" s="39">
        <f ca="1">MIP_4[[#This Row],[PT-1]]*$S$3+MIP_4[[#This Row],[PT-2]]*$T$3+MIP_4[[#This Row],[PT-3]]*$U$3+MIP_4[[#This Row],[PT &gt; 3 Pontos]]*$V$3</f>
        <v>0.31896469348273393</v>
      </c>
      <c r="Y261" s="39">
        <f>MIP_4[[#This Row],[HH disponível]]-MIP_4[[#This Row],[HH AC TOT]]</f>
        <v>0.31250000000000006</v>
      </c>
      <c r="Z261" s="38">
        <f ca="1">MIP_4[[#This Row],[HH Produtivo
Total]]/MIP_4[[#This Row],[HH Trabalhado]]</f>
        <v>1.0206870191447484</v>
      </c>
      <c r="AA261" s="38">
        <f ca="1">MIP_4[[#This Row],[HH Produtivo
Total]]/MIP_4[[#This Row],[HH disponível]]</f>
        <v>0.86825927904562716</v>
      </c>
      <c r="AB261" s="38">
        <f>MIP_4[[#This Row],[HH Trabalhado]]/MIP_4[[#This Row],[HH disponível]]</f>
        <v>0.85066162570888459</v>
      </c>
      <c r="AC261" s="37" t="str">
        <f>LEFT(MIP_4[[#This Row],[Equipe]], SEARCH("/",MIP_4[[#This Row],[Equipe]],1)-1)</f>
        <v xml:space="preserve">EDILTON </v>
      </c>
      <c r="AD261" s="37" t="str">
        <f>RIGHT(MIP_4[[#This Row],[Equipe]], LEN(MIP_4[[#This Row],[Equipe]])-SEARCH("/",MIP_4[[#This Row],[Equipe]],1))</f>
        <v xml:space="preserve"> GECIVALDO</v>
      </c>
      <c r="AE261" s="44">
        <f>COUNTIFS('[1]Tempo parado'!G:G,"&gt;="&amp;MIP_4[[#This Row],[S.B Sitrack]],'[1]Tempo parado'!H:H,"&lt;="&amp;MIP_4[[#This Row],[C.B Sitrack]],'[1]Tempo parado'!A:A,MIP_4[[#This Row],[Placa]])</f>
        <v>0</v>
      </c>
      <c r="AF261" s="36"/>
      <c r="AG261" s="35"/>
      <c r="AH261" s="34"/>
      <c r="AI261" s="34"/>
      <c r="AJ26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6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6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61" s="32" t="str">
        <f>IFERROR(MIP_4[[#This Row],[Tempo parado]]/(MIP_4[[#This Row],[C.B Sitrack]]-MIP_4[[#This Row],[S.B Sitrack]]),"")</f>
        <v/>
      </c>
      <c r="AN261" s="30"/>
      <c r="AO261" s="44">
        <f>IF(AND(MIP_4[Exc]=0,MIP_4[Previsto / Realizado]="Realizado"),MIP_4[Sem],0)</f>
        <v>29</v>
      </c>
      <c r="AP261" s="29">
        <f>IF(AND(MIP_4[Exc]=0,MIP_4[Previsto / Realizado]="Realizado",ISBLANK(MIP_4[[#This Row],[S.B Sitrack]])=FALSE,ISBLANK(MIP_4[[#This Row],[C.B Sitrack]])=FALSE),MIP_4[Sem],0)</f>
        <v>0</v>
      </c>
    </row>
    <row r="262" spans="1:42" ht="15.75" x14ac:dyDescent="0.25">
      <c r="A262" s="44">
        <f>WEEKNUM(MIP_4[[#This Row],[Data]])</f>
        <v>29</v>
      </c>
      <c r="B262" s="45">
        <v>42936</v>
      </c>
      <c r="C262" s="45"/>
      <c r="D262" s="35" t="s">
        <v>156</v>
      </c>
      <c r="E262" s="35" t="s">
        <v>5</v>
      </c>
      <c r="F262" s="35"/>
      <c r="G262" s="44">
        <v>2</v>
      </c>
      <c r="H262" s="44">
        <v>0</v>
      </c>
      <c r="I262" s="44">
        <v>0</v>
      </c>
      <c r="J262" s="44">
        <v>0</v>
      </c>
      <c r="K262" s="44">
        <v>9</v>
      </c>
      <c r="L262" s="43">
        <v>0.625</v>
      </c>
      <c r="M262" s="43">
        <v>0.64583333333333337</v>
      </c>
      <c r="N262" s="43">
        <f>1+18/24/60</f>
        <v>1.0125</v>
      </c>
      <c r="O262" s="43">
        <f>1+48/24/60</f>
        <v>1.0333333333333334</v>
      </c>
      <c r="P262" s="39"/>
      <c r="Q262" s="42" t="s">
        <v>372</v>
      </c>
      <c r="R262" s="29">
        <f>MIP_4[[#This Row],[PT-1]]+MIP_4[[#This Row],[PT-2]]*2+MIP_4[[#This Row],[PT-3]]*3+MIP_4[[#This Row],[PT &gt; 3 Pontos]]</f>
        <v>9</v>
      </c>
      <c r="S26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26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262" s="41">
        <f ca="1">MIP_4[[#This Row],[Eficiência]]</f>
        <v>0.56071414746686532</v>
      </c>
      <c r="V26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62" s="39">
        <f>IF(MIP_4[[#This Row],[P.S]]-MIP_4[[#This Row],[P.E]]&lt;0,1+MIP_4[[#This Row],[P.S]]-MIP_4[[#This Row],[P.E]]-1/24,MIP_4[[#This Row],[P.S]]-MIP_4[[#This Row],[P.E]]-1/24)</f>
        <v>0.36666666666666675</v>
      </c>
      <c r="X262" s="39">
        <f ca="1">MIP_4[[#This Row],[PT-1]]*$S$3+MIP_4[[#This Row],[PT-2]]*$T$3+MIP_4[[#This Row],[PT-3]]*$U$3+MIP_4[[#This Row],[PT &gt; 3 Pontos]]*$V$3</f>
        <v>0.18223209792673117</v>
      </c>
      <c r="Y262" s="39">
        <f>MIP_4[[#This Row],[HH disponível]]-MIP_4[[#This Row],[HH AC TOT]]</f>
        <v>0.3249999999999999</v>
      </c>
      <c r="Z262" s="38">
        <f ca="1">MIP_4[[#This Row],[HH Produtivo
Total]]/MIP_4[[#This Row],[HH Trabalhado]]</f>
        <v>0.56071414746686532</v>
      </c>
      <c r="AA262" s="38">
        <f ca="1">MIP_4[[#This Row],[HH Produtivo
Total]]/MIP_4[[#This Row],[HH disponível]]</f>
        <v>0.4969966307092667</v>
      </c>
      <c r="AB262" s="38">
        <f>MIP_4[[#This Row],[HH Trabalhado]]/MIP_4[[#This Row],[HH disponível]]</f>
        <v>0.88636363636363591</v>
      </c>
      <c r="AC262" s="37" t="str">
        <f>LEFT(MIP_4[[#This Row],[Equipe]], SEARCH("/",MIP_4[[#This Row],[Equipe]],1)-1)</f>
        <v xml:space="preserve">ADEMÁRIO </v>
      </c>
      <c r="AD262" s="37" t="str">
        <f>RIGHT(MIP_4[[#This Row],[Equipe]], LEN(MIP_4[[#This Row],[Equipe]])-SEARCH("/",MIP_4[[#This Row],[Equipe]],1))</f>
        <v xml:space="preserve"> MARCO</v>
      </c>
      <c r="AE262" s="44">
        <f>COUNTIFS('[1]Tempo parado'!G:G,"&gt;="&amp;MIP_4[[#This Row],[S.B Sitrack]],'[1]Tempo parado'!H:H,"&lt;="&amp;MIP_4[[#This Row],[C.B Sitrack]],'[1]Tempo parado'!A:A,MIP_4[[#This Row],[Placa]])</f>
        <v>0</v>
      </c>
      <c r="AF262" s="36"/>
      <c r="AG262" s="35"/>
      <c r="AH262" s="34"/>
      <c r="AI262" s="34"/>
      <c r="AJ26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6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6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62" s="32" t="str">
        <f>IFERROR(MIP_4[[#This Row],[Tempo parado]]/(MIP_4[[#This Row],[C.B Sitrack]]-MIP_4[[#This Row],[S.B Sitrack]]),"")</f>
        <v/>
      </c>
      <c r="AN262" s="30"/>
      <c r="AO262" s="44">
        <f>IF(AND(MIP_4[Exc]=0,MIP_4[Previsto / Realizado]="Realizado"),MIP_4[Sem],0)</f>
        <v>0</v>
      </c>
      <c r="AP262" s="29">
        <f>IF(AND(MIP_4[Exc]=0,MIP_4[Previsto / Realizado]="Realizado",ISBLANK(MIP_4[[#This Row],[S.B Sitrack]])=FALSE,ISBLANK(MIP_4[[#This Row],[C.B Sitrack]])=FALSE),MIP_4[Sem],0)</f>
        <v>0</v>
      </c>
    </row>
    <row r="263" spans="1:42" ht="15.75" x14ac:dyDescent="0.25">
      <c r="A263" s="44">
        <f>WEEKNUM(MIP_4[[#This Row],[Data]])</f>
        <v>29</v>
      </c>
      <c r="B263" s="45">
        <v>42936</v>
      </c>
      <c r="C263" s="45"/>
      <c r="D263" s="35" t="s">
        <v>156</v>
      </c>
      <c r="E263" s="35" t="s">
        <v>2</v>
      </c>
      <c r="F263" s="35"/>
      <c r="G263" s="44">
        <v>2</v>
      </c>
      <c r="H263" s="44">
        <v>0</v>
      </c>
      <c r="I263" s="44">
        <v>0</v>
      </c>
      <c r="J263" s="44">
        <v>0</v>
      </c>
      <c r="K263" s="44">
        <v>11</v>
      </c>
      <c r="L263" s="43">
        <v>0.66249999999999998</v>
      </c>
      <c r="M263" s="43">
        <v>0.68611111111111101</v>
      </c>
      <c r="N263" s="43">
        <f>1+(60+36)/24/60</f>
        <v>1.0666666666666667</v>
      </c>
      <c r="O263" s="43">
        <f>1+(60+48)/24/60</f>
        <v>1.075</v>
      </c>
      <c r="P263" s="39"/>
      <c r="Q263" s="42" t="s">
        <v>371</v>
      </c>
      <c r="R263" s="29">
        <f>MIP_4[[#This Row],[PT-1]]+MIP_4[[#This Row],[PT-2]]*2+MIP_4[[#This Row],[PT-3]]*3+MIP_4[[#This Row],[PT &gt; 3 Pontos]]</f>
        <v>11</v>
      </c>
      <c r="S26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3.1944444444444331E-2</v>
      </c>
      <c r="T26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3.1944444444444331E-2</v>
      </c>
      <c r="U263" s="41">
        <f ca="1">MIP_4[[#This Row],[Eficiência]]</f>
        <v>0.65723051711280089</v>
      </c>
      <c r="V26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63" s="39">
        <f>IF(MIP_4[[#This Row],[P.S]]-MIP_4[[#This Row],[P.E]]&lt;0,1+MIP_4[[#This Row],[P.S]]-MIP_4[[#This Row],[P.E]]-1/24,MIP_4[[#This Row],[P.S]]-MIP_4[[#This Row],[P.E]]-1/24)</f>
        <v>0.37083333333333329</v>
      </c>
      <c r="X263" s="39">
        <f ca="1">MIP_4[[#This Row],[PT-1]]*$S$3+MIP_4[[#This Row],[PT-2]]*$T$3+MIP_4[[#This Row],[PT-3]]*$U$3+MIP_4[[#This Row],[PT &gt; 3 Pontos]]*$V$3</f>
        <v>0.22272811968822701</v>
      </c>
      <c r="Y263" s="39">
        <f>MIP_4[[#This Row],[HH disponível]]-MIP_4[[#This Row],[HH AC TOT]]</f>
        <v>0.33888888888888896</v>
      </c>
      <c r="Z263" s="38">
        <f ca="1">MIP_4[[#This Row],[HH Produtivo
Total]]/MIP_4[[#This Row],[HH Trabalhado]]</f>
        <v>0.65723051711280089</v>
      </c>
      <c r="AA263" s="38">
        <f ca="1">MIP_4[[#This Row],[HH Produtivo
Total]]/MIP_4[[#This Row],[HH disponível]]</f>
        <v>0.60061515421544365</v>
      </c>
      <c r="AB263" s="38">
        <f>MIP_4[[#This Row],[HH Trabalhado]]/MIP_4[[#This Row],[HH disponível]]</f>
        <v>0.91385767790262207</v>
      </c>
      <c r="AC263" s="37" t="str">
        <f>LEFT(MIP_4[[#This Row],[Equipe]], SEARCH("/",MIP_4[[#This Row],[Equipe]],1)-1)</f>
        <v xml:space="preserve">ADEMÁRIO </v>
      </c>
      <c r="AD263" s="37" t="str">
        <f>RIGHT(MIP_4[[#This Row],[Equipe]], LEN(MIP_4[[#This Row],[Equipe]])-SEARCH("/",MIP_4[[#This Row],[Equipe]],1))</f>
        <v xml:space="preserve"> MARCO</v>
      </c>
      <c r="AE263" s="44">
        <f>COUNTIFS('[1]Tempo parado'!G:G,"&gt;="&amp;MIP_4[[#This Row],[S.B Sitrack]],'[1]Tempo parado'!H:H,"&lt;="&amp;MIP_4[[#This Row],[C.B Sitrack]],'[1]Tempo parado'!A:A,MIP_4[[#This Row],[Placa]])</f>
        <v>0</v>
      </c>
      <c r="AF263" s="36"/>
      <c r="AG263" s="35"/>
      <c r="AH263" s="34"/>
      <c r="AI263" s="34"/>
      <c r="AJ26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6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6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63" s="32" t="str">
        <f>IFERROR(MIP_4[[#This Row],[Tempo parado]]/(MIP_4[[#This Row],[C.B Sitrack]]-MIP_4[[#This Row],[S.B Sitrack]]),"")</f>
        <v/>
      </c>
      <c r="AN263" s="30"/>
      <c r="AO263" s="44">
        <f>IF(AND(MIP_4[Exc]=0,MIP_4[Previsto / Realizado]="Realizado"),MIP_4[Sem],0)</f>
        <v>29</v>
      </c>
      <c r="AP263" s="29">
        <f>IF(AND(MIP_4[Exc]=0,MIP_4[Previsto / Realizado]="Realizado",ISBLANK(MIP_4[[#This Row],[S.B Sitrack]])=FALSE,ISBLANK(MIP_4[[#This Row],[C.B Sitrack]])=FALSE),MIP_4[Sem],0)</f>
        <v>0</v>
      </c>
    </row>
    <row r="264" spans="1:42" ht="15.75" x14ac:dyDescent="0.25">
      <c r="A264" s="44">
        <f>WEEKNUM(MIP_4[[#This Row],[Data]])</f>
        <v>29</v>
      </c>
      <c r="B264" s="45">
        <v>42937</v>
      </c>
      <c r="C264" s="45"/>
      <c r="D264" s="35" t="s">
        <v>10</v>
      </c>
      <c r="E264" s="35" t="s">
        <v>5</v>
      </c>
      <c r="F264" s="35"/>
      <c r="G264" s="44">
        <v>2</v>
      </c>
      <c r="H264" s="44">
        <v>2</v>
      </c>
      <c r="I264" s="44">
        <v>1</v>
      </c>
      <c r="J264" s="44">
        <v>0</v>
      </c>
      <c r="K264" s="44">
        <v>5</v>
      </c>
      <c r="L264" s="43">
        <v>0.25</v>
      </c>
      <c r="M264" s="43">
        <v>0.27083333333333331</v>
      </c>
      <c r="N264" s="43">
        <v>0.63750000000000007</v>
      </c>
      <c r="O264" s="43">
        <v>0.65833333333333333</v>
      </c>
      <c r="P264" s="39"/>
      <c r="Q264" s="42"/>
      <c r="R264" s="29">
        <f>MIP_4[[#This Row],[PT-1]]+MIP_4[[#This Row],[PT-2]]*2+MIP_4[[#This Row],[PT-3]]*3+MIP_4[[#This Row],[PT &gt; 3 Pontos]]</f>
        <v>9</v>
      </c>
      <c r="S26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26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264" s="41">
        <f ca="1">MIP_4[[#This Row],[Eficiência]]</f>
        <v>0.60061700438361054</v>
      </c>
      <c r="V26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64" s="39">
        <f>IF(MIP_4[[#This Row],[P.S]]-MIP_4[[#This Row],[P.E]]&lt;0,1+MIP_4[[#This Row],[P.S]]-MIP_4[[#This Row],[P.E]]-1/24,MIP_4[[#This Row],[P.S]]-MIP_4[[#This Row],[P.E]]-1/24)</f>
        <v>0.36666666666666664</v>
      </c>
      <c r="X264" s="39">
        <f ca="1">MIP_4[[#This Row],[PT-1]]*$S$3+MIP_4[[#This Row],[PT-2]]*$T$3+MIP_4[[#This Row],[PT-3]]*$U$3+MIP_4[[#This Row],[PT &gt; 3 Pontos]]*$V$3</f>
        <v>0.19520052642467348</v>
      </c>
      <c r="Y264" s="39">
        <f>MIP_4[[#This Row],[HH disponível]]-MIP_4[[#This Row],[HH AC TOT]]</f>
        <v>0.32500000000000007</v>
      </c>
      <c r="Z264" s="38">
        <f ca="1">MIP_4[[#This Row],[HH Produtivo
Total]]/MIP_4[[#This Row],[HH Trabalhado]]</f>
        <v>0.60061700438361054</v>
      </c>
      <c r="AA264" s="38">
        <f ca="1">MIP_4[[#This Row],[HH Produtivo
Total]]/MIP_4[[#This Row],[HH disponível]]</f>
        <v>0.53236507206729133</v>
      </c>
      <c r="AB264" s="38">
        <f>MIP_4[[#This Row],[HH Trabalhado]]/MIP_4[[#This Row],[HH disponível]]</f>
        <v>0.88636363636363658</v>
      </c>
      <c r="AC264" s="37" t="str">
        <f>LEFT(MIP_4[[#This Row],[Equipe]], SEARCH("/",MIP_4[[#This Row],[Equipe]],1)-1)</f>
        <v xml:space="preserve">JOILSON </v>
      </c>
      <c r="AD264" s="37" t="str">
        <f>RIGHT(MIP_4[[#This Row],[Equipe]], LEN(MIP_4[[#This Row],[Equipe]])-SEARCH("/",MIP_4[[#This Row],[Equipe]],1))</f>
        <v xml:space="preserve"> VALDEI</v>
      </c>
      <c r="AE264" s="44">
        <f>COUNTIFS('[1]Tempo parado'!G:G,"&gt;="&amp;MIP_4[[#This Row],[S.B Sitrack]],'[1]Tempo parado'!H:H,"&lt;="&amp;MIP_4[[#This Row],[C.B Sitrack]],'[1]Tempo parado'!A:A,MIP_4[[#This Row],[Placa]])</f>
        <v>0</v>
      </c>
      <c r="AF264" s="36"/>
      <c r="AG264" s="35"/>
      <c r="AH264" s="34"/>
      <c r="AI264" s="34"/>
      <c r="AJ26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6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6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64" s="32" t="str">
        <f>IFERROR(MIP_4[[#This Row],[Tempo parado]]/(MIP_4[[#This Row],[C.B Sitrack]]-MIP_4[[#This Row],[S.B Sitrack]]),"")</f>
        <v/>
      </c>
      <c r="AN264" s="30"/>
      <c r="AO264" s="44">
        <f>IF(AND(MIP_4[Exc]=0,MIP_4[Previsto / Realizado]="Realizado"),MIP_4[Sem],0)</f>
        <v>0</v>
      </c>
      <c r="AP264" s="29">
        <f>IF(AND(MIP_4[Exc]=0,MIP_4[Previsto / Realizado]="Realizado",ISBLANK(MIP_4[[#This Row],[S.B Sitrack]])=FALSE,ISBLANK(MIP_4[[#This Row],[C.B Sitrack]])=FALSE),MIP_4[Sem],0)</f>
        <v>0</v>
      </c>
    </row>
    <row r="265" spans="1:42" ht="15.75" x14ac:dyDescent="0.25">
      <c r="A265" s="44">
        <f>WEEKNUM(MIP_4[[#This Row],[Data]])</f>
        <v>29</v>
      </c>
      <c r="B265" s="45">
        <v>42937</v>
      </c>
      <c r="C265" s="45"/>
      <c r="D265" s="35" t="s">
        <v>10</v>
      </c>
      <c r="E265" s="35" t="s">
        <v>2</v>
      </c>
      <c r="F265" s="35"/>
      <c r="G265" s="44">
        <v>2</v>
      </c>
      <c r="H265" s="44">
        <v>1</v>
      </c>
      <c r="I265" s="44">
        <v>1</v>
      </c>
      <c r="J265" s="44">
        <v>0</v>
      </c>
      <c r="K265" s="44">
        <v>6</v>
      </c>
      <c r="L265" s="43">
        <v>0.25208333333333333</v>
      </c>
      <c r="M265" s="43">
        <v>0.28194444444444444</v>
      </c>
      <c r="N265" s="43">
        <v>0.69861111111111107</v>
      </c>
      <c r="O265" s="43">
        <v>0.70416666666666661</v>
      </c>
      <c r="P265" s="39"/>
      <c r="Q265" s="42" t="s">
        <v>370</v>
      </c>
      <c r="R265" s="29">
        <f>MIP_4[[#This Row],[PT-1]]+MIP_4[[#This Row],[PT-2]]*2+MIP_4[[#This Row],[PT-3]]*3+MIP_4[[#This Row],[PT &gt; 3 Pontos]]</f>
        <v>9</v>
      </c>
      <c r="S26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3.5416666666666652E-2</v>
      </c>
      <c r="T26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3.5416666666666652E-2</v>
      </c>
      <c r="U265" s="41">
        <f ca="1">MIP_4[[#This Row],[Eficiência]]</f>
        <v>0.50779382492395808</v>
      </c>
      <c r="V26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65" s="39">
        <f>IF(MIP_4[[#This Row],[P.S]]-MIP_4[[#This Row],[P.E]]&lt;0,1+MIP_4[[#This Row],[P.S]]-MIP_4[[#This Row],[P.E]]-1/24,MIP_4[[#This Row],[P.S]]-MIP_4[[#This Row],[P.E]]-1/24)</f>
        <v>0.4104166666666666</v>
      </c>
      <c r="X265" s="39">
        <f ca="1">MIP_4[[#This Row],[PT-1]]*$S$3+MIP_4[[#This Row],[PT-2]]*$T$3+MIP_4[[#This Row],[PT-3]]*$U$3+MIP_4[[#This Row],[PT &gt; 3 Pontos]]*$V$3</f>
        <v>0.19042268434648424</v>
      </c>
      <c r="Y265" s="39">
        <f>MIP_4[[#This Row],[HH disponível]]-MIP_4[[#This Row],[HH AC TOT]]</f>
        <v>0.37499999999999994</v>
      </c>
      <c r="Z265" s="38">
        <f ca="1">MIP_4[[#This Row],[HH Produtivo
Total]]/MIP_4[[#This Row],[HH Trabalhado]]</f>
        <v>0.50779382492395808</v>
      </c>
      <c r="AA265" s="38">
        <f ca="1">MIP_4[[#This Row],[HH Produtivo
Total]]/MIP_4[[#This Row],[HH disponível]]</f>
        <v>0.46397405323001245</v>
      </c>
      <c r="AB265" s="38">
        <f>MIP_4[[#This Row],[HH Trabalhado]]/MIP_4[[#This Row],[HH disponível]]</f>
        <v>0.91370558375634525</v>
      </c>
      <c r="AC265" s="37" t="str">
        <f>LEFT(MIP_4[[#This Row],[Equipe]], SEARCH("/",MIP_4[[#This Row],[Equipe]],1)-1)</f>
        <v xml:space="preserve">JOILSON </v>
      </c>
      <c r="AD265" s="37" t="str">
        <f>RIGHT(MIP_4[[#This Row],[Equipe]], LEN(MIP_4[[#This Row],[Equipe]])-SEARCH("/",MIP_4[[#This Row],[Equipe]],1))</f>
        <v xml:space="preserve"> VALDEI</v>
      </c>
      <c r="AE265" s="44">
        <f>COUNTIFS('[1]Tempo parado'!G:G,"&gt;="&amp;MIP_4[[#This Row],[S.B Sitrack]],'[1]Tempo parado'!H:H,"&lt;="&amp;MIP_4[[#This Row],[C.B Sitrack]],'[1]Tempo parado'!A:A,MIP_4[[#This Row],[Placa]])</f>
        <v>0</v>
      </c>
      <c r="AF265" s="36"/>
      <c r="AG265" s="35"/>
      <c r="AH265" s="34"/>
      <c r="AI265" s="34"/>
      <c r="AJ26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6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6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65" s="32" t="str">
        <f>IFERROR(MIP_4[[#This Row],[Tempo parado]]/(MIP_4[[#This Row],[C.B Sitrack]]-MIP_4[[#This Row],[S.B Sitrack]]),"")</f>
        <v/>
      </c>
      <c r="AN265" s="30"/>
      <c r="AO265" s="44">
        <f>IF(AND(MIP_4[Exc]=0,MIP_4[Previsto / Realizado]="Realizado"),MIP_4[Sem],0)</f>
        <v>29</v>
      </c>
      <c r="AP265" s="29">
        <f>IF(AND(MIP_4[Exc]=0,MIP_4[Previsto / Realizado]="Realizado",ISBLANK(MIP_4[[#This Row],[S.B Sitrack]])=FALSE,ISBLANK(MIP_4[[#This Row],[C.B Sitrack]])=FALSE),MIP_4[Sem],0)</f>
        <v>0</v>
      </c>
    </row>
    <row r="266" spans="1:42" ht="15.75" x14ac:dyDescent="0.25">
      <c r="A266" s="44">
        <f>WEEKNUM(MIP_4[[#This Row],[Data]])</f>
        <v>29</v>
      </c>
      <c r="B266" s="45">
        <v>42937</v>
      </c>
      <c r="C266" s="45"/>
      <c r="D266" s="35" t="s">
        <v>3</v>
      </c>
      <c r="E266" s="35" t="s">
        <v>5</v>
      </c>
      <c r="F266" s="35"/>
      <c r="G266" s="44">
        <v>2</v>
      </c>
      <c r="H266" s="44">
        <v>8</v>
      </c>
      <c r="I266" s="44">
        <v>1</v>
      </c>
      <c r="J266" s="44">
        <v>0</v>
      </c>
      <c r="K266" s="44">
        <v>0</v>
      </c>
      <c r="L266" s="43">
        <v>0.625</v>
      </c>
      <c r="M266" s="43">
        <v>0.64583333333333337</v>
      </c>
      <c r="N266" s="43">
        <f>1+18/24/60</f>
        <v>1.0125</v>
      </c>
      <c r="O266" s="43">
        <f>1+48/24/60</f>
        <v>1.0333333333333334</v>
      </c>
      <c r="P266" s="39"/>
      <c r="Q266" s="42" t="s">
        <v>369</v>
      </c>
      <c r="R266" s="29">
        <f>MIP_4[[#This Row],[PT-1]]+MIP_4[[#This Row],[PT-2]]*2+MIP_4[[#This Row],[PT-3]]*3+MIP_4[[#This Row],[PT &gt; 3 Pontos]]</f>
        <v>10</v>
      </c>
      <c r="S26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26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266" s="41">
        <f ca="1">MIP_4[[#This Row],[Eficiência]]</f>
        <v>0.75112489161402185</v>
      </c>
      <c r="V26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66" s="39">
        <f>IF(MIP_4[[#This Row],[P.S]]-MIP_4[[#This Row],[P.E]]&lt;0,1+MIP_4[[#This Row],[P.S]]-MIP_4[[#This Row],[P.E]]-1/24,MIP_4[[#This Row],[P.S]]-MIP_4[[#This Row],[P.E]]-1/24)</f>
        <v>0.36666666666666675</v>
      </c>
      <c r="X266" s="39">
        <f ca="1">MIP_4[[#This Row],[PT-1]]*$S$3+MIP_4[[#This Row],[PT-2]]*$T$3+MIP_4[[#This Row],[PT-3]]*$U$3+MIP_4[[#This Row],[PT &gt; 3 Pontos]]*$V$3</f>
        <v>0.24411558977455702</v>
      </c>
      <c r="Y266" s="39">
        <f>MIP_4[[#This Row],[HH disponível]]-MIP_4[[#This Row],[HH AC TOT]]</f>
        <v>0.3249999999999999</v>
      </c>
      <c r="Z266" s="38">
        <f ca="1">MIP_4[[#This Row],[HH Produtivo
Total]]/MIP_4[[#This Row],[HH Trabalhado]]</f>
        <v>0.75112489161402185</v>
      </c>
      <c r="AA266" s="38">
        <f ca="1">MIP_4[[#This Row],[HH Produtivo
Total]]/MIP_4[[#This Row],[HH disponível]]</f>
        <v>0.66576979029424632</v>
      </c>
      <c r="AB266" s="38">
        <f>MIP_4[[#This Row],[HH Trabalhado]]/MIP_4[[#This Row],[HH disponível]]</f>
        <v>0.88636363636363591</v>
      </c>
      <c r="AC266" s="37" t="str">
        <f>LEFT(MIP_4[[#This Row],[Equipe]], SEARCH("/",MIP_4[[#This Row],[Equipe]],1)-1)</f>
        <v xml:space="preserve">EDILTON </v>
      </c>
      <c r="AD266" s="37" t="str">
        <f>RIGHT(MIP_4[[#This Row],[Equipe]], LEN(MIP_4[[#This Row],[Equipe]])-SEARCH("/",MIP_4[[#This Row],[Equipe]],1))</f>
        <v xml:space="preserve"> GECIVALDO</v>
      </c>
      <c r="AE266" s="44">
        <f>COUNTIFS('[1]Tempo parado'!G:G,"&gt;="&amp;MIP_4[[#This Row],[S.B Sitrack]],'[1]Tempo parado'!H:H,"&lt;="&amp;MIP_4[[#This Row],[C.B Sitrack]],'[1]Tempo parado'!A:A,MIP_4[[#This Row],[Placa]])</f>
        <v>0</v>
      </c>
      <c r="AF266" s="36"/>
      <c r="AG266" s="35"/>
      <c r="AH266" s="34"/>
      <c r="AI266" s="34"/>
      <c r="AJ26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6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6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66" s="32" t="str">
        <f>IFERROR(MIP_4[[#This Row],[Tempo parado]]/(MIP_4[[#This Row],[C.B Sitrack]]-MIP_4[[#This Row],[S.B Sitrack]]),"")</f>
        <v/>
      </c>
      <c r="AN266" s="30"/>
      <c r="AO266" s="44">
        <f>IF(AND(MIP_4[Exc]=0,MIP_4[Previsto / Realizado]="Realizado"),MIP_4[Sem],0)</f>
        <v>0</v>
      </c>
      <c r="AP266" s="29">
        <f>IF(AND(MIP_4[Exc]=0,MIP_4[Previsto / Realizado]="Realizado",ISBLANK(MIP_4[[#This Row],[S.B Sitrack]])=FALSE,ISBLANK(MIP_4[[#This Row],[C.B Sitrack]])=FALSE),MIP_4[Sem],0)</f>
        <v>0</v>
      </c>
    </row>
    <row r="267" spans="1:42" ht="15.75" x14ac:dyDescent="0.25">
      <c r="A267" s="44">
        <f>WEEKNUM(MIP_4[[#This Row],[Data]])</f>
        <v>29</v>
      </c>
      <c r="B267" s="45">
        <v>42937</v>
      </c>
      <c r="C267" s="45"/>
      <c r="D267" s="35" t="s">
        <v>3</v>
      </c>
      <c r="E267" s="35" t="s">
        <v>2</v>
      </c>
      <c r="F267" s="35"/>
      <c r="G267" s="44">
        <v>2</v>
      </c>
      <c r="H267" s="44">
        <v>6</v>
      </c>
      <c r="I267" s="44">
        <v>1</v>
      </c>
      <c r="J267" s="44">
        <v>0</v>
      </c>
      <c r="K267" s="44">
        <v>5</v>
      </c>
      <c r="L267" s="43">
        <v>0.62638888888888888</v>
      </c>
      <c r="M267" s="43">
        <v>0.67361111111111116</v>
      </c>
      <c r="N267" s="43">
        <f>1+20/24/60</f>
        <v>1.0138888888888888</v>
      </c>
      <c r="O267" s="43">
        <f>1+54/24/60</f>
        <v>1.0375000000000001</v>
      </c>
      <c r="P267" s="39"/>
      <c r="Q267" s="42" t="s">
        <v>367</v>
      </c>
      <c r="R267" s="29">
        <f>MIP_4[[#This Row],[PT-1]]+MIP_4[[#This Row],[PT-2]]*2+MIP_4[[#This Row],[PT-3]]*3+MIP_4[[#This Row],[PT &gt; 3 Pontos]]</f>
        <v>13</v>
      </c>
      <c r="S26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7.0833333333333526E-2</v>
      </c>
      <c r="T26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7.0833333333333526E-2</v>
      </c>
      <c r="U267" s="41">
        <f ca="1">MIP_4[[#This Row],[Eficiência]]</f>
        <v>0.98892481650001895</v>
      </c>
      <c r="V26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67" s="39">
        <f>IF(MIP_4[[#This Row],[P.S]]-MIP_4[[#This Row],[P.E]]&lt;0,1+MIP_4[[#This Row],[P.S]]-MIP_4[[#This Row],[P.E]]-1/24,MIP_4[[#This Row],[P.S]]-MIP_4[[#This Row],[P.E]]-1/24)</f>
        <v>0.36944444444444452</v>
      </c>
      <c r="X267" s="39">
        <f ca="1">MIP_4[[#This Row],[PT-1]]*$S$3+MIP_4[[#This Row],[PT-2]]*$T$3+MIP_4[[#This Row],[PT-3]]*$U$3+MIP_4[[#This Row],[PT &gt; 3 Pontos]]*$V$3</f>
        <v>0.29530393826042223</v>
      </c>
      <c r="Y267" s="39">
        <f>MIP_4[[#This Row],[HH disponível]]-MIP_4[[#This Row],[HH AC TOT]]</f>
        <v>0.29861111111111099</v>
      </c>
      <c r="Z267" s="38">
        <f ca="1">MIP_4[[#This Row],[HH Produtivo
Total]]/MIP_4[[#This Row],[HH Trabalhado]]</f>
        <v>0.98892481650001895</v>
      </c>
      <c r="AA267" s="38">
        <f ca="1">MIP_4[[#This Row],[HH Produtivo
Total]]/MIP_4[[#This Row],[HH disponível]]</f>
        <v>0.79931893062971415</v>
      </c>
      <c r="AB267" s="38">
        <f>MIP_4[[#This Row],[HH Trabalhado]]/MIP_4[[#This Row],[HH disponível]]</f>
        <v>0.80827067669172881</v>
      </c>
      <c r="AC267" s="37" t="str">
        <f>LEFT(MIP_4[[#This Row],[Equipe]], SEARCH("/",MIP_4[[#This Row],[Equipe]],1)-1)</f>
        <v xml:space="preserve">EDILTON </v>
      </c>
      <c r="AD267" s="37" t="str">
        <f>RIGHT(MIP_4[[#This Row],[Equipe]], LEN(MIP_4[[#This Row],[Equipe]])-SEARCH("/",MIP_4[[#This Row],[Equipe]],1))</f>
        <v xml:space="preserve"> GECIVALDO</v>
      </c>
      <c r="AE267" s="44">
        <f>COUNTIFS('[1]Tempo parado'!G:G,"&gt;="&amp;MIP_4[[#This Row],[S.B Sitrack]],'[1]Tempo parado'!H:H,"&lt;="&amp;MIP_4[[#This Row],[C.B Sitrack]],'[1]Tempo parado'!A:A,MIP_4[[#This Row],[Placa]])</f>
        <v>0</v>
      </c>
      <c r="AF267" s="36"/>
      <c r="AG267" s="35"/>
      <c r="AH267" s="34"/>
      <c r="AI267" s="34"/>
      <c r="AJ26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6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6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67" s="32" t="str">
        <f>IFERROR(MIP_4[[#This Row],[Tempo parado]]/(MIP_4[[#This Row],[C.B Sitrack]]-MIP_4[[#This Row],[S.B Sitrack]]),"")</f>
        <v/>
      </c>
      <c r="AN267" s="30"/>
      <c r="AO267" s="44">
        <f>IF(AND(MIP_4[Exc]=0,MIP_4[Previsto / Realizado]="Realizado"),MIP_4[Sem],0)</f>
        <v>29</v>
      </c>
      <c r="AP267" s="29">
        <f>IF(AND(MIP_4[Exc]=0,MIP_4[Previsto / Realizado]="Realizado",ISBLANK(MIP_4[[#This Row],[S.B Sitrack]])=FALSE,ISBLANK(MIP_4[[#This Row],[C.B Sitrack]])=FALSE),MIP_4[Sem],0)</f>
        <v>0</v>
      </c>
    </row>
    <row r="268" spans="1:42" ht="15.75" x14ac:dyDescent="0.25">
      <c r="A268" s="44">
        <f>WEEKNUM(MIP_4[[#This Row],[Data]])</f>
        <v>29</v>
      </c>
      <c r="B268" s="45">
        <v>42937</v>
      </c>
      <c r="C268" s="45"/>
      <c r="D268" s="35" t="s">
        <v>7</v>
      </c>
      <c r="E268" s="35" t="s">
        <v>5</v>
      </c>
      <c r="F268" s="35"/>
      <c r="G268" s="44">
        <v>2</v>
      </c>
      <c r="H268" s="44">
        <v>0</v>
      </c>
      <c r="I268" s="44">
        <v>0</v>
      </c>
      <c r="J268" s="44">
        <v>0</v>
      </c>
      <c r="K268" s="44">
        <v>0</v>
      </c>
      <c r="L268" s="43">
        <v>0.625</v>
      </c>
      <c r="M268" s="43">
        <v>0.64583333333333337</v>
      </c>
      <c r="N268" s="43">
        <f>1+18/24/60</f>
        <v>1.0125</v>
      </c>
      <c r="O268" s="43">
        <f>1+48/24/60</f>
        <v>1.0333333333333334</v>
      </c>
      <c r="P268" s="39"/>
      <c r="Q268" s="42" t="s">
        <v>366</v>
      </c>
      <c r="R268" s="29">
        <f>MIP_4[[#This Row],[PT-1]]+MIP_4[[#This Row],[PT-2]]*2+MIP_4[[#This Row],[PT-3]]*3+MIP_4[[#This Row],[PT &gt; 3 Pontos]]</f>
        <v>0</v>
      </c>
      <c r="S26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26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268" s="41">
        <f ca="1">MIP_4[[#This Row],[Eficiência]]</f>
        <v>0</v>
      </c>
      <c r="V26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68" s="39">
        <f>IF(MIP_4[[#This Row],[P.S]]-MIP_4[[#This Row],[P.E]]&lt;0,1+MIP_4[[#This Row],[P.S]]-MIP_4[[#This Row],[P.E]]-1/24,MIP_4[[#This Row],[P.S]]-MIP_4[[#This Row],[P.E]]-1/24)</f>
        <v>0.36666666666666675</v>
      </c>
      <c r="X268" s="39">
        <f ca="1">MIP_4[[#This Row],[PT-1]]*$S$3+MIP_4[[#This Row],[PT-2]]*$T$3+MIP_4[[#This Row],[PT-3]]*$U$3+MIP_4[[#This Row],[PT &gt; 3 Pontos]]*$V$3</f>
        <v>0</v>
      </c>
      <c r="Y268" s="39">
        <f>MIP_4[[#This Row],[HH disponível]]-MIP_4[[#This Row],[HH AC TOT]]</f>
        <v>0.3249999999999999</v>
      </c>
      <c r="Z268" s="38">
        <f ca="1">MIP_4[[#This Row],[HH Produtivo
Total]]/MIP_4[[#This Row],[HH Trabalhado]]</f>
        <v>0</v>
      </c>
      <c r="AA268" s="38">
        <f ca="1">MIP_4[[#This Row],[HH Produtivo
Total]]/MIP_4[[#This Row],[HH disponível]]</f>
        <v>0</v>
      </c>
      <c r="AB268" s="38">
        <f>MIP_4[[#This Row],[HH Trabalhado]]/MIP_4[[#This Row],[HH disponível]]</f>
        <v>0.88636363636363591</v>
      </c>
      <c r="AC268" s="37" t="str">
        <f>LEFT(MIP_4[[#This Row],[Equipe]], SEARCH("/",MIP_4[[#This Row],[Equipe]],1)-1)</f>
        <v xml:space="preserve">ANDERSON </v>
      </c>
      <c r="AD268" s="37" t="str">
        <f>RIGHT(MIP_4[[#This Row],[Equipe]], LEN(MIP_4[[#This Row],[Equipe]])-SEARCH("/",MIP_4[[#This Row],[Equipe]],1))</f>
        <v xml:space="preserve"> MARCO</v>
      </c>
      <c r="AE268" s="44">
        <f>COUNTIFS('[1]Tempo parado'!G:G,"&gt;="&amp;MIP_4[[#This Row],[S.B Sitrack]],'[1]Tempo parado'!H:H,"&lt;="&amp;MIP_4[[#This Row],[C.B Sitrack]],'[1]Tempo parado'!A:A,MIP_4[[#This Row],[Placa]])</f>
        <v>0</v>
      </c>
      <c r="AF268" s="36"/>
      <c r="AG268" s="35"/>
      <c r="AH268" s="34"/>
      <c r="AI268" s="34"/>
      <c r="AJ26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6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6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68" s="32" t="str">
        <f>IFERROR(MIP_4[[#This Row],[Tempo parado]]/(MIP_4[[#This Row],[C.B Sitrack]]-MIP_4[[#This Row],[S.B Sitrack]]),"")</f>
        <v/>
      </c>
      <c r="AN268" s="30"/>
      <c r="AO268" s="44">
        <f>IF(AND(MIP_4[Exc]=0,MIP_4[Previsto / Realizado]="Realizado"),MIP_4[Sem],0)</f>
        <v>0</v>
      </c>
      <c r="AP268" s="29">
        <f>IF(AND(MIP_4[Exc]=0,MIP_4[Previsto / Realizado]="Realizado",ISBLANK(MIP_4[[#This Row],[S.B Sitrack]])=FALSE,ISBLANK(MIP_4[[#This Row],[C.B Sitrack]])=FALSE),MIP_4[Sem],0)</f>
        <v>0</v>
      </c>
    </row>
    <row r="269" spans="1:42" ht="15.75" x14ac:dyDescent="0.25">
      <c r="A269" s="44">
        <f>WEEKNUM(MIP_4[[#This Row],[Data]])</f>
        <v>29</v>
      </c>
      <c r="B269" s="45">
        <v>42937</v>
      </c>
      <c r="C269" s="45"/>
      <c r="D269" s="35" t="s">
        <v>7</v>
      </c>
      <c r="E269" s="35" t="s">
        <v>2</v>
      </c>
      <c r="F269" s="35"/>
      <c r="G269" s="44" t="s">
        <v>365</v>
      </c>
      <c r="H269" s="44">
        <v>0</v>
      </c>
      <c r="I269" s="44">
        <v>2</v>
      </c>
      <c r="J269" s="44">
        <v>2</v>
      </c>
      <c r="K269" s="44">
        <v>0</v>
      </c>
      <c r="L269" s="43">
        <v>0.62986111111111109</v>
      </c>
      <c r="M269" s="43">
        <v>0.68055555555555547</v>
      </c>
      <c r="N269" s="43">
        <f>1+38/24/60</f>
        <v>1.0263888888888888</v>
      </c>
      <c r="O269" s="43">
        <f>1+59/24/60</f>
        <v>1.0409722222222222</v>
      </c>
      <c r="P269" s="39"/>
      <c r="Q269" s="42" t="s">
        <v>364</v>
      </c>
      <c r="R269" s="29">
        <f>MIP_4[[#This Row],[PT-1]]+MIP_4[[#This Row],[PT-2]]*2+MIP_4[[#This Row],[PT-3]]*3+MIP_4[[#This Row],[PT &gt; 3 Pontos]]</f>
        <v>10</v>
      </c>
      <c r="S26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6.5277777777777768E-2</v>
      </c>
      <c r="T26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6.5277777777777768E-2</v>
      </c>
      <c r="U269" s="41">
        <f ca="1">MIP_4[[#This Row],[Eficiência]]</f>
        <v>0.70159196942624591</v>
      </c>
      <c r="V26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69" s="39">
        <f>IF(MIP_4[[#This Row],[P.S]]-MIP_4[[#This Row],[P.E]]&lt;0,1+MIP_4[[#This Row],[P.S]]-MIP_4[[#This Row],[P.E]]-1/24,MIP_4[[#This Row],[P.S]]-MIP_4[[#This Row],[P.E]]-1/24)</f>
        <v>0.36944444444444441</v>
      </c>
      <c r="X269" s="39">
        <f ca="1">MIP_4[[#This Row],[PT-1]]*$S$3+MIP_4[[#This Row],[PT-2]]*$T$3+MIP_4[[#This Row],[PT-3]]*$U$3+MIP_4[[#This Row],[PT &gt; 3 Pontos]]*$V$3</f>
        <v>0.21340089070048313</v>
      </c>
      <c r="Y269" s="39">
        <f>MIP_4[[#This Row],[HH disponível]]-MIP_4[[#This Row],[HH AC TOT]]</f>
        <v>0.30416666666666664</v>
      </c>
      <c r="Z269" s="38">
        <f ca="1">MIP_4[[#This Row],[HH Produtivo
Total]]/MIP_4[[#This Row],[HH Trabalhado]]</f>
        <v>0.70159196942624591</v>
      </c>
      <c r="AA269" s="38">
        <f ca="1">MIP_4[[#This Row],[HH Produtivo
Total]]/MIP_4[[#This Row],[HH disponível]]</f>
        <v>0.57762647106897691</v>
      </c>
      <c r="AB269" s="38">
        <f>MIP_4[[#This Row],[HH Trabalhado]]/MIP_4[[#This Row],[HH disponível]]</f>
        <v>0.82330827067669177</v>
      </c>
      <c r="AC269" s="37" t="str">
        <f>LEFT(MIP_4[[#This Row],[Equipe]], SEARCH("/",MIP_4[[#This Row],[Equipe]],1)-1)</f>
        <v xml:space="preserve">ANDERSON </v>
      </c>
      <c r="AD269" s="37" t="str">
        <f>RIGHT(MIP_4[[#This Row],[Equipe]], LEN(MIP_4[[#This Row],[Equipe]])-SEARCH("/",MIP_4[[#This Row],[Equipe]],1))</f>
        <v xml:space="preserve"> MARCO</v>
      </c>
      <c r="AE269" s="44">
        <f>COUNTIFS('[1]Tempo parado'!G:G,"&gt;="&amp;MIP_4[[#This Row],[S.B Sitrack]],'[1]Tempo parado'!H:H,"&lt;="&amp;MIP_4[[#This Row],[C.B Sitrack]],'[1]Tempo parado'!A:A,MIP_4[[#This Row],[Placa]])</f>
        <v>0</v>
      </c>
      <c r="AF269" s="36"/>
      <c r="AG269" s="35"/>
      <c r="AH269" s="34"/>
      <c r="AI269" s="34"/>
      <c r="AJ26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6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6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69" s="32" t="str">
        <f>IFERROR(MIP_4[[#This Row],[Tempo parado]]/(MIP_4[[#This Row],[C.B Sitrack]]-MIP_4[[#This Row],[S.B Sitrack]]),"")</f>
        <v/>
      </c>
      <c r="AN269" s="30"/>
      <c r="AO269" s="44">
        <f>IF(AND(MIP_4[Exc]=0,MIP_4[Previsto / Realizado]="Realizado"),MIP_4[Sem],0)</f>
        <v>29</v>
      </c>
      <c r="AP269" s="29">
        <f>IF(AND(MIP_4[Exc]=0,MIP_4[Previsto / Realizado]="Realizado",ISBLANK(MIP_4[[#This Row],[S.B Sitrack]])=FALSE,ISBLANK(MIP_4[[#This Row],[C.B Sitrack]])=FALSE),MIP_4[Sem],0)</f>
        <v>0</v>
      </c>
    </row>
    <row r="270" spans="1:42" ht="15.75" x14ac:dyDescent="0.25">
      <c r="A270" s="44">
        <f>WEEKNUM(MIP_4[[#This Row],[Data]])</f>
        <v>29</v>
      </c>
      <c r="B270" s="45">
        <v>42938</v>
      </c>
      <c r="C270" s="45"/>
      <c r="D270" s="35" t="s">
        <v>10</v>
      </c>
      <c r="E270" s="35" t="s">
        <v>5</v>
      </c>
      <c r="F270" s="35"/>
      <c r="G270" s="44">
        <v>2</v>
      </c>
      <c r="H270" s="44">
        <v>1</v>
      </c>
      <c r="I270" s="44">
        <v>0</v>
      </c>
      <c r="J270" s="44">
        <v>0</v>
      </c>
      <c r="K270" s="44">
        <v>0</v>
      </c>
      <c r="L270" s="43">
        <v>0.25</v>
      </c>
      <c r="M270" s="43">
        <v>0.27083333333333331</v>
      </c>
      <c r="N270" s="43">
        <v>0.63750000000000007</v>
      </c>
      <c r="O270" s="43">
        <v>0.65833333333333333</v>
      </c>
      <c r="P270" s="39"/>
      <c r="Q270" s="42"/>
      <c r="R270" s="29">
        <f>MIP_4[[#This Row],[PT-1]]+MIP_4[[#This Row],[PT-2]]*2+MIP_4[[#This Row],[PT-3]]*3+MIP_4[[#This Row],[PT &gt; 3 Pontos]]</f>
        <v>1</v>
      </c>
      <c r="S27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27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270" s="41">
        <f ca="1">MIP_4[[#This Row],[Eficiência]]</f>
        <v>7.7002624489037469E-2</v>
      </c>
      <c r="V27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70" s="39">
        <f>IF(MIP_4[[#This Row],[P.S]]-MIP_4[[#This Row],[P.E]]&lt;0,1+MIP_4[[#This Row],[P.S]]-MIP_4[[#This Row],[P.E]]-1/24,MIP_4[[#This Row],[P.S]]-MIP_4[[#This Row],[P.E]]-1/24)</f>
        <v>0.36666666666666664</v>
      </c>
      <c r="X270" s="39">
        <f ca="1">MIP_4[[#This Row],[PT-1]]*$S$3+MIP_4[[#This Row],[PT-2]]*$T$3+MIP_4[[#This Row],[PT-3]]*$U$3+MIP_4[[#This Row],[PT &gt; 3 Pontos]]*$V$3</f>
        <v>2.5025852958937181E-2</v>
      </c>
      <c r="Y270" s="39">
        <f>MIP_4[[#This Row],[HH disponível]]-MIP_4[[#This Row],[HH AC TOT]]</f>
        <v>0.32500000000000007</v>
      </c>
      <c r="Z270" s="38">
        <f ca="1">MIP_4[[#This Row],[HH Produtivo
Total]]/MIP_4[[#This Row],[HH Trabalhado]]</f>
        <v>7.7002624489037469E-2</v>
      </c>
      <c r="AA270" s="38">
        <f ca="1">MIP_4[[#This Row],[HH Produtivo
Total]]/MIP_4[[#This Row],[HH disponível]]</f>
        <v>6.8252326251646858E-2</v>
      </c>
      <c r="AB270" s="38">
        <f>MIP_4[[#This Row],[HH Trabalhado]]/MIP_4[[#This Row],[HH disponível]]</f>
        <v>0.88636363636363658</v>
      </c>
      <c r="AC270" s="37" t="str">
        <f>LEFT(MIP_4[[#This Row],[Equipe]], SEARCH("/",MIP_4[[#This Row],[Equipe]],1)-1)</f>
        <v xml:space="preserve">JOILSON </v>
      </c>
      <c r="AD270" s="37" t="str">
        <f>RIGHT(MIP_4[[#This Row],[Equipe]], LEN(MIP_4[[#This Row],[Equipe]])-SEARCH("/",MIP_4[[#This Row],[Equipe]],1))</f>
        <v xml:space="preserve"> VALDEI</v>
      </c>
      <c r="AE270" s="44">
        <f>COUNTIFS('[1]Tempo parado'!G:G,"&gt;="&amp;MIP_4[[#This Row],[S.B Sitrack]],'[1]Tempo parado'!H:H,"&lt;="&amp;MIP_4[[#This Row],[C.B Sitrack]],'[1]Tempo parado'!A:A,MIP_4[[#This Row],[Placa]])</f>
        <v>0</v>
      </c>
      <c r="AF270" s="36"/>
      <c r="AG270" s="35"/>
      <c r="AH270" s="34"/>
      <c r="AI270" s="34"/>
      <c r="AJ27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7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7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70" s="32" t="str">
        <f>IFERROR(MIP_4[[#This Row],[Tempo parado]]/(MIP_4[[#This Row],[C.B Sitrack]]-MIP_4[[#This Row],[S.B Sitrack]]),"")</f>
        <v/>
      </c>
      <c r="AN270" s="30"/>
      <c r="AO270" s="44">
        <f>IF(AND(MIP_4[Exc]=0,MIP_4[Previsto / Realizado]="Realizado"),MIP_4[Sem],0)</f>
        <v>0</v>
      </c>
      <c r="AP270" s="29">
        <f>IF(AND(MIP_4[Exc]=0,MIP_4[Previsto / Realizado]="Realizado",ISBLANK(MIP_4[[#This Row],[S.B Sitrack]])=FALSE,ISBLANK(MIP_4[[#This Row],[C.B Sitrack]])=FALSE),MIP_4[Sem],0)</f>
        <v>0</v>
      </c>
    </row>
    <row r="271" spans="1:42" ht="15.75" x14ac:dyDescent="0.25">
      <c r="A271" s="44">
        <f>WEEKNUM(MIP_4[[#This Row],[Data]])</f>
        <v>29</v>
      </c>
      <c r="B271" s="45">
        <v>42938</v>
      </c>
      <c r="C271" s="45"/>
      <c r="D271" s="35" t="s">
        <v>10</v>
      </c>
      <c r="E271" s="35" t="s">
        <v>2</v>
      </c>
      <c r="F271" s="35"/>
      <c r="G271" s="44">
        <v>2</v>
      </c>
      <c r="H271" s="44">
        <f>1+1</f>
        <v>2</v>
      </c>
      <c r="I271" s="44">
        <v>0</v>
      </c>
      <c r="J271" s="44">
        <f>1</f>
        <v>1</v>
      </c>
      <c r="K271" s="44">
        <v>5</v>
      </c>
      <c r="L271" s="43">
        <v>0.24652777777777779</v>
      </c>
      <c r="M271" s="43">
        <v>0.27777777777777779</v>
      </c>
      <c r="N271" s="43">
        <v>0.64583333333333337</v>
      </c>
      <c r="O271" s="43">
        <v>0.66527777777777775</v>
      </c>
      <c r="P271" s="39"/>
      <c r="Q271" s="42" t="s">
        <v>363</v>
      </c>
      <c r="R271" s="29">
        <f>MIP_4[[#This Row],[PT-1]]+MIP_4[[#This Row],[PT-2]]*2+MIP_4[[#This Row],[PT-3]]*3+MIP_4[[#This Row],[PT &gt; 3 Pontos]]</f>
        <v>10</v>
      </c>
      <c r="S27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5.0694444444444375E-2</v>
      </c>
      <c r="T27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5.0694444444444375E-2</v>
      </c>
      <c r="U271" s="41">
        <f ca="1">MIP_4[[#This Row],[Eficiência]]</f>
        <v>0.65591521910439587</v>
      </c>
      <c r="V27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71" s="39">
        <f>IF(MIP_4[[#This Row],[P.S]]-MIP_4[[#This Row],[P.E]]&lt;0,1+MIP_4[[#This Row],[P.S]]-MIP_4[[#This Row],[P.E]]-1/24,MIP_4[[#This Row],[P.S]]-MIP_4[[#This Row],[P.E]]-1/24)</f>
        <v>0.37708333333333327</v>
      </c>
      <c r="X271" s="39">
        <f ca="1">MIP_4[[#This Row],[PT-1]]*$S$3+MIP_4[[#This Row],[PT-2]]*$T$3+MIP_4[[#This Row],[PT-3]]*$U$3+MIP_4[[#This Row],[PT &gt; 3 Pontos]]*$V$3</f>
        <v>0.21408343956879589</v>
      </c>
      <c r="Y271" s="39">
        <f>MIP_4[[#This Row],[HH disponível]]-MIP_4[[#This Row],[HH AC TOT]]</f>
        <v>0.3263888888888889</v>
      </c>
      <c r="Z271" s="38">
        <f ca="1">MIP_4[[#This Row],[HH Produtivo
Total]]/MIP_4[[#This Row],[HH Trabalhado]]</f>
        <v>0.65591521910439587</v>
      </c>
      <c r="AA271" s="38">
        <f ca="1">MIP_4[[#This Row],[HH Produtivo
Total]]/MIP_4[[#This Row],[HH disponível]]</f>
        <v>0.56773508835923781</v>
      </c>
      <c r="AB271" s="38">
        <f>MIP_4[[#This Row],[HH Trabalhado]]/MIP_4[[#This Row],[HH disponível]]</f>
        <v>0.86556169429097618</v>
      </c>
      <c r="AC271" s="37" t="str">
        <f>LEFT(MIP_4[[#This Row],[Equipe]], SEARCH("/",MIP_4[[#This Row],[Equipe]],1)-1)</f>
        <v xml:space="preserve">JOILSON </v>
      </c>
      <c r="AD271" s="37" t="str">
        <f>RIGHT(MIP_4[[#This Row],[Equipe]], LEN(MIP_4[[#This Row],[Equipe]])-SEARCH("/",MIP_4[[#This Row],[Equipe]],1))</f>
        <v xml:space="preserve"> VALDEI</v>
      </c>
      <c r="AE271" s="44">
        <f>COUNTIFS('[1]Tempo parado'!G:G,"&gt;="&amp;MIP_4[[#This Row],[S.B Sitrack]],'[1]Tempo parado'!H:H,"&lt;="&amp;MIP_4[[#This Row],[C.B Sitrack]],'[1]Tempo parado'!A:A,MIP_4[[#This Row],[Placa]])</f>
        <v>0</v>
      </c>
      <c r="AF271" s="36"/>
      <c r="AG271" s="35"/>
      <c r="AH271" s="34"/>
      <c r="AI271" s="34"/>
      <c r="AJ27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7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7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71" s="32" t="str">
        <f>IFERROR(MIP_4[[#This Row],[Tempo parado]]/(MIP_4[[#This Row],[C.B Sitrack]]-MIP_4[[#This Row],[S.B Sitrack]]),"")</f>
        <v/>
      </c>
      <c r="AN271" s="30"/>
      <c r="AO271" s="44">
        <f>IF(AND(MIP_4[Exc]=0,MIP_4[Previsto / Realizado]="Realizado"),MIP_4[Sem],0)</f>
        <v>29</v>
      </c>
      <c r="AP271" s="29">
        <f>IF(AND(MIP_4[Exc]=0,MIP_4[Previsto / Realizado]="Realizado",ISBLANK(MIP_4[[#This Row],[S.B Sitrack]])=FALSE,ISBLANK(MIP_4[[#This Row],[C.B Sitrack]])=FALSE),MIP_4[Sem],0)</f>
        <v>0</v>
      </c>
    </row>
    <row r="272" spans="1:42" ht="15.75" x14ac:dyDescent="0.25">
      <c r="A272" s="44">
        <f>WEEKNUM(MIP_4[[#This Row],[Data]])</f>
        <v>29</v>
      </c>
      <c r="B272" s="45">
        <v>42938</v>
      </c>
      <c r="C272" s="45"/>
      <c r="D272" s="35" t="s">
        <v>19</v>
      </c>
      <c r="E272" s="35" t="s">
        <v>5</v>
      </c>
      <c r="F272" s="35"/>
      <c r="G272" s="44">
        <v>2</v>
      </c>
      <c r="H272" s="44">
        <v>0</v>
      </c>
      <c r="I272" s="44">
        <v>0</v>
      </c>
      <c r="J272" s="44">
        <v>0</v>
      </c>
      <c r="K272" s="44">
        <v>0</v>
      </c>
      <c r="L272" s="43">
        <v>0.625</v>
      </c>
      <c r="M272" s="43">
        <v>0.64583333333333337</v>
      </c>
      <c r="N272" s="43">
        <f>1+18/24/60</f>
        <v>1.0125</v>
      </c>
      <c r="O272" s="43">
        <f>1+48/24/60</f>
        <v>1.0333333333333334</v>
      </c>
      <c r="P272" s="39"/>
      <c r="Q272" s="42"/>
      <c r="R272" s="29">
        <f>MIP_4[[#This Row],[PT-1]]+MIP_4[[#This Row],[PT-2]]*2+MIP_4[[#This Row],[PT-3]]*3+MIP_4[[#This Row],[PT &gt; 3 Pontos]]</f>
        <v>0</v>
      </c>
      <c r="S27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27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272" s="41">
        <f ca="1">MIP_4[[#This Row],[Eficiência]]</f>
        <v>0</v>
      </c>
      <c r="V27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72" s="39">
        <f>IF(MIP_4[[#This Row],[P.S]]-MIP_4[[#This Row],[P.E]]&lt;0,1+MIP_4[[#This Row],[P.S]]-MIP_4[[#This Row],[P.E]]-1/24,MIP_4[[#This Row],[P.S]]-MIP_4[[#This Row],[P.E]]-1/24)</f>
        <v>0.36666666666666675</v>
      </c>
      <c r="X272" s="39">
        <f ca="1">MIP_4[[#This Row],[PT-1]]*$S$3+MIP_4[[#This Row],[PT-2]]*$T$3+MIP_4[[#This Row],[PT-3]]*$U$3+MIP_4[[#This Row],[PT &gt; 3 Pontos]]*$V$3</f>
        <v>0</v>
      </c>
      <c r="Y272" s="39">
        <f>MIP_4[[#This Row],[HH disponível]]-MIP_4[[#This Row],[HH AC TOT]]</f>
        <v>0.3249999999999999</v>
      </c>
      <c r="Z272" s="38">
        <f ca="1">MIP_4[[#This Row],[HH Produtivo
Total]]/MIP_4[[#This Row],[HH Trabalhado]]</f>
        <v>0</v>
      </c>
      <c r="AA272" s="38">
        <f ca="1">MIP_4[[#This Row],[HH Produtivo
Total]]/MIP_4[[#This Row],[HH disponível]]</f>
        <v>0</v>
      </c>
      <c r="AB272" s="38">
        <f>MIP_4[[#This Row],[HH Trabalhado]]/MIP_4[[#This Row],[HH disponível]]</f>
        <v>0.88636363636363591</v>
      </c>
      <c r="AC272" s="37" t="str">
        <f>LEFT(MIP_4[[#This Row],[Equipe]], SEARCH("/",MIP_4[[#This Row],[Equipe]],1)-1)</f>
        <v xml:space="preserve">ADEMÁRIO </v>
      </c>
      <c r="AD272" s="37" t="str">
        <f>RIGHT(MIP_4[[#This Row],[Equipe]], LEN(MIP_4[[#This Row],[Equipe]])-SEARCH("/",MIP_4[[#This Row],[Equipe]],1))</f>
        <v xml:space="preserve"> RONALDO</v>
      </c>
      <c r="AE272" s="44">
        <f>COUNTIFS('[1]Tempo parado'!G:G,"&gt;="&amp;MIP_4[[#This Row],[S.B Sitrack]],'[1]Tempo parado'!H:H,"&lt;="&amp;MIP_4[[#This Row],[C.B Sitrack]],'[1]Tempo parado'!A:A,MIP_4[[#This Row],[Placa]])</f>
        <v>0</v>
      </c>
      <c r="AF272" s="36"/>
      <c r="AG272" s="35"/>
      <c r="AH272" s="34"/>
      <c r="AI272" s="34"/>
      <c r="AJ27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7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7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72" s="32" t="str">
        <f>IFERROR(MIP_4[[#This Row],[Tempo parado]]/(MIP_4[[#This Row],[C.B Sitrack]]-MIP_4[[#This Row],[S.B Sitrack]]),"")</f>
        <v/>
      </c>
      <c r="AN272" s="30"/>
      <c r="AO272" s="44">
        <f>IF(AND(MIP_4[Exc]=0,MIP_4[Previsto / Realizado]="Realizado"),MIP_4[Sem],0)</f>
        <v>0</v>
      </c>
      <c r="AP272" s="29">
        <f>IF(AND(MIP_4[Exc]=0,MIP_4[Previsto / Realizado]="Realizado",ISBLANK(MIP_4[[#This Row],[S.B Sitrack]])=FALSE,ISBLANK(MIP_4[[#This Row],[C.B Sitrack]])=FALSE),MIP_4[Sem],0)</f>
        <v>0</v>
      </c>
    </row>
    <row r="273" spans="1:42" ht="15.75" x14ac:dyDescent="0.25">
      <c r="A273" s="44">
        <f>WEEKNUM(MIP_4[[#This Row],[Data]])</f>
        <v>29</v>
      </c>
      <c r="B273" s="45">
        <v>42938</v>
      </c>
      <c r="C273" s="45"/>
      <c r="D273" s="35" t="s">
        <v>19</v>
      </c>
      <c r="E273" s="35" t="s">
        <v>2</v>
      </c>
      <c r="F273" s="35"/>
      <c r="G273" s="44">
        <v>2</v>
      </c>
      <c r="H273" s="44">
        <v>0</v>
      </c>
      <c r="I273" s="44">
        <v>0</v>
      </c>
      <c r="J273" s="44">
        <v>0</v>
      </c>
      <c r="K273" s="44">
        <v>10</v>
      </c>
      <c r="L273" s="43">
        <v>0.64652777777777781</v>
      </c>
      <c r="M273" s="43">
        <v>0.67361111111111116</v>
      </c>
      <c r="N273" s="43">
        <f>1+31/24/60</f>
        <v>1.0215277777777778</v>
      </c>
      <c r="O273" s="43">
        <f>1+48/24/60</f>
        <v>1.0333333333333334</v>
      </c>
      <c r="P273" s="39"/>
      <c r="Q273" s="42" t="s">
        <v>362</v>
      </c>
      <c r="R273" s="29">
        <f>MIP_4[[#This Row],[PT-1]]+MIP_4[[#This Row],[PT-2]]*2+MIP_4[[#This Row],[PT-3]]*3+MIP_4[[#This Row],[PT &gt; 3 Pontos]]</f>
        <v>10</v>
      </c>
      <c r="S27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3.8888888888888973E-2</v>
      </c>
      <c r="T27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3.8888888888888973E-2</v>
      </c>
      <c r="U273" s="41">
        <f ca="1">MIP_4[[#This Row],[Eficiência]]</f>
        <v>0.66115953896319701</v>
      </c>
      <c r="V27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73" s="39">
        <f>IF(MIP_4[[#This Row],[P.S]]-MIP_4[[#This Row],[P.E]]&lt;0,1+MIP_4[[#This Row],[P.S]]-MIP_4[[#This Row],[P.E]]-1/24,MIP_4[[#This Row],[P.S]]-MIP_4[[#This Row],[P.E]]-1/24)</f>
        <v>0.34513888888888894</v>
      </c>
      <c r="X273" s="39">
        <f ca="1">MIP_4[[#This Row],[PT-1]]*$S$3+MIP_4[[#This Row],[PT-2]]*$T$3+MIP_4[[#This Row],[PT-3]]*$U$3+MIP_4[[#This Row],[PT &gt; 3 Pontos]]*$V$3</f>
        <v>0.20248010880747908</v>
      </c>
      <c r="Y273" s="39">
        <f>MIP_4[[#This Row],[HH disponível]]-MIP_4[[#This Row],[HH AC TOT]]</f>
        <v>0.30624999999999997</v>
      </c>
      <c r="Z273" s="38">
        <f ca="1">MIP_4[[#This Row],[HH Produtivo
Total]]/MIP_4[[#This Row],[HH Trabalhado]]</f>
        <v>0.66115953896319701</v>
      </c>
      <c r="AA273" s="38">
        <f ca="1">MIP_4[[#This Row],[HH Produtivo
Total]]/MIP_4[[#This Row],[HH disponível]]</f>
        <v>0.58666268950255496</v>
      </c>
      <c r="AB273" s="38">
        <f>MIP_4[[#This Row],[HH Trabalhado]]/MIP_4[[#This Row],[HH disponível]]</f>
        <v>0.88732394366197165</v>
      </c>
      <c r="AC273" s="37" t="str">
        <f>LEFT(MIP_4[[#This Row],[Equipe]], SEARCH("/",MIP_4[[#This Row],[Equipe]],1)-1)</f>
        <v xml:space="preserve">ADEMÁRIO </v>
      </c>
      <c r="AD273" s="37" t="str">
        <f>RIGHT(MIP_4[[#This Row],[Equipe]], LEN(MIP_4[[#This Row],[Equipe]])-SEARCH("/",MIP_4[[#This Row],[Equipe]],1))</f>
        <v xml:space="preserve"> RONALDO</v>
      </c>
      <c r="AE273" s="44">
        <f>COUNTIFS('[1]Tempo parado'!G:G,"&gt;="&amp;MIP_4[[#This Row],[S.B Sitrack]],'[1]Tempo parado'!H:H,"&lt;="&amp;MIP_4[[#This Row],[C.B Sitrack]],'[1]Tempo parado'!A:A,MIP_4[[#This Row],[Placa]])</f>
        <v>0</v>
      </c>
      <c r="AF273" s="36"/>
      <c r="AG273" s="35"/>
      <c r="AH273" s="34"/>
      <c r="AI273" s="34"/>
      <c r="AJ27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7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7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73" s="32" t="str">
        <f>IFERROR(MIP_4[[#This Row],[Tempo parado]]/(MIP_4[[#This Row],[C.B Sitrack]]-MIP_4[[#This Row],[S.B Sitrack]]),"")</f>
        <v/>
      </c>
      <c r="AN273" s="30"/>
      <c r="AO273" s="44">
        <f>IF(AND(MIP_4[Exc]=0,MIP_4[Previsto / Realizado]="Realizado"),MIP_4[Sem],0)</f>
        <v>29</v>
      </c>
      <c r="AP273" s="29">
        <f>IF(AND(MIP_4[Exc]=0,MIP_4[Previsto / Realizado]="Realizado",ISBLANK(MIP_4[[#This Row],[S.B Sitrack]])=FALSE,ISBLANK(MIP_4[[#This Row],[C.B Sitrack]])=FALSE),MIP_4[Sem],0)</f>
        <v>0</v>
      </c>
    </row>
    <row r="274" spans="1:42" ht="15.75" x14ac:dyDescent="0.25">
      <c r="A274" s="44">
        <f>WEEKNUM(MIP_4[[#This Row],[Data]])</f>
        <v>30</v>
      </c>
      <c r="B274" s="45">
        <v>42939</v>
      </c>
      <c r="C274" s="45"/>
      <c r="D274" s="35" t="s">
        <v>10</v>
      </c>
      <c r="E274" s="35" t="s">
        <v>5</v>
      </c>
      <c r="F274" s="35"/>
      <c r="G274" s="44">
        <v>2</v>
      </c>
      <c r="H274" s="44">
        <v>0</v>
      </c>
      <c r="I274" s="44">
        <v>0</v>
      </c>
      <c r="J274" s="44">
        <v>0</v>
      </c>
      <c r="K274" s="44">
        <v>0</v>
      </c>
      <c r="L274" s="43">
        <v>0.25</v>
      </c>
      <c r="M274" s="43">
        <v>0.27083333333333331</v>
      </c>
      <c r="N274" s="43">
        <v>0.63750000000000007</v>
      </c>
      <c r="O274" s="43">
        <v>0.65833333333333333</v>
      </c>
      <c r="P274" s="39"/>
      <c r="Q274" s="42"/>
      <c r="R274" s="29">
        <f>MIP_4[[#This Row],[PT-1]]+MIP_4[[#This Row],[PT-2]]*2+MIP_4[[#This Row],[PT-3]]*3+MIP_4[[#This Row],[PT &gt; 3 Pontos]]</f>
        <v>0</v>
      </c>
      <c r="S27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27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274" s="41">
        <f ca="1">MIP_4[[#This Row],[Eficiência]]</f>
        <v>0</v>
      </c>
      <c r="V27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74" s="39">
        <f>IF(MIP_4[[#This Row],[P.S]]-MIP_4[[#This Row],[P.E]]&lt;0,1+MIP_4[[#This Row],[P.S]]-MIP_4[[#This Row],[P.E]]-1/24,MIP_4[[#This Row],[P.S]]-MIP_4[[#This Row],[P.E]]-1/24)</f>
        <v>0.36666666666666664</v>
      </c>
      <c r="X274" s="39">
        <f ca="1">MIP_4[[#This Row],[PT-1]]*$S$3+MIP_4[[#This Row],[PT-2]]*$T$3+MIP_4[[#This Row],[PT-3]]*$U$3+MIP_4[[#This Row],[PT &gt; 3 Pontos]]*$V$3</f>
        <v>0</v>
      </c>
      <c r="Y274" s="39">
        <f>MIP_4[[#This Row],[HH disponível]]-MIP_4[[#This Row],[HH AC TOT]]</f>
        <v>0.32500000000000007</v>
      </c>
      <c r="Z274" s="38">
        <f ca="1">MIP_4[[#This Row],[HH Produtivo
Total]]/MIP_4[[#This Row],[HH Trabalhado]]</f>
        <v>0</v>
      </c>
      <c r="AA274" s="38">
        <f ca="1">MIP_4[[#This Row],[HH Produtivo
Total]]/MIP_4[[#This Row],[HH disponível]]</f>
        <v>0</v>
      </c>
      <c r="AB274" s="38">
        <f>MIP_4[[#This Row],[HH Trabalhado]]/MIP_4[[#This Row],[HH disponível]]</f>
        <v>0.88636363636363658</v>
      </c>
      <c r="AC274" s="37" t="str">
        <f>LEFT(MIP_4[[#This Row],[Equipe]], SEARCH("/",MIP_4[[#This Row],[Equipe]],1)-1)</f>
        <v xml:space="preserve">JOILSON </v>
      </c>
      <c r="AD274" s="37" t="str">
        <f>RIGHT(MIP_4[[#This Row],[Equipe]], LEN(MIP_4[[#This Row],[Equipe]])-SEARCH("/",MIP_4[[#This Row],[Equipe]],1))</f>
        <v xml:space="preserve"> VALDEI</v>
      </c>
      <c r="AE274" s="44">
        <f>COUNTIFS('[1]Tempo parado'!G:G,"&gt;="&amp;MIP_4[[#This Row],[S.B Sitrack]],'[1]Tempo parado'!H:H,"&lt;="&amp;MIP_4[[#This Row],[C.B Sitrack]],'[1]Tempo parado'!A:A,MIP_4[[#This Row],[Placa]])</f>
        <v>0</v>
      </c>
      <c r="AF274" s="36"/>
      <c r="AG274" s="35"/>
      <c r="AH274" s="34"/>
      <c r="AI274" s="34"/>
      <c r="AJ27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7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7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74" s="32" t="str">
        <f>IFERROR(MIP_4[[#This Row],[Tempo parado]]/(MIP_4[[#This Row],[C.B Sitrack]]-MIP_4[[#This Row],[S.B Sitrack]]),"")</f>
        <v/>
      </c>
      <c r="AN274" s="30"/>
      <c r="AO274" s="44">
        <f>IF(AND(MIP_4[Exc]=0,MIP_4[Previsto / Realizado]="Realizado"),MIP_4[Sem],0)</f>
        <v>0</v>
      </c>
      <c r="AP274" s="29">
        <f>IF(AND(MIP_4[Exc]=0,MIP_4[Previsto / Realizado]="Realizado",ISBLANK(MIP_4[[#This Row],[S.B Sitrack]])=FALSE,ISBLANK(MIP_4[[#This Row],[C.B Sitrack]])=FALSE),MIP_4[Sem],0)</f>
        <v>0</v>
      </c>
    </row>
    <row r="275" spans="1:42" ht="15.75" x14ac:dyDescent="0.25">
      <c r="A275" s="44">
        <f>WEEKNUM(MIP_4[[#This Row],[Data]])</f>
        <v>30</v>
      </c>
      <c r="B275" s="45">
        <v>42939</v>
      </c>
      <c r="C275" s="45"/>
      <c r="D275" s="35" t="s">
        <v>10</v>
      </c>
      <c r="E275" s="35" t="s">
        <v>2</v>
      </c>
      <c r="F275" s="35"/>
      <c r="G275" s="44">
        <v>2</v>
      </c>
      <c r="H275" s="44">
        <v>0</v>
      </c>
      <c r="I275" s="44">
        <v>0</v>
      </c>
      <c r="J275" s="44">
        <v>0</v>
      </c>
      <c r="K275" s="44">
        <v>17</v>
      </c>
      <c r="L275" s="43">
        <v>0.25347222222222221</v>
      </c>
      <c r="M275" s="43">
        <v>0.27083333333333331</v>
      </c>
      <c r="N275" s="43">
        <v>0.63472222222222219</v>
      </c>
      <c r="O275" s="43">
        <v>0.66249999999999998</v>
      </c>
      <c r="P275" s="39"/>
      <c r="Q275" s="42" t="s">
        <v>361</v>
      </c>
      <c r="R275" s="29">
        <f>MIP_4[[#This Row],[PT-1]]+MIP_4[[#This Row],[PT-2]]*2+MIP_4[[#This Row],[PT-3]]*3+MIP_4[[#This Row],[PT &gt; 3 Pontos]]</f>
        <v>17</v>
      </c>
      <c r="S27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4.5138888888888895E-2</v>
      </c>
      <c r="T27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4.5138888888888895E-2</v>
      </c>
      <c r="U275" s="41">
        <f ca="1">MIP_4[[#This Row],[Eficiência]]</f>
        <v>1.0682571257773898</v>
      </c>
      <c r="V27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75" s="39">
        <f>IF(MIP_4[[#This Row],[P.S]]-MIP_4[[#This Row],[P.E]]&lt;0,1+MIP_4[[#This Row],[P.S]]-MIP_4[[#This Row],[P.E]]-1/24,MIP_4[[#This Row],[P.S]]-MIP_4[[#This Row],[P.E]]-1/24)</f>
        <v>0.36736111111111108</v>
      </c>
      <c r="X275" s="39">
        <f ca="1">MIP_4[[#This Row],[PT-1]]*$S$3+MIP_4[[#This Row],[PT-2]]*$T$3+MIP_4[[#This Row],[PT-3]]*$U$3+MIP_4[[#This Row],[PT &gt; 3 Pontos]]*$V$3</f>
        <v>0.34421618497271445</v>
      </c>
      <c r="Y275" s="39">
        <f>MIP_4[[#This Row],[HH disponível]]-MIP_4[[#This Row],[HH AC TOT]]</f>
        <v>0.32222222222222219</v>
      </c>
      <c r="Z275" s="38">
        <f ca="1">MIP_4[[#This Row],[HH Produtivo
Total]]/MIP_4[[#This Row],[HH Trabalhado]]</f>
        <v>1.0682571257773898</v>
      </c>
      <c r="AA275" s="38">
        <f ca="1">MIP_4[[#This Row],[HH Produtivo
Total]]/MIP_4[[#This Row],[HH disponível]]</f>
        <v>0.9369967984134383</v>
      </c>
      <c r="AB275" s="38">
        <f>MIP_4[[#This Row],[HH Trabalhado]]/MIP_4[[#This Row],[HH disponível]]</f>
        <v>0.87712665406427215</v>
      </c>
      <c r="AC275" s="37" t="str">
        <f>LEFT(MIP_4[[#This Row],[Equipe]], SEARCH("/",MIP_4[[#This Row],[Equipe]],1)-1)</f>
        <v xml:space="preserve">JOILSON </v>
      </c>
      <c r="AD275" s="37" t="str">
        <f>RIGHT(MIP_4[[#This Row],[Equipe]], LEN(MIP_4[[#This Row],[Equipe]])-SEARCH("/",MIP_4[[#This Row],[Equipe]],1))</f>
        <v xml:space="preserve"> VALDEI</v>
      </c>
      <c r="AE275" s="44">
        <f>COUNTIFS('[1]Tempo parado'!G:G,"&gt;="&amp;MIP_4[[#This Row],[S.B Sitrack]],'[1]Tempo parado'!H:H,"&lt;="&amp;MIP_4[[#This Row],[C.B Sitrack]],'[1]Tempo parado'!A:A,MIP_4[[#This Row],[Placa]])</f>
        <v>0</v>
      </c>
      <c r="AF275" s="36"/>
      <c r="AG275" s="35"/>
      <c r="AH275" s="34"/>
      <c r="AI275" s="34"/>
      <c r="AJ27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7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7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75" s="32" t="str">
        <f>IFERROR(MIP_4[[#This Row],[Tempo parado]]/(MIP_4[[#This Row],[C.B Sitrack]]-MIP_4[[#This Row],[S.B Sitrack]]),"")</f>
        <v/>
      </c>
      <c r="AN275" s="30"/>
      <c r="AO275" s="44">
        <f>IF(AND(MIP_4[Exc]=0,MIP_4[Previsto / Realizado]="Realizado"),MIP_4[Sem],0)</f>
        <v>30</v>
      </c>
      <c r="AP275" s="29">
        <f>IF(AND(MIP_4[Exc]=0,MIP_4[Previsto / Realizado]="Realizado",ISBLANK(MIP_4[[#This Row],[S.B Sitrack]])=FALSE,ISBLANK(MIP_4[[#This Row],[C.B Sitrack]])=FALSE),MIP_4[Sem],0)</f>
        <v>0</v>
      </c>
    </row>
    <row r="276" spans="1:42" ht="15.75" x14ac:dyDescent="0.25">
      <c r="A276" s="44">
        <f>WEEKNUM(MIP_4[[#This Row],[Data]])</f>
        <v>30</v>
      </c>
      <c r="B276" s="45">
        <v>42939</v>
      </c>
      <c r="C276" s="45"/>
      <c r="D276" s="35" t="s">
        <v>19</v>
      </c>
      <c r="E276" s="35" t="s">
        <v>5</v>
      </c>
      <c r="F276" s="35"/>
      <c r="G276" s="44">
        <v>2</v>
      </c>
      <c r="H276" s="44">
        <v>0</v>
      </c>
      <c r="I276" s="44">
        <v>0</v>
      </c>
      <c r="J276" s="44">
        <v>0</v>
      </c>
      <c r="K276" s="44">
        <v>0</v>
      </c>
      <c r="L276" s="43">
        <v>0.625</v>
      </c>
      <c r="M276" s="43">
        <v>0.64583333333333337</v>
      </c>
      <c r="N276" s="43">
        <f>1+18/24/60</f>
        <v>1.0125</v>
      </c>
      <c r="O276" s="43">
        <f>1+48/24/60</f>
        <v>1.0333333333333334</v>
      </c>
      <c r="P276" s="39"/>
      <c r="Q276" s="42"/>
      <c r="R276" s="29">
        <f>MIP_4[[#This Row],[PT-1]]+MIP_4[[#This Row],[PT-2]]*2+MIP_4[[#This Row],[PT-3]]*3+MIP_4[[#This Row],[PT &gt; 3 Pontos]]</f>
        <v>0</v>
      </c>
      <c r="S27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27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276" s="41">
        <f ca="1">MIP_4[[#This Row],[Eficiência]]</f>
        <v>0</v>
      </c>
      <c r="V27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76" s="39">
        <f>IF(MIP_4[[#This Row],[P.S]]-MIP_4[[#This Row],[P.E]]&lt;0,1+MIP_4[[#This Row],[P.S]]-MIP_4[[#This Row],[P.E]]-1/24,MIP_4[[#This Row],[P.S]]-MIP_4[[#This Row],[P.E]]-1/24)</f>
        <v>0.36666666666666675</v>
      </c>
      <c r="X276" s="39">
        <f ca="1">MIP_4[[#This Row],[PT-1]]*$S$3+MIP_4[[#This Row],[PT-2]]*$T$3+MIP_4[[#This Row],[PT-3]]*$U$3+MIP_4[[#This Row],[PT &gt; 3 Pontos]]*$V$3</f>
        <v>0</v>
      </c>
      <c r="Y276" s="39">
        <f>MIP_4[[#This Row],[HH disponível]]-MIP_4[[#This Row],[HH AC TOT]]</f>
        <v>0.3249999999999999</v>
      </c>
      <c r="Z276" s="38">
        <f ca="1">MIP_4[[#This Row],[HH Produtivo
Total]]/MIP_4[[#This Row],[HH Trabalhado]]</f>
        <v>0</v>
      </c>
      <c r="AA276" s="38">
        <f ca="1">MIP_4[[#This Row],[HH Produtivo
Total]]/MIP_4[[#This Row],[HH disponível]]</f>
        <v>0</v>
      </c>
      <c r="AB276" s="38">
        <f>MIP_4[[#This Row],[HH Trabalhado]]/MIP_4[[#This Row],[HH disponível]]</f>
        <v>0.88636363636363591</v>
      </c>
      <c r="AC276" s="37" t="str">
        <f>LEFT(MIP_4[[#This Row],[Equipe]], SEARCH("/",MIP_4[[#This Row],[Equipe]],1)-1)</f>
        <v xml:space="preserve">ADEMÁRIO </v>
      </c>
      <c r="AD276" s="37" t="str">
        <f>RIGHT(MIP_4[[#This Row],[Equipe]], LEN(MIP_4[[#This Row],[Equipe]])-SEARCH("/",MIP_4[[#This Row],[Equipe]],1))</f>
        <v xml:space="preserve"> RONALDO</v>
      </c>
      <c r="AE276" s="44">
        <f>COUNTIFS('[1]Tempo parado'!G:G,"&gt;="&amp;MIP_4[[#This Row],[S.B Sitrack]],'[1]Tempo parado'!H:H,"&lt;="&amp;MIP_4[[#This Row],[C.B Sitrack]],'[1]Tempo parado'!A:A,MIP_4[[#This Row],[Placa]])</f>
        <v>0</v>
      </c>
      <c r="AF276" s="36"/>
      <c r="AG276" s="35"/>
      <c r="AH276" s="34"/>
      <c r="AI276" s="34"/>
      <c r="AJ27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7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7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76" s="32" t="str">
        <f>IFERROR(MIP_4[[#This Row],[Tempo parado]]/(MIP_4[[#This Row],[C.B Sitrack]]-MIP_4[[#This Row],[S.B Sitrack]]),"")</f>
        <v/>
      </c>
      <c r="AN276" s="30"/>
      <c r="AO276" s="44">
        <f>IF(AND(MIP_4[Exc]=0,MIP_4[Previsto / Realizado]="Realizado"),MIP_4[Sem],0)</f>
        <v>0</v>
      </c>
      <c r="AP276" s="29">
        <f>IF(AND(MIP_4[Exc]=0,MIP_4[Previsto / Realizado]="Realizado",ISBLANK(MIP_4[[#This Row],[S.B Sitrack]])=FALSE,ISBLANK(MIP_4[[#This Row],[C.B Sitrack]])=FALSE),MIP_4[Sem],0)</f>
        <v>0</v>
      </c>
    </row>
    <row r="277" spans="1:42" ht="15.75" x14ac:dyDescent="0.25">
      <c r="A277" s="44">
        <f>WEEKNUM(MIP_4[[#This Row],[Data]])</f>
        <v>30</v>
      </c>
      <c r="B277" s="45">
        <v>42939</v>
      </c>
      <c r="C277" s="45"/>
      <c r="D277" s="35" t="s">
        <v>19</v>
      </c>
      <c r="E277" s="35" t="s">
        <v>2</v>
      </c>
      <c r="F277" s="35"/>
      <c r="G277" s="44">
        <v>2</v>
      </c>
      <c r="H277" s="44">
        <v>0</v>
      </c>
      <c r="I277" s="44">
        <v>0</v>
      </c>
      <c r="J277" s="44">
        <v>0</v>
      </c>
      <c r="K277" s="44">
        <v>12</v>
      </c>
      <c r="L277" s="43">
        <v>0.68541666666666667</v>
      </c>
      <c r="M277" s="43">
        <v>0.69791666666666663</v>
      </c>
      <c r="N277" s="43">
        <f>1+25/24/60</f>
        <v>1.0173611111111112</v>
      </c>
      <c r="O277" s="43">
        <f>1+(62)/24/60</f>
        <v>1.0430555555555556</v>
      </c>
      <c r="P277" s="39"/>
      <c r="Q277" s="42" t="s">
        <v>360</v>
      </c>
      <c r="R277" s="29">
        <f>MIP_4[[#This Row],[PT-1]]+MIP_4[[#This Row],[PT-2]]*2+MIP_4[[#This Row],[PT-3]]*3+MIP_4[[#This Row],[PT &gt; 3 Pontos]]</f>
        <v>12</v>
      </c>
      <c r="S27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3.819444444444442E-2</v>
      </c>
      <c r="T27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3.819444444444442E-2</v>
      </c>
      <c r="U277" s="41">
        <f ca="1">MIP_4[[#This Row],[Eficiência]]</f>
        <v>0.87471407004830948</v>
      </c>
      <c r="V27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77" s="39">
        <f>IF(MIP_4[[#This Row],[P.S]]-MIP_4[[#This Row],[P.E]]&lt;0,1+MIP_4[[#This Row],[P.S]]-MIP_4[[#This Row],[P.E]]-1/24,MIP_4[[#This Row],[P.S]]-MIP_4[[#This Row],[P.E]]-1/24)</f>
        <v>0.31597222222222227</v>
      </c>
      <c r="X277" s="39">
        <f ca="1">MIP_4[[#This Row],[PT-1]]*$S$3+MIP_4[[#This Row],[PT-2]]*$T$3+MIP_4[[#This Row],[PT-3]]*$U$3+MIP_4[[#This Row],[PT &gt; 3 Pontos]]*$V$3</f>
        <v>0.24297613056897491</v>
      </c>
      <c r="Y277" s="39">
        <f>MIP_4[[#This Row],[HH disponível]]-MIP_4[[#This Row],[HH AC TOT]]</f>
        <v>0.27777777777777785</v>
      </c>
      <c r="Z277" s="38">
        <f ca="1">MIP_4[[#This Row],[HH Produtivo
Total]]/MIP_4[[#This Row],[HH Trabalhado]]</f>
        <v>0.87471407004830948</v>
      </c>
      <c r="AA277" s="38">
        <f ca="1">MIP_4[[#This Row],[HH Produtivo
Total]]/MIP_4[[#This Row],[HH disponível]]</f>
        <v>0.76897940224027217</v>
      </c>
      <c r="AB277" s="38">
        <f>MIP_4[[#This Row],[HH Trabalhado]]/MIP_4[[#This Row],[HH disponível]]</f>
        <v>0.87912087912087922</v>
      </c>
      <c r="AC277" s="37" t="str">
        <f>LEFT(MIP_4[[#This Row],[Equipe]], SEARCH("/",MIP_4[[#This Row],[Equipe]],1)-1)</f>
        <v xml:space="preserve">ADEMÁRIO </v>
      </c>
      <c r="AD277" s="37" t="str">
        <f>RIGHT(MIP_4[[#This Row],[Equipe]], LEN(MIP_4[[#This Row],[Equipe]])-SEARCH("/",MIP_4[[#This Row],[Equipe]],1))</f>
        <v xml:space="preserve"> RONALDO</v>
      </c>
      <c r="AE277" s="44">
        <f>COUNTIFS('[1]Tempo parado'!G:G,"&gt;="&amp;MIP_4[[#This Row],[S.B Sitrack]],'[1]Tempo parado'!H:H,"&lt;="&amp;MIP_4[[#This Row],[C.B Sitrack]],'[1]Tempo parado'!A:A,MIP_4[[#This Row],[Placa]])</f>
        <v>0</v>
      </c>
      <c r="AF277" s="36"/>
      <c r="AG277" s="35"/>
      <c r="AH277" s="34"/>
      <c r="AI277" s="34"/>
      <c r="AJ27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7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7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77" s="32" t="str">
        <f>IFERROR(MIP_4[[#This Row],[Tempo parado]]/(MIP_4[[#This Row],[C.B Sitrack]]-MIP_4[[#This Row],[S.B Sitrack]]),"")</f>
        <v/>
      </c>
      <c r="AN277" s="30"/>
      <c r="AO277" s="44">
        <f>IF(AND(MIP_4[Exc]=0,MIP_4[Previsto / Realizado]="Realizado"),MIP_4[Sem],0)</f>
        <v>30</v>
      </c>
      <c r="AP277" s="29">
        <f>IF(AND(MIP_4[Exc]=0,MIP_4[Previsto / Realizado]="Realizado",ISBLANK(MIP_4[[#This Row],[S.B Sitrack]])=FALSE,ISBLANK(MIP_4[[#This Row],[C.B Sitrack]])=FALSE),MIP_4[Sem],0)</f>
        <v>0</v>
      </c>
    </row>
    <row r="278" spans="1:42" ht="15.75" x14ac:dyDescent="0.25">
      <c r="A278" s="44">
        <f>WEEKNUM(MIP_4[[#This Row],[Data]])</f>
        <v>30</v>
      </c>
      <c r="B278" s="45">
        <v>42940</v>
      </c>
      <c r="C278" s="45"/>
      <c r="D278" s="35" t="s">
        <v>3</v>
      </c>
      <c r="E278" s="35" t="s">
        <v>5</v>
      </c>
      <c r="F278" s="35"/>
      <c r="G278" s="44">
        <v>2</v>
      </c>
      <c r="H278" s="44">
        <v>14</v>
      </c>
      <c r="I278" s="44">
        <v>0</v>
      </c>
      <c r="J278" s="44">
        <v>0</v>
      </c>
      <c r="K278" s="44">
        <v>0</v>
      </c>
      <c r="L278" s="43">
        <v>0.625</v>
      </c>
      <c r="M278" s="43">
        <v>0.64583333333333337</v>
      </c>
      <c r="N278" s="43">
        <f>1+18/24/60</f>
        <v>1.0125</v>
      </c>
      <c r="O278" s="43">
        <f>1+48/24/60</f>
        <v>1.0333333333333334</v>
      </c>
      <c r="P278" s="39"/>
      <c r="Q278" s="42"/>
      <c r="R278" s="29">
        <f>MIP_4[[#This Row],[PT-1]]+MIP_4[[#This Row],[PT-2]]*2+MIP_4[[#This Row],[PT-3]]*3+MIP_4[[#This Row],[PT &gt; 3 Pontos]]</f>
        <v>14</v>
      </c>
      <c r="S27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27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278" s="41">
        <f ca="1">MIP_4[[#This Row],[Eficiência]]</f>
        <v>1.0780367428465252</v>
      </c>
      <c r="V27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78" s="39">
        <f>IF(MIP_4[[#This Row],[P.S]]-MIP_4[[#This Row],[P.E]]&lt;0,1+MIP_4[[#This Row],[P.S]]-MIP_4[[#This Row],[P.E]]-1/24,MIP_4[[#This Row],[P.S]]-MIP_4[[#This Row],[P.E]]-1/24)</f>
        <v>0.36666666666666675</v>
      </c>
      <c r="X278" s="39">
        <f ca="1">MIP_4[[#This Row],[PT-1]]*$S$3+MIP_4[[#This Row],[PT-2]]*$T$3+MIP_4[[#This Row],[PT-3]]*$U$3+MIP_4[[#This Row],[PT &gt; 3 Pontos]]*$V$3</f>
        <v>0.35036194142512056</v>
      </c>
      <c r="Y278" s="39">
        <f>MIP_4[[#This Row],[HH disponível]]-MIP_4[[#This Row],[HH AC TOT]]</f>
        <v>0.3249999999999999</v>
      </c>
      <c r="Z278" s="38">
        <f ca="1">MIP_4[[#This Row],[HH Produtivo
Total]]/MIP_4[[#This Row],[HH Trabalhado]]</f>
        <v>1.0780367428465252</v>
      </c>
      <c r="AA278" s="38">
        <f ca="1">MIP_4[[#This Row],[HH Produtivo
Total]]/MIP_4[[#This Row],[HH disponível]]</f>
        <v>0.95553256752305582</v>
      </c>
      <c r="AB278" s="38">
        <f>MIP_4[[#This Row],[HH Trabalhado]]/MIP_4[[#This Row],[HH disponível]]</f>
        <v>0.88636363636363591</v>
      </c>
      <c r="AC278" s="37" t="str">
        <f>LEFT(MIP_4[[#This Row],[Equipe]], SEARCH("/",MIP_4[[#This Row],[Equipe]],1)-1)</f>
        <v xml:space="preserve">EDILTON </v>
      </c>
      <c r="AD278" s="37" t="str">
        <f>RIGHT(MIP_4[[#This Row],[Equipe]], LEN(MIP_4[[#This Row],[Equipe]])-SEARCH("/",MIP_4[[#This Row],[Equipe]],1))</f>
        <v xml:space="preserve"> GECIVALDO</v>
      </c>
      <c r="AE278" s="44">
        <f>COUNTIFS('[1]Tempo parado'!G:G,"&gt;="&amp;MIP_4[[#This Row],[S.B Sitrack]],'[1]Tempo parado'!H:H,"&lt;="&amp;MIP_4[[#This Row],[C.B Sitrack]],'[1]Tempo parado'!A:A,MIP_4[[#This Row],[Placa]])</f>
        <v>0</v>
      </c>
      <c r="AF278" s="36"/>
      <c r="AG278" s="35"/>
      <c r="AH278" s="34"/>
      <c r="AI278" s="34"/>
      <c r="AJ27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7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7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78" s="32" t="str">
        <f>IFERROR(MIP_4[[#This Row],[Tempo parado]]/(MIP_4[[#This Row],[C.B Sitrack]]-MIP_4[[#This Row],[S.B Sitrack]]),"")</f>
        <v/>
      </c>
      <c r="AN278" s="30"/>
      <c r="AO278" s="44">
        <f>IF(AND(MIP_4[Exc]=0,MIP_4[Previsto / Realizado]="Realizado"),MIP_4[Sem],0)</f>
        <v>0</v>
      </c>
      <c r="AP278" s="29">
        <f>IF(AND(MIP_4[Exc]=0,MIP_4[Previsto / Realizado]="Realizado",ISBLANK(MIP_4[[#This Row],[S.B Sitrack]])=FALSE,ISBLANK(MIP_4[[#This Row],[C.B Sitrack]])=FALSE),MIP_4[Sem],0)</f>
        <v>0</v>
      </c>
    </row>
    <row r="279" spans="1:42" ht="15.75" x14ac:dyDescent="0.25">
      <c r="A279" s="44">
        <f>WEEKNUM(MIP_4[[#This Row],[Data]])</f>
        <v>30</v>
      </c>
      <c r="B279" s="45">
        <v>42940</v>
      </c>
      <c r="C279" s="45"/>
      <c r="D279" s="35" t="s">
        <v>3</v>
      </c>
      <c r="E279" s="35" t="s">
        <v>2</v>
      </c>
      <c r="F279" s="35"/>
      <c r="G279" s="44">
        <v>2</v>
      </c>
      <c r="H279" s="44">
        <v>14</v>
      </c>
      <c r="I279" s="44">
        <v>0</v>
      </c>
      <c r="J279" s="44">
        <v>0</v>
      </c>
      <c r="K279" s="44">
        <v>0</v>
      </c>
      <c r="L279" s="43">
        <v>0.62777777777777777</v>
      </c>
      <c r="M279" s="43">
        <v>0.67013888888888884</v>
      </c>
      <c r="N279" s="43">
        <f>1+13/24/60</f>
        <v>1.0090277777777779</v>
      </c>
      <c r="O279" s="43">
        <f>1+48/24/60</f>
        <v>1.0333333333333334</v>
      </c>
      <c r="P279" s="39"/>
      <c r="Q279" s="42"/>
      <c r="R279" s="29">
        <f>MIP_4[[#This Row],[PT-1]]+MIP_4[[#This Row],[PT-2]]*2+MIP_4[[#This Row],[PT-3]]*3+MIP_4[[#This Row],[PT &gt; 3 Pontos]]</f>
        <v>14</v>
      </c>
      <c r="S27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6.6666666666666652E-2</v>
      </c>
      <c r="T27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6.6666666666666652E-2</v>
      </c>
      <c r="U279" s="41">
        <f ca="1">MIP_4[[#This Row],[Eficiência]]</f>
        <v>1.1787878403088163</v>
      </c>
      <c r="V27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79" s="39">
        <f>IF(MIP_4[[#This Row],[P.S]]-MIP_4[[#This Row],[P.E]]&lt;0,1+MIP_4[[#This Row],[P.S]]-MIP_4[[#This Row],[P.E]]-1/24,MIP_4[[#This Row],[P.S]]-MIP_4[[#This Row],[P.E]]-1/24)</f>
        <v>0.36388888888888898</v>
      </c>
      <c r="X279" s="39">
        <f ca="1">MIP_4[[#This Row],[PT-1]]*$S$3+MIP_4[[#This Row],[PT-2]]*$T$3+MIP_4[[#This Row],[PT-3]]*$U$3+MIP_4[[#This Row],[PT &gt; 3 Pontos]]*$V$3</f>
        <v>0.35036194142512056</v>
      </c>
      <c r="Y279" s="39">
        <f>MIP_4[[#This Row],[HH disponível]]-MIP_4[[#This Row],[HH AC TOT]]</f>
        <v>0.29722222222222233</v>
      </c>
      <c r="Z279" s="38">
        <f ca="1">MIP_4[[#This Row],[HH Produtivo
Total]]/MIP_4[[#This Row],[HH Trabalhado]]</f>
        <v>1.1787878403088163</v>
      </c>
      <c r="AA279" s="38">
        <f ca="1">MIP_4[[#This Row],[HH Produtivo
Total]]/MIP_4[[#This Row],[HH disponível]]</f>
        <v>0.96282670925987301</v>
      </c>
      <c r="AB279" s="38">
        <f>MIP_4[[#This Row],[HH Trabalhado]]/MIP_4[[#This Row],[HH disponível]]</f>
        <v>0.81679389312977113</v>
      </c>
      <c r="AC279" s="37" t="str">
        <f>LEFT(MIP_4[[#This Row],[Equipe]], SEARCH("/",MIP_4[[#This Row],[Equipe]],1)-1)</f>
        <v xml:space="preserve">EDILTON </v>
      </c>
      <c r="AD279" s="37" t="str">
        <f>RIGHT(MIP_4[[#This Row],[Equipe]], LEN(MIP_4[[#This Row],[Equipe]])-SEARCH("/",MIP_4[[#This Row],[Equipe]],1))</f>
        <v xml:space="preserve"> GECIVALDO</v>
      </c>
      <c r="AE279" s="44">
        <f>COUNTIFS('[1]Tempo parado'!G:G,"&gt;="&amp;MIP_4[[#This Row],[S.B Sitrack]],'[1]Tempo parado'!H:H,"&lt;="&amp;MIP_4[[#This Row],[C.B Sitrack]],'[1]Tempo parado'!A:A,MIP_4[[#This Row],[Placa]])</f>
        <v>0</v>
      </c>
      <c r="AF279" s="36"/>
      <c r="AG279" s="35"/>
      <c r="AH279" s="34"/>
      <c r="AI279" s="34"/>
      <c r="AJ27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7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7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79" s="32" t="str">
        <f>IFERROR(MIP_4[[#This Row],[Tempo parado]]/(MIP_4[[#This Row],[C.B Sitrack]]-MIP_4[[#This Row],[S.B Sitrack]]),"")</f>
        <v/>
      </c>
      <c r="AN279" s="30"/>
      <c r="AO279" s="44">
        <f>IF(AND(MIP_4[Exc]=0,MIP_4[Previsto / Realizado]="Realizado"),MIP_4[Sem],0)</f>
        <v>30</v>
      </c>
      <c r="AP279" s="29">
        <f>IF(AND(MIP_4[Exc]=0,MIP_4[Previsto / Realizado]="Realizado",ISBLANK(MIP_4[[#This Row],[S.B Sitrack]])=FALSE,ISBLANK(MIP_4[[#This Row],[C.B Sitrack]])=FALSE),MIP_4[Sem],0)</f>
        <v>0</v>
      </c>
    </row>
    <row r="280" spans="1:42" ht="15.75" x14ac:dyDescent="0.25">
      <c r="A280" s="44">
        <f>WEEKNUM(MIP_4[[#This Row],[Data]])</f>
        <v>30</v>
      </c>
      <c r="B280" s="45">
        <v>42940</v>
      </c>
      <c r="C280" s="45"/>
      <c r="D280" s="35" t="s">
        <v>7</v>
      </c>
      <c r="E280" s="35" t="s">
        <v>5</v>
      </c>
      <c r="F280" s="35"/>
      <c r="G280" s="44">
        <v>2</v>
      </c>
      <c r="H280" s="44">
        <v>5</v>
      </c>
      <c r="I280" s="44">
        <v>0</v>
      </c>
      <c r="J280" s="44">
        <v>0</v>
      </c>
      <c r="K280" s="44">
        <v>4</v>
      </c>
      <c r="L280" s="43">
        <v>0.625</v>
      </c>
      <c r="M280" s="43">
        <v>0.64583333333333337</v>
      </c>
      <c r="N280" s="43">
        <f>1+18/24/60</f>
        <v>1.0125</v>
      </c>
      <c r="O280" s="43">
        <f>1+48/24/60</f>
        <v>1.0333333333333334</v>
      </c>
      <c r="P280" s="39"/>
      <c r="Q280" s="42" t="s">
        <v>359</v>
      </c>
      <c r="R280" s="29">
        <f>MIP_4[[#This Row],[PT-1]]+MIP_4[[#This Row],[PT-2]]*2+MIP_4[[#This Row],[PT-3]]*3+MIP_4[[#This Row],[PT &gt; 3 Pontos]]</f>
        <v>9</v>
      </c>
      <c r="S28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28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280" s="41">
        <f ca="1">MIP_4[[#This Row],[Eficiência]]</f>
        <v>0.63421941020823869</v>
      </c>
      <c r="V28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80" s="39">
        <f>IF(MIP_4[[#This Row],[P.S]]-MIP_4[[#This Row],[P.E]]&lt;0,1+MIP_4[[#This Row],[P.S]]-MIP_4[[#This Row],[P.E]]-1/24,MIP_4[[#This Row],[P.S]]-MIP_4[[#This Row],[P.E]]-1/24)</f>
        <v>0.36666666666666675</v>
      </c>
      <c r="X280" s="39">
        <f ca="1">MIP_4[[#This Row],[PT-1]]*$S$3+MIP_4[[#This Row],[PT-2]]*$T$3+MIP_4[[#This Row],[PT-3]]*$U$3+MIP_4[[#This Row],[PT &gt; 3 Pontos]]*$V$3</f>
        <v>0.20612130831767753</v>
      </c>
      <c r="Y280" s="39">
        <f>MIP_4[[#This Row],[HH disponível]]-MIP_4[[#This Row],[HH AC TOT]]</f>
        <v>0.3249999999999999</v>
      </c>
      <c r="Z280" s="38">
        <f ca="1">MIP_4[[#This Row],[HH Produtivo
Total]]/MIP_4[[#This Row],[HH Trabalhado]]</f>
        <v>0.63421941020823869</v>
      </c>
      <c r="AA280" s="38">
        <f ca="1">MIP_4[[#This Row],[HH Produtivo
Total]]/MIP_4[[#This Row],[HH disponível]]</f>
        <v>0.56214902268457489</v>
      </c>
      <c r="AB280" s="38">
        <f>MIP_4[[#This Row],[HH Trabalhado]]/MIP_4[[#This Row],[HH disponível]]</f>
        <v>0.88636363636363591</v>
      </c>
      <c r="AC280" s="37" t="str">
        <f>LEFT(MIP_4[[#This Row],[Equipe]], SEARCH("/",MIP_4[[#This Row],[Equipe]],1)-1)</f>
        <v xml:space="preserve">ANDERSON </v>
      </c>
      <c r="AD280" s="37" t="str">
        <f>RIGHT(MIP_4[[#This Row],[Equipe]], LEN(MIP_4[[#This Row],[Equipe]])-SEARCH("/",MIP_4[[#This Row],[Equipe]],1))</f>
        <v xml:space="preserve"> MARCO</v>
      </c>
      <c r="AE280" s="44">
        <f>COUNTIFS('[1]Tempo parado'!G:G,"&gt;="&amp;MIP_4[[#This Row],[S.B Sitrack]],'[1]Tempo parado'!H:H,"&lt;="&amp;MIP_4[[#This Row],[C.B Sitrack]],'[1]Tempo parado'!A:A,MIP_4[[#This Row],[Placa]])</f>
        <v>0</v>
      </c>
      <c r="AF280" s="36"/>
      <c r="AG280" s="35"/>
      <c r="AH280" s="34"/>
      <c r="AI280" s="34"/>
      <c r="AJ28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8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8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80" s="32" t="str">
        <f>IFERROR(MIP_4[[#This Row],[Tempo parado]]/(MIP_4[[#This Row],[C.B Sitrack]]-MIP_4[[#This Row],[S.B Sitrack]]),"")</f>
        <v/>
      </c>
      <c r="AN280" s="30"/>
      <c r="AO280" s="44">
        <f>IF(AND(MIP_4[Exc]=0,MIP_4[Previsto / Realizado]="Realizado"),MIP_4[Sem],0)</f>
        <v>0</v>
      </c>
      <c r="AP280" s="29">
        <f>IF(AND(MIP_4[Exc]=0,MIP_4[Previsto / Realizado]="Realizado",ISBLANK(MIP_4[[#This Row],[S.B Sitrack]])=FALSE,ISBLANK(MIP_4[[#This Row],[C.B Sitrack]])=FALSE),MIP_4[Sem],0)</f>
        <v>0</v>
      </c>
    </row>
    <row r="281" spans="1:42" ht="15.75" x14ac:dyDescent="0.25">
      <c r="A281" s="44">
        <f>WEEKNUM(MIP_4[[#This Row],[Data]])</f>
        <v>30</v>
      </c>
      <c r="B281" s="45">
        <v>42940</v>
      </c>
      <c r="C281" s="45"/>
      <c r="D281" s="35" t="s">
        <v>7</v>
      </c>
      <c r="E281" s="35" t="s">
        <v>2</v>
      </c>
      <c r="F281" s="35"/>
      <c r="G281" s="44">
        <v>2</v>
      </c>
      <c r="H281" s="44">
        <v>5</v>
      </c>
      <c r="I281" s="44">
        <v>0</v>
      </c>
      <c r="J281" s="44">
        <v>0</v>
      </c>
      <c r="K281" s="44">
        <v>10</v>
      </c>
      <c r="L281" s="43">
        <v>0.63263888888888886</v>
      </c>
      <c r="M281" s="43">
        <v>0.67361111111111116</v>
      </c>
      <c r="N281" s="43">
        <f>1+14/24/60</f>
        <v>1.0097222222222222</v>
      </c>
      <c r="O281" s="43">
        <f>1+48/24/60</f>
        <v>1.0333333333333334</v>
      </c>
      <c r="P281" s="39"/>
      <c r="Q281" s="42"/>
      <c r="R281" s="29">
        <f>MIP_4[[#This Row],[PT-1]]+MIP_4[[#This Row],[PT-2]]*2+MIP_4[[#This Row],[PT-3]]*3+MIP_4[[#This Row],[PT &gt; 3 Pontos]]</f>
        <v>15</v>
      </c>
      <c r="S28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6.4583333333333548E-2</v>
      </c>
      <c r="T28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6.4583333333333548E-2</v>
      </c>
      <c r="U281" s="41">
        <f ca="1">MIP_4[[#This Row],[Eficiência]]</f>
        <v>1.1126356084601834</v>
      </c>
      <c r="V28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81" s="39">
        <f>IF(MIP_4[[#This Row],[P.S]]-MIP_4[[#This Row],[P.E]]&lt;0,1+MIP_4[[#This Row],[P.S]]-MIP_4[[#This Row],[P.E]]-1/24,MIP_4[[#This Row],[P.S]]-MIP_4[[#This Row],[P.E]]-1/24)</f>
        <v>0.35902777777777789</v>
      </c>
      <c r="X281" s="39">
        <f ca="1">MIP_4[[#This Row],[PT-1]]*$S$3+MIP_4[[#This Row],[PT-2]]*$T$3+MIP_4[[#This Row],[PT-3]]*$U$3+MIP_4[[#This Row],[PT &gt; 3 Pontos]]*$V$3</f>
        <v>0.32760937360216497</v>
      </c>
      <c r="Y281" s="39">
        <f>MIP_4[[#This Row],[HH disponível]]-MIP_4[[#This Row],[HH AC TOT]]</f>
        <v>0.29444444444444434</v>
      </c>
      <c r="Z281" s="38">
        <f ca="1">MIP_4[[#This Row],[HH Produtivo
Total]]/MIP_4[[#This Row],[HH Trabalhado]]</f>
        <v>1.1126356084601834</v>
      </c>
      <c r="AA281" s="38">
        <f ca="1">MIP_4[[#This Row],[HH Produtivo
Total]]/MIP_4[[#This Row],[HH disponível]]</f>
        <v>0.9124903249267261</v>
      </c>
      <c r="AB281" s="38">
        <f>MIP_4[[#This Row],[HH Trabalhado]]/MIP_4[[#This Row],[HH disponível]]</f>
        <v>0.82011605415860678</v>
      </c>
      <c r="AC281" s="37" t="str">
        <f>LEFT(MIP_4[[#This Row],[Equipe]], SEARCH("/",MIP_4[[#This Row],[Equipe]],1)-1)</f>
        <v xml:space="preserve">ANDERSON </v>
      </c>
      <c r="AD281" s="37" t="str">
        <f>RIGHT(MIP_4[[#This Row],[Equipe]], LEN(MIP_4[[#This Row],[Equipe]])-SEARCH("/",MIP_4[[#This Row],[Equipe]],1))</f>
        <v xml:space="preserve"> MARCO</v>
      </c>
      <c r="AE281" s="44">
        <f>COUNTIFS('[1]Tempo parado'!G:G,"&gt;="&amp;MIP_4[[#This Row],[S.B Sitrack]],'[1]Tempo parado'!H:H,"&lt;="&amp;MIP_4[[#This Row],[C.B Sitrack]],'[1]Tempo parado'!A:A,MIP_4[[#This Row],[Placa]])</f>
        <v>0</v>
      </c>
      <c r="AF281" s="36"/>
      <c r="AG281" s="35"/>
      <c r="AH281" s="34"/>
      <c r="AI281" s="34"/>
      <c r="AJ28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8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8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81" s="32" t="str">
        <f>IFERROR(MIP_4[[#This Row],[Tempo parado]]/(MIP_4[[#This Row],[C.B Sitrack]]-MIP_4[[#This Row],[S.B Sitrack]]),"")</f>
        <v/>
      </c>
      <c r="AN281" s="30"/>
      <c r="AO281" s="44">
        <f>IF(AND(MIP_4[Exc]=0,MIP_4[Previsto / Realizado]="Realizado"),MIP_4[Sem],0)</f>
        <v>30</v>
      </c>
      <c r="AP281" s="29">
        <f>IF(AND(MIP_4[Exc]=0,MIP_4[Previsto / Realizado]="Realizado",ISBLANK(MIP_4[[#This Row],[S.B Sitrack]])=FALSE,ISBLANK(MIP_4[[#This Row],[C.B Sitrack]])=FALSE),MIP_4[Sem],0)</f>
        <v>0</v>
      </c>
    </row>
    <row r="282" spans="1:42" ht="15.75" x14ac:dyDescent="0.25">
      <c r="A282" s="44">
        <f>WEEKNUM(MIP_4[[#This Row],[Data]])</f>
        <v>30</v>
      </c>
      <c r="B282" s="45">
        <v>42940</v>
      </c>
      <c r="C282" s="45"/>
      <c r="D282" s="35" t="s">
        <v>19</v>
      </c>
      <c r="E282" s="35" t="s">
        <v>5</v>
      </c>
      <c r="F282" s="35"/>
      <c r="G282" s="44">
        <v>2</v>
      </c>
      <c r="H282" s="44">
        <v>0</v>
      </c>
      <c r="I282" s="44">
        <v>0</v>
      </c>
      <c r="J282" s="44">
        <v>0</v>
      </c>
      <c r="K282" s="44">
        <v>0</v>
      </c>
      <c r="L282" s="43">
        <v>0.625</v>
      </c>
      <c r="M282" s="43">
        <v>0.64583333333333337</v>
      </c>
      <c r="N282" s="43">
        <f>1+18/24/60</f>
        <v>1.0125</v>
      </c>
      <c r="O282" s="43">
        <f>1+48/24/60</f>
        <v>1.0333333333333334</v>
      </c>
      <c r="P282" s="39"/>
      <c r="Q282" s="42" t="s">
        <v>358</v>
      </c>
      <c r="R282" s="29">
        <f>MIP_4[[#This Row],[PT-1]]+MIP_4[[#This Row],[PT-2]]*2+MIP_4[[#This Row],[PT-3]]*3+MIP_4[[#This Row],[PT &gt; 3 Pontos]]</f>
        <v>0</v>
      </c>
      <c r="S28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28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282" s="41">
        <f ca="1">MIP_4[[#This Row],[Eficiência]]</f>
        <v>0</v>
      </c>
      <c r="V28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82" s="39">
        <f>IF(MIP_4[[#This Row],[P.S]]-MIP_4[[#This Row],[P.E]]&lt;0,1+MIP_4[[#This Row],[P.S]]-MIP_4[[#This Row],[P.E]]-1/24,MIP_4[[#This Row],[P.S]]-MIP_4[[#This Row],[P.E]]-1/24)</f>
        <v>0.36666666666666675</v>
      </c>
      <c r="X282" s="39">
        <f ca="1">MIP_4[[#This Row],[PT-1]]*$S$3+MIP_4[[#This Row],[PT-2]]*$T$3+MIP_4[[#This Row],[PT-3]]*$U$3+MIP_4[[#This Row],[PT &gt; 3 Pontos]]*$V$3</f>
        <v>0</v>
      </c>
      <c r="Y282" s="39">
        <f>MIP_4[[#This Row],[HH disponível]]-MIP_4[[#This Row],[HH AC TOT]]</f>
        <v>0.3249999999999999</v>
      </c>
      <c r="Z282" s="38">
        <f ca="1">MIP_4[[#This Row],[HH Produtivo
Total]]/MIP_4[[#This Row],[HH Trabalhado]]</f>
        <v>0</v>
      </c>
      <c r="AA282" s="38">
        <f ca="1">MIP_4[[#This Row],[HH Produtivo
Total]]/MIP_4[[#This Row],[HH disponível]]</f>
        <v>0</v>
      </c>
      <c r="AB282" s="38">
        <f>MIP_4[[#This Row],[HH Trabalhado]]/MIP_4[[#This Row],[HH disponível]]</f>
        <v>0.88636363636363591</v>
      </c>
      <c r="AC282" s="37" t="str">
        <f>LEFT(MIP_4[[#This Row],[Equipe]], SEARCH("/",MIP_4[[#This Row],[Equipe]],1)-1)</f>
        <v xml:space="preserve">ADEMÁRIO </v>
      </c>
      <c r="AD282" s="37" t="str">
        <f>RIGHT(MIP_4[[#This Row],[Equipe]], LEN(MIP_4[[#This Row],[Equipe]])-SEARCH("/",MIP_4[[#This Row],[Equipe]],1))</f>
        <v xml:space="preserve"> RONALDO</v>
      </c>
      <c r="AE282" s="44">
        <f>COUNTIFS('[1]Tempo parado'!G:G,"&gt;="&amp;MIP_4[[#This Row],[S.B Sitrack]],'[1]Tempo parado'!H:H,"&lt;="&amp;MIP_4[[#This Row],[C.B Sitrack]],'[1]Tempo parado'!A:A,MIP_4[[#This Row],[Placa]])</f>
        <v>0</v>
      </c>
      <c r="AF282" s="36"/>
      <c r="AG282" s="35"/>
      <c r="AH282" s="34"/>
      <c r="AI282" s="34"/>
      <c r="AJ28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8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8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82" s="32" t="str">
        <f>IFERROR(MIP_4[[#This Row],[Tempo parado]]/(MIP_4[[#This Row],[C.B Sitrack]]-MIP_4[[#This Row],[S.B Sitrack]]),"")</f>
        <v/>
      </c>
      <c r="AN282" s="30"/>
      <c r="AO282" s="44">
        <f>IF(AND(MIP_4[Exc]=0,MIP_4[Previsto / Realizado]="Realizado"),MIP_4[Sem],0)</f>
        <v>0</v>
      </c>
      <c r="AP282" s="29">
        <f>IF(AND(MIP_4[Exc]=0,MIP_4[Previsto / Realizado]="Realizado",ISBLANK(MIP_4[[#This Row],[S.B Sitrack]])=FALSE,ISBLANK(MIP_4[[#This Row],[C.B Sitrack]])=FALSE),MIP_4[Sem],0)</f>
        <v>0</v>
      </c>
    </row>
    <row r="283" spans="1:42" ht="15.75" x14ac:dyDescent="0.25">
      <c r="A283" s="44">
        <f>WEEKNUM(MIP_4[[#This Row],[Data]])</f>
        <v>30</v>
      </c>
      <c r="B283" s="45">
        <v>42940</v>
      </c>
      <c r="C283" s="45"/>
      <c r="D283" s="35" t="s">
        <v>19</v>
      </c>
      <c r="E283" s="35" t="s">
        <v>2</v>
      </c>
      <c r="F283" s="35"/>
      <c r="G283" s="44">
        <v>2</v>
      </c>
      <c r="H283" s="44">
        <v>0</v>
      </c>
      <c r="I283" s="44">
        <v>0</v>
      </c>
      <c r="J283" s="44">
        <v>0</v>
      </c>
      <c r="K283" s="44">
        <v>9</v>
      </c>
      <c r="L283" s="43">
        <v>0.62569444444444444</v>
      </c>
      <c r="M283" s="43">
        <v>0.67361111111111116</v>
      </c>
      <c r="N283" s="43">
        <f>1+34/24/60</f>
        <v>1.023611111111111</v>
      </c>
      <c r="O283" s="43">
        <f>1+58/24/60</f>
        <v>1.0402777777777779</v>
      </c>
      <c r="P283" s="39"/>
      <c r="Q283" s="42" t="s">
        <v>357</v>
      </c>
      <c r="R283" s="29">
        <f>MIP_4[[#This Row],[PT-1]]+MIP_4[[#This Row],[PT-2]]*2+MIP_4[[#This Row],[PT-3]]*3+MIP_4[[#This Row],[PT &gt; 3 Pontos]]</f>
        <v>9</v>
      </c>
      <c r="S28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6.4583333333333548E-2</v>
      </c>
      <c r="T28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6.4583333333333548E-2</v>
      </c>
      <c r="U283" s="41">
        <f ca="1">MIP_4[[#This Row],[Eficiência]]</f>
        <v>0.59102302030291221</v>
      </c>
      <c r="V28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83" s="39">
        <f>IF(MIP_4[[#This Row],[P.S]]-MIP_4[[#This Row],[P.E]]&lt;0,1+MIP_4[[#This Row],[P.S]]-MIP_4[[#This Row],[P.E]]-1/24,MIP_4[[#This Row],[P.S]]-MIP_4[[#This Row],[P.E]]-1/24)</f>
        <v>0.37291666666666673</v>
      </c>
      <c r="X283" s="39">
        <f ca="1">MIP_4[[#This Row],[PT-1]]*$S$3+MIP_4[[#This Row],[PT-2]]*$T$3+MIP_4[[#This Row],[PT-3]]*$U$3+MIP_4[[#This Row],[PT &gt; 3 Pontos]]*$V$3</f>
        <v>0.18223209792673117</v>
      </c>
      <c r="Y283" s="39">
        <f>MIP_4[[#This Row],[HH disponível]]-MIP_4[[#This Row],[HH AC TOT]]</f>
        <v>0.30833333333333318</v>
      </c>
      <c r="Z283" s="38">
        <f ca="1">MIP_4[[#This Row],[HH Produtivo
Total]]/MIP_4[[#This Row],[HH Trabalhado]]</f>
        <v>0.59102302030291221</v>
      </c>
      <c r="AA283" s="38">
        <f ca="1">MIP_4[[#This Row],[HH Produtivo
Total]]/MIP_4[[#This Row],[HH disponível]]</f>
        <v>0.48866707823927902</v>
      </c>
      <c r="AB283" s="38">
        <f>MIP_4[[#This Row],[HH Trabalhado]]/MIP_4[[#This Row],[HH disponível]]</f>
        <v>0.82681564245810002</v>
      </c>
      <c r="AC283" s="37" t="str">
        <f>LEFT(MIP_4[[#This Row],[Equipe]], SEARCH("/",MIP_4[[#This Row],[Equipe]],1)-1)</f>
        <v xml:space="preserve">ADEMÁRIO </v>
      </c>
      <c r="AD283" s="37" t="str">
        <f>RIGHT(MIP_4[[#This Row],[Equipe]], LEN(MIP_4[[#This Row],[Equipe]])-SEARCH("/",MIP_4[[#This Row],[Equipe]],1))</f>
        <v xml:space="preserve"> RONALDO</v>
      </c>
      <c r="AE283" s="44">
        <f>COUNTIFS('[1]Tempo parado'!G:G,"&gt;="&amp;MIP_4[[#This Row],[S.B Sitrack]],'[1]Tempo parado'!H:H,"&lt;="&amp;MIP_4[[#This Row],[C.B Sitrack]],'[1]Tempo parado'!A:A,MIP_4[[#This Row],[Placa]])</f>
        <v>0</v>
      </c>
      <c r="AF283" s="36"/>
      <c r="AG283" s="35"/>
      <c r="AH283" s="34"/>
      <c r="AI283" s="34"/>
      <c r="AJ28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8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8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83" s="32" t="str">
        <f>IFERROR(MIP_4[[#This Row],[Tempo parado]]/(MIP_4[[#This Row],[C.B Sitrack]]-MIP_4[[#This Row],[S.B Sitrack]]),"")</f>
        <v/>
      </c>
      <c r="AN283" s="30"/>
      <c r="AO283" s="44">
        <f>IF(AND(MIP_4[Exc]=0,MIP_4[Previsto / Realizado]="Realizado"),MIP_4[Sem],0)</f>
        <v>30</v>
      </c>
      <c r="AP283" s="29">
        <f>IF(AND(MIP_4[Exc]=0,MIP_4[Previsto / Realizado]="Realizado",ISBLANK(MIP_4[[#This Row],[S.B Sitrack]])=FALSE,ISBLANK(MIP_4[[#This Row],[C.B Sitrack]])=FALSE),MIP_4[Sem],0)</f>
        <v>0</v>
      </c>
    </row>
    <row r="284" spans="1:42" ht="15.75" x14ac:dyDescent="0.25">
      <c r="A284" s="44">
        <f>WEEKNUM(MIP_4[[#This Row],[Data]])</f>
        <v>30</v>
      </c>
      <c r="B284" s="45">
        <v>42941</v>
      </c>
      <c r="C284" s="45"/>
      <c r="D284" s="35" t="s">
        <v>10</v>
      </c>
      <c r="E284" s="35" t="s">
        <v>5</v>
      </c>
      <c r="F284" s="35"/>
      <c r="G284" s="44">
        <v>2</v>
      </c>
      <c r="H284" s="44">
        <v>1</v>
      </c>
      <c r="I284" s="44">
        <v>0</v>
      </c>
      <c r="J284" s="44">
        <v>1</v>
      </c>
      <c r="K284" s="44">
        <v>0</v>
      </c>
      <c r="L284" s="43">
        <v>0.25</v>
      </c>
      <c r="M284" s="43">
        <v>0.27083333333333331</v>
      </c>
      <c r="N284" s="43">
        <v>0.63750000000000007</v>
      </c>
      <c r="O284" s="43">
        <v>0.65833333333333333</v>
      </c>
      <c r="P284" s="39"/>
      <c r="Q284" s="42" t="s">
        <v>356</v>
      </c>
      <c r="R284" s="29">
        <f>MIP_4[[#This Row],[PT-1]]+MIP_4[[#This Row],[PT-2]]*2+MIP_4[[#This Row],[PT-3]]*3+MIP_4[[#This Row],[PT &gt; 3 Pontos]]</f>
        <v>4</v>
      </c>
      <c r="S28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28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284" s="41">
        <f ca="1">MIP_4[[#This Row],[Eficiência]]</f>
        <v>0.27020779140344353</v>
      </c>
      <c r="V28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84" s="39">
        <f>IF(MIP_4[[#This Row],[P.S]]-MIP_4[[#This Row],[P.E]]&lt;0,1+MIP_4[[#This Row],[P.S]]-MIP_4[[#This Row],[P.E]]-1/24,MIP_4[[#This Row],[P.S]]-MIP_4[[#This Row],[P.E]]-1/24)</f>
        <v>0.36666666666666664</v>
      </c>
      <c r="X284" s="39">
        <f ca="1">MIP_4[[#This Row],[PT-1]]*$S$3+MIP_4[[#This Row],[PT-2]]*$T$3+MIP_4[[#This Row],[PT-3]]*$U$3+MIP_4[[#This Row],[PT &gt; 3 Pontos]]*$V$3</f>
        <v>8.7817532206119167E-2</v>
      </c>
      <c r="Y284" s="39">
        <f>MIP_4[[#This Row],[HH disponível]]-MIP_4[[#This Row],[HH AC TOT]]</f>
        <v>0.32500000000000007</v>
      </c>
      <c r="Z284" s="38">
        <f ca="1">MIP_4[[#This Row],[HH Produtivo
Total]]/MIP_4[[#This Row],[HH Trabalhado]]</f>
        <v>0.27020779140344353</v>
      </c>
      <c r="AA284" s="38">
        <f ca="1">MIP_4[[#This Row],[HH Produtivo
Total]]/MIP_4[[#This Row],[HH disponível]]</f>
        <v>0.23950236056214319</v>
      </c>
      <c r="AB284" s="38">
        <f>MIP_4[[#This Row],[HH Trabalhado]]/MIP_4[[#This Row],[HH disponível]]</f>
        <v>0.88636363636363658</v>
      </c>
      <c r="AC284" s="37" t="str">
        <f>LEFT(MIP_4[[#This Row],[Equipe]], SEARCH("/",MIP_4[[#This Row],[Equipe]],1)-1)</f>
        <v xml:space="preserve">JOILSON </v>
      </c>
      <c r="AD284" s="37" t="str">
        <f>RIGHT(MIP_4[[#This Row],[Equipe]], LEN(MIP_4[[#This Row],[Equipe]])-SEARCH("/",MIP_4[[#This Row],[Equipe]],1))</f>
        <v xml:space="preserve"> VALDEI</v>
      </c>
      <c r="AE284" s="44">
        <f>COUNTIFS('[1]Tempo parado'!G:G,"&gt;="&amp;MIP_4[[#This Row],[S.B Sitrack]],'[1]Tempo parado'!H:H,"&lt;="&amp;MIP_4[[#This Row],[C.B Sitrack]],'[1]Tempo parado'!A:A,MIP_4[[#This Row],[Placa]])</f>
        <v>0</v>
      </c>
      <c r="AF284" s="36"/>
      <c r="AG284" s="35"/>
      <c r="AH284" s="34"/>
      <c r="AI284" s="34"/>
      <c r="AJ28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8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8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84" s="32" t="str">
        <f>IFERROR(MIP_4[[#This Row],[Tempo parado]]/(MIP_4[[#This Row],[C.B Sitrack]]-MIP_4[[#This Row],[S.B Sitrack]]),"")</f>
        <v/>
      </c>
      <c r="AN284" s="30"/>
      <c r="AO284" s="44">
        <f>IF(AND(MIP_4[Exc]=0,MIP_4[Previsto / Realizado]="Realizado"),MIP_4[Sem],0)</f>
        <v>0</v>
      </c>
      <c r="AP284" s="29">
        <f>IF(AND(MIP_4[Exc]=0,MIP_4[Previsto / Realizado]="Realizado",ISBLANK(MIP_4[[#This Row],[S.B Sitrack]])=FALSE,ISBLANK(MIP_4[[#This Row],[C.B Sitrack]])=FALSE),MIP_4[Sem],0)</f>
        <v>0</v>
      </c>
    </row>
    <row r="285" spans="1:42" ht="15.75" x14ac:dyDescent="0.25">
      <c r="A285" s="44">
        <f>WEEKNUM(MIP_4[[#This Row],[Data]])</f>
        <v>30</v>
      </c>
      <c r="B285" s="45">
        <v>42941</v>
      </c>
      <c r="C285" s="45"/>
      <c r="D285" s="35" t="s">
        <v>10</v>
      </c>
      <c r="E285" s="35" t="s">
        <v>2</v>
      </c>
      <c r="F285" s="35"/>
      <c r="G285" s="44">
        <v>2</v>
      </c>
      <c r="H285" s="44">
        <v>1</v>
      </c>
      <c r="I285" s="44">
        <v>0</v>
      </c>
      <c r="J285" s="44">
        <v>1</v>
      </c>
      <c r="K285" s="44">
        <v>9</v>
      </c>
      <c r="L285" s="43">
        <v>0.24166666666666667</v>
      </c>
      <c r="M285" s="43">
        <v>0.29166666666666669</v>
      </c>
      <c r="N285" s="43">
        <v>0.64583333333333337</v>
      </c>
      <c r="O285" s="43">
        <v>0.65833333333333333</v>
      </c>
      <c r="P285" s="39"/>
      <c r="Q285" s="42"/>
      <c r="R285" s="29">
        <f>MIP_4[[#This Row],[PT-1]]+MIP_4[[#This Row],[PT-2]]*2+MIP_4[[#This Row],[PT-3]]*3+MIP_4[[#This Row],[PT &gt; 3 Pontos]]</f>
        <v>13</v>
      </c>
      <c r="S28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6.2499999999999972E-2</v>
      </c>
      <c r="T28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6.2499999999999972E-2</v>
      </c>
      <c r="U285" s="41">
        <f ca="1">MIP_4[[#This Row],[Eficiência]]</f>
        <v>0.86415881642512105</v>
      </c>
      <c r="V28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85" s="39">
        <f>IF(MIP_4[[#This Row],[P.S]]-MIP_4[[#This Row],[P.E]]&lt;0,1+MIP_4[[#This Row],[P.S]]-MIP_4[[#This Row],[P.E]]-1/24,MIP_4[[#This Row],[P.S]]-MIP_4[[#This Row],[P.E]]-1/24)</f>
        <v>0.37499999999999994</v>
      </c>
      <c r="X285" s="39">
        <f ca="1">MIP_4[[#This Row],[PT-1]]*$S$3+MIP_4[[#This Row],[PT-2]]*$T$3+MIP_4[[#This Row],[PT-3]]*$U$3+MIP_4[[#This Row],[PT &gt; 3 Pontos]]*$V$3</f>
        <v>0.27004963013285033</v>
      </c>
      <c r="Y285" s="39">
        <f>MIP_4[[#This Row],[HH disponível]]-MIP_4[[#This Row],[HH AC TOT]]</f>
        <v>0.3125</v>
      </c>
      <c r="Z285" s="38">
        <f ca="1">MIP_4[[#This Row],[HH Produtivo
Total]]/MIP_4[[#This Row],[HH Trabalhado]]</f>
        <v>0.86415881642512105</v>
      </c>
      <c r="AA285" s="38">
        <f ca="1">MIP_4[[#This Row],[HH Produtivo
Total]]/MIP_4[[#This Row],[HH disponível]]</f>
        <v>0.72013234702093432</v>
      </c>
      <c r="AB285" s="38">
        <f>MIP_4[[#This Row],[HH Trabalhado]]/MIP_4[[#This Row],[HH disponível]]</f>
        <v>0.83333333333333348</v>
      </c>
      <c r="AC285" s="37" t="str">
        <f>LEFT(MIP_4[[#This Row],[Equipe]], SEARCH("/",MIP_4[[#This Row],[Equipe]],1)-1)</f>
        <v xml:space="preserve">JOILSON </v>
      </c>
      <c r="AD285" s="37" t="str">
        <f>RIGHT(MIP_4[[#This Row],[Equipe]], LEN(MIP_4[[#This Row],[Equipe]])-SEARCH("/",MIP_4[[#This Row],[Equipe]],1))</f>
        <v xml:space="preserve"> VALDEI</v>
      </c>
      <c r="AE285" s="44">
        <f>COUNTIFS('[1]Tempo parado'!G:G,"&gt;="&amp;MIP_4[[#This Row],[S.B Sitrack]],'[1]Tempo parado'!H:H,"&lt;="&amp;MIP_4[[#This Row],[C.B Sitrack]],'[1]Tempo parado'!A:A,MIP_4[[#This Row],[Placa]])</f>
        <v>0</v>
      </c>
      <c r="AF285" s="36"/>
      <c r="AG285" s="35"/>
      <c r="AH285" s="34"/>
      <c r="AI285" s="34"/>
      <c r="AJ28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8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8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85" s="32" t="str">
        <f>IFERROR(MIP_4[[#This Row],[Tempo parado]]/(MIP_4[[#This Row],[C.B Sitrack]]-MIP_4[[#This Row],[S.B Sitrack]]),"")</f>
        <v/>
      </c>
      <c r="AN285" s="30"/>
      <c r="AO285" s="44">
        <f>IF(AND(MIP_4[Exc]=0,MIP_4[Previsto / Realizado]="Realizado"),MIP_4[Sem],0)</f>
        <v>30</v>
      </c>
      <c r="AP285" s="29">
        <f>IF(AND(MIP_4[Exc]=0,MIP_4[Previsto / Realizado]="Realizado",ISBLANK(MIP_4[[#This Row],[S.B Sitrack]])=FALSE,ISBLANK(MIP_4[[#This Row],[C.B Sitrack]])=FALSE),MIP_4[Sem],0)</f>
        <v>0</v>
      </c>
    </row>
    <row r="286" spans="1:42" ht="15.75" x14ac:dyDescent="0.25">
      <c r="A286" s="44">
        <f>WEEKNUM(MIP_4[[#This Row],[Data]])</f>
        <v>30</v>
      </c>
      <c r="B286" s="45">
        <v>42941</v>
      </c>
      <c r="C286" s="45"/>
      <c r="D286" s="35" t="s">
        <v>7</v>
      </c>
      <c r="E286" s="35" t="s">
        <v>5</v>
      </c>
      <c r="F286" s="35"/>
      <c r="G286" s="44">
        <v>2</v>
      </c>
      <c r="H286" s="44">
        <v>1</v>
      </c>
      <c r="I286" s="44">
        <v>0</v>
      </c>
      <c r="J286" s="44">
        <v>0</v>
      </c>
      <c r="K286" s="44">
        <v>0</v>
      </c>
      <c r="L286" s="43">
        <v>0.625</v>
      </c>
      <c r="M286" s="43">
        <v>0.64583333333333337</v>
      </c>
      <c r="N286" s="43">
        <f>1+18/24/60</f>
        <v>1.0125</v>
      </c>
      <c r="O286" s="43">
        <f>1+48/24/60</f>
        <v>1.0333333333333334</v>
      </c>
      <c r="P286" s="39"/>
      <c r="Q286" s="42" t="s">
        <v>355</v>
      </c>
      <c r="R286" s="29">
        <f>MIP_4[[#This Row],[PT-1]]+MIP_4[[#This Row],[PT-2]]*2+MIP_4[[#This Row],[PT-3]]*3+MIP_4[[#This Row],[PT &gt; 3 Pontos]]</f>
        <v>1</v>
      </c>
      <c r="S28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28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286" s="41">
        <f ca="1">MIP_4[[#This Row],[Eficiência]]</f>
        <v>7.7002624489037497E-2</v>
      </c>
      <c r="V28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86" s="39">
        <f>IF(MIP_4[[#This Row],[P.S]]-MIP_4[[#This Row],[P.E]]&lt;0,1+MIP_4[[#This Row],[P.S]]-MIP_4[[#This Row],[P.E]]-1/24,MIP_4[[#This Row],[P.S]]-MIP_4[[#This Row],[P.E]]-1/24)</f>
        <v>0.36666666666666675</v>
      </c>
      <c r="X286" s="39">
        <f ca="1">MIP_4[[#This Row],[PT-1]]*$S$3+MIP_4[[#This Row],[PT-2]]*$T$3+MIP_4[[#This Row],[PT-3]]*$U$3+MIP_4[[#This Row],[PT &gt; 3 Pontos]]*$V$3</f>
        <v>2.5025852958937181E-2</v>
      </c>
      <c r="Y286" s="39">
        <f>MIP_4[[#This Row],[HH disponível]]-MIP_4[[#This Row],[HH AC TOT]]</f>
        <v>0.3249999999999999</v>
      </c>
      <c r="Z286" s="38">
        <f ca="1">MIP_4[[#This Row],[HH Produtivo
Total]]/MIP_4[[#This Row],[HH Trabalhado]]</f>
        <v>7.7002624489037497E-2</v>
      </c>
      <c r="AA286" s="38">
        <f ca="1">MIP_4[[#This Row],[HH Produtivo
Total]]/MIP_4[[#This Row],[HH disponível]]</f>
        <v>6.8252326251646844E-2</v>
      </c>
      <c r="AB286" s="38">
        <f>MIP_4[[#This Row],[HH Trabalhado]]/MIP_4[[#This Row],[HH disponível]]</f>
        <v>0.88636363636363591</v>
      </c>
      <c r="AC286" s="37" t="str">
        <f>LEFT(MIP_4[[#This Row],[Equipe]], SEARCH("/",MIP_4[[#This Row],[Equipe]],1)-1)</f>
        <v xml:space="preserve">ANDERSON </v>
      </c>
      <c r="AD286" s="37" t="str">
        <f>RIGHT(MIP_4[[#This Row],[Equipe]], LEN(MIP_4[[#This Row],[Equipe]])-SEARCH("/",MIP_4[[#This Row],[Equipe]],1))</f>
        <v xml:space="preserve"> MARCO</v>
      </c>
      <c r="AE286" s="44">
        <f>COUNTIFS('[1]Tempo parado'!G:G,"&gt;="&amp;MIP_4[[#This Row],[S.B Sitrack]],'[1]Tempo parado'!H:H,"&lt;="&amp;MIP_4[[#This Row],[C.B Sitrack]],'[1]Tempo parado'!A:A,MIP_4[[#This Row],[Placa]])</f>
        <v>0</v>
      </c>
      <c r="AF286" s="36"/>
      <c r="AG286" s="35"/>
      <c r="AH286" s="34"/>
      <c r="AI286" s="34"/>
      <c r="AJ28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8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8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86" s="32" t="str">
        <f>IFERROR(MIP_4[[#This Row],[Tempo parado]]/(MIP_4[[#This Row],[C.B Sitrack]]-MIP_4[[#This Row],[S.B Sitrack]]),"")</f>
        <v/>
      </c>
      <c r="AN286" s="30"/>
      <c r="AO286" s="44">
        <f>IF(AND(MIP_4[Exc]=0,MIP_4[Previsto / Realizado]="Realizado"),MIP_4[Sem],0)</f>
        <v>0</v>
      </c>
      <c r="AP286" s="29">
        <f>IF(AND(MIP_4[Exc]=0,MIP_4[Previsto / Realizado]="Realizado",ISBLANK(MIP_4[[#This Row],[S.B Sitrack]])=FALSE,ISBLANK(MIP_4[[#This Row],[C.B Sitrack]])=FALSE),MIP_4[Sem],0)</f>
        <v>0</v>
      </c>
    </row>
    <row r="287" spans="1:42" ht="15.75" x14ac:dyDescent="0.25">
      <c r="A287" s="44">
        <f>WEEKNUM(MIP_4[[#This Row],[Data]])</f>
        <v>30</v>
      </c>
      <c r="B287" s="45">
        <v>42941</v>
      </c>
      <c r="C287" s="45"/>
      <c r="D287" s="35" t="s">
        <v>7</v>
      </c>
      <c r="E287" s="35" t="s">
        <v>2</v>
      </c>
      <c r="F287" s="35"/>
      <c r="G287" s="44">
        <v>2</v>
      </c>
      <c r="H287" s="44">
        <v>1</v>
      </c>
      <c r="I287" s="44">
        <v>0</v>
      </c>
      <c r="J287" s="44">
        <v>0</v>
      </c>
      <c r="K287" s="44">
        <v>6</v>
      </c>
      <c r="L287" s="43">
        <v>0.62777777777777777</v>
      </c>
      <c r="M287" s="43">
        <v>0.67222222222222217</v>
      </c>
      <c r="N287" s="43">
        <f>1+25/24/60</f>
        <v>1.0173611111111112</v>
      </c>
      <c r="O287" s="43">
        <f>1+50/24/60</f>
        <v>1.0347222222222223</v>
      </c>
      <c r="P287" s="39"/>
      <c r="Q287" s="42" t="s">
        <v>354</v>
      </c>
      <c r="R287" s="29">
        <f>MIP_4[[#This Row],[PT-1]]+MIP_4[[#This Row],[PT-2]]*2+MIP_4[[#This Row],[PT-3]]*3+MIP_4[[#This Row],[PT &gt; 3 Pontos]]</f>
        <v>7</v>
      </c>
      <c r="S28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6.1805555555555558E-2</v>
      </c>
      <c r="T28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6.1805555555555558E-2</v>
      </c>
      <c r="U287" s="41">
        <f ca="1">MIP_4[[#This Row],[Eficiência]]</f>
        <v>0.48279185874263481</v>
      </c>
      <c r="V28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87" s="39">
        <f>IF(MIP_4[[#This Row],[P.S]]-MIP_4[[#This Row],[P.E]]&lt;0,1+MIP_4[[#This Row],[P.S]]-MIP_4[[#This Row],[P.E]]-1/24,MIP_4[[#This Row],[P.S]]-MIP_4[[#This Row],[P.E]]-1/24)</f>
        <v>0.36527777777777787</v>
      </c>
      <c r="X287" s="39">
        <f ca="1">MIP_4[[#This Row],[PT-1]]*$S$3+MIP_4[[#This Row],[PT-2]]*$T$3+MIP_4[[#This Row],[PT-3]]*$U$3+MIP_4[[#This Row],[PT &gt; 3 Pontos]]*$V$3</f>
        <v>0.14651391824342463</v>
      </c>
      <c r="Y287" s="39">
        <f>MIP_4[[#This Row],[HH disponível]]-MIP_4[[#This Row],[HH AC TOT]]</f>
        <v>0.30347222222222231</v>
      </c>
      <c r="Z287" s="38">
        <f ca="1">MIP_4[[#This Row],[HH Produtivo
Total]]/MIP_4[[#This Row],[HH Trabalhado]]</f>
        <v>0.48279185874263481</v>
      </c>
      <c r="AA287" s="38">
        <f ca="1">MIP_4[[#This Row],[HH Produtivo
Total]]/MIP_4[[#This Row],[HH disponível]]</f>
        <v>0.40110274195918522</v>
      </c>
      <c r="AB287" s="38">
        <f>MIP_4[[#This Row],[HH Trabalhado]]/MIP_4[[#This Row],[HH disponível]]</f>
        <v>0.83079847908745252</v>
      </c>
      <c r="AC287" s="37" t="str">
        <f>LEFT(MIP_4[[#This Row],[Equipe]], SEARCH("/",MIP_4[[#This Row],[Equipe]],1)-1)</f>
        <v xml:space="preserve">ANDERSON </v>
      </c>
      <c r="AD287" s="37" t="str">
        <f>RIGHT(MIP_4[[#This Row],[Equipe]], LEN(MIP_4[[#This Row],[Equipe]])-SEARCH("/",MIP_4[[#This Row],[Equipe]],1))</f>
        <v xml:space="preserve"> MARCO</v>
      </c>
      <c r="AE287" s="44">
        <f>COUNTIFS('[1]Tempo parado'!G:G,"&gt;="&amp;MIP_4[[#This Row],[S.B Sitrack]],'[1]Tempo parado'!H:H,"&lt;="&amp;MIP_4[[#This Row],[C.B Sitrack]],'[1]Tempo parado'!A:A,MIP_4[[#This Row],[Placa]])</f>
        <v>0</v>
      </c>
      <c r="AF287" s="36"/>
      <c r="AG287" s="35"/>
      <c r="AH287" s="34"/>
      <c r="AI287" s="34"/>
      <c r="AJ28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8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8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87" s="32" t="str">
        <f>IFERROR(MIP_4[[#This Row],[Tempo parado]]/(MIP_4[[#This Row],[C.B Sitrack]]-MIP_4[[#This Row],[S.B Sitrack]]),"")</f>
        <v/>
      </c>
      <c r="AN287" s="30"/>
      <c r="AO287" s="44">
        <f>IF(AND(MIP_4[Exc]=0,MIP_4[Previsto / Realizado]="Realizado"),MIP_4[Sem],0)</f>
        <v>30</v>
      </c>
      <c r="AP287" s="29">
        <f>IF(AND(MIP_4[Exc]=0,MIP_4[Previsto / Realizado]="Realizado",ISBLANK(MIP_4[[#This Row],[S.B Sitrack]])=FALSE,ISBLANK(MIP_4[[#This Row],[C.B Sitrack]])=FALSE),MIP_4[Sem],0)</f>
        <v>0</v>
      </c>
    </row>
    <row r="288" spans="1:42" ht="15.75" x14ac:dyDescent="0.25">
      <c r="A288" s="44">
        <f>WEEKNUM(MIP_4[[#This Row],[Data]])</f>
        <v>30</v>
      </c>
      <c r="B288" s="45">
        <v>42941</v>
      </c>
      <c r="C288" s="45"/>
      <c r="D288" s="35" t="s">
        <v>3</v>
      </c>
      <c r="E288" s="35" t="s">
        <v>5</v>
      </c>
      <c r="F288" s="35"/>
      <c r="G288" s="44">
        <v>2</v>
      </c>
      <c r="H288" s="44">
        <v>3</v>
      </c>
      <c r="I288" s="44">
        <v>1</v>
      </c>
      <c r="J288" s="44">
        <v>0</v>
      </c>
      <c r="K288" s="44">
        <v>4</v>
      </c>
      <c r="L288" s="43">
        <v>0.625</v>
      </c>
      <c r="M288" s="43">
        <v>0.64583333333333337</v>
      </c>
      <c r="N288" s="43">
        <f>1+18/24/60</f>
        <v>1.0125</v>
      </c>
      <c r="O288" s="43">
        <f>1+48/24/60</f>
        <v>1.0333333333333334</v>
      </c>
      <c r="P288" s="39"/>
      <c r="Q288" s="42"/>
      <c r="R288" s="29">
        <f>MIP_4[[#This Row],[PT-1]]+MIP_4[[#This Row],[PT-2]]*2+MIP_4[[#This Row],[PT-3]]*3+MIP_4[[#This Row],[PT &gt; 3 Pontos]]</f>
        <v>9</v>
      </c>
      <c r="S28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28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288" s="41">
        <f ca="1">MIP_4[[#This Row],[Eficiência]]</f>
        <v>0.61531805693188568</v>
      </c>
      <c r="V28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88" s="39">
        <f>IF(MIP_4[[#This Row],[P.S]]-MIP_4[[#This Row],[P.E]]&lt;0,1+MIP_4[[#This Row],[P.S]]-MIP_4[[#This Row],[P.E]]-1/24,MIP_4[[#This Row],[P.S]]-MIP_4[[#This Row],[P.E]]-1/24)</f>
        <v>0.36666666666666675</v>
      </c>
      <c r="X288" s="39">
        <f ca="1">MIP_4[[#This Row],[PT-1]]*$S$3+MIP_4[[#This Row],[PT-2]]*$T$3+MIP_4[[#This Row],[PT-3]]*$U$3+MIP_4[[#This Row],[PT &gt; 3 Pontos]]*$V$3</f>
        <v>0.19997836850286277</v>
      </c>
      <c r="Y288" s="39">
        <f>MIP_4[[#This Row],[HH disponível]]-MIP_4[[#This Row],[HH AC TOT]]</f>
        <v>0.3249999999999999</v>
      </c>
      <c r="Z288" s="38">
        <f ca="1">MIP_4[[#This Row],[HH Produtivo
Total]]/MIP_4[[#This Row],[HH Trabalhado]]</f>
        <v>0.61531805693188568</v>
      </c>
      <c r="AA288" s="38">
        <f ca="1">MIP_4[[#This Row],[HH Produtivo
Total]]/MIP_4[[#This Row],[HH disponível]]</f>
        <v>0.54539555046235288</v>
      </c>
      <c r="AB288" s="38">
        <f>MIP_4[[#This Row],[HH Trabalhado]]/MIP_4[[#This Row],[HH disponível]]</f>
        <v>0.88636363636363591</v>
      </c>
      <c r="AC288" s="37" t="str">
        <f>LEFT(MIP_4[[#This Row],[Equipe]], SEARCH("/",MIP_4[[#This Row],[Equipe]],1)-1)</f>
        <v xml:space="preserve">EDILTON </v>
      </c>
      <c r="AD288" s="37" t="str">
        <f>RIGHT(MIP_4[[#This Row],[Equipe]], LEN(MIP_4[[#This Row],[Equipe]])-SEARCH("/",MIP_4[[#This Row],[Equipe]],1))</f>
        <v xml:space="preserve"> GECIVALDO</v>
      </c>
      <c r="AE288" s="44">
        <f>COUNTIFS('[1]Tempo parado'!G:G,"&gt;="&amp;MIP_4[[#This Row],[S.B Sitrack]],'[1]Tempo parado'!H:H,"&lt;="&amp;MIP_4[[#This Row],[C.B Sitrack]],'[1]Tempo parado'!A:A,MIP_4[[#This Row],[Placa]])</f>
        <v>0</v>
      </c>
      <c r="AF288" s="36"/>
      <c r="AG288" s="35"/>
      <c r="AH288" s="34"/>
      <c r="AI288" s="34"/>
      <c r="AJ28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8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8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88" s="32" t="str">
        <f>IFERROR(MIP_4[[#This Row],[Tempo parado]]/(MIP_4[[#This Row],[C.B Sitrack]]-MIP_4[[#This Row],[S.B Sitrack]]),"")</f>
        <v/>
      </c>
      <c r="AN288" s="30"/>
      <c r="AO288" s="44">
        <f>IF(AND(MIP_4[Exc]=0,MIP_4[Previsto / Realizado]="Realizado"),MIP_4[Sem],0)</f>
        <v>0</v>
      </c>
      <c r="AP288" s="29">
        <f>IF(AND(MIP_4[Exc]=0,MIP_4[Previsto / Realizado]="Realizado",ISBLANK(MIP_4[[#This Row],[S.B Sitrack]])=FALSE,ISBLANK(MIP_4[[#This Row],[C.B Sitrack]])=FALSE),MIP_4[Sem],0)</f>
        <v>0</v>
      </c>
    </row>
    <row r="289" spans="1:42" ht="15.75" x14ac:dyDescent="0.25">
      <c r="A289" s="44">
        <f>WEEKNUM(MIP_4[[#This Row],[Data]])</f>
        <v>30</v>
      </c>
      <c r="B289" s="45">
        <v>42941</v>
      </c>
      <c r="C289" s="45"/>
      <c r="D289" s="35" t="s">
        <v>3</v>
      </c>
      <c r="E289" s="35" t="s">
        <v>2</v>
      </c>
      <c r="F289" s="35"/>
      <c r="G289" s="44">
        <v>2</v>
      </c>
      <c r="H289" s="44">
        <v>3</v>
      </c>
      <c r="I289" s="44">
        <v>1</v>
      </c>
      <c r="J289" s="44">
        <v>0</v>
      </c>
      <c r="K289" s="44">
        <v>6</v>
      </c>
      <c r="L289" s="43">
        <v>0.62986111111111109</v>
      </c>
      <c r="M289" s="43">
        <v>0.67361111111111116</v>
      </c>
      <c r="N289" s="43">
        <f>1+25/24/60</f>
        <v>1.0173611111111112</v>
      </c>
      <c r="O289" s="43">
        <f>1+50/24/60</f>
        <v>1.0347222222222223</v>
      </c>
      <c r="P289" s="39"/>
      <c r="Q289" s="42" t="s">
        <v>353</v>
      </c>
      <c r="R289" s="29">
        <f>MIP_4[[#This Row],[PT-1]]+MIP_4[[#This Row],[PT-2]]*2+MIP_4[[#This Row],[PT-3]]*3+MIP_4[[#This Row],[PT &gt; 3 Pontos]]</f>
        <v>11</v>
      </c>
      <c r="S28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6.1111111111111227E-2</v>
      </c>
      <c r="T28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6.1111111111111227E-2</v>
      </c>
      <c r="U289" s="41">
        <f ca="1">MIP_4[[#This Row],[Eficiência]]</f>
        <v>0.79605315397856635</v>
      </c>
      <c r="V28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89" s="39">
        <f>IF(MIP_4[[#This Row],[P.S]]-MIP_4[[#This Row],[P.E]]&lt;0,1+MIP_4[[#This Row],[P.S]]-MIP_4[[#This Row],[P.E]]-1/24,MIP_4[[#This Row],[P.S]]-MIP_4[[#This Row],[P.E]]-1/24)</f>
        <v>0.36319444444444454</v>
      </c>
      <c r="X289" s="39">
        <f ca="1">MIP_4[[#This Row],[PT-1]]*$S$3+MIP_4[[#This Row],[PT-2]]*$T$3+MIP_4[[#This Row],[PT-3]]*$U$3+MIP_4[[#This Row],[PT &gt; 3 Pontos]]*$V$3</f>
        <v>0.24047439026435857</v>
      </c>
      <c r="Y289" s="39">
        <f>MIP_4[[#This Row],[HH disponível]]-MIP_4[[#This Row],[HH AC TOT]]</f>
        <v>0.30208333333333331</v>
      </c>
      <c r="Z289" s="38">
        <f ca="1">MIP_4[[#This Row],[HH Produtivo
Total]]/MIP_4[[#This Row],[HH Trabalhado]]</f>
        <v>0.79605315397856635</v>
      </c>
      <c r="AA289" s="38">
        <f ca="1">MIP_4[[#This Row],[HH Produtivo
Total]]/MIP_4[[#This Row],[HH disponível]]</f>
        <v>0.66210921984832938</v>
      </c>
      <c r="AB289" s="38">
        <f>MIP_4[[#This Row],[HH Trabalhado]]/MIP_4[[#This Row],[HH disponível]]</f>
        <v>0.83173996175908194</v>
      </c>
      <c r="AC289" s="37" t="str">
        <f>LEFT(MIP_4[[#This Row],[Equipe]], SEARCH("/",MIP_4[[#This Row],[Equipe]],1)-1)</f>
        <v xml:space="preserve">EDILTON </v>
      </c>
      <c r="AD289" s="37" t="str">
        <f>RIGHT(MIP_4[[#This Row],[Equipe]], LEN(MIP_4[[#This Row],[Equipe]])-SEARCH("/",MIP_4[[#This Row],[Equipe]],1))</f>
        <v xml:space="preserve"> GECIVALDO</v>
      </c>
      <c r="AE289" s="44">
        <f>COUNTIFS('[1]Tempo parado'!G:G,"&gt;="&amp;MIP_4[[#This Row],[S.B Sitrack]],'[1]Tempo parado'!H:H,"&lt;="&amp;MIP_4[[#This Row],[C.B Sitrack]],'[1]Tempo parado'!A:A,MIP_4[[#This Row],[Placa]])</f>
        <v>0</v>
      </c>
      <c r="AF289" s="36"/>
      <c r="AG289" s="35"/>
      <c r="AH289" s="34"/>
      <c r="AI289" s="34"/>
      <c r="AJ28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8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8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89" s="32" t="str">
        <f>IFERROR(MIP_4[[#This Row],[Tempo parado]]/(MIP_4[[#This Row],[C.B Sitrack]]-MIP_4[[#This Row],[S.B Sitrack]]),"")</f>
        <v/>
      </c>
      <c r="AN289" s="30"/>
      <c r="AO289" s="44">
        <f>IF(AND(MIP_4[Exc]=0,MIP_4[Previsto / Realizado]="Realizado"),MIP_4[Sem],0)</f>
        <v>30</v>
      </c>
      <c r="AP289" s="29">
        <f>IF(AND(MIP_4[Exc]=0,MIP_4[Previsto / Realizado]="Realizado",ISBLANK(MIP_4[[#This Row],[S.B Sitrack]])=FALSE,ISBLANK(MIP_4[[#This Row],[C.B Sitrack]])=FALSE),MIP_4[Sem],0)</f>
        <v>0</v>
      </c>
    </row>
    <row r="290" spans="1:42" ht="15.75" x14ac:dyDescent="0.25">
      <c r="A290" s="44">
        <f>WEEKNUM(MIP_4[[#This Row],[Data]])</f>
        <v>30</v>
      </c>
      <c r="B290" s="45">
        <v>42942</v>
      </c>
      <c r="C290" s="45"/>
      <c r="D290" s="35" t="s">
        <v>10</v>
      </c>
      <c r="E290" s="35" t="s">
        <v>5</v>
      </c>
      <c r="F290" s="35"/>
      <c r="G290" s="44">
        <v>2</v>
      </c>
      <c r="H290" s="44">
        <v>2</v>
      </c>
      <c r="I290" s="44">
        <v>1</v>
      </c>
      <c r="J290" s="44">
        <v>2</v>
      </c>
      <c r="K290" s="44">
        <v>0</v>
      </c>
      <c r="L290" s="43">
        <v>0.25</v>
      </c>
      <c r="M290" s="43">
        <v>0.27083333333333331</v>
      </c>
      <c r="N290" s="43">
        <v>0.63750000000000007</v>
      </c>
      <c r="O290" s="43">
        <v>0.65833333333333333</v>
      </c>
      <c r="P290" s="39"/>
      <c r="Q290" s="42"/>
      <c r="R290" s="29">
        <f>MIP_4[[#This Row],[PT-1]]+MIP_4[[#This Row],[PT-2]]*2+MIP_4[[#This Row],[PT-3]]*3+MIP_4[[#This Row],[PT &gt; 3 Pontos]]</f>
        <v>10</v>
      </c>
      <c r="S29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29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290" s="41">
        <f ca="1">MIP_4[[#This Row],[Eficiência]]</f>
        <v>0.67551947850860883</v>
      </c>
      <c r="V29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90" s="39">
        <f>IF(MIP_4[[#This Row],[P.S]]-MIP_4[[#This Row],[P.E]]&lt;0,1+MIP_4[[#This Row],[P.S]]-MIP_4[[#This Row],[P.E]]-1/24,MIP_4[[#This Row],[P.S]]-MIP_4[[#This Row],[P.E]]-1/24)</f>
        <v>0.36666666666666664</v>
      </c>
      <c r="X290" s="39">
        <f ca="1">MIP_4[[#This Row],[PT-1]]*$S$3+MIP_4[[#This Row],[PT-2]]*$T$3+MIP_4[[#This Row],[PT-3]]*$U$3+MIP_4[[#This Row],[PT &gt; 3 Pontos]]*$V$3</f>
        <v>0.21954383051529791</v>
      </c>
      <c r="Y290" s="39">
        <f>MIP_4[[#This Row],[HH disponível]]-MIP_4[[#This Row],[HH AC TOT]]</f>
        <v>0.32500000000000007</v>
      </c>
      <c r="Z290" s="38">
        <f ca="1">MIP_4[[#This Row],[HH Produtivo
Total]]/MIP_4[[#This Row],[HH Trabalhado]]</f>
        <v>0.67551947850860883</v>
      </c>
      <c r="AA290" s="38">
        <f ca="1">MIP_4[[#This Row],[HH Produtivo
Total]]/MIP_4[[#This Row],[HH disponível]]</f>
        <v>0.59875590140535795</v>
      </c>
      <c r="AB290" s="38">
        <f>MIP_4[[#This Row],[HH Trabalhado]]/MIP_4[[#This Row],[HH disponível]]</f>
        <v>0.88636363636363658</v>
      </c>
      <c r="AC290" s="37" t="str">
        <f>LEFT(MIP_4[[#This Row],[Equipe]], SEARCH("/",MIP_4[[#This Row],[Equipe]],1)-1)</f>
        <v xml:space="preserve">JOILSON </v>
      </c>
      <c r="AD290" s="37" t="str">
        <f>RIGHT(MIP_4[[#This Row],[Equipe]], LEN(MIP_4[[#This Row],[Equipe]])-SEARCH("/",MIP_4[[#This Row],[Equipe]],1))</f>
        <v xml:space="preserve"> VALDEI</v>
      </c>
      <c r="AE290" s="44">
        <f>COUNTIFS('[1]Tempo parado'!G:G,"&gt;="&amp;MIP_4[[#This Row],[S.B Sitrack]],'[1]Tempo parado'!H:H,"&lt;="&amp;MIP_4[[#This Row],[C.B Sitrack]],'[1]Tempo parado'!A:A,MIP_4[[#This Row],[Placa]])</f>
        <v>0</v>
      </c>
      <c r="AF290" s="36"/>
      <c r="AG290" s="35"/>
      <c r="AH290" s="34"/>
      <c r="AI290" s="34"/>
      <c r="AJ29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9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9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90" s="32" t="str">
        <f>IFERROR(MIP_4[[#This Row],[Tempo parado]]/(MIP_4[[#This Row],[C.B Sitrack]]-MIP_4[[#This Row],[S.B Sitrack]]),"")</f>
        <v/>
      </c>
      <c r="AN290" s="30"/>
      <c r="AO290" s="44">
        <f>IF(AND(MIP_4[Exc]=0,MIP_4[Previsto / Realizado]="Realizado"),MIP_4[Sem],0)</f>
        <v>0</v>
      </c>
      <c r="AP290" s="29">
        <f>IF(AND(MIP_4[Exc]=0,MIP_4[Previsto / Realizado]="Realizado",ISBLANK(MIP_4[[#This Row],[S.B Sitrack]])=FALSE,ISBLANK(MIP_4[[#This Row],[C.B Sitrack]])=FALSE),MIP_4[Sem],0)</f>
        <v>0</v>
      </c>
    </row>
    <row r="291" spans="1:42" ht="15.75" x14ac:dyDescent="0.25">
      <c r="A291" s="44">
        <f>WEEKNUM(MIP_4[[#This Row],[Data]])</f>
        <v>30</v>
      </c>
      <c r="B291" s="45">
        <v>42942</v>
      </c>
      <c r="C291" s="45"/>
      <c r="D291" s="35" t="s">
        <v>10</v>
      </c>
      <c r="E291" s="35" t="s">
        <v>2</v>
      </c>
      <c r="F291" s="35"/>
      <c r="G291" s="44">
        <v>2</v>
      </c>
      <c r="H291" s="44">
        <v>2</v>
      </c>
      <c r="I291" s="44">
        <v>1</v>
      </c>
      <c r="J291" s="44">
        <v>2</v>
      </c>
      <c r="K291" s="44">
        <v>0</v>
      </c>
      <c r="L291" s="43">
        <v>0.40763888888888888</v>
      </c>
      <c r="M291" s="43">
        <v>0.28472222222222221</v>
      </c>
      <c r="N291" s="43">
        <v>0.64166666666666672</v>
      </c>
      <c r="O291" s="43">
        <v>0.8256944444444444</v>
      </c>
      <c r="P291" s="39"/>
      <c r="Q291" s="42"/>
      <c r="R291" s="29">
        <f>MIP_4[[#This Row],[PT-1]]+MIP_4[[#This Row],[PT-2]]*2+MIP_4[[#This Row],[PT-3]]*3+MIP_4[[#This Row],[PT &gt; 3 Pontos]]</f>
        <v>10</v>
      </c>
      <c r="S29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6.1111111111111005E-2</v>
      </c>
      <c r="T29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6.1111111111111005E-2</v>
      </c>
      <c r="U291" s="41">
        <f ca="1">MIP_4[[#This Row],[Eficiência]]</f>
        <v>0.6963504756432356</v>
      </c>
      <c r="V29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1</v>
      </c>
      <c r="W291" s="39">
        <f>IF(MIP_4[[#This Row],[P.S]]-MIP_4[[#This Row],[P.E]]&lt;0,1+MIP_4[[#This Row],[P.S]]-MIP_4[[#This Row],[P.E]]-1/24,MIP_4[[#This Row],[P.S]]-MIP_4[[#This Row],[P.E]]-1/24)</f>
        <v>0.37638888888888883</v>
      </c>
      <c r="X291" s="39">
        <f ca="1">MIP_4[[#This Row],[PT-1]]*$S$3+MIP_4[[#This Row],[PT-2]]*$T$3+MIP_4[[#This Row],[PT-3]]*$U$3+MIP_4[[#This Row],[PT &gt; 3 Pontos]]*$V$3</f>
        <v>0.21954383051529791</v>
      </c>
      <c r="Y291" s="39">
        <f>MIP_4[[#This Row],[HH disponível]]-MIP_4[[#This Row],[HH AC TOT]]</f>
        <v>0.31527777777777782</v>
      </c>
      <c r="Z291" s="38">
        <f ca="1">MIP_4[[#This Row],[HH Produtivo
Total]]/MIP_4[[#This Row],[HH Trabalhado]]</f>
        <v>0.6963504756432356</v>
      </c>
      <c r="AA291" s="38">
        <f ca="1">MIP_4[[#This Row],[HH Produtivo
Total]]/MIP_4[[#This Row],[HH disponível]]</f>
        <v>0.5832898818118617</v>
      </c>
      <c r="AB291" s="38">
        <f>MIP_4[[#This Row],[HH Trabalhado]]/MIP_4[[#This Row],[HH disponível]]</f>
        <v>0.83763837638376404</v>
      </c>
      <c r="AC291" s="37" t="str">
        <f>LEFT(MIP_4[[#This Row],[Equipe]], SEARCH("/",MIP_4[[#This Row],[Equipe]],1)-1)</f>
        <v xml:space="preserve">JOILSON </v>
      </c>
      <c r="AD291" s="37" t="str">
        <f>RIGHT(MIP_4[[#This Row],[Equipe]], LEN(MIP_4[[#This Row],[Equipe]])-SEARCH("/",MIP_4[[#This Row],[Equipe]],1))</f>
        <v xml:space="preserve"> VALDEI</v>
      </c>
      <c r="AE291" s="44">
        <f>COUNTIFS('[1]Tempo parado'!G:G,"&gt;="&amp;MIP_4[[#This Row],[S.B Sitrack]],'[1]Tempo parado'!H:H,"&lt;="&amp;MIP_4[[#This Row],[C.B Sitrack]],'[1]Tempo parado'!A:A,MIP_4[[#This Row],[Placa]])</f>
        <v>0</v>
      </c>
      <c r="AF291" s="36"/>
      <c r="AG291" s="35"/>
      <c r="AH291" s="34"/>
      <c r="AI291" s="34"/>
      <c r="AJ29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9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9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91" s="32" t="str">
        <f>IFERROR(MIP_4[[#This Row],[Tempo parado]]/(MIP_4[[#This Row],[C.B Sitrack]]-MIP_4[[#This Row],[S.B Sitrack]]),"")</f>
        <v/>
      </c>
      <c r="AN291" s="30"/>
      <c r="AO291" s="44">
        <f>IF(AND(MIP_4[Exc]=0,MIP_4[Previsto / Realizado]="Realizado"),MIP_4[Sem],0)</f>
        <v>0</v>
      </c>
      <c r="AP291" s="29">
        <f>IF(AND(MIP_4[Exc]=0,MIP_4[Previsto / Realizado]="Realizado",ISBLANK(MIP_4[[#This Row],[S.B Sitrack]])=FALSE,ISBLANK(MIP_4[[#This Row],[C.B Sitrack]])=FALSE),MIP_4[Sem],0)</f>
        <v>0</v>
      </c>
    </row>
    <row r="292" spans="1:42" ht="15.75" x14ac:dyDescent="0.25">
      <c r="A292" s="44">
        <f>WEEKNUM(MIP_4[[#This Row],[Data]])</f>
        <v>30</v>
      </c>
      <c r="B292" s="45">
        <v>42942</v>
      </c>
      <c r="C292" s="45"/>
      <c r="D292" s="35" t="s">
        <v>3</v>
      </c>
      <c r="E292" s="35" t="s">
        <v>5</v>
      </c>
      <c r="F292" s="35"/>
      <c r="G292" s="44">
        <v>2</v>
      </c>
      <c r="H292" s="44">
        <v>4</v>
      </c>
      <c r="I292" s="44">
        <v>2</v>
      </c>
      <c r="J292" s="44">
        <v>0</v>
      </c>
      <c r="K292" s="44">
        <v>8</v>
      </c>
      <c r="L292" s="43">
        <v>0.625</v>
      </c>
      <c r="M292" s="43">
        <v>0.64583333333333337</v>
      </c>
      <c r="N292" s="43">
        <f>1+18/24/60</f>
        <v>1.0125</v>
      </c>
      <c r="O292" s="43">
        <f>1+48/24/60</f>
        <v>1.0333333333333334</v>
      </c>
      <c r="P292" s="39"/>
      <c r="Q292" s="42"/>
      <c r="R292" s="29">
        <f>MIP_4[[#This Row],[PT-1]]+MIP_4[[#This Row],[PT-2]]*2+MIP_4[[#This Row],[PT-3]]*3+MIP_4[[#This Row],[PT &gt; 3 Pontos]]</f>
        <v>16</v>
      </c>
      <c r="S29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29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292" s="41">
        <f ca="1">MIP_4[[#This Row],[Eficiência]]</f>
        <v>1.0766308648856961</v>
      </c>
      <c r="V29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92" s="39">
        <f>IF(MIP_4[[#This Row],[P.S]]-MIP_4[[#This Row],[P.E]]&lt;0,1+MIP_4[[#This Row],[P.S]]-MIP_4[[#This Row],[P.E]]-1/24,MIP_4[[#This Row],[P.S]]-MIP_4[[#This Row],[P.E]]-1/24)</f>
        <v>0.36666666666666675</v>
      </c>
      <c r="X292" s="39">
        <f ca="1">MIP_4[[#This Row],[PT-1]]*$S$3+MIP_4[[#This Row],[PT-2]]*$T$3+MIP_4[[#This Row],[PT-3]]*$U$3+MIP_4[[#This Row],[PT &gt; 3 Pontos]]*$V$3</f>
        <v>0.34990503108785115</v>
      </c>
      <c r="Y292" s="39">
        <f>MIP_4[[#This Row],[HH disponível]]-MIP_4[[#This Row],[HH AC TOT]]</f>
        <v>0.3249999999999999</v>
      </c>
      <c r="Z292" s="38">
        <f ca="1">MIP_4[[#This Row],[HH Produtivo
Total]]/MIP_4[[#This Row],[HH Trabalhado]]</f>
        <v>1.0766308648856961</v>
      </c>
      <c r="AA292" s="38">
        <f ca="1">MIP_4[[#This Row],[HH Produtivo
Total]]/MIP_4[[#This Row],[HH disponível]]</f>
        <v>0.95428644842141197</v>
      </c>
      <c r="AB292" s="38">
        <f>MIP_4[[#This Row],[HH Trabalhado]]/MIP_4[[#This Row],[HH disponível]]</f>
        <v>0.88636363636363591</v>
      </c>
      <c r="AC292" s="37" t="str">
        <f>LEFT(MIP_4[[#This Row],[Equipe]], SEARCH("/",MIP_4[[#This Row],[Equipe]],1)-1)</f>
        <v xml:space="preserve">EDILTON </v>
      </c>
      <c r="AD292" s="37" t="str">
        <f>RIGHT(MIP_4[[#This Row],[Equipe]], LEN(MIP_4[[#This Row],[Equipe]])-SEARCH("/",MIP_4[[#This Row],[Equipe]],1))</f>
        <v xml:space="preserve"> GECIVALDO</v>
      </c>
      <c r="AE292" s="44">
        <f>COUNTIFS('[1]Tempo parado'!G:G,"&gt;="&amp;MIP_4[[#This Row],[S.B Sitrack]],'[1]Tempo parado'!H:H,"&lt;="&amp;MIP_4[[#This Row],[C.B Sitrack]],'[1]Tempo parado'!A:A,MIP_4[[#This Row],[Placa]])</f>
        <v>0</v>
      </c>
      <c r="AF292" s="36"/>
      <c r="AG292" s="35"/>
      <c r="AH292" s="34"/>
      <c r="AI292" s="34"/>
      <c r="AJ29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9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9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92" s="32" t="str">
        <f>IFERROR(MIP_4[[#This Row],[Tempo parado]]/(MIP_4[[#This Row],[C.B Sitrack]]-MIP_4[[#This Row],[S.B Sitrack]]),"")</f>
        <v/>
      </c>
      <c r="AN292" s="30"/>
      <c r="AO292" s="44">
        <f>IF(AND(MIP_4[Exc]=0,MIP_4[Previsto / Realizado]="Realizado"),MIP_4[Sem],0)</f>
        <v>0</v>
      </c>
      <c r="AP292" s="29">
        <f>IF(AND(MIP_4[Exc]=0,MIP_4[Previsto / Realizado]="Realizado",ISBLANK(MIP_4[[#This Row],[S.B Sitrack]])=FALSE,ISBLANK(MIP_4[[#This Row],[C.B Sitrack]])=FALSE),MIP_4[Sem],0)</f>
        <v>0</v>
      </c>
    </row>
    <row r="293" spans="1:42" ht="15.75" x14ac:dyDescent="0.25">
      <c r="A293" s="44">
        <f>WEEKNUM(MIP_4[[#This Row],[Data]])</f>
        <v>30</v>
      </c>
      <c r="B293" s="45">
        <v>42942</v>
      </c>
      <c r="C293" s="45"/>
      <c r="D293" s="35" t="s">
        <v>3</v>
      </c>
      <c r="E293" s="35" t="s">
        <v>2</v>
      </c>
      <c r="F293" s="35"/>
      <c r="G293" s="44">
        <v>2</v>
      </c>
      <c r="H293" s="44">
        <v>3</v>
      </c>
      <c r="I293" s="44">
        <v>1</v>
      </c>
      <c r="J293" s="44">
        <v>0</v>
      </c>
      <c r="K293" s="44">
        <v>8</v>
      </c>
      <c r="L293" s="43">
        <v>0.62708333333333333</v>
      </c>
      <c r="M293" s="43">
        <v>0.65833333333333333</v>
      </c>
      <c r="N293" s="43">
        <f>1+15/24/60</f>
        <v>1.0104166666666667</v>
      </c>
      <c r="O293" s="43">
        <f>1+50/24/60</f>
        <v>1.0347222222222223</v>
      </c>
      <c r="P293" s="39"/>
      <c r="Q293" s="42"/>
      <c r="R293" s="29">
        <f>MIP_4[[#This Row],[PT-1]]+MIP_4[[#This Row],[PT-2]]*2+MIP_4[[#This Row],[PT-3]]*3+MIP_4[[#This Row],[PT &gt; 3 Pontos]]</f>
        <v>13</v>
      </c>
      <c r="S29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5.555555555555558E-2</v>
      </c>
      <c r="T29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5.555555555555558E-2</v>
      </c>
      <c r="U293" s="41">
        <f ca="1">MIP_4[[#This Row],[Eficiência]]</f>
        <v>0.90513958236516823</v>
      </c>
      <c r="V29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93" s="39">
        <f>IF(MIP_4[[#This Row],[P.S]]-MIP_4[[#This Row],[P.E]]&lt;0,1+MIP_4[[#This Row],[P.S]]-MIP_4[[#This Row],[P.E]]-1/24,MIP_4[[#This Row],[P.S]]-MIP_4[[#This Row],[P.E]]-1/24)</f>
        <v>0.36597222222222231</v>
      </c>
      <c r="X293" s="39">
        <f ca="1">MIP_4[[#This Row],[PT-1]]*$S$3+MIP_4[[#This Row],[PT-2]]*$T$3+MIP_4[[#This Row],[PT-3]]*$U$3+MIP_4[[#This Row],[PT &gt; 3 Pontos]]*$V$3</f>
        <v>0.28097041202585438</v>
      </c>
      <c r="Y293" s="39">
        <f>MIP_4[[#This Row],[HH disponível]]-MIP_4[[#This Row],[HH AC TOT]]</f>
        <v>0.31041666666666673</v>
      </c>
      <c r="Z293" s="38">
        <f ca="1">MIP_4[[#This Row],[HH Produtivo
Total]]/MIP_4[[#This Row],[HH Trabalhado]]</f>
        <v>0.90513958236516823</v>
      </c>
      <c r="AA293" s="38">
        <f ca="1">MIP_4[[#This Row],[HH Produtivo
Total]]/MIP_4[[#This Row],[HH disponível]]</f>
        <v>0.76773698921675559</v>
      </c>
      <c r="AB293" s="38">
        <f>MIP_4[[#This Row],[HH Trabalhado]]/MIP_4[[#This Row],[HH disponível]]</f>
        <v>0.84819734345351039</v>
      </c>
      <c r="AC293" s="37" t="str">
        <f>LEFT(MIP_4[[#This Row],[Equipe]], SEARCH("/",MIP_4[[#This Row],[Equipe]],1)-1)</f>
        <v xml:space="preserve">EDILTON </v>
      </c>
      <c r="AD293" s="37" t="str">
        <f>RIGHT(MIP_4[[#This Row],[Equipe]], LEN(MIP_4[[#This Row],[Equipe]])-SEARCH("/",MIP_4[[#This Row],[Equipe]],1))</f>
        <v xml:space="preserve"> GECIVALDO</v>
      </c>
      <c r="AE293" s="44">
        <f>COUNTIFS('[1]Tempo parado'!G:G,"&gt;="&amp;MIP_4[[#This Row],[S.B Sitrack]],'[1]Tempo parado'!H:H,"&lt;="&amp;MIP_4[[#This Row],[C.B Sitrack]],'[1]Tempo parado'!A:A,MIP_4[[#This Row],[Placa]])</f>
        <v>0</v>
      </c>
      <c r="AF293" s="36"/>
      <c r="AG293" s="35"/>
      <c r="AH293" s="34"/>
      <c r="AI293" s="34"/>
      <c r="AJ29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9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9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93" s="32" t="str">
        <f>IFERROR(MIP_4[[#This Row],[Tempo parado]]/(MIP_4[[#This Row],[C.B Sitrack]]-MIP_4[[#This Row],[S.B Sitrack]]),"")</f>
        <v/>
      </c>
      <c r="AN293" s="30"/>
      <c r="AO293" s="44">
        <f>IF(AND(MIP_4[Exc]=0,MIP_4[Previsto / Realizado]="Realizado"),MIP_4[Sem],0)</f>
        <v>30</v>
      </c>
      <c r="AP293" s="29">
        <f>IF(AND(MIP_4[Exc]=0,MIP_4[Previsto / Realizado]="Realizado",ISBLANK(MIP_4[[#This Row],[S.B Sitrack]])=FALSE,ISBLANK(MIP_4[[#This Row],[C.B Sitrack]])=FALSE),MIP_4[Sem],0)</f>
        <v>0</v>
      </c>
    </row>
    <row r="294" spans="1:42" ht="15.75" x14ac:dyDescent="0.25">
      <c r="A294" s="44">
        <f>WEEKNUM(MIP_4[[#This Row],[Data]])</f>
        <v>30</v>
      </c>
      <c r="B294" s="45">
        <v>42942</v>
      </c>
      <c r="C294" s="45"/>
      <c r="D294" s="35" t="s">
        <v>19</v>
      </c>
      <c r="E294" s="35" t="s">
        <v>5</v>
      </c>
      <c r="F294" s="35"/>
      <c r="G294" s="44">
        <v>2</v>
      </c>
      <c r="H294" s="44">
        <v>4</v>
      </c>
      <c r="I294" s="44">
        <v>3</v>
      </c>
      <c r="J294" s="44">
        <v>0</v>
      </c>
      <c r="K294" s="44">
        <v>0</v>
      </c>
      <c r="L294" s="43">
        <v>0.625</v>
      </c>
      <c r="M294" s="43">
        <v>0.64583333333333337</v>
      </c>
      <c r="N294" s="43">
        <f>1+18/24/60</f>
        <v>1.0125</v>
      </c>
      <c r="O294" s="43">
        <f>1+48/24/60</f>
        <v>1.0333333333333334</v>
      </c>
      <c r="P294" s="39"/>
      <c r="Q294" s="42"/>
      <c r="R294" s="29">
        <f>MIP_4[[#This Row],[PT-1]]+MIP_4[[#This Row],[PT-2]]*2+MIP_4[[#This Row],[PT-3]]*3+MIP_4[[#This Row],[PT &gt; 3 Pontos]]</f>
        <v>10</v>
      </c>
      <c r="S29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29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294" s="41">
        <f ca="1">MIP_4[[#This Row],[Eficiência]]</f>
        <v>0.71332218506131551</v>
      </c>
      <c r="V29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94" s="39">
        <f>IF(MIP_4[[#This Row],[P.S]]-MIP_4[[#This Row],[P.E]]&lt;0,1+MIP_4[[#This Row],[P.S]]-MIP_4[[#This Row],[P.E]]-1/24,MIP_4[[#This Row],[P.S]]-MIP_4[[#This Row],[P.E]]-1/24)</f>
        <v>0.36666666666666675</v>
      </c>
      <c r="X294" s="39">
        <f ca="1">MIP_4[[#This Row],[PT-1]]*$S$3+MIP_4[[#This Row],[PT-2]]*$T$3+MIP_4[[#This Row],[PT-3]]*$U$3+MIP_4[[#This Row],[PT &gt; 3 Pontos]]*$V$3</f>
        <v>0.23182971014492748</v>
      </c>
      <c r="Y294" s="39">
        <f>MIP_4[[#This Row],[HH disponível]]-MIP_4[[#This Row],[HH AC TOT]]</f>
        <v>0.3249999999999999</v>
      </c>
      <c r="Z294" s="38">
        <f ca="1">MIP_4[[#This Row],[HH Produtivo
Total]]/MIP_4[[#This Row],[HH Trabalhado]]</f>
        <v>0.71332218506131551</v>
      </c>
      <c r="AA294" s="38">
        <f ca="1">MIP_4[[#This Row],[HH Produtivo
Total]]/MIP_4[[#This Row],[HH disponível]]</f>
        <v>0.63226284584980208</v>
      </c>
      <c r="AB294" s="38">
        <f>MIP_4[[#This Row],[HH Trabalhado]]/MIP_4[[#This Row],[HH disponível]]</f>
        <v>0.88636363636363591</v>
      </c>
      <c r="AC294" s="37" t="str">
        <f>LEFT(MIP_4[[#This Row],[Equipe]], SEARCH("/",MIP_4[[#This Row],[Equipe]],1)-1)</f>
        <v xml:space="preserve">ADEMÁRIO </v>
      </c>
      <c r="AD294" s="37" t="str">
        <f>RIGHT(MIP_4[[#This Row],[Equipe]], LEN(MIP_4[[#This Row],[Equipe]])-SEARCH("/",MIP_4[[#This Row],[Equipe]],1))</f>
        <v xml:space="preserve"> RONALDO</v>
      </c>
      <c r="AE294" s="44">
        <f>COUNTIFS('[1]Tempo parado'!G:G,"&gt;="&amp;MIP_4[[#This Row],[S.B Sitrack]],'[1]Tempo parado'!H:H,"&lt;="&amp;MIP_4[[#This Row],[C.B Sitrack]],'[1]Tempo parado'!A:A,MIP_4[[#This Row],[Placa]])</f>
        <v>0</v>
      </c>
      <c r="AF294" s="36"/>
      <c r="AG294" s="35"/>
      <c r="AH294" s="34"/>
      <c r="AI294" s="34"/>
      <c r="AJ29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9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9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94" s="32" t="str">
        <f>IFERROR(MIP_4[[#This Row],[Tempo parado]]/(MIP_4[[#This Row],[C.B Sitrack]]-MIP_4[[#This Row],[S.B Sitrack]]),"")</f>
        <v/>
      </c>
      <c r="AN294" s="30"/>
      <c r="AO294" s="44">
        <f>IF(AND(MIP_4[Exc]=0,MIP_4[Previsto / Realizado]="Realizado"),MIP_4[Sem],0)</f>
        <v>0</v>
      </c>
      <c r="AP294" s="29">
        <f>IF(AND(MIP_4[Exc]=0,MIP_4[Previsto / Realizado]="Realizado",ISBLANK(MIP_4[[#This Row],[S.B Sitrack]])=FALSE,ISBLANK(MIP_4[[#This Row],[C.B Sitrack]])=FALSE),MIP_4[Sem],0)</f>
        <v>0</v>
      </c>
    </row>
    <row r="295" spans="1:42" ht="15.75" x14ac:dyDescent="0.25">
      <c r="A295" s="44">
        <f>WEEKNUM(MIP_4[[#This Row],[Data]])</f>
        <v>30</v>
      </c>
      <c r="B295" s="45">
        <v>42942</v>
      </c>
      <c r="C295" s="45"/>
      <c r="D295" s="35" t="s">
        <v>19</v>
      </c>
      <c r="E295" s="35" t="s">
        <v>2</v>
      </c>
      <c r="F295" s="35"/>
      <c r="G295" s="44">
        <v>2</v>
      </c>
      <c r="H295" s="44">
        <v>4</v>
      </c>
      <c r="I295" s="44">
        <v>3</v>
      </c>
      <c r="J295" s="44">
        <v>0</v>
      </c>
      <c r="K295" s="44">
        <v>0</v>
      </c>
      <c r="L295" s="43">
        <v>0.62638888888888888</v>
      </c>
      <c r="M295" s="43">
        <v>0.625</v>
      </c>
      <c r="N295" s="43">
        <f>1+20/24/60</f>
        <v>1.0138888888888888</v>
      </c>
      <c r="O295" s="43">
        <f>1+50/24/60</f>
        <v>1.0347222222222223</v>
      </c>
      <c r="P295" s="39"/>
      <c r="Q295" s="42"/>
      <c r="R295" s="29">
        <f>MIP_4[[#This Row],[PT-1]]+MIP_4[[#This Row],[PT-2]]*2+MIP_4[[#This Row],[PT-3]]*3+MIP_4[[#This Row],[PT &gt; 3 Pontos]]</f>
        <v>10</v>
      </c>
      <c r="S29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1.9444444444444597E-2</v>
      </c>
      <c r="T29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1.9444444444444597E-2</v>
      </c>
      <c r="U295" s="41">
        <f ca="1">MIP_4[[#This Row],[Eficiência]]</f>
        <v>0.66766956521739129</v>
      </c>
      <c r="V29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1</v>
      </c>
      <c r="W295" s="39">
        <f>IF(MIP_4[[#This Row],[P.S]]-MIP_4[[#This Row],[P.E]]&lt;0,1+MIP_4[[#This Row],[P.S]]-MIP_4[[#This Row],[P.E]]-1/24,MIP_4[[#This Row],[P.S]]-MIP_4[[#This Row],[P.E]]-1/24)</f>
        <v>0.36666666666666675</v>
      </c>
      <c r="X295" s="39">
        <f ca="1">MIP_4[[#This Row],[PT-1]]*$S$3+MIP_4[[#This Row],[PT-2]]*$T$3+MIP_4[[#This Row],[PT-3]]*$U$3+MIP_4[[#This Row],[PT &gt; 3 Pontos]]*$V$3</f>
        <v>0.23182971014492748</v>
      </c>
      <c r="Y295" s="39">
        <f>MIP_4[[#This Row],[HH disponível]]-MIP_4[[#This Row],[HH AC TOT]]</f>
        <v>0.34722222222222215</v>
      </c>
      <c r="Z295" s="38">
        <f ca="1">MIP_4[[#This Row],[HH Produtivo
Total]]/MIP_4[[#This Row],[HH Trabalhado]]</f>
        <v>0.66766956521739129</v>
      </c>
      <c r="AA295" s="38">
        <f ca="1">MIP_4[[#This Row],[HH Produtivo
Total]]/MIP_4[[#This Row],[HH disponível]]</f>
        <v>0.63226284584980208</v>
      </c>
      <c r="AB295" s="38">
        <f>MIP_4[[#This Row],[HH Trabalhado]]/MIP_4[[#This Row],[HH disponível]]</f>
        <v>0.94696969696969657</v>
      </c>
      <c r="AC295" s="37" t="str">
        <f>LEFT(MIP_4[[#This Row],[Equipe]], SEARCH("/",MIP_4[[#This Row],[Equipe]],1)-1)</f>
        <v xml:space="preserve">ADEMÁRIO </v>
      </c>
      <c r="AD295" s="37" t="str">
        <f>RIGHT(MIP_4[[#This Row],[Equipe]], LEN(MIP_4[[#This Row],[Equipe]])-SEARCH("/",MIP_4[[#This Row],[Equipe]],1))</f>
        <v xml:space="preserve"> RONALDO</v>
      </c>
      <c r="AE295" s="44">
        <f>COUNTIFS('[1]Tempo parado'!G:G,"&gt;="&amp;MIP_4[[#This Row],[S.B Sitrack]],'[1]Tempo parado'!H:H,"&lt;="&amp;MIP_4[[#This Row],[C.B Sitrack]],'[1]Tempo parado'!A:A,MIP_4[[#This Row],[Placa]])</f>
        <v>0</v>
      </c>
      <c r="AF295" s="36"/>
      <c r="AG295" s="35"/>
      <c r="AH295" s="34"/>
      <c r="AI295" s="34"/>
      <c r="AJ29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9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9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95" s="32" t="str">
        <f>IFERROR(MIP_4[[#This Row],[Tempo parado]]/(MIP_4[[#This Row],[C.B Sitrack]]-MIP_4[[#This Row],[S.B Sitrack]]),"")</f>
        <v/>
      </c>
      <c r="AN295" s="30"/>
      <c r="AO295" s="44">
        <f>IF(AND(MIP_4[Exc]=0,MIP_4[Previsto / Realizado]="Realizado"),MIP_4[Sem],0)</f>
        <v>0</v>
      </c>
      <c r="AP295" s="29">
        <f>IF(AND(MIP_4[Exc]=0,MIP_4[Previsto / Realizado]="Realizado",ISBLANK(MIP_4[[#This Row],[S.B Sitrack]])=FALSE,ISBLANK(MIP_4[[#This Row],[C.B Sitrack]])=FALSE),MIP_4[Sem],0)</f>
        <v>0</v>
      </c>
    </row>
    <row r="296" spans="1:42" ht="15.75" x14ac:dyDescent="0.25">
      <c r="A296" s="44">
        <f>WEEKNUM(MIP_4[[#This Row],[Data]])</f>
        <v>30</v>
      </c>
      <c r="B296" s="45">
        <v>42943</v>
      </c>
      <c r="C296" s="45"/>
      <c r="D296" s="35" t="s">
        <v>10</v>
      </c>
      <c r="E296" s="35" t="s">
        <v>5</v>
      </c>
      <c r="F296" s="35"/>
      <c r="G296" s="44">
        <v>2</v>
      </c>
      <c r="H296" s="44">
        <v>2</v>
      </c>
      <c r="I296" s="44">
        <v>2</v>
      </c>
      <c r="J296" s="44">
        <v>0</v>
      </c>
      <c r="K296" s="44">
        <v>4</v>
      </c>
      <c r="L296" s="43">
        <v>0.625</v>
      </c>
      <c r="M296" s="43">
        <v>0.64583333333333337</v>
      </c>
      <c r="N296" s="43">
        <f>1+18/24/60</f>
        <v>1.0125</v>
      </c>
      <c r="O296" s="43">
        <f>1+48/24/60</f>
        <v>1.0333333333333334</v>
      </c>
      <c r="P296" s="39"/>
      <c r="Q296" s="42"/>
      <c r="R296" s="29">
        <f>MIP_4[[#This Row],[PT-1]]+MIP_4[[#This Row],[PT-2]]*2+MIP_4[[#This Row],[PT-3]]*3+MIP_4[[#This Row],[PT &gt; 3 Pontos]]</f>
        <v>10</v>
      </c>
      <c r="S29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29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296" s="41">
        <f ca="1">MIP_4[[#This Row],[Eficiência]]</f>
        <v>0.67341932814456995</v>
      </c>
      <c r="V29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96" s="39">
        <f>IF(MIP_4[[#This Row],[P.S]]-MIP_4[[#This Row],[P.E]]&lt;0,1+MIP_4[[#This Row],[P.S]]-MIP_4[[#This Row],[P.E]]-1/24,MIP_4[[#This Row],[P.S]]-MIP_4[[#This Row],[P.E]]-1/24)</f>
        <v>0.36666666666666675</v>
      </c>
      <c r="X296" s="39">
        <f ca="1">MIP_4[[#This Row],[PT-1]]*$S$3+MIP_4[[#This Row],[PT-2]]*$T$3+MIP_4[[#This Row],[PT-3]]*$U$3+MIP_4[[#This Row],[PT &gt; 3 Pontos]]*$V$3</f>
        <v>0.21886128164698518</v>
      </c>
      <c r="Y296" s="39">
        <f>MIP_4[[#This Row],[HH disponível]]-MIP_4[[#This Row],[HH AC TOT]]</f>
        <v>0.3249999999999999</v>
      </c>
      <c r="Z296" s="38">
        <f ca="1">MIP_4[[#This Row],[HH Produtivo
Total]]/MIP_4[[#This Row],[HH Trabalhado]]</f>
        <v>0.67341932814456995</v>
      </c>
      <c r="AA296" s="38">
        <f ca="1">MIP_4[[#This Row],[HH Produtivo
Total]]/MIP_4[[#This Row],[HH disponível]]</f>
        <v>0.59689440449177766</v>
      </c>
      <c r="AB296" s="38">
        <f>MIP_4[[#This Row],[HH Trabalhado]]/MIP_4[[#This Row],[HH disponível]]</f>
        <v>0.88636363636363591</v>
      </c>
      <c r="AC296" s="37" t="str">
        <f>LEFT(MIP_4[[#This Row],[Equipe]], SEARCH("/",MIP_4[[#This Row],[Equipe]],1)-1)</f>
        <v xml:space="preserve">JOILSON </v>
      </c>
      <c r="AD296" s="37" t="str">
        <f>RIGHT(MIP_4[[#This Row],[Equipe]], LEN(MIP_4[[#This Row],[Equipe]])-SEARCH("/",MIP_4[[#This Row],[Equipe]],1))</f>
        <v xml:space="preserve"> VALDEI</v>
      </c>
      <c r="AE296" s="44">
        <f>COUNTIFS('[1]Tempo parado'!G:G,"&gt;="&amp;MIP_4[[#This Row],[S.B Sitrack]],'[1]Tempo parado'!H:H,"&lt;="&amp;MIP_4[[#This Row],[C.B Sitrack]],'[1]Tempo parado'!A:A,MIP_4[[#This Row],[Placa]])</f>
        <v>0</v>
      </c>
      <c r="AF296" s="36"/>
      <c r="AG296" s="35"/>
      <c r="AH296" s="34"/>
      <c r="AI296" s="34"/>
      <c r="AJ29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9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9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96" s="32" t="str">
        <f>IFERROR(MIP_4[[#This Row],[Tempo parado]]/(MIP_4[[#This Row],[C.B Sitrack]]-MIP_4[[#This Row],[S.B Sitrack]]),"")</f>
        <v/>
      </c>
      <c r="AN296" s="30"/>
      <c r="AO296" s="44">
        <f>IF(AND(MIP_4[Exc]=0,MIP_4[Previsto / Realizado]="Realizado"),MIP_4[Sem],0)</f>
        <v>0</v>
      </c>
      <c r="AP296" s="29">
        <f>IF(AND(MIP_4[Exc]=0,MIP_4[Previsto / Realizado]="Realizado",ISBLANK(MIP_4[[#This Row],[S.B Sitrack]])=FALSE,ISBLANK(MIP_4[[#This Row],[C.B Sitrack]])=FALSE),MIP_4[Sem],0)</f>
        <v>0</v>
      </c>
    </row>
    <row r="297" spans="1:42" ht="15.75" x14ac:dyDescent="0.25">
      <c r="A297" s="44">
        <f>WEEKNUM(MIP_4[[#This Row],[Data]])</f>
        <v>30</v>
      </c>
      <c r="B297" s="45">
        <v>42943</v>
      </c>
      <c r="C297" s="45"/>
      <c r="D297" s="35" t="s">
        <v>10</v>
      </c>
      <c r="E297" s="35" t="s">
        <v>2</v>
      </c>
      <c r="F297" s="35"/>
      <c r="G297" s="44">
        <v>2</v>
      </c>
      <c r="H297" s="44">
        <v>2</v>
      </c>
      <c r="I297" s="44">
        <v>2</v>
      </c>
      <c r="J297" s="44">
        <v>0</v>
      </c>
      <c r="K297" s="44">
        <v>4</v>
      </c>
      <c r="L297" s="43">
        <v>0.25347222222222221</v>
      </c>
      <c r="M297" s="43">
        <v>0.2951388888888889</v>
      </c>
      <c r="N297" s="43">
        <v>0.64583333333333337</v>
      </c>
      <c r="O297" s="43">
        <v>0.66180555555555554</v>
      </c>
      <c r="P297" s="39"/>
      <c r="Q297" s="42"/>
      <c r="R297" s="29">
        <f>MIP_4[[#This Row],[PT-1]]+MIP_4[[#This Row],[PT-2]]*2+MIP_4[[#This Row],[PT-3]]*3+MIP_4[[#This Row],[PT &gt; 3 Pontos]]</f>
        <v>10</v>
      </c>
      <c r="S29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5.7638888888888851E-2</v>
      </c>
      <c r="T29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5.7638888888888851E-2</v>
      </c>
      <c r="U297" s="41">
        <f ca="1">MIP_4[[#This Row],[Eficiência]]</f>
        <v>0.7082252709475475</v>
      </c>
      <c r="V29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97" s="39">
        <f>IF(MIP_4[[#This Row],[P.S]]-MIP_4[[#This Row],[P.E]]&lt;0,1+MIP_4[[#This Row],[P.S]]-MIP_4[[#This Row],[P.E]]-1/24,MIP_4[[#This Row],[P.S]]-MIP_4[[#This Row],[P.E]]-1/24)</f>
        <v>0.36666666666666664</v>
      </c>
      <c r="X297" s="39">
        <f ca="1">MIP_4[[#This Row],[PT-1]]*$S$3+MIP_4[[#This Row],[PT-2]]*$T$3+MIP_4[[#This Row],[PT-3]]*$U$3+MIP_4[[#This Row],[PT &gt; 3 Pontos]]*$V$3</f>
        <v>0.21886128164698518</v>
      </c>
      <c r="Y297" s="39">
        <f>MIP_4[[#This Row],[HH disponível]]-MIP_4[[#This Row],[HH AC TOT]]</f>
        <v>0.30902777777777779</v>
      </c>
      <c r="Z297" s="38">
        <f ca="1">MIP_4[[#This Row],[HH Produtivo
Total]]/MIP_4[[#This Row],[HH Trabalhado]]</f>
        <v>0.7082252709475475</v>
      </c>
      <c r="AA297" s="38">
        <f ca="1">MIP_4[[#This Row],[HH Produtivo
Total]]/MIP_4[[#This Row],[HH disponível]]</f>
        <v>0.59689440449177777</v>
      </c>
      <c r="AB297" s="38">
        <f>MIP_4[[#This Row],[HH Trabalhado]]/MIP_4[[#This Row],[HH disponível]]</f>
        <v>0.84280303030303039</v>
      </c>
      <c r="AC297" s="37" t="str">
        <f>LEFT(MIP_4[[#This Row],[Equipe]], SEARCH("/",MIP_4[[#This Row],[Equipe]],1)-1)</f>
        <v xml:space="preserve">JOILSON </v>
      </c>
      <c r="AD297" s="37" t="str">
        <f>RIGHT(MIP_4[[#This Row],[Equipe]], LEN(MIP_4[[#This Row],[Equipe]])-SEARCH("/",MIP_4[[#This Row],[Equipe]],1))</f>
        <v xml:space="preserve"> VALDEI</v>
      </c>
      <c r="AE297" s="44">
        <f>COUNTIFS('[1]Tempo parado'!G:G,"&gt;="&amp;MIP_4[[#This Row],[S.B Sitrack]],'[1]Tempo parado'!H:H,"&lt;="&amp;MIP_4[[#This Row],[C.B Sitrack]],'[1]Tempo parado'!A:A,MIP_4[[#This Row],[Placa]])</f>
        <v>0</v>
      </c>
      <c r="AF297" s="36"/>
      <c r="AG297" s="35"/>
      <c r="AH297" s="34"/>
      <c r="AI297" s="34"/>
      <c r="AJ29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9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9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97" s="32" t="str">
        <f>IFERROR(MIP_4[[#This Row],[Tempo parado]]/(MIP_4[[#This Row],[C.B Sitrack]]-MIP_4[[#This Row],[S.B Sitrack]]),"")</f>
        <v/>
      </c>
      <c r="AN297" s="30"/>
      <c r="AO297" s="44">
        <f>IF(AND(MIP_4[Exc]=0,MIP_4[Previsto / Realizado]="Realizado"),MIP_4[Sem],0)</f>
        <v>30</v>
      </c>
      <c r="AP297" s="29">
        <f>IF(AND(MIP_4[Exc]=0,MIP_4[Previsto / Realizado]="Realizado",ISBLANK(MIP_4[[#This Row],[S.B Sitrack]])=FALSE,ISBLANK(MIP_4[[#This Row],[C.B Sitrack]])=FALSE),MIP_4[Sem],0)</f>
        <v>0</v>
      </c>
    </row>
    <row r="298" spans="1:42" ht="15.75" x14ac:dyDescent="0.25">
      <c r="A298" s="44">
        <f>WEEKNUM(MIP_4[[#This Row],[Data]])</f>
        <v>30</v>
      </c>
      <c r="B298" s="45">
        <v>42943</v>
      </c>
      <c r="C298" s="45"/>
      <c r="D298" s="35" t="s">
        <v>7</v>
      </c>
      <c r="E298" s="35" t="s">
        <v>5</v>
      </c>
      <c r="F298" s="35"/>
      <c r="G298" s="44">
        <v>2</v>
      </c>
      <c r="H298" s="44">
        <v>11</v>
      </c>
      <c r="I298" s="44">
        <v>0</v>
      </c>
      <c r="J298" s="44">
        <v>0</v>
      </c>
      <c r="K298" s="44">
        <v>0</v>
      </c>
      <c r="L298" s="43">
        <v>0.625</v>
      </c>
      <c r="M298" s="43">
        <v>0.64583333333333337</v>
      </c>
      <c r="N298" s="43">
        <f>1+18/24/60</f>
        <v>1.0125</v>
      </c>
      <c r="O298" s="43">
        <f>1+48/24/60</f>
        <v>1.0333333333333334</v>
      </c>
      <c r="P298" s="39"/>
      <c r="Q298" s="42"/>
      <c r="R298" s="29">
        <f>MIP_4[[#This Row],[PT-1]]+MIP_4[[#This Row],[PT-2]]*2+MIP_4[[#This Row],[PT-3]]*3+MIP_4[[#This Row],[PT &gt; 3 Pontos]]</f>
        <v>11</v>
      </c>
      <c r="S29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29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298" s="41">
        <f ca="1">MIP_4[[#This Row],[Eficiência]]</f>
        <v>0.84702886937941257</v>
      </c>
      <c r="V29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98" s="39">
        <f>IF(MIP_4[[#This Row],[P.S]]-MIP_4[[#This Row],[P.E]]&lt;0,1+MIP_4[[#This Row],[P.S]]-MIP_4[[#This Row],[P.E]]-1/24,MIP_4[[#This Row],[P.S]]-MIP_4[[#This Row],[P.E]]-1/24)</f>
        <v>0.36666666666666675</v>
      </c>
      <c r="X298" s="39">
        <f ca="1">MIP_4[[#This Row],[PT-1]]*$S$3+MIP_4[[#This Row],[PT-2]]*$T$3+MIP_4[[#This Row],[PT-3]]*$U$3+MIP_4[[#This Row],[PT &gt; 3 Pontos]]*$V$3</f>
        <v>0.275284382548309</v>
      </c>
      <c r="Y298" s="39">
        <f>MIP_4[[#This Row],[HH disponível]]-MIP_4[[#This Row],[HH AC TOT]]</f>
        <v>0.3249999999999999</v>
      </c>
      <c r="Z298" s="38">
        <f ca="1">MIP_4[[#This Row],[HH Produtivo
Total]]/MIP_4[[#This Row],[HH Trabalhado]]</f>
        <v>0.84702886937941257</v>
      </c>
      <c r="AA298" s="38">
        <f ca="1">MIP_4[[#This Row],[HH Produtivo
Total]]/MIP_4[[#This Row],[HH disponível]]</f>
        <v>0.75077558876811534</v>
      </c>
      <c r="AB298" s="38">
        <f>MIP_4[[#This Row],[HH Trabalhado]]/MIP_4[[#This Row],[HH disponível]]</f>
        <v>0.88636363636363591</v>
      </c>
      <c r="AC298" s="37" t="str">
        <f>LEFT(MIP_4[[#This Row],[Equipe]], SEARCH("/",MIP_4[[#This Row],[Equipe]],1)-1)</f>
        <v xml:space="preserve">ANDERSON </v>
      </c>
      <c r="AD298" s="37" t="str">
        <f>RIGHT(MIP_4[[#This Row],[Equipe]], LEN(MIP_4[[#This Row],[Equipe]])-SEARCH("/",MIP_4[[#This Row],[Equipe]],1))</f>
        <v xml:space="preserve"> MARCO</v>
      </c>
      <c r="AE298" s="44">
        <f>COUNTIFS('[1]Tempo parado'!G:G,"&gt;="&amp;MIP_4[[#This Row],[S.B Sitrack]],'[1]Tempo parado'!H:H,"&lt;="&amp;MIP_4[[#This Row],[C.B Sitrack]],'[1]Tempo parado'!A:A,MIP_4[[#This Row],[Placa]])</f>
        <v>0</v>
      </c>
      <c r="AF298" s="36"/>
      <c r="AG298" s="35"/>
      <c r="AH298" s="34"/>
      <c r="AI298" s="34"/>
      <c r="AJ29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9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9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98" s="32" t="str">
        <f>IFERROR(MIP_4[[#This Row],[Tempo parado]]/(MIP_4[[#This Row],[C.B Sitrack]]-MIP_4[[#This Row],[S.B Sitrack]]),"")</f>
        <v/>
      </c>
      <c r="AN298" s="30"/>
      <c r="AO298" s="44">
        <f>IF(AND(MIP_4[Exc]=0,MIP_4[Previsto / Realizado]="Realizado"),MIP_4[Sem],0)</f>
        <v>0</v>
      </c>
      <c r="AP298" s="29">
        <f>IF(AND(MIP_4[Exc]=0,MIP_4[Previsto / Realizado]="Realizado",ISBLANK(MIP_4[[#This Row],[S.B Sitrack]])=FALSE,ISBLANK(MIP_4[[#This Row],[C.B Sitrack]])=FALSE),MIP_4[Sem],0)</f>
        <v>0</v>
      </c>
    </row>
    <row r="299" spans="1:42" ht="15.75" x14ac:dyDescent="0.25">
      <c r="A299" s="44">
        <f>WEEKNUM(MIP_4[[#This Row],[Data]])</f>
        <v>30</v>
      </c>
      <c r="B299" s="45">
        <v>42943</v>
      </c>
      <c r="C299" s="45"/>
      <c r="D299" s="35" t="s">
        <v>7</v>
      </c>
      <c r="E299" s="35" t="s">
        <v>2</v>
      </c>
      <c r="F299" s="35"/>
      <c r="G299" s="44">
        <v>2</v>
      </c>
      <c r="H299" s="44">
        <v>7</v>
      </c>
      <c r="I299" s="44">
        <v>0</v>
      </c>
      <c r="J299" s="44">
        <v>0</v>
      </c>
      <c r="K299" s="44">
        <v>0</v>
      </c>
      <c r="L299" s="43">
        <v>0.62777777777777777</v>
      </c>
      <c r="M299" s="43">
        <v>0.67013888888888884</v>
      </c>
      <c r="N299" s="43">
        <f>1+18/24/60</f>
        <v>1.0125</v>
      </c>
      <c r="O299" s="43">
        <f>1+49/24/60</f>
        <v>1.0340277777777778</v>
      </c>
      <c r="P299" s="39"/>
      <c r="Q299" s="42" t="s">
        <v>352</v>
      </c>
      <c r="R299" s="29">
        <f>MIP_4[[#This Row],[PT-1]]+MIP_4[[#This Row],[PT-2]]*2+MIP_4[[#This Row],[PT-3]]*3+MIP_4[[#This Row],[PT &gt; 3 Pontos]]</f>
        <v>7</v>
      </c>
      <c r="S29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6.3888888888888884E-2</v>
      </c>
      <c r="T29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6.3888888888888884E-2</v>
      </c>
      <c r="U299" s="41">
        <f ca="1">MIP_4[[#This Row],[Eficiência]]</f>
        <v>0.58258798574154003</v>
      </c>
      <c r="V29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299" s="39">
        <f>IF(MIP_4[[#This Row],[P.S]]-MIP_4[[#This Row],[P.E]]&lt;0,1+MIP_4[[#This Row],[P.S]]-MIP_4[[#This Row],[P.E]]-1/24,MIP_4[[#This Row],[P.S]]-MIP_4[[#This Row],[P.E]]-1/24)</f>
        <v>0.36458333333333331</v>
      </c>
      <c r="X299" s="39">
        <f ca="1">MIP_4[[#This Row],[PT-1]]*$S$3+MIP_4[[#This Row],[PT-2]]*$T$3+MIP_4[[#This Row],[PT-3]]*$U$3+MIP_4[[#This Row],[PT &gt; 3 Pontos]]*$V$3</f>
        <v>0.17518097071256028</v>
      </c>
      <c r="Y299" s="39">
        <f>MIP_4[[#This Row],[HH disponível]]-MIP_4[[#This Row],[HH AC TOT]]</f>
        <v>0.30069444444444443</v>
      </c>
      <c r="Z299" s="38">
        <f ca="1">MIP_4[[#This Row],[HH Produtivo
Total]]/MIP_4[[#This Row],[HH Trabalhado]]</f>
        <v>0.58258798574154003</v>
      </c>
      <c r="AA299" s="38">
        <f ca="1">MIP_4[[#This Row],[HH Produtivo
Total]]/MIP_4[[#This Row],[HH disponível]]</f>
        <v>0.48049637681159396</v>
      </c>
      <c r="AB299" s="38">
        <f>MIP_4[[#This Row],[HH Trabalhado]]/MIP_4[[#This Row],[HH disponível]]</f>
        <v>0.82476190476190481</v>
      </c>
      <c r="AC299" s="37" t="str">
        <f>LEFT(MIP_4[[#This Row],[Equipe]], SEARCH("/",MIP_4[[#This Row],[Equipe]],1)-1)</f>
        <v xml:space="preserve">ANDERSON </v>
      </c>
      <c r="AD299" s="37" t="str">
        <f>RIGHT(MIP_4[[#This Row],[Equipe]], LEN(MIP_4[[#This Row],[Equipe]])-SEARCH("/",MIP_4[[#This Row],[Equipe]],1))</f>
        <v xml:space="preserve"> MARCO</v>
      </c>
      <c r="AE299" s="44">
        <f>COUNTIFS('[1]Tempo parado'!G:G,"&gt;="&amp;MIP_4[[#This Row],[S.B Sitrack]],'[1]Tempo parado'!H:H,"&lt;="&amp;MIP_4[[#This Row],[C.B Sitrack]],'[1]Tempo parado'!A:A,MIP_4[[#This Row],[Placa]])</f>
        <v>0</v>
      </c>
      <c r="AF299" s="36"/>
      <c r="AG299" s="35"/>
      <c r="AH299" s="34"/>
      <c r="AI299" s="34"/>
      <c r="AJ29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29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29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299" s="32" t="str">
        <f>IFERROR(MIP_4[[#This Row],[Tempo parado]]/(MIP_4[[#This Row],[C.B Sitrack]]-MIP_4[[#This Row],[S.B Sitrack]]),"")</f>
        <v/>
      </c>
      <c r="AN299" s="30"/>
      <c r="AO299" s="44">
        <f>IF(AND(MIP_4[Exc]=0,MIP_4[Previsto / Realizado]="Realizado"),MIP_4[Sem],0)</f>
        <v>30</v>
      </c>
      <c r="AP299" s="29">
        <f>IF(AND(MIP_4[Exc]=0,MIP_4[Previsto / Realizado]="Realizado",ISBLANK(MIP_4[[#This Row],[S.B Sitrack]])=FALSE,ISBLANK(MIP_4[[#This Row],[C.B Sitrack]])=FALSE),MIP_4[Sem],0)</f>
        <v>0</v>
      </c>
    </row>
    <row r="300" spans="1:42" ht="15.75" x14ac:dyDescent="0.25">
      <c r="A300" s="44">
        <f>WEEKNUM(MIP_4[[#This Row],[Data]])</f>
        <v>30</v>
      </c>
      <c r="B300" s="45">
        <v>42944</v>
      </c>
      <c r="C300" s="45"/>
      <c r="D300" s="35" t="s">
        <v>10</v>
      </c>
      <c r="E300" s="35" t="s">
        <v>5</v>
      </c>
      <c r="F300" s="35"/>
      <c r="G300" s="44">
        <v>2</v>
      </c>
      <c r="H300" s="44">
        <v>9</v>
      </c>
      <c r="I300" s="44">
        <v>1</v>
      </c>
      <c r="J300" s="44">
        <v>1</v>
      </c>
      <c r="K300" s="44">
        <v>0</v>
      </c>
      <c r="L300" s="43">
        <v>0.25</v>
      </c>
      <c r="M300" s="43">
        <v>0.27083333333333331</v>
      </c>
      <c r="N300" s="43">
        <v>0.63750000000000007</v>
      </c>
      <c r="O300" s="43">
        <v>0.65833333333333333</v>
      </c>
      <c r="P300" s="39"/>
      <c r="Q300" s="42"/>
      <c r="R300" s="29">
        <f>MIP_4[[#This Row],[PT-1]]+MIP_4[[#This Row],[PT-2]]*2+MIP_4[[#This Row],[PT-3]]*3+MIP_4[[#This Row],[PT &gt; 3 Pontos]]</f>
        <v>14</v>
      </c>
      <c r="S30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30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300" s="41">
        <f ca="1">MIP_4[[#This Row],[Eficiência]]</f>
        <v>1.0213326830174649</v>
      </c>
      <c r="V30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00" s="39">
        <f>IF(MIP_4[[#This Row],[P.S]]-MIP_4[[#This Row],[P.E]]&lt;0,1+MIP_4[[#This Row],[P.S]]-MIP_4[[#This Row],[P.E]]-1/24,MIP_4[[#This Row],[P.S]]-MIP_4[[#This Row],[P.E]]-1/24)</f>
        <v>0.36666666666666664</v>
      </c>
      <c r="X300" s="39">
        <f ca="1">MIP_4[[#This Row],[PT-1]]*$S$3+MIP_4[[#This Row],[PT-2]]*$T$3+MIP_4[[#This Row],[PT-3]]*$U$3+MIP_4[[#This Row],[PT &gt; 3 Pontos]]*$V$3</f>
        <v>0.3319331219806762</v>
      </c>
      <c r="Y300" s="39">
        <f>MIP_4[[#This Row],[HH disponível]]-MIP_4[[#This Row],[HH AC TOT]]</f>
        <v>0.32500000000000007</v>
      </c>
      <c r="Z300" s="38">
        <f ca="1">MIP_4[[#This Row],[HH Produtivo
Total]]/MIP_4[[#This Row],[HH Trabalhado]]</f>
        <v>1.0213326830174649</v>
      </c>
      <c r="AA300" s="38">
        <f ca="1">MIP_4[[#This Row],[HH Produtivo
Total]]/MIP_4[[#This Row],[HH disponível]]</f>
        <v>0.90527215085638968</v>
      </c>
      <c r="AB300" s="38">
        <f>MIP_4[[#This Row],[HH Trabalhado]]/MIP_4[[#This Row],[HH disponível]]</f>
        <v>0.88636363636363658</v>
      </c>
      <c r="AC300" s="37" t="str">
        <f>LEFT(MIP_4[[#This Row],[Equipe]], SEARCH("/",MIP_4[[#This Row],[Equipe]],1)-1)</f>
        <v xml:space="preserve">JOILSON </v>
      </c>
      <c r="AD300" s="37" t="str">
        <f>RIGHT(MIP_4[[#This Row],[Equipe]], LEN(MIP_4[[#This Row],[Equipe]])-SEARCH("/",MIP_4[[#This Row],[Equipe]],1))</f>
        <v xml:space="preserve"> VALDEI</v>
      </c>
      <c r="AE300" s="44">
        <f>COUNTIFS('[1]Tempo parado'!G:G,"&gt;="&amp;MIP_4[[#This Row],[S.B Sitrack]],'[1]Tempo parado'!H:H,"&lt;="&amp;MIP_4[[#This Row],[C.B Sitrack]],'[1]Tempo parado'!A:A,MIP_4[[#This Row],[Placa]])</f>
        <v>0</v>
      </c>
      <c r="AF300" s="36"/>
      <c r="AG300" s="35"/>
      <c r="AH300" s="34"/>
      <c r="AI300" s="34"/>
      <c r="AJ30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0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0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00" s="32" t="str">
        <f>IFERROR(MIP_4[[#This Row],[Tempo parado]]/(MIP_4[[#This Row],[C.B Sitrack]]-MIP_4[[#This Row],[S.B Sitrack]]),"")</f>
        <v/>
      </c>
      <c r="AN300" s="30"/>
      <c r="AO300" s="44">
        <f>IF(AND(MIP_4[Exc]=0,MIP_4[Previsto / Realizado]="Realizado"),MIP_4[Sem],0)</f>
        <v>0</v>
      </c>
      <c r="AP300" s="29">
        <f>IF(AND(MIP_4[Exc]=0,MIP_4[Previsto / Realizado]="Realizado",ISBLANK(MIP_4[[#This Row],[S.B Sitrack]])=FALSE,ISBLANK(MIP_4[[#This Row],[C.B Sitrack]])=FALSE),MIP_4[Sem],0)</f>
        <v>0</v>
      </c>
    </row>
    <row r="301" spans="1:42" ht="15.75" x14ac:dyDescent="0.25">
      <c r="A301" s="44">
        <f>WEEKNUM(MIP_4[[#This Row],[Data]])</f>
        <v>30</v>
      </c>
      <c r="B301" s="45">
        <v>42944</v>
      </c>
      <c r="C301" s="45"/>
      <c r="D301" s="35" t="s">
        <v>10</v>
      </c>
      <c r="E301" s="35" t="s">
        <v>2</v>
      </c>
      <c r="F301" s="35"/>
      <c r="G301" s="44">
        <v>2</v>
      </c>
      <c r="H301" s="44">
        <v>8</v>
      </c>
      <c r="I301" s="44">
        <v>2</v>
      </c>
      <c r="J301" s="44">
        <v>0</v>
      </c>
      <c r="K301" s="44">
        <v>0</v>
      </c>
      <c r="L301" s="43">
        <v>0.25138888888888888</v>
      </c>
      <c r="M301" s="43">
        <v>0.27777777777777779</v>
      </c>
      <c r="N301" s="43">
        <v>0.64236111111111105</v>
      </c>
      <c r="O301" s="43">
        <v>0.65902777777777777</v>
      </c>
      <c r="P301" s="39"/>
      <c r="Q301" s="42"/>
      <c r="R301" s="29">
        <f>MIP_4[[#This Row],[PT-1]]+MIP_4[[#This Row],[PT-2]]*2+MIP_4[[#This Row],[PT-3]]*3+MIP_4[[#This Row],[PT &gt; 3 Pontos]]</f>
        <v>12</v>
      </c>
      <c r="S30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4.3055555555555625E-2</v>
      </c>
      <c r="T30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4.3055555555555625E-2</v>
      </c>
      <c r="U301" s="41">
        <f ca="1">MIP_4[[#This Row],[Eficiência]]</f>
        <v>0.89194639239520002</v>
      </c>
      <c r="V30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01" s="39">
        <f>IF(MIP_4[[#This Row],[P.S]]-MIP_4[[#This Row],[P.E]]&lt;0,1+MIP_4[[#This Row],[P.S]]-MIP_4[[#This Row],[P.E]]-1/24,MIP_4[[#This Row],[P.S]]-MIP_4[[#This Row],[P.E]]-1/24)</f>
        <v>0.3659722222222222</v>
      </c>
      <c r="X301" s="39">
        <f ca="1">MIP_4[[#This Row],[PT-1]]*$S$3+MIP_4[[#This Row],[PT-2]]*$T$3+MIP_4[[#This Row],[PT-3]]*$U$3+MIP_4[[#This Row],[PT &gt; 3 Pontos]]*$V$3</f>
        <v>0.2880243558776166</v>
      </c>
      <c r="Y301" s="39">
        <f>MIP_4[[#This Row],[HH disponível]]-MIP_4[[#This Row],[HH AC TOT]]</f>
        <v>0.32291666666666657</v>
      </c>
      <c r="Z301" s="38">
        <f ca="1">MIP_4[[#This Row],[HH Produtivo
Total]]/MIP_4[[#This Row],[HH Trabalhado]]</f>
        <v>0.89194639239520002</v>
      </c>
      <c r="AA301" s="38">
        <f ca="1">MIP_4[[#This Row],[HH Produtivo
Total]]/MIP_4[[#This Row],[HH disponível]]</f>
        <v>0.78701152270164698</v>
      </c>
      <c r="AB301" s="38">
        <f>MIP_4[[#This Row],[HH Trabalhado]]/MIP_4[[#This Row],[HH disponível]]</f>
        <v>0.88235294117647034</v>
      </c>
      <c r="AC301" s="37" t="str">
        <f>LEFT(MIP_4[[#This Row],[Equipe]], SEARCH("/",MIP_4[[#This Row],[Equipe]],1)-1)</f>
        <v xml:space="preserve">JOILSON </v>
      </c>
      <c r="AD301" s="37" t="str">
        <f>RIGHT(MIP_4[[#This Row],[Equipe]], LEN(MIP_4[[#This Row],[Equipe]])-SEARCH("/",MIP_4[[#This Row],[Equipe]],1))</f>
        <v xml:space="preserve"> VALDEI</v>
      </c>
      <c r="AE301" s="44">
        <f>COUNTIFS('[1]Tempo parado'!G:G,"&gt;="&amp;MIP_4[[#This Row],[S.B Sitrack]],'[1]Tempo parado'!H:H,"&lt;="&amp;MIP_4[[#This Row],[C.B Sitrack]],'[1]Tempo parado'!A:A,MIP_4[[#This Row],[Placa]])</f>
        <v>0</v>
      </c>
      <c r="AF301" s="36"/>
      <c r="AG301" s="35"/>
      <c r="AH301" s="34"/>
      <c r="AI301" s="34"/>
      <c r="AJ30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0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0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01" s="32" t="str">
        <f>IFERROR(MIP_4[[#This Row],[Tempo parado]]/(MIP_4[[#This Row],[C.B Sitrack]]-MIP_4[[#This Row],[S.B Sitrack]]),"")</f>
        <v/>
      </c>
      <c r="AN301" s="30"/>
      <c r="AO301" s="44">
        <f>IF(AND(MIP_4[Exc]=0,MIP_4[Previsto / Realizado]="Realizado"),MIP_4[Sem],0)</f>
        <v>30</v>
      </c>
      <c r="AP301" s="29">
        <f>IF(AND(MIP_4[Exc]=0,MIP_4[Previsto / Realizado]="Realizado",ISBLANK(MIP_4[[#This Row],[S.B Sitrack]])=FALSE,ISBLANK(MIP_4[[#This Row],[C.B Sitrack]])=FALSE),MIP_4[Sem],0)</f>
        <v>0</v>
      </c>
    </row>
    <row r="302" spans="1:42" ht="15.75" x14ac:dyDescent="0.25">
      <c r="A302" s="44">
        <f>WEEKNUM(MIP_4[[#This Row],[Data]])</f>
        <v>30</v>
      </c>
      <c r="B302" s="45">
        <v>42944</v>
      </c>
      <c r="C302" s="45"/>
      <c r="D302" s="35" t="s">
        <v>133</v>
      </c>
      <c r="E302" s="35" t="s">
        <v>5</v>
      </c>
      <c r="F302" s="35"/>
      <c r="G302" s="44">
        <v>3</v>
      </c>
      <c r="H302" s="44">
        <v>5</v>
      </c>
      <c r="I302" s="44">
        <v>2</v>
      </c>
      <c r="J302" s="44">
        <v>0</v>
      </c>
      <c r="K302" s="44">
        <v>0</v>
      </c>
      <c r="L302" s="43">
        <v>0.625</v>
      </c>
      <c r="M302" s="43">
        <v>0.64583333333333337</v>
      </c>
      <c r="N302" s="43">
        <f>1+18/24/60</f>
        <v>1.0125</v>
      </c>
      <c r="O302" s="43">
        <f>1+48/24/60</f>
        <v>1.0333333333333334</v>
      </c>
      <c r="P302" s="39"/>
      <c r="Q302" s="42"/>
      <c r="R302" s="29">
        <f>MIP_4[[#This Row],[PT-1]]+MIP_4[[#This Row],[PT-2]]*2+MIP_4[[#This Row],[PT-3]]*3+MIP_4[[#This Row],[PT &gt; 3 Pontos]]</f>
        <v>9</v>
      </c>
      <c r="S30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30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302" s="41">
        <f ca="1">MIP_4[[#This Row],[Eficiência]]</f>
        <v>0.65522091384863113</v>
      </c>
      <c r="V30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02" s="39">
        <f>IF(MIP_4[[#This Row],[P.S]]-MIP_4[[#This Row],[P.E]]&lt;0,1+MIP_4[[#This Row],[P.S]]-MIP_4[[#This Row],[P.E]]-1/24,MIP_4[[#This Row],[P.S]]-MIP_4[[#This Row],[P.E]]-1/24)</f>
        <v>0.36666666666666675</v>
      </c>
      <c r="X302" s="39">
        <f ca="1">MIP_4[[#This Row],[PT-1]]*$S$3+MIP_4[[#This Row],[PT-2]]*$T$3+MIP_4[[#This Row],[PT-3]]*$U$3+MIP_4[[#This Row],[PT &gt; 3 Pontos]]*$V$3</f>
        <v>0.21294679700080504</v>
      </c>
      <c r="Y302" s="39">
        <f>MIP_4[[#This Row],[HH disponível]]-MIP_4[[#This Row],[HH AC TOT]]</f>
        <v>0.3249999999999999</v>
      </c>
      <c r="Z302" s="38">
        <f ca="1">MIP_4[[#This Row],[HH Produtivo
Total]]/MIP_4[[#This Row],[HH Trabalhado]]</f>
        <v>0.65522091384863113</v>
      </c>
      <c r="AA302" s="38">
        <f ca="1">MIP_4[[#This Row],[HH Produtivo
Total]]/MIP_4[[#This Row],[HH disponível]]</f>
        <v>0.5807639918203773</v>
      </c>
      <c r="AB302" s="38">
        <f>MIP_4[[#This Row],[HH Trabalhado]]/MIP_4[[#This Row],[HH disponível]]</f>
        <v>0.88636363636363591</v>
      </c>
      <c r="AC302" s="37" t="str">
        <f>LEFT(MIP_4[[#This Row],[Equipe]], SEARCH("/",MIP_4[[#This Row],[Equipe]],1)-1)</f>
        <v xml:space="preserve">ANDERSON </v>
      </c>
      <c r="AD302" s="37" t="str">
        <f>RIGHT(MIP_4[[#This Row],[Equipe]], LEN(MIP_4[[#This Row],[Equipe]])-SEARCH("/",MIP_4[[#This Row],[Equipe]],1))</f>
        <v xml:space="preserve"> MARCO / RONALDO</v>
      </c>
      <c r="AE302" s="44">
        <f>COUNTIFS('[1]Tempo parado'!G:G,"&gt;="&amp;MIP_4[[#This Row],[S.B Sitrack]],'[1]Tempo parado'!H:H,"&lt;="&amp;MIP_4[[#This Row],[C.B Sitrack]],'[1]Tempo parado'!A:A,MIP_4[[#This Row],[Placa]])</f>
        <v>0</v>
      </c>
      <c r="AF302" s="36"/>
      <c r="AG302" s="35"/>
      <c r="AH302" s="34"/>
      <c r="AI302" s="34"/>
      <c r="AJ30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0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0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02" s="32" t="str">
        <f>IFERROR(MIP_4[[#This Row],[Tempo parado]]/(MIP_4[[#This Row],[C.B Sitrack]]-MIP_4[[#This Row],[S.B Sitrack]]),"")</f>
        <v/>
      </c>
      <c r="AN302" s="30"/>
      <c r="AO302" s="44">
        <f>IF(AND(MIP_4[Exc]=0,MIP_4[Previsto / Realizado]="Realizado"),MIP_4[Sem],0)</f>
        <v>0</v>
      </c>
      <c r="AP302" s="29">
        <f>IF(AND(MIP_4[Exc]=0,MIP_4[Previsto / Realizado]="Realizado",ISBLANK(MIP_4[[#This Row],[S.B Sitrack]])=FALSE,ISBLANK(MIP_4[[#This Row],[C.B Sitrack]])=FALSE),MIP_4[Sem],0)</f>
        <v>0</v>
      </c>
    </row>
    <row r="303" spans="1:42" ht="15.75" x14ac:dyDescent="0.25">
      <c r="A303" s="44">
        <f>WEEKNUM(MIP_4[[#This Row],[Data]])</f>
        <v>30</v>
      </c>
      <c r="B303" s="45">
        <v>42944</v>
      </c>
      <c r="C303" s="45"/>
      <c r="D303" s="35" t="s">
        <v>133</v>
      </c>
      <c r="E303" s="35" t="s">
        <v>2</v>
      </c>
      <c r="F303" s="35"/>
      <c r="G303" s="44">
        <v>3</v>
      </c>
      <c r="H303" s="44">
        <v>5</v>
      </c>
      <c r="I303" s="44">
        <v>0</v>
      </c>
      <c r="J303" s="44">
        <v>0</v>
      </c>
      <c r="K303" s="44">
        <v>0</v>
      </c>
      <c r="L303" s="43">
        <v>0.63680555555555551</v>
      </c>
      <c r="M303" s="43">
        <v>0.69861111111111107</v>
      </c>
      <c r="N303" s="43">
        <f>1+35/24/60</f>
        <v>1.0243055555555556</v>
      </c>
      <c r="O303" s="43">
        <f>1+48/24/60</f>
        <v>1.0333333333333334</v>
      </c>
      <c r="P303" s="39"/>
      <c r="Q303" s="42" t="s">
        <v>351</v>
      </c>
      <c r="R303" s="29">
        <f>MIP_4[[#This Row],[PT-1]]+MIP_4[[#This Row],[PT-2]]*2+MIP_4[[#This Row],[PT-3]]*3+MIP_4[[#This Row],[PT &gt; 3 Pontos]]</f>
        <v>5</v>
      </c>
      <c r="S30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7.0833333333333415E-2</v>
      </c>
      <c r="T30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7.0833333333333415E-2</v>
      </c>
      <c r="U303" s="41">
        <f ca="1">MIP_4[[#This Row],[Eficiência]]</f>
        <v>0.44055291272456637</v>
      </c>
      <c r="V30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03" s="39">
        <f>IF(MIP_4[[#This Row],[P.S]]-MIP_4[[#This Row],[P.E]]&lt;0,1+MIP_4[[#This Row],[P.S]]-MIP_4[[#This Row],[P.E]]-1/24,MIP_4[[#This Row],[P.S]]-MIP_4[[#This Row],[P.E]]-1/24)</f>
        <v>0.35486111111111124</v>
      </c>
      <c r="X303" s="39">
        <f ca="1">MIP_4[[#This Row],[PT-1]]*$S$3+MIP_4[[#This Row],[PT-2]]*$T$3+MIP_4[[#This Row],[PT-3]]*$U$3+MIP_4[[#This Row],[PT &gt; 3 Pontos]]*$V$3</f>
        <v>0.12512926479468589</v>
      </c>
      <c r="Y303" s="39">
        <f>MIP_4[[#This Row],[HH disponível]]-MIP_4[[#This Row],[HH AC TOT]]</f>
        <v>0.28402777777777782</v>
      </c>
      <c r="Z303" s="38">
        <f ca="1">MIP_4[[#This Row],[HH Produtivo
Total]]/MIP_4[[#This Row],[HH Trabalhado]]</f>
        <v>0.44055291272456637</v>
      </c>
      <c r="AA303" s="38">
        <f ca="1">MIP_4[[#This Row],[HH Produtivo
Total]]/MIP_4[[#This Row],[HH disponível]]</f>
        <v>0.35261475793414404</v>
      </c>
      <c r="AB303" s="38">
        <f>MIP_4[[#This Row],[HH Trabalhado]]/MIP_4[[#This Row],[HH disponível]]</f>
        <v>0.80039138943248511</v>
      </c>
      <c r="AC303" s="37" t="str">
        <f>LEFT(MIP_4[[#This Row],[Equipe]], SEARCH("/",MIP_4[[#This Row],[Equipe]],1)-1)</f>
        <v xml:space="preserve">ANDERSON </v>
      </c>
      <c r="AD303" s="37" t="str">
        <f>RIGHT(MIP_4[[#This Row],[Equipe]], LEN(MIP_4[[#This Row],[Equipe]])-SEARCH("/",MIP_4[[#This Row],[Equipe]],1))</f>
        <v xml:space="preserve"> MARCO / RONALDO</v>
      </c>
      <c r="AE303" s="44">
        <f>COUNTIFS('[1]Tempo parado'!G:G,"&gt;="&amp;MIP_4[[#This Row],[S.B Sitrack]],'[1]Tempo parado'!H:H,"&lt;="&amp;MIP_4[[#This Row],[C.B Sitrack]],'[1]Tempo parado'!A:A,MIP_4[[#This Row],[Placa]])</f>
        <v>0</v>
      </c>
      <c r="AF303" s="36"/>
      <c r="AG303" s="35"/>
      <c r="AH303" s="34"/>
      <c r="AI303" s="34"/>
      <c r="AJ30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0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0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03" s="32" t="str">
        <f>IFERROR(MIP_4[[#This Row],[Tempo parado]]/(MIP_4[[#This Row],[C.B Sitrack]]-MIP_4[[#This Row],[S.B Sitrack]]),"")</f>
        <v/>
      </c>
      <c r="AN303" s="30"/>
      <c r="AO303" s="44">
        <f>IF(AND(MIP_4[Exc]=0,MIP_4[Previsto / Realizado]="Realizado"),MIP_4[Sem],0)</f>
        <v>30</v>
      </c>
      <c r="AP303" s="29">
        <f>IF(AND(MIP_4[Exc]=0,MIP_4[Previsto / Realizado]="Realizado",ISBLANK(MIP_4[[#This Row],[S.B Sitrack]])=FALSE,ISBLANK(MIP_4[[#This Row],[C.B Sitrack]])=FALSE),MIP_4[Sem],0)</f>
        <v>0</v>
      </c>
    </row>
    <row r="304" spans="1:42" ht="15.75" x14ac:dyDescent="0.25">
      <c r="A304" s="44">
        <f>WEEKNUM(MIP_4[[#This Row],[Data]])</f>
        <v>30</v>
      </c>
      <c r="B304" s="45">
        <v>42944</v>
      </c>
      <c r="C304" s="45"/>
      <c r="D304" s="35" t="s">
        <v>350</v>
      </c>
      <c r="E304" s="35" t="s">
        <v>5</v>
      </c>
      <c r="F304" s="35"/>
      <c r="G304" s="44">
        <v>3</v>
      </c>
      <c r="H304" s="44">
        <v>21</v>
      </c>
      <c r="I304" s="44">
        <v>0</v>
      </c>
      <c r="J304" s="44">
        <v>0</v>
      </c>
      <c r="K304" s="44">
        <v>0</v>
      </c>
      <c r="L304" s="43">
        <v>0.91666666666666663</v>
      </c>
      <c r="M304" s="43">
        <v>0.9375</v>
      </c>
      <c r="N304" s="43">
        <f>1+330/24/60</f>
        <v>1.2291666666666667</v>
      </c>
      <c r="O304" s="43">
        <f>1+360/24/60</f>
        <v>1.25</v>
      </c>
      <c r="P304" s="39"/>
      <c r="Q304" s="42"/>
      <c r="R304" s="29">
        <f>MIP_4[[#This Row],[PT-1]]+MIP_4[[#This Row],[PT-2]]*2+MIP_4[[#This Row],[PT-3]]*3+MIP_4[[#This Row],[PT &gt; 3 Pontos]]</f>
        <v>21</v>
      </c>
      <c r="S30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4.166666666666663E-2</v>
      </c>
      <c r="T30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4.166666666666663E-2</v>
      </c>
      <c r="U304" s="41">
        <f ca="1">MIP_4[[#This Row],[Eficiência]]</f>
        <v>2.1021716485507227</v>
      </c>
      <c r="V30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04" s="39">
        <f>IF(MIP_4[[#This Row],[P.S]]-MIP_4[[#This Row],[P.E]]&lt;0,1+MIP_4[[#This Row],[P.S]]-MIP_4[[#This Row],[P.E]]-1/24,MIP_4[[#This Row],[P.S]]-MIP_4[[#This Row],[P.E]]-1/24)</f>
        <v>0.29166666666666669</v>
      </c>
      <c r="X304" s="39">
        <f ca="1">MIP_4[[#This Row],[PT-1]]*$S$3+MIP_4[[#This Row],[PT-2]]*$T$3+MIP_4[[#This Row],[PT-3]]*$U$3+MIP_4[[#This Row],[PT &gt; 3 Pontos]]*$V$3</f>
        <v>0.52554291213768078</v>
      </c>
      <c r="Y304" s="39">
        <f>MIP_4[[#This Row],[HH disponível]]-MIP_4[[#This Row],[HH AC TOT]]</f>
        <v>0.25000000000000006</v>
      </c>
      <c r="Z304" s="38">
        <f ca="1">MIP_4[[#This Row],[HH Produtivo
Total]]/MIP_4[[#This Row],[HH Trabalhado]]</f>
        <v>2.1021716485507227</v>
      </c>
      <c r="AA304" s="38">
        <f ca="1">MIP_4[[#This Row],[HH Produtivo
Total]]/MIP_4[[#This Row],[HH disponível]]</f>
        <v>1.8018614130434769</v>
      </c>
      <c r="AB304" s="38">
        <f>MIP_4[[#This Row],[HH Trabalhado]]/MIP_4[[#This Row],[HH disponível]]</f>
        <v>0.85714285714285732</v>
      </c>
      <c r="AC304" s="37" t="str">
        <f>LEFT(MIP_4[[#This Row],[Equipe]], SEARCH("/",MIP_4[[#This Row],[Equipe]],1)-1)</f>
        <v xml:space="preserve">CLEBER </v>
      </c>
      <c r="AD304" s="37" t="str">
        <f>RIGHT(MIP_4[[#This Row],[Equipe]], LEN(MIP_4[[#This Row],[Equipe]])-SEARCH("/",MIP_4[[#This Row],[Equipe]],1))</f>
        <v xml:space="preserve"> HENRIQUE / HERVAL</v>
      </c>
      <c r="AE304" s="44">
        <f>COUNTIFS('[1]Tempo parado'!G:G,"&gt;="&amp;MIP_4[[#This Row],[S.B Sitrack]],'[1]Tempo parado'!H:H,"&lt;="&amp;MIP_4[[#This Row],[C.B Sitrack]],'[1]Tempo parado'!A:A,MIP_4[[#This Row],[Placa]])</f>
        <v>0</v>
      </c>
      <c r="AF304" s="36"/>
      <c r="AG304" s="35"/>
      <c r="AH304" s="34"/>
      <c r="AI304" s="34"/>
      <c r="AJ30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0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0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04" s="32" t="str">
        <f>IFERROR(MIP_4[[#This Row],[Tempo parado]]/(MIP_4[[#This Row],[C.B Sitrack]]-MIP_4[[#This Row],[S.B Sitrack]]),"")</f>
        <v/>
      </c>
      <c r="AN304" s="30"/>
      <c r="AO304" s="44">
        <f>IF(AND(MIP_4[Exc]=0,MIP_4[Previsto / Realizado]="Realizado"),MIP_4[Sem],0)</f>
        <v>0</v>
      </c>
      <c r="AP304" s="29">
        <f>IF(AND(MIP_4[Exc]=0,MIP_4[Previsto / Realizado]="Realizado",ISBLANK(MIP_4[[#This Row],[S.B Sitrack]])=FALSE,ISBLANK(MIP_4[[#This Row],[C.B Sitrack]])=FALSE),MIP_4[Sem],0)</f>
        <v>0</v>
      </c>
    </row>
    <row r="305" spans="1:42" ht="15.75" x14ac:dyDescent="0.25">
      <c r="A305" s="44">
        <f>WEEKNUM(MIP_4[[#This Row],[Data]])</f>
        <v>30</v>
      </c>
      <c r="B305" s="45">
        <v>42944</v>
      </c>
      <c r="C305" s="45"/>
      <c r="D305" s="35" t="s">
        <v>350</v>
      </c>
      <c r="E305" s="35" t="s">
        <v>2</v>
      </c>
      <c r="F305" s="35"/>
      <c r="G305" s="44">
        <v>3</v>
      </c>
      <c r="H305" s="44">
        <v>21</v>
      </c>
      <c r="I305" s="44">
        <v>0</v>
      </c>
      <c r="J305" s="44">
        <v>0</v>
      </c>
      <c r="K305" s="44">
        <v>0</v>
      </c>
      <c r="L305" s="43">
        <v>0.92013888888888884</v>
      </c>
      <c r="M305" s="43">
        <v>0.9375</v>
      </c>
      <c r="N305" s="43">
        <f>1+320/24/60</f>
        <v>1.2222222222222223</v>
      </c>
      <c r="O305" s="43">
        <f>1+352/24/60</f>
        <v>1.2444444444444445</v>
      </c>
      <c r="P305" s="39"/>
      <c r="Q305" s="42"/>
      <c r="R305" s="29">
        <f>MIP_4[[#This Row],[PT-1]]+MIP_4[[#This Row],[PT-2]]*2+MIP_4[[#This Row],[PT-3]]*3+MIP_4[[#This Row],[PT &gt; 3 Pontos]]</f>
        <v>21</v>
      </c>
      <c r="S30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3.9583333333333304E-2</v>
      </c>
      <c r="T30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3.9583333333333304E-2</v>
      </c>
      <c r="U305" s="41">
        <f ca="1">MIP_4[[#This Row],[Eficiência]]</f>
        <v>2.1622336956521715</v>
      </c>
      <c r="V30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05" s="39">
        <f>IF(MIP_4[[#This Row],[P.S]]-MIP_4[[#This Row],[P.E]]&lt;0,1+MIP_4[[#This Row],[P.S]]-MIP_4[[#This Row],[P.E]]-1/24,MIP_4[[#This Row],[P.S]]-MIP_4[[#This Row],[P.E]]-1/24)</f>
        <v>0.28263888888888894</v>
      </c>
      <c r="X305" s="39">
        <f ca="1">MIP_4[[#This Row],[PT-1]]*$S$3+MIP_4[[#This Row],[PT-2]]*$T$3+MIP_4[[#This Row],[PT-3]]*$U$3+MIP_4[[#This Row],[PT &gt; 3 Pontos]]*$V$3</f>
        <v>0.52554291213768078</v>
      </c>
      <c r="Y305" s="39">
        <f>MIP_4[[#This Row],[HH disponível]]-MIP_4[[#This Row],[HH AC TOT]]</f>
        <v>0.24305555555555564</v>
      </c>
      <c r="Z305" s="38">
        <f ca="1">MIP_4[[#This Row],[HH Produtivo
Total]]/MIP_4[[#This Row],[HH Trabalhado]]</f>
        <v>2.1622336956521715</v>
      </c>
      <c r="AA305" s="38">
        <f ca="1">MIP_4[[#This Row],[HH Produtivo
Total]]/MIP_4[[#This Row],[HH disponível]]</f>
        <v>1.8594147259908114</v>
      </c>
      <c r="AB305" s="38">
        <f>MIP_4[[#This Row],[HH Trabalhado]]/MIP_4[[#This Row],[HH disponível]]</f>
        <v>0.85995085995086007</v>
      </c>
      <c r="AC305" s="37" t="str">
        <f>LEFT(MIP_4[[#This Row],[Equipe]], SEARCH("/",MIP_4[[#This Row],[Equipe]],1)-1)</f>
        <v xml:space="preserve">CLEBER </v>
      </c>
      <c r="AD305" s="37" t="str">
        <f>RIGHT(MIP_4[[#This Row],[Equipe]], LEN(MIP_4[[#This Row],[Equipe]])-SEARCH("/",MIP_4[[#This Row],[Equipe]],1))</f>
        <v xml:space="preserve"> HENRIQUE / HERVAL</v>
      </c>
      <c r="AE305" s="44">
        <f>COUNTIFS('[1]Tempo parado'!G:G,"&gt;="&amp;MIP_4[[#This Row],[S.B Sitrack]],'[1]Tempo parado'!H:H,"&lt;="&amp;MIP_4[[#This Row],[C.B Sitrack]],'[1]Tempo parado'!A:A,MIP_4[[#This Row],[Placa]])</f>
        <v>0</v>
      </c>
      <c r="AF305" s="36"/>
      <c r="AG305" s="35"/>
      <c r="AH305" s="34"/>
      <c r="AI305" s="34"/>
      <c r="AJ30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0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0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05" s="32" t="str">
        <f>IFERROR(MIP_4[[#This Row],[Tempo parado]]/(MIP_4[[#This Row],[C.B Sitrack]]-MIP_4[[#This Row],[S.B Sitrack]]),"")</f>
        <v/>
      </c>
      <c r="AN305" s="30"/>
      <c r="AO305" s="44">
        <f>IF(AND(MIP_4[Exc]=0,MIP_4[Previsto / Realizado]="Realizado"),MIP_4[Sem],0)</f>
        <v>30</v>
      </c>
      <c r="AP305" s="29">
        <f>IF(AND(MIP_4[Exc]=0,MIP_4[Previsto / Realizado]="Realizado",ISBLANK(MIP_4[[#This Row],[S.B Sitrack]])=FALSE,ISBLANK(MIP_4[[#This Row],[C.B Sitrack]])=FALSE),MIP_4[Sem],0)</f>
        <v>0</v>
      </c>
    </row>
    <row r="306" spans="1:42" ht="15.75" x14ac:dyDescent="0.25">
      <c r="A306" s="44">
        <f>WEEKNUM(MIP_4[[#This Row],[Data]])</f>
        <v>30</v>
      </c>
      <c r="B306" s="45">
        <v>42944</v>
      </c>
      <c r="C306" s="45"/>
      <c r="D306" s="35" t="s">
        <v>3</v>
      </c>
      <c r="E306" s="35" t="s">
        <v>5</v>
      </c>
      <c r="F306" s="35"/>
      <c r="G306" s="44">
        <v>2</v>
      </c>
      <c r="H306" s="44">
        <v>3</v>
      </c>
      <c r="I306" s="44">
        <v>1</v>
      </c>
      <c r="J306" s="44">
        <v>1</v>
      </c>
      <c r="K306" s="44">
        <v>5</v>
      </c>
      <c r="L306" s="43">
        <v>0.625</v>
      </c>
      <c r="M306" s="43">
        <v>0.64583333333333337</v>
      </c>
      <c r="N306" s="43">
        <f>1+18/24/60</f>
        <v>1.0125</v>
      </c>
      <c r="O306" s="43">
        <f>1+48/24/60</f>
        <v>1.0333333333333334</v>
      </c>
      <c r="P306" s="39"/>
      <c r="Q306" s="42"/>
      <c r="R306" s="29">
        <f>MIP_4[[#This Row],[PT-1]]+MIP_4[[#This Row],[PT-2]]*2+MIP_4[[#This Row],[PT-3]]*3+MIP_4[[#This Row],[PT &gt; 3 Pontos]]</f>
        <v>13</v>
      </c>
      <c r="S30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30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306" s="41">
        <f ca="1">MIP_4[[#This Row],[Eficiência]]</f>
        <v>0.87082479578705463</v>
      </c>
      <c r="V30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06" s="39">
        <f>IF(MIP_4[[#This Row],[P.S]]-MIP_4[[#This Row],[P.E]]&lt;0,1+MIP_4[[#This Row],[P.S]]-MIP_4[[#This Row],[P.E]]-1/24,MIP_4[[#This Row],[P.S]]-MIP_4[[#This Row],[P.E]]-1/24)</f>
        <v>0.36666666666666675</v>
      </c>
      <c r="X306" s="39">
        <f ca="1">MIP_4[[#This Row],[PT-1]]*$S$3+MIP_4[[#This Row],[PT-2]]*$T$3+MIP_4[[#This Row],[PT-3]]*$U$3+MIP_4[[#This Row],[PT &gt; 3 Pontos]]*$V$3</f>
        <v>0.28301805863079266</v>
      </c>
      <c r="Y306" s="39">
        <f>MIP_4[[#This Row],[HH disponível]]-MIP_4[[#This Row],[HH AC TOT]]</f>
        <v>0.3249999999999999</v>
      </c>
      <c r="Z306" s="38">
        <f ca="1">MIP_4[[#This Row],[HH Produtivo
Total]]/MIP_4[[#This Row],[HH Trabalhado]]</f>
        <v>0.87082479578705463</v>
      </c>
      <c r="AA306" s="38">
        <f ca="1">MIP_4[[#This Row],[HH Produtivo
Total]]/MIP_4[[#This Row],[HH disponível]]</f>
        <v>0.77186743262943436</v>
      </c>
      <c r="AB306" s="38">
        <f>MIP_4[[#This Row],[HH Trabalhado]]/MIP_4[[#This Row],[HH disponível]]</f>
        <v>0.88636363636363591</v>
      </c>
      <c r="AC306" s="37" t="str">
        <f>LEFT(MIP_4[[#This Row],[Equipe]], SEARCH("/",MIP_4[[#This Row],[Equipe]],1)-1)</f>
        <v xml:space="preserve">EDILTON </v>
      </c>
      <c r="AD306" s="37" t="str">
        <f>RIGHT(MIP_4[[#This Row],[Equipe]], LEN(MIP_4[[#This Row],[Equipe]])-SEARCH("/",MIP_4[[#This Row],[Equipe]],1))</f>
        <v xml:space="preserve"> GECIVALDO</v>
      </c>
      <c r="AE306" s="44">
        <f>COUNTIFS('[1]Tempo parado'!G:G,"&gt;="&amp;MIP_4[[#This Row],[S.B Sitrack]],'[1]Tempo parado'!H:H,"&lt;="&amp;MIP_4[[#This Row],[C.B Sitrack]],'[1]Tempo parado'!A:A,MIP_4[[#This Row],[Placa]])</f>
        <v>0</v>
      </c>
      <c r="AF306" s="36"/>
      <c r="AG306" s="35"/>
      <c r="AH306" s="34"/>
      <c r="AI306" s="34"/>
      <c r="AJ30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0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0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06" s="32" t="str">
        <f>IFERROR(MIP_4[[#This Row],[Tempo parado]]/(MIP_4[[#This Row],[C.B Sitrack]]-MIP_4[[#This Row],[S.B Sitrack]]),"")</f>
        <v/>
      </c>
      <c r="AN306" s="30"/>
      <c r="AO306" s="44">
        <f>IF(AND(MIP_4[Exc]=0,MIP_4[Previsto / Realizado]="Realizado"),MIP_4[Sem],0)</f>
        <v>0</v>
      </c>
      <c r="AP306" s="29">
        <f>IF(AND(MIP_4[Exc]=0,MIP_4[Previsto / Realizado]="Realizado",ISBLANK(MIP_4[[#This Row],[S.B Sitrack]])=FALSE,ISBLANK(MIP_4[[#This Row],[C.B Sitrack]])=FALSE),MIP_4[Sem],0)</f>
        <v>0</v>
      </c>
    </row>
    <row r="307" spans="1:42" ht="15.75" x14ac:dyDescent="0.25">
      <c r="A307" s="44">
        <f>WEEKNUM(MIP_4[[#This Row],[Data]])</f>
        <v>30</v>
      </c>
      <c r="B307" s="45">
        <v>42944</v>
      </c>
      <c r="C307" s="45"/>
      <c r="D307" s="35" t="s">
        <v>3</v>
      </c>
      <c r="E307" s="35" t="s">
        <v>2</v>
      </c>
      <c r="F307" s="35"/>
      <c r="G307" s="44">
        <v>2</v>
      </c>
      <c r="H307" s="44">
        <v>2</v>
      </c>
      <c r="I307" s="44">
        <v>1</v>
      </c>
      <c r="J307" s="44">
        <v>1</v>
      </c>
      <c r="K307" s="44">
        <v>5</v>
      </c>
      <c r="L307" s="43">
        <v>0.61875000000000002</v>
      </c>
      <c r="M307" s="43">
        <v>0.64097222222222217</v>
      </c>
      <c r="N307" s="43">
        <f>1+30/24/60</f>
        <v>1.0208333333333333</v>
      </c>
      <c r="O307" s="43">
        <f>1+49/24/60</f>
        <v>1.0340277777777778</v>
      </c>
      <c r="P307" s="39"/>
      <c r="Q307" s="42"/>
      <c r="R307" s="29">
        <f>MIP_4[[#This Row],[PT-1]]+MIP_4[[#This Row],[PT-2]]*2+MIP_4[[#This Row],[PT-3]]*3+MIP_4[[#This Row],[PT &gt; 3 Pontos]]</f>
        <v>12</v>
      </c>
      <c r="S30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3.5416666666666652E-2</v>
      </c>
      <c r="T30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3.5416666666666652E-2</v>
      </c>
      <c r="U307" s="41">
        <f ca="1">MIP_4[[#This Row],[Eficiência]]</f>
        <v>0.76285169644244732</v>
      </c>
      <c r="V30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07" s="39">
        <f>IF(MIP_4[[#This Row],[P.S]]-MIP_4[[#This Row],[P.E]]&lt;0,1+MIP_4[[#This Row],[P.S]]-MIP_4[[#This Row],[P.E]]-1/24,MIP_4[[#This Row],[P.S]]-MIP_4[[#This Row],[P.E]]-1/24)</f>
        <v>0.37361111111111106</v>
      </c>
      <c r="X307" s="39">
        <f ca="1">MIP_4[[#This Row],[PT-1]]*$S$3+MIP_4[[#This Row],[PT-2]]*$T$3+MIP_4[[#This Row],[PT-3]]*$U$3+MIP_4[[#This Row],[PT &gt; 3 Pontos]]*$V$3</f>
        <v>0.25799220567185543</v>
      </c>
      <c r="Y307" s="39">
        <f>MIP_4[[#This Row],[HH disponível]]-MIP_4[[#This Row],[HH AC TOT]]</f>
        <v>0.33819444444444441</v>
      </c>
      <c r="Z307" s="38">
        <f ca="1">MIP_4[[#This Row],[HH Produtivo
Total]]/MIP_4[[#This Row],[HH Trabalhado]]</f>
        <v>0.76285169644244732</v>
      </c>
      <c r="AA307" s="38">
        <f ca="1">MIP_4[[#This Row],[HH Produtivo
Total]]/MIP_4[[#This Row],[HH disponível]]</f>
        <v>0.69053675867559827</v>
      </c>
      <c r="AB307" s="38">
        <f>MIP_4[[#This Row],[HH Trabalhado]]/MIP_4[[#This Row],[HH disponível]]</f>
        <v>0.90520446096654272</v>
      </c>
      <c r="AC307" s="37" t="str">
        <f>LEFT(MIP_4[[#This Row],[Equipe]], SEARCH("/",MIP_4[[#This Row],[Equipe]],1)-1)</f>
        <v xml:space="preserve">EDILTON </v>
      </c>
      <c r="AD307" s="37" t="str">
        <f>RIGHT(MIP_4[[#This Row],[Equipe]], LEN(MIP_4[[#This Row],[Equipe]])-SEARCH("/",MIP_4[[#This Row],[Equipe]],1))</f>
        <v xml:space="preserve"> GECIVALDO</v>
      </c>
      <c r="AE307" s="44">
        <f>COUNTIFS('[1]Tempo parado'!G:G,"&gt;="&amp;MIP_4[[#This Row],[S.B Sitrack]],'[1]Tempo parado'!H:H,"&lt;="&amp;MIP_4[[#This Row],[C.B Sitrack]],'[1]Tempo parado'!A:A,MIP_4[[#This Row],[Placa]])</f>
        <v>0</v>
      </c>
      <c r="AF307" s="36"/>
      <c r="AG307" s="35"/>
      <c r="AH307" s="34"/>
      <c r="AI307" s="34"/>
      <c r="AJ30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0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0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07" s="32" t="str">
        <f>IFERROR(MIP_4[[#This Row],[Tempo parado]]/(MIP_4[[#This Row],[C.B Sitrack]]-MIP_4[[#This Row],[S.B Sitrack]]),"")</f>
        <v/>
      </c>
      <c r="AN307" s="30"/>
      <c r="AO307" s="44">
        <f>IF(AND(MIP_4[Exc]=0,MIP_4[Previsto / Realizado]="Realizado"),MIP_4[Sem],0)</f>
        <v>30</v>
      </c>
      <c r="AP307" s="29">
        <f>IF(AND(MIP_4[Exc]=0,MIP_4[Previsto / Realizado]="Realizado",ISBLANK(MIP_4[[#This Row],[S.B Sitrack]])=FALSE,ISBLANK(MIP_4[[#This Row],[C.B Sitrack]])=FALSE),MIP_4[Sem],0)</f>
        <v>0</v>
      </c>
    </row>
    <row r="308" spans="1:42" ht="15.75" x14ac:dyDescent="0.25">
      <c r="A308" s="44">
        <f>WEEKNUM(MIP_4[[#This Row],[Data]])</f>
        <v>30</v>
      </c>
      <c r="B308" s="45">
        <v>42945</v>
      </c>
      <c r="C308" s="45"/>
      <c r="D308" s="35" t="s">
        <v>3</v>
      </c>
      <c r="E308" s="35" t="s">
        <v>5</v>
      </c>
      <c r="F308" s="35"/>
      <c r="G308" s="44">
        <v>2</v>
      </c>
      <c r="H308" s="44">
        <v>2</v>
      </c>
      <c r="I308" s="44">
        <v>0</v>
      </c>
      <c r="J308" s="44">
        <v>0</v>
      </c>
      <c r="K308" s="44">
        <v>13</v>
      </c>
      <c r="L308" s="43">
        <v>0.625</v>
      </c>
      <c r="M308" s="43">
        <v>0.64583333333333337</v>
      </c>
      <c r="N308" s="43">
        <f>1+18/24/60</f>
        <v>1.0125</v>
      </c>
      <c r="O308" s="43">
        <f>1+48/24/60</f>
        <v>1.0333333333333334</v>
      </c>
      <c r="P308" s="39"/>
      <c r="Q308" s="42"/>
      <c r="R308" s="29">
        <f>MIP_4[[#This Row],[PT-1]]+MIP_4[[#This Row],[PT-2]]*2+MIP_4[[#This Row],[PT-3]]*3+MIP_4[[#This Row],[PT &gt; 3 Pontos]]</f>
        <v>15</v>
      </c>
      <c r="S30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30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308" s="41">
        <f ca="1">MIP_4[[#This Row],[Eficiência]]</f>
        <v>0.96392568420799163</v>
      </c>
      <c r="V30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08" s="39">
        <f>IF(MIP_4[[#This Row],[P.S]]-MIP_4[[#This Row],[P.E]]&lt;0,1+MIP_4[[#This Row],[P.S]]-MIP_4[[#This Row],[P.E]]-1/24,MIP_4[[#This Row],[P.S]]-MIP_4[[#This Row],[P.E]]-1/24)</f>
        <v>0.36666666666666675</v>
      </c>
      <c r="X308" s="39">
        <f ca="1">MIP_4[[#This Row],[PT-1]]*$S$3+MIP_4[[#This Row],[PT-2]]*$T$3+MIP_4[[#This Row],[PT-3]]*$U$3+MIP_4[[#This Row],[PT &gt; 3 Pontos]]*$V$3</f>
        <v>0.31327584736759717</v>
      </c>
      <c r="Y308" s="39">
        <f>MIP_4[[#This Row],[HH disponível]]-MIP_4[[#This Row],[HH AC TOT]]</f>
        <v>0.3249999999999999</v>
      </c>
      <c r="Z308" s="38">
        <f ca="1">MIP_4[[#This Row],[HH Produtivo
Total]]/MIP_4[[#This Row],[HH Trabalhado]]</f>
        <v>0.96392568420799163</v>
      </c>
      <c r="AA308" s="38">
        <f ca="1">MIP_4[[#This Row],[HH Produtivo
Total]]/MIP_4[[#This Row],[HH disponível]]</f>
        <v>0.85438867463890122</v>
      </c>
      <c r="AB308" s="38">
        <f>MIP_4[[#This Row],[HH Trabalhado]]/MIP_4[[#This Row],[HH disponível]]</f>
        <v>0.88636363636363591</v>
      </c>
      <c r="AC308" s="37" t="str">
        <f>LEFT(MIP_4[[#This Row],[Equipe]], SEARCH("/",MIP_4[[#This Row],[Equipe]],1)-1)</f>
        <v xml:space="preserve">EDILTON </v>
      </c>
      <c r="AD308" s="37" t="str">
        <f>RIGHT(MIP_4[[#This Row],[Equipe]], LEN(MIP_4[[#This Row],[Equipe]])-SEARCH("/",MIP_4[[#This Row],[Equipe]],1))</f>
        <v xml:space="preserve"> GECIVALDO</v>
      </c>
      <c r="AE308" s="44">
        <f>COUNTIFS('[1]Tempo parado'!G:G,"&gt;="&amp;MIP_4[[#This Row],[S.B Sitrack]],'[1]Tempo parado'!H:H,"&lt;="&amp;MIP_4[[#This Row],[C.B Sitrack]],'[1]Tempo parado'!A:A,MIP_4[[#This Row],[Placa]])</f>
        <v>0</v>
      </c>
      <c r="AF308" s="36"/>
      <c r="AG308" s="35"/>
      <c r="AH308" s="34"/>
      <c r="AI308" s="34"/>
      <c r="AJ30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0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0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08" s="32" t="str">
        <f>IFERROR(MIP_4[[#This Row],[Tempo parado]]/(MIP_4[[#This Row],[C.B Sitrack]]-MIP_4[[#This Row],[S.B Sitrack]]),"")</f>
        <v/>
      </c>
      <c r="AN308" s="30"/>
      <c r="AO308" s="44">
        <f>IF(AND(MIP_4[Exc]=0,MIP_4[Previsto / Realizado]="Realizado"),MIP_4[Sem],0)</f>
        <v>0</v>
      </c>
      <c r="AP308" s="29">
        <f>IF(AND(MIP_4[Exc]=0,MIP_4[Previsto / Realizado]="Realizado",ISBLANK(MIP_4[[#This Row],[S.B Sitrack]])=FALSE,ISBLANK(MIP_4[[#This Row],[C.B Sitrack]])=FALSE),MIP_4[Sem],0)</f>
        <v>0</v>
      </c>
    </row>
    <row r="309" spans="1:42" ht="15.75" x14ac:dyDescent="0.25">
      <c r="A309" s="44">
        <f>WEEKNUM(MIP_4[[#This Row],[Data]])</f>
        <v>30</v>
      </c>
      <c r="B309" s="45">
        <v>42945</v>
      </c>
      <c r="C309" s="45"/>
      <c r="D309" s="35" t="s">
        <v>3</v>
      </c>
      <c r="E309" s="35" t="s">
        <v>2</v>
      </c>
      <c r="F309" s="35"/>
      <c r="G309" s="44">
        <v>2</v>
      </c>
      <c r="H309" s="44">
        <v>2</v>
      </c>
      <c r="I309" s="44">
        <v>0</v>
      </c>
      <c r="J309" s="44">
        <v>0</v>
      </c>
      <c r="K309" s="44">
        <v>13</v>
      </c>
      <c r="L309" s="43">
        <v>0.63055555555555554</v>
      </c>
      <c r="M309" s="43">
        <v>0.65277777777777779</v>
      </c>
      <c r="N309" s="43">
        <f>1+27/24/60</f>
        <v>1.01875</v>
      </c>
      <c r="O309" s="43">
        <f>1+42/24/60</f>
        <v>1.0291666666666666</v>
      </c>
      <c r="P309" s="39"/>
      <c r="Q309" s="42"/>
      <c r="R309" s="29">
        <f>MIP_4[[#This Row],[PT-1]]+MIP_4[[#This Row],[PT-2]]*2+MIP_4[[#This Row],[PT-3]]*3+MIP_4[[#This Row],[PT &gt; 3 Pontos]]</f>
        <v>15</v>
      </c>
      <c r="S30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3.2638888888888773E-2</v>
      </c>
      <c r="T30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3.2638888888888773E-2</v>
      </c>
      <c r="U309" s="41">
        <f ca="1">MIP_4[[#This Row],[Eficiência]]</f>
        <v>0.96598976490222677</v>
      </c>
      <c r="V30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09" s="39">
        <f>IF(MIP_4[[#This Row],[P.S]]-MIP_4[[#This Row],[P.E]]&lt;0,1+MIP_4[[#This Row],[P.S]]-MIP_4[[#This Row],[P.E]]-1/24,MIP_4[[#This Row],[P.S]]-MIP_4[[#This Row],[P.E]]-1/24)</f>
        <v>0.35694444444444434</v>
      </c>
      <c r="X309" s="39">
        <f ca="1">MIP_4[[#This Row],[PT-1]]*$S$3+MIP_4[[#This Row],[PT-2]]*$T$3+MIP_4[[#This Row],[PT-3]]*$U$3+MIP_4[[#This Row],[PT &gt; 3 Pontos]]*$V$3</f>
        <v>0.31327584736759717</v>
      </c>
      <c r="Y309" s="39">
        <f>MIP_4[[#This Row],[HH disponível]]-MIP_4[[#This Row],[HH AC TOT]]</f>
        <v>0.32430555555555557</v>
      </c>
      <c r="Z309" s="38">
        <f ca="1">MIP_4[[#This Row],[HH Produtivo
Total]]/MIP_4[[#This Row],[HH Trabalhado]]</f>
        <v>0.96598976490222677</v>
      </c>
      <c r="AA309" s="38">
        <f ca="1">MIP_4[[#This Row],[HH Produtivo
Total]]/MIP_4[[#This Row],[HH disponível]]</f>
        <v>0.8776599614967705</v>
      </c>
      <c r="AB309" s="38">
        <f>MIP_4[[#This Row],[HH Trabalhado]]/MIP_4[[#This Row],[HH disponível]]</f>
        <v>0.90856031128404702</v>
      </c>
      <c r="AC309" s="37" t="str">
        <f>LEFT(MIP_4[[#This Row],[Equipe]], SEARCH("/",MIP_4[[#This Row],[Equipe]],1)-1)</f>
        <v xml:space="preserve">EDILTON </v>
      </c>
      <c r="AD309" s="37" t="str">
        <f>RIGHT(MIP_4[[#This Row],[Equipe]], LEN(MIP_4[[#This Row],[Equipe]])-SEARCH("/",MIP_4[[#This Row],[Equipe]],1))</f>
        <v xml:space="preserve"> GECIVALDO</v>
      </c>
      <c r="AE309" s="44">
        <f>COUNTIFS('[1]Tempo parado'!G:G,"&gt;="&amp;MIP_4[[#This Row],[S.B Sitrack]],'[1]Tempo parado'!H:H,"&lt;="&amp;MIP_4[[#This Row],[C.B Sitrack]],'[1]Tempo parado'!A:A,MIP_4[[#This Row],[Placa]])</f>
        <v>0</v>
      </c>
      <c r="AF309" s="36"/>
      <c r="AG309" s="35"/>
      <c r="AH309" s="34"/>
      <c r="AI309" s="34"/>
      <c r="AJ30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0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0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09" s="32" t="str">
        <f>IFERROR(MIP_4[[#This Row],[Tempo parado]]/(MIP_4[[#This Row],[C.B Sitrack]]-MIP_4[[#This Row],[S.B Sitrack]]),"")</f>
        <v/>
      </c>
      <c r="AN309" s="30"/>
      <c r="AO309" s="44">
        <f>IF(AND(MIP_4[Exc]=0,MIP_4[Previsto / Realizado]="Realizado"),MIP_4[Sem],0)</f>
        <v>30</v>
      </c>
      <c r="AP309" s="29">
        <f>IF(AND(MIP_4[Exc]=0,MIP_4[Previsto / Realizado]="Realizado",ISBLANK(MIP_4[[#This Row],[S.B Sitrack]])=FALSE,ISBLANK(MIP_4[[#This Row],[C.B Sitrack]])=FALSE),MIP_4[Sem],0)</f>
        <v>0</v>
      </c>
    </row>
    <row r="310" spans="1:42" ht="15.75" x14ac:dyDescent="0.25">
      <c r="A310" s="44">
        <f>WEEKNUM(MIP_4[[#This Row],[Data]])</f>
        <v>31</v>
      </c>
      <c r="B310" s="45">
        <v>42946</v>
      </c>
      <c r="C310" s="45"/>
      <c r="D310" s="35" t="s">
        <v>326</v>
      </c>
      <c r="E310" s="35" t="s">
        <v>5</v>
      </c>
      <c r="F310" s="35"/>
      <c r="G310" s="44">
        <v>2</v>
      </c>
      <c r="H310" s="44">
        <v>8</v>
      </c>
      <c r="I310" s="44">
        <v>0</v>
      </c>
      <c r="J310" s="44">
        <v>0</v>
      </c>
      <c r="K310" s="44">
        <v>0</v>
      </c>
      <c r="L310" s="43">
        <v>0.625</v>
      </c>
      <c r="M310" s="43">
        <v>0.64583333333333337</v>
      </c>
      <c r="N310" s="43">
        <f>1+18/24/60</f>
        <v>1.0125</v>
      </c>
      <c r="O310" s="43">
        <f>1+48/24/60</f>
        <v>1.0333333333333334</v>
      </c>
      <c r="P310" s="39"/>
      <c r="Q310" s="42"/>
      <c r="R310" s="29">
        <f>MIP_4[[#This Row],[PT-1]]+MIP_4[[#This Row],[PT-2]]*2+MIP_4[[#This Row],[PT-3]]*3+MIP_4[[#This Row],[PT &gt; 3 Pontos]]</f>
        <v>8</v>
      </c>
      <c r="S31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31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310" s="41">
        <f ca="1">MIP_4[[#This Row],[Eficiência]]</f>
        <v>0.61602099591229997</v>
      </c>
      <c r="V31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10" s="39">
        <f>IF(MIP_4[[#This Row],[P.S]]-MIP_4[[#This Row],[P.E]]&lt;0,1+MIP_4[[#This Row],[P.S]]-MIP_4[[#This Row],[P.E]]-1/24,MIP_4[[#This Row],[P.S]]-MIP_4[[#This Row],[P.E]]-1/24)</f>
        <v>0.36666666666666675</v>
      </c>
      <c r="X310" s="39">
        <f ca="1">MIP_4[[#This Row],[PT-1]]*$S$3+MIP_4[[#This Row],[PT-2]]*$T$3+MIP_4[[#This Row],[PT-3]]*$U$3+MIP_4[[#This Row],[PT &gt; 3 Pontos]]*$V$3</f>
        <v>0.20020682367149745</v>
      </c>
      <c r="Y310" s="39">
        <f>MIP_4[[#This Row],[HH disponível]]-MIP_4[[#This Row],[HH AC TOT]]</f>
        <v>0.3249999999999999</v>
      </c>
      <c r="Z310" s="38">
        <f ca="1">MIP_4[[#This Row],[HH Produtivo
Total]]/MIP_4[[#This Row],[HH Trabalhado]]</f>
        <v>0.61602099591229997</v>
      </c>
      <c r="AA310" s="38">
        <f ca="1">MIP_4[[#This Row],[HH Produtivo
Total]]/MIP_4[[#This Row],[HH disponível]]</f>
        <v>0.54601861001317475</v>
      </c>
      <c r="AB310" s="38">
        <f>MIP_4[[#This Row],[HH Trabalhado]]/MIP_4[[#This Row],[HH disponível]]</f>
        <v>0.88636363636363591</v>
      </c>
      <c r="AC310" s="37" t="str">
        <f>LEFT(MIP_4[[#This Row],[Equipe]], SEARCH("/",MIP_4[[#This Row],[Equipe]],1)-1)</f>
        <v xml:space="preserve">ANDERSON </v>
      </c>
      <c r="AD310" s="37" t="str">
        <f>RIGHT(MIP_4[[#This Row],[Equipe]], LEN(MIP_4[[#This Row],[Equipe]])-SEARCH("/",MIP_4[[#This Row],[Equipe]],1))</f>
        <v xml:space="preserve"> GECIVALDO</v>
      </c>
      <c r="AE310" s="44">
        <f>COUNTIFS('[1]Tempo parado'!G:G,"&gt;="&amp;MIP_4[[#This Row],[S.B Sitrack]],'[1]Tempo parado'!H:H,"&lt;="&amp;MIP_4[[#This Row],[C.B Sitrack]],'[1]Tempo parado'!A:A,MIP_4[[#This Row],[Placa]])</f>
        <v>0</v>
      </c>
      <c r="AF310" s="36"/>
      <c r="AG310" s="35"/>
      <c r="AH310" s="34"/>
      <c r="AI310" s="34"/>
      <c r="AJ31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1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1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10" s="32" t="str">
        <f>IFERROR(MIP_4[[#This Row],[Tempo parado]]/(MIP_4[[#This Row],[C.B Sitrack]]-MIP_4[[#This Row],[S.B Sitrack]]),"")</f>
        <v/>
      </c>
      <c r="AN310" s="30"/>
      <c r="AO310" s="44">
        <f>IF(AND(MIP_4[Exc]=0,MIP_4[Previsto / Realizado]="Realizado"),MIP_4[Sem],0)</f>
        <v>0</v>
      </c>
      <c r="AP310" s="29">
        <f>IF(AND(MIP_4[Exc]=0,MIP_4[Previsto / Realizado]="Realizado",ISBLANK(MIP_4[[#This Row],[S.B Sitrack]])=FALSE,ISBLANK(MIP_4[[#This Row],[C.B Sitrack]])=FALSE),MIP_4[Sem],0)</f>
        <v>0</v>
      </c>
    </row>
    <row r="311" spans="1:42" ht="15.75" x14ac:dyDescent="0.25">
      <c r="A311" s="44">
        <f>WEEKNUM(MIP_4[[#This Row],[Data]])</f>
        <v>31</v>
      </c>
      <c r="B311" s="45">
        <v>42946</v>
      </c>
      <c r="C311" s="45"/>
      <c r="D311" s="35" t="s">
        <v>326</v>
      </c>
      <c r="E311" s="35" t="s">
        <v>2</v>
      </c>
      <c r="F311" s="35"/>
      <c r="G311" s="44">
        <v>2</v>
      </c>
      <c r="H311" s="44">
        <v>8</v>
      </c>
      <c r="I311" s="44">
        <v>0</v>
      </c>
      <c r="J311" s="44">
        <v>0</v>
      </c>
      <c r="K311" s="44">
        <v>0</v>
      </c>
      <c r="L311" s="43">
        <v>0.59097222222222223</v>
      </c>
      <c r="M311" s="43">
        <v>0.60763888888888895</v>
      </c>
      <c r="N311" s="43">
        <v>0.95000000000000007</v>
      </c>
      <c r="O311" s="43">
        <v>0.97499999999999998</v>
      </c>
      <c r="P311" s="39"/>
      <c r="Q311" s="42"/>
      <c r="R311" s="29">
        <f>MIP_4[[#This Row],[PT-1]]+MIP_4[[#This Row],[PT-2]]*2+MIP_4[[#This Row],[PT-3]]*3+MIP_4[[#This Row],[PT &gt; 3 Pontos]]</f>
        <v>8</v>
      </c>
      <c r="S31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4.166666666666663E-2</v>
      </c>
      <c r="T31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4.166666666666663E-2</v>
      </c>
      <c r="U311" s="41">
        <f ca="1">MIP_4[[#This Row],[Eficiência]]</f>
        <v>0.66581484084747422</v>
      </c>
      <c r="V31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11" s="39">
        <f>IF(MIP_4[[#This Row],[P.S]]-MIP_4[[#This Row],[P.E]]&lt;0,1+MIP_4[[#This Row],[P.S]]-MIP_4[[#This Row],[P.E]]-1/24,MIP_4[[#This Row],[P.S]]-MIP_4[[#This Row],[P.E]]-1/24)</f>
        <v>0.34236111111111106</v>
      </c>
      <c r="X311" s="39">
        <f ca="1">MIP_4[[#This Row],[PT-1]]*$S$3+MIP_4[[#This Row],[PT-2]]*$T$3+MIP_4[[#This Row],[PT-3]]*$U$3+MIP_4[[#This Row],[PT &gt; 3 Pontos]]*$V$3</f>
        <v>0.20020682367149745</v>
      </c>
      <c r="Y311" s="39">
        <f>MIP_4[[#This Row],[HH disponível]]-MIP_4[[#This Row],[HH AC TOT]]</f>
        <v>0.30069444444444443</v>
      </c>
      <c r="Z311" s="38">
        <f ca="1">MIP_4[[#This Row],[HH Produtivo
Total]]/MIP_4[[#This Row],[HH Trabalhado]]</f>
        <v>0.66581484084747422</v>
      </c>
      <c r="AA311" s="38">
        <f ca="1">MIP_4[[#This Row],[HH Produtivo
Total]]/MIP_4[[#This Row],[HH disponível]]</f>
        <v>0.58478260869565191</v>
      </c>
      <c r="AB311" s="38">
        <f>MIP_4[[#This Row],[HH Trabalhado]]/MIP_4[[#This Row],[HH disponível]]</f>
        <v>0.8782961460446248</v>
      </c>
      <c r="AC311" s="37" t="str">
        <f>LEFT(MIP_4[[#This Row],[Equipe]], SEARCH("/",MIP_4[[#This Row],[Equipe]],1)-1)</f>
        <v xml:space="preserve">ANDERSON </v>
      </c>
      <c r="AD311" s="37" t="str">
        <f>RIGHT(MIP_4[[#This Row],[Equipe]], LEN(MIP_4[[#This Row],[Equipe]])-SEARCH("/",MIP_4[[#This Row],[Equipe]],1))</f>
        <v xml:space="preserve"> GECIVALDO</v>
      </c>
      <c r="AE311" s="44">
        <f>COUNTIFS('[1]Tempo parado'!G:G,"&gt;="&amp;MIP_4[[#This Row],[S.B Sitrack]],'[1]Tempo parado'!H:H,"&lt;="&amp;MIP_4[[#This Row],[C.B Sitrack]],'[1]Tempo parado'!A:A,MIP_4[[#This Row],[Placa]])</f>
        <v>0</v>
      </c>
      <c r="AF311" s="36"/>
      <c r="AG311" s="35"/>
      <c r="AH311" s="34"/>
      <c r="AI311" s="34"/>
      <c r="AJ31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1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1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11" s="32" t="str">
        <f>IFERROR(MIP_4[[#This Row],[Tempo parado]]/(MIP_4[[#This Row],[C.B Sitrack]]-MIP_4[[#This Row],[S.B Sitrack]]),"")</f>
        <v/>
      </c>
      <c r="AN311" s="30"/>
      <c r="AO311" s="44">
        <f>IF(AND(MIP_4[Exc]=0,MIP_4[Previsto / Realizado]="Realizado"),MIP_4[Sem],0)</f>
        <v>31</v>
      </c>
      <c r="AP311" s="29">
        <f>IF(AND(MIP_4[Exc]=0,MIP_4[Previsto / Realizado]="Realizado",ISBLANK(MIP_4[[#This Row],[S.B Sitrack]])=FALSE,ISBLANK(MIP_4[[#This Row],[C.B Sitrack]])=FALSE),MIP_4[Sem],0)</f>
        <v>0</v>
      </c>
    </row>
    <row r="312" spans="1:42" ht="15.75" x14ac:dyDescent="0.25">
      <c r="A312" s="44">
        <f>WEEKNUM(MIP_4[[#This Row],[Data]])</f>
        <v>31</v>
      </c>
      <c r="B312" s="45">
        <v>42946</v>
      </c>
      <c r="C312" s="45"/>
      <c r="D312" s="35" t="s">
        <v>244</v>
      </c>
      <c r="E312" s="35" t="s">
        <v>5</v>
      </c>
      <c r="F312" s="35"/>
      <c r="G312" s="44">
        <v>2</v>
      </c>
      <c r="H312" s="44">
        <v>0</v>
      </c>
      <c r="I312" s="44">
        <v>0</v>
      </c>
      <c r="J312" s="44">
        <v>0</v>
      </c>
      <c r="K312" s="44">
        <v>15</v>
      </c>
      <c r="L312" s="43">
        <v>0.625</v>
      </c>
      <c r="M312" s="43">
        <v>0.64583333333333337</v>
      </c>
      <c r="N312" s="43">
        <f>1+18/24/60</f>
        <v>1.0125</v>
      </c>
      <c r="O312" s="43">
        <f>1+48/24/60</f>
        <v>1.0333333333333334</v>
      </c>
      <c r="P312" s="39"/>
      <c r="Q312" s="42"/>
      <c r="R312" s="29">
        <f>MIP_4[[#This Row],[PT-1]]+MIP_4[[#This Row],[PT-2]]*2+MIP_4[[#This Row],[PT-3]]*3+MIP_4[[#This Row],[PT &gt; 3 Pontos]]</f>
        <v>15</v>
      </c>
      <c r="S31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31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312" s="41">
        <f ca="1">MIP_4[[#This Row],[Eficiência]]</f>
        <v>0.93452357911144224</v>
      </c>
      <c r="V31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12" s="39">
        <f>IF(MIP_4[[#This Row],[P.S]]-MIP_4[[#This Row],[P.E]]&lt;0,1+MIP_4[[#This Row],[P.S]]-MIP_4[[#This Row],[P.E]]-1/24,MIP_4[[#This Row],[P.S]]-MIP_4[[#This Row],[P.E]]-1/24)</f>
        <v>0.36666666666666675</v>
      </c>
      <c r="X312" s="39">
        <f ca="1">MIP_4[[#This Row],[PT-1]]*$S$3+MIP_4[[#This Row],[PT-2]]*$T$3+MIP_4[[#This Row],[PT-3]]*$U$3+MIP_4[[#This Row],[PT &gt; 3 Pontos]]*$V$3</f>
        <v>0.30372016321121864</v>
      </c>
      <c r="Y312" s="39">
        <f>MIP_4[[#This Row],[HH disponível]]-MIP_4[[#This Row],[HH AC TOT]]</f>
        <v>0.3249999999999999</v>
      </c>
      <c r="Z312" s="38">
        <f ca="1">MIP_4[[#This Row],[HH Produtivo
Total]]/MIP_4[[#This Row],[HH Trabalhado]]</f>
        <v>0.93452357911144224</v>
      </c>
      <c r="AA312" s="38">
        <f ca="1">MIP_4[[#This Row],[HH Produtivo
Total]]/MIP_4[[#This Row],[HH disponível]]</f>
        <v>0.8283277178487779</v>
      </c>
      <c r="AB312" s="38">
        <f>MIP_4[[#This Row],[HH Trabalhado]]/MIP_4[[#This Row],[HH disponível]]</f>
        <v>0.88636363636363591</v>
      </c>
      <c r="AC312" s="37" t="str">
        <f>LEFT(MIP_4[[#This Row],[Equipe]], SEARCH("/",MIP_4[[#This Row],[Equipe]],1)-1)</f>
        <v xml:space="preserve">EDILTON </v>
      </c>
      <c r="AD312" s="37" t="str">
        <f>RIGHT(MIP_4[[#This Row],[Equipe]], LEN(MIP_4[[#This Row],[Equipe]])-SEARCH("/",MIP_4[[#This Row],[Equipe]],1))</f>
        <v xml:space="preserve"> MARCO</v>
      </c>
      <c r="AE312" s="44">
        <f>COUNTIFS('[1]Tempo parado'!G:G,"&gt;="&amp;MIP_4[[#This Row],[S.B Sitrack]],'[1]Tempo parado'!H:H,"&lt;="&amp;MIP_4[[#This Row],[C.B Sitrack]],'[1]Tempo parado'!A:A,MIP_4[[#This Row],[Placa]])</f>
        <v>0</v>
      </c>
      <c r="AF312" s="36"/>
      <c r="AG312" s="35"/>
      <c r="AH312" s="34"/>
      <c r="AI312" s="34"/>
      <c r="AJ31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1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1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12" s="32" t="str">
        <f>IFERROR(MIP_4[[#This Row],[Tempo parado]]/(MIP_4[[#This Row],[C.B Sitrack]]-MIP_4[[#This Row],[S.B Sitrack]]),"")</f>
        <v/>
      </c>
      <c r="AN312" s="30"/>
      <c r="AO312" s="44">
        <f>IF(AND(MIP_4[Exc]=0,MIP_4[Previsto / Realizado]="Realizado"),MIP_4[Sem],0)</f>
        <v>0</v>
      </c>
      <c r="AP312" s="29">
        <f>IF(AND(MIP_4[Exc]=0,MIP_4[Previsto / Realizado]="Realizado",ISBLANK(MIP_4[[#This Row],[S.B Sitrack]])=FALSE,ISBLANK(MIP_4[[#This Row],[C.B Sitrack]])=FALSE),MIP_4[Sem],0)</f>
        <v>0</v>
      </c>
    </row>
    <row r="313" spans="1:42" ht="15.75" x14ac:dyDescent="0.25">
      <c r="A313" s="44">
        <f>WEEKNUM(MIP_4[[#This Row],[Data]])</f>
        <v>31</v>
      </c>
      <c r="B313" s="45">
        <v>42946</v>
      </c>
      <c r="C313" s="45"/>
      <c r="D313" s="35" t="s">
        <v>244</v>
      </c>
      <c r="E313" s="35" t="s">
        <v>2</v>
      </c>
      <c r="F313" s="35"/>
      <c r="G313" s="44">
        <v>2</v>
      </c>
      <c r="H313" s="44">
        <v>0</v>
      </c>
      <c r="I313" s="44">
        <v>0</v>
      </c>
      <c r="J313" s="44">
        <v>0</v>
      </c>
      <c r="K313" s="44">
        <v>15</v>
      </c>
      <c r="L313" s="43">
        <v>0.625</v>
      </c>
      <c r="M313" s="43">
        <v>0.64583333333333337</v>
      </c>
      <c r="N313" s="43">
        <f>1+23/24/60</f>
        <v>1.0159722222222223</v>
      </c>
      <c r="O313" s="43">
        <f>1+48/24/60</f>
        <v>1.0333333333333334</v>
      </c>
      <c r="P313" s="39"/>
      <c r="Q313" s="42"/>
      <c r="R313" s="29">
        <f>MIP_4[[#This Row],[PT-1]]+MIP_4[[#This Row],[PT-2]]*2+MIP_4[[#This Row],[PT-3]]*3+MIP_4[[#This Row],[PT &gt; 3 Pontos]]</f>
        <v>15</v>
      </c>
      <c r="S31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3.8194444444444531E-2</v>
      </c>
      <c r="T31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3.8194444444444531E-2</v>
      </c>
      <c r="U313" s="41">
        <f ca="1">MIP_4[[#This Row],[Eficiência]]</f>
        <v>0.92464489434282204</v>
      </c>
      <c r="V31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13" s="39">
        <f>IF(MIP_4[[#This Row],[P.S]]-MIP_4[[#This Row],[P.E]]&lt;0,1+MIP_4[[#This Row],[P.S]]-MIP_4[[#This Row],[P.E]]-1/24,MIP_4[[#This Row],[P.S]]-MIP_4[[#This Row],[P.E]]-1/24)</f>
        <v>0.36666666666666675</v>
      </c>
      <c r="X313" s="39">
        <f ca="1">MIP_4[[#This Row],[PT-1]]*$S$3+MIP_4[[#This Row],[PT-2]]*$T$3+MIP_4[[#This Row],[PT-3]]*$U$3+MIP_4[[#This Row],[PT &gt; 3 Pontos]]*$V$3</f>
        <v>0.30372016321121864</v>
      </c>
      <c r="Y313" s="39">
        <f>MIP_4[[#This Row],[HH disponível]]-MIP_4[[#This Row],[HH AC TOT]]</f>
        <v>0.32847222222222222</v>
      </c>
      <c r="Z313" s="38">
        <f ca="1">MIP_4[[#This Row],[HH Produtivo
Total]]/MIP_4[[#This Row],[HH Trabalhado]]</f>
        <v>0.92464489434282204</v>
      </c>
      <c r="AA313" s="38">
        <f ca="1">MIP_4[[#This Row],[HH Produtivo
Total]]/MIP_4[[#This Row],[HH disponível]]</f>
        <v>0.8283277178487779</v>
      </c>
      <c r="AB313" s="38">
        <f>MIP_4[[#This Row],[HH Trabalhado]]/MIP_4[[#This Row],[HH disponível]]</f>
        <v>0.89583333333333315</v>
      </c>
      <c r="AC313" s="37" t="str">
        <f>LEFT(MIP_4[[#This Row],[Equipe]], SEARCH("/",MIP_4[[#This Row],[Equipe]],1)-1)</f>
        <v xml:space="preserve">EDILTON </v>
      </c>
      <c r="AD313" s="37" t="str">
        <f>RIGHT(MIP_4[[#This Row],[Equipe]], LEN(MIP_4[[#This Row],[Equipe]])-SEARCH("/",MIP_4[[#This Row],[Equipe]],1))</f>
        <v xml:space="preserve"> MARCO</v>
      </c>
      <c r="AE313" s="44">
        <f>COUNTIFS('[1]Tempo parado'!G:G,"&gt;="&amp;MIP_4[[#This Row],[S.B Sitrack]],'[1]Tempo parado'!H:H,"&lt;="&amp;MIP_4[[#This Row],[C.B Sitrack]],'[1]Tempo parado'!A:A,MIP_4[[#This Row],[Placa]])</f>
        <v>0</v>
      </c>
      <c r="AF313" s="36"/>
      <c r="AG313" s="35"/>
      <c r="AH313" s="34"/>
      <c r="AI313" s="34"/>
      <c r="AJ31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1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1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13" s="32" t="str">
        <f>IFERROR(MIP_4[[#This Row],[Tempo parado]]/(MIP_4[[#This Row],[C.B Sitrack]]-MIP_4[[#This Row],[S.B Sitrack]]),"")</f>
        <v/>
      </c>
      <c r="AN313" s="30"/>
      <c r="AO313" s="44">
        <f>IF(AND(MIP_4[Exc]=0,MIP_4[Previsto / Realizado]="Realizado"),MIP_4[Sem],0)</f>
        <v>31</v>
      </c>
      <c r="AP313" s="29">
        <f>IF(AND(MIP_4[Exc]=0,MIP_4[Previsto / Realizado]="Realizado",ISBLANK(MIP_4[[#This Row],[S.B Sitrack]])=FALSE,ISBLANK(MIP_4[[#This Row],[C.B Sitrack]])=FALSE),MIP_4[Sem],0)</f>
        <v>0</v>
      </c>
    </row>
    <row r="314" spans="1:42" ht="15.75" x14ac:dyDescent="0.25">
      <c r="A314" s="44">
        <f>WEEKNUM(MIP_4[[#This Row],[Data]])</f>
        <v>31</v>
      </c>
      <c r="B314" s="45">
        <v>42947</v>
      </c>
      <c r="C314" s="45"/>
      <c r="D314" s="35" t="s">
        <v>19</v>
      </c>
      <c r="E314" s="35" t="s">
        <v>5</v>
      </c>
      <c r="F314" s="35"/>
      <c r="G314" s="44">
        <v>2</v>
      </c>
      <c r="H314" s="44">
        <v>2</v>
      </c>
      <c r="I314" s="44">
        <v>1</v>
      </c>
      <c r="J314" s="44">
        <v>0</v>
      </c>
      <c r="K314" s="44">
        <v>5</v>
      </c>
      <c r="L314" s="43">
        <v>0.625</v>
      </c>
      <c r="M314" s="43">
        <v>0.64583333333333337</v>
      </c>
      <c r="N314" s="43">
        <f>1+18/24/60</f>
        <v>1.0125</v>
      </c>
      <c r="O314" s="43">
        <f>1+48/24/60</f>
        <v>1.0333333333333334</v>
      </c>
      <c r="P314" s="39"/>
      <c r="Q314" s="42"/>
      <c r="R314" s="29">
        <f>MIP_4[[#This Row],[PT-1]]+MIP_4[[#This Row],[PT-2]]*2+MIP_4[[#This Row],[PT-3]]*3+MIP_4[[#This Row],[PT &gt; 3 Pontos]]</f>
        <v>9</v>
      </c>
      <c r="S31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31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314" s="41">
        <f ca="1">MIP_4[[#This Row],[Eficiência]]</f>
        <v>0.60061700438361088</v>
      </c>
      <c r="V31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14" s="39">
        <f>IF(MIP_4[[#This Row],[P.S]]-MIP_4[[#This Row],[P.E]]&lt;0,1+MIP_4[[#This Row],[P.S]]-MIP_4[[#This Row],[P.E]]-1/24,MIP_4[[#This Row],[P.S]]-MIP_4[[#This Row],[P.E]]-1/24)</f>
        <v>0.36666666666666675</v>
      </c>
      <c r="X314" s="39">
        <f ca="1">MIP_4[[#This Row],[PT-1]]*$S$3+MIP_4[[#This Row],[PT-2]]*$T$3+MIP_4[[#This Row],[PT-3]]*$U$3+MIP_4[[#This Row],[PT &gt; 3 Pontos]]*$V$3</f>
        <v>0.19520052642467348</v>
      </c>
      <c r="Y314" s="39">
        <f>MIP_4[[#This Row],[HH disponível]]-MIP_4[[#This Row],[HH AC TOT]]</f>
        <v>0.3249999999999999</v>
      </c>
      <c r="Z314" s="38">
        <f ca="1">MIP_4[[#This Row],[HH Produtivo
Total]]/MIP_4[[#This Row],[HH Trabalhado]]</f>
        <v>0.60061700438361088</v>
      </c>
      <c r="AA314" s="38">
        <f ca="1">MIP_4[[#This Row],[HH Produtivo
Total]]/MIP_4[[#This Row],[HH disponível]]</f>
        <v>0.53236507206729122</v>
      </c>
      <c r="AB314" s="38">
        <f>MIP_4[[#This Row],[HH Trabalhado]]/MIP_4[[#This Row],[HH disponível]]</f>
        <v>0.88636363636363591</v>
      </c>
      <c r="AC314" s="37" t="str">
        <f>LEFT(MIP_4[[#This Row],[Equipe]], SEARCH("/",MIP_4[[#This Row],[Equipe]],1)-1)</f>
        <v xml:space="preserve">ADEMÁRIO </v>
      </c>
      <c r="AD314" s="37" t="str">
        <f>RIGHT(MIP_4[[#This Row],[Equipe]], LEN(MIP_4[[#This Row],[Equipe]])-SEARCH("/",MIP_4[[#This Row],[Equipe]],1))</f>
        <v xml:space="preserve"> RONALDO</v>
      </c>
      <c r="AE314" s="44">
        <f>COUNTIFS('[1]Tempo parado'!G:G,"&gt;="&amp;MIP_4[[#This Row],[S.B Sitrack]],'[1]Tempo parado'!H:H,"&lt;="&amp;MIP_4[[#This Row],[C.B Sitrack]],'[1]Tempo parado'!A:A,MIP_4[[#This Row],[Placa]])</f>
        <v>0</v>
      </c>
      <c r="AF314" s="36"/>
      <c r="AG314" s="35"/>
      <c r="AH314" s="34"/>
      <c r="AI314" s="34"/>
      <c r="AJ31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1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1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14" s="32" t="str">
        <f>IFERROR(MIP_4[[#This Row],[Tempo parado]]/(MIP_4[[#This Row],[C.B Sitrack]]-MIP_4[[#This Row],[S.B Sitrack]]),"")</f>
        <v/>
      </c>
      <c r="AN314" s="30"/>
      <c r="AO314" s="44">
        <f>IF(AND(MIP_4[Exc]=0,MIP_4[Previsto / Realizado]="Realizado"),MIP_4[Sem],0)</f>
        <v>0</v>
      </c>
      <c r="AP314" s="29">
        <f>IF(AND(MIP_4[Exc]=0,MIP_4[Previsto / Realizado]="Realizado",ISBLANK(MIP_4[[#This Row],[S.B Sitrack]])=FALSE,ISBLANK(MIP_4[[#This Row],[C.B Sitrack]])=FALSE),MIP_4[Sem],0)</f>
        <v>0</v>
      </c>
    </row>
    <row r="315" spans="1:42" ht="15.75" x14ac:dyDescent="0.25">
      <c r="A315" s="44">
        <f>WEEKNUM(MIP_4[[#This Row],[Data]])</f>
        <v>31</v>
      </c>
      <c r="B315" s="45">
        <v>42947</v>
      </c>
      <c r="C315" s="45"/>
      <c r="D315" s="35" t="s">
        <v>19</v>
      </c>
      <c r="E315" s="35" t="s">
        <v>2</v>
      </c>
      <c r="F315" s="35"/>
      <c r="G315" s="44">
        <v>2</v>
      </c>
      <c r="H315" s="44">
        <v>2</v>
      </c>
      <c r="I315" s="44">
        <v>1</v>
      </c>
      <c r="J315" s="44">
        <v>0</v>
      </c>
      <c r="K315" s="44">
        <v>5</v>
      </c>
      <c r="L315" s="43">
        <v>0.64444444444444449</v>
      </c>
      <c r="M315" s="43">
        <v>0.6875</v>
      </c>
      <c r="N315" s="43">
        <f>1+30/24/60</f>
        <v>1.0208333333333333</v>
      </c>
      <c r="O315" s="43">
        <f>1+49/24/60</f>
        <v>1.0340277777777778</v>
      </c>
      <c r="P315" s="39"/>
      <c r="Q315" s="42" t="s">
        <v>349</v>
      </c>
      <c r="R315" s="29">
        <f>MIP_4[[#This Row],[PT-1]]+MIP_4[[#This Row],[PT-2]]*2+MIP_4[[#This Row],[PT-3]]*3+MIP_4[[#This Row],[PT &gt; 3 Pontos]]</f>
        <v>9</v>
      </c>
      <c r="S31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5.6250000000000022E-2</v>
      </c>
      <c r="T31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5.6250000000000022E-2</v>
      </c>
      <c r="U315" s="41">
        <f ca="1">MIP_4[[#This Row],[Eficiência]]</f>
        <v>0.66925894774173789</v>
      </c>
      <c r="V31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15" s="39">
        <f>IF(MIP_4[[#This Row],[P.S]]-MIP_4[[#This Row],[P.E]]&lt;0,1+MIP_4[[#This Row],[P.S]]-MIP_4[[#This Row],[P.E]]-1/24,MIP_4[[#This Row],[P.S]]-MIP_4[[#This Row],[P.E]]-1/24)</f>
        <v>0.3479166666666666</v>
      </c>
      <c r="X315" s="39">
        <f ca="1">MIP_4[[#This Row],[PT-1]]*$S$3+MIP_4[[#This Row],[PT-2]]*$T$3+MIP_4[[#This Row],[PT-3]]*$U$3+MIP_4[[#This Row],[PT &gt; 3 Pontos]]*$V$3</f>
        <v>0.19520052642467348</v>
      </c>
      <c r="Y315" s="39">
        <f>MIP_4[[#This Row],[HH disponível]]-MIP_4[[#This Row],[HH AC TOT]]</f>
        <v>0.29166666666666657</v>
      </c>
      <c r="Z315" s="38">
        <f ca="1">MIP_4[[#This Row],[HH Produtivo
Total]]/MIP_4[[#This Row],[HH Trabalhado]]</f>
        <v>0.66925894774173789</v>
      </c>
      <c r="AA315" s="38">
        <f ca="1">MIP_4[[#This Row],[HH Produtivo
Total]]/MIP_4[[#This Row],[HH disponível]]</f>
        <v>0.56105540529247477</v>
      </c>
      <c r="AB315" s="38">
        <f>MIP_4[[#This Row],[HH Trabalhado]]/MIP_4[[#This Row],[HH disponível]]</f>
        <v>0.83832335329341312</v>
      </c>
      <c r="AC315" s="37" t="str">
        <f>LEFT(MIP_4[[#This Row],[Equipe]], SEARCH("/",MIP_4[[#This Row],[Equipe]],1)-1)</f>
        <v xml:space="preserve">ADEMÁRIO </v>
      </c>
      <c r="AD315" s="37" t="str">
        <f>RIGHT(MIP_4[[#This Row],[Equipe]], LEN(MIP_4[[#This Row],[Equipe]])-SEARCH("/",MIP_4[[#This Row],[Equipe]],1))</f>
        <v xml:space="preserve"> RONALDO</v>
      </c>
      <c r="AE315" s="44">
        <f>COUNTIFS('[1]Tempo parado'!G:G,"&gt;="&amp;MIP_4[[#This Row],[S.B Sitrack]],'[1]Tempo parado'!H:H,"&lt;="&amp;MIP_4[[#This Row],[C.B Sitrack]],'[1]Tempo parado'!A:A,MIP_4[[#This Row],[Placa]])</f>
        <v>0</v>
      </c>
      <c r="AF315" s="36"/>
      <c r="AG315" s="35"/>
      <c r="AH315" s="34"/>
      <c r="AI315" s="34"/>
      <c r="AJ31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1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1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15" s="32" t="str">
        <f>IFERROR(MIP_4[[#This Row],[Tempo parado]]/(MIP_4[[#This Row],[C.B Sitrack]]-MIP_4[[#This Row],[S.B Sitrack]]),"")</f>
        <v/>
      </c>
      <c r="AN315" s="30"/>
      <c r="AO315" s="44">
        <f>IF(AND(MIP_4[Exc]=0,MIP_4[Previsto / Realizado]="Realizado"),MIP_4[Sem],0)</f>
        <v>31</v>
      </c>
      <c r="AP315" s="29">
        <f>IF(AND(MIP_4[Exc]=0,MIP_4[Previsto / Realizado]="Realizado",ISBLANK(MIP_4[[#This Row],[S.B Sitrack]])=FALSE,ISBLANK(MIP_4[[#This Row],[C.B Sitrack]])=FALSE),MIP_4[Sem],0)</f>
        <v>0</v>
      </c>
    </row>
    <row r="316" spans="1:42" ht="15.75" x14ac:dyDescent="0.25">
      <c r="A316" s="44">
        <f>WEEKNUM(MIP_4[[#This Row],[Data]])</f>
        <v>31</v>
      </c>
      <c r="B316" s="45">
        <v>42947</v>
      </c>
      <c r="C316" s="45"/>
      <c r="D316" s="35" t="s">
        <v>7</v>
      </c>
      <c r="E316" s="35" t="s">
        <v>5</v>
      </c>
      <c r="F316" s="35"/>
      <c r="G316" s="44">
        <v>2</v>
      </c>
      <c r="H316" s="44">
        <v>2</v>
      </c>
      <c r="I316" s="44">
        <v>1</v>
      </c>
      <c r="J316" s="44">
        <v>1</v>
      </c>
      <c r="K316" s="44">
        <v>4</v>
      </c>
      <c r="L316" s="43">
        <v>0.25</v>
      </c>
      <c r="M316" s="43">
        <v>0.27083333333333331</v>
      </c>
      <c r="N316" s="43">
        <v>0.63750000000000007</v>
      </c>
      <c r="O316" s="43">
        <v>0.65833333333333333</v>
      </c>
      <c r="P316" s="39"/>
      <c r="Q316" s="42"/>
      <c r="R316" s="29">
        <f>MIP_4[[#This Row],[PT-1]]+MIP_4[[#This Row],[PT-2]]*2+MIP_4[[#This Row],[PT-3]]*3+MIP_4[[#This Row],[PT &gt; 3 Pontos]]</f>
        <v>11</v>
      </c>
      <c r="S31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31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316" s="41">
        <f ca="1">MIP_4[[#This Row],[Eficiência]]</f>
        <v>0.73152059935725389</v>
      </c>
      <c r="V31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16" s="39">
        <f>IF(MIP_4[[#This Row],[P.S]]-MIP_4[[#This Row],[P.E]]&lt;0,1+MIP_4[[#This Row],[P.S]]-MIP_4[[#This Row],[P.E]]-1/24,MIP_4[[#This Row],[P.S]]-MIP_4[[#This Row],[P.E]]-1/24)</f>
        <v>0.36666666666666664</v>
      </c>
      <c r="X316" s="39">
        <f ca="1">MIP_4[[#This Row],[PT-1]]*$S$3+MIP_4[[#This Row],[PT-2]]*$T$3+MIP_4[[#This Row],[PT-3]]*$U$3+MIP_4[[#This Row],[PT &gt; 3 Pontos]]*$V$3</f>
        <v>0.23774419479110756</v>
      </c>
      <c r="Y316" s="39">
        <f>MIP_4[[#This Row],[HH disponível]]-MIP_4[[#This Row],[HH AC TOT]]</f>
        <v>0.32500000000000007</v>
      </c>
      <c r="Z316" s="38">
        <f ca="1">MIP_4[[#This Row],[HH Produtivo
Total]]/MIP_4[[#This Row],[HH Trabalhado]]</f>
        <v>0.73152059935725389</v>
      </c>
      <c r="AA316" s="38">
        <f ca="1">MIP_4[[#This Row],[HH Produtivo
Total]]/MIP_4[[#This Row],[HH disponível]]</f>
        <v>0.64839325852120244</v>
      </c>
      <c r="AB316" s="38">
        <f>MIP_4[[#This Row],[HH Trabalhado]]/MIP_4[[#This Row],[HH disponível]]</f>
        <v>0.88636363636363658</v>
      </c>
      <c r="AC316" s="37" t="str">
        <f>LEFT(MIP_4[[#This Row],[Equipe]], SEARCH("/",MIP_4[[#This Row],[Equipe]],1)-1)</f>
        <v xml:space="preserve">ANDERSON </v>
      </c>
      <c r="AD316" s="37" t="str">
        <f>RIGHT(MIP_4[[#This Row],[Equipe]], LEN(MIP_4[[#This Row],[Equipe]])-SEARCH("/",MIP_4[[#This Row],[Equipe]],1))</f>
        <v xml:space="preserve"> MARCO</v>
      </c>
      <c r="AE316" s="44">
        <f>COUNTIFS('[1]Tempo parado'!G:G,"&gt;="&amp;MIP_4[[#This Row],[S.B Sitrack]],'[1]Tempo parado'!H:H,"&lt;="&amp;MIP_4[[#This Row],[C.B Sitrack]],'[1]Tempo parado'!A:A,MIP_4[[#This Row],[Placa]])</f>
        <v>0</v>
      </c>
      <c r="AF316" s="36"/>
      <c r="AG316" s="35"/>
      <c r="AH316" s="34"/>
      <c r="AI316" s="34"/>
      <c r="AJ31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1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1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16" s="32" t="str">
        <f>IFERROR(MIP_4[[#This Row],[Tempo parado]]/(MIP_4[[#This Row],[C.B Sitrack]]-MIP_4[[#This Row],[S.B Sitrack]]),"")</f>
        <v/>
      </c>
      <c r="AN316" s="30"/>
      <c r="AO316" s="44">
        <f>IF(AND(MIP_4[Exc]=0,MIP_4[Previsto / Realizado]="Realizado"),MIP_4[Sem],0)</f>
        <v>0</v>
      </c>
      <c r="AP316" s="29">
        <f>IF(AND(MIP_4[Exc]=0,MIP_4[Previsto / Realizado]="Realizado",ISBLANK(MIP_4[[#This Row],[S.B Sitrack]])=FALSE,ISBLANK(MIP_4[[#This Row],[C.B Sitrack]])=FALSE),MIP_4[Sem],0)</f>
        <v>0</v>
      </c>
    </row>
    <row r="317" spans="1:42" ht="15.75" x14ac:dyDescent="0.25">
      <c r="A317" s="44">
        <f>WEEKNUM(MIP_4[[#This Row],[Data]])</f>
        <v>31</v>
      </c>
      <c r="B317" s="45">
        <v>42947</v>
      </c>
      <c r="C317" s="45"/>
      <c r="D317" s="35" t="s">
        <v>7</v>
      </c>
      <c r="E317" s="35" t="s">
        <v>2</v>
      </c>
      <c r="F317" s="35"/>
      <c r="G317" s="44">
        <v>2</v>
      </c>
      <c r="H317" s="44">
        <v>2</v>
      </c>
      <c r="I317" s="44">
        <v>1</v>
      </c>
      <c r="J317" s="44">
        <v>1</v>
      </c>
      <c r="K317" s="44">
        <v>4</v>
      </c>
      <c r="L317" s="43">
        <v>0.63472222222222219</v>
      </c>
      <c r="M317" s="43">
        <v>0.6875</v>
      </c>
      <c r="N317" s="43">
        <f>1+30/24/60</f>
        <v>1.0208333333333333</v>
      </c>
      <c r="O317" s="43">
        <f>1+48/24/60</f>
        <v>1.0333333333333334</v>
      </c>
      <c r="P317" s="39"/>
      <c r="Q317" s="42"/>
      <c r="R317" s="29">
        <f>MIP_4[[#This Row],[PT-1]]+MIP_4[[#This Row],[PT-2]]*2+MIP_4[[#This Row],[PT-3]]*3+MIP_4[[#This Row],[PT &gt; 3 Pontos]]</f>
        <v>11</v>
      </c>
      <c r="S31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6.527777777777799E-2</v>
      </c>
      <c r="T31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6.527777777777799E-2</v>
      </c>
      <c r="U317" s="41">
        <f ca="1">MIP_4[[#This Row],[Eficiência]]</f>
        <v>0.81512295356951192</v>
      </c>
      <c r="V31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17" s="39">
        <f>IF(MIP_4[[#This Row],[P.S]]-MIP_4[[#This Row],[P.E]]&lt;0,1+MIP_4[[#This Row],[P.S]]-MIP_4[[#This Row],[P.E]]-1/24,MIP_4[[#This Row],[P.S]]-MIP_4[[#This Row],[P.E]]-1/24)</f>
        <v>0.35694444444444456</v>
      </c>
      <c r="X317" s="39">
        <f ca="1">MIP_4[[#This Row],[PT-1]]*$S$3+MIP_4[[#This Row],[PT-2]]*$T$3+MIP_4[[#This Row],[PT-3]]*$U$3+MIP_4[[#This Row],[PT &gt; 3 Pontos]]*$V$3</f>
        <v>0.23774419479110756</v>
      </c>
      <c r="Y317" s="39">
        <f>MIP_4[[#This Row],[HH disponível]]-MIP_4[[#This Row],[HH AC TOT]]</f>
        <v>0.29166666666666657</v>
      </c>
      <c r="Z317" s="38">
        <f ca="1">MIP_4[[#This Row],[HH Produtivo
Total]]/MIP_4[[#This Row],[HH Trabalhado]]</f>
        <v>0.81512295356951192</v>
      </c>
      <c r="AA317" s="38">
        <f ca="1">MIP_4[[#This Row],[HH Produtivo
Total]]/MIP_4[[#This Row],[HH disponível]]</f>
        <v>0.66605377529026222</v>
      </c>
      <c r="AB317" s="38">
        <f>MIP_4[[#This Row],[HH Trabalhado]]/MIP_4[[#This Row],[HH disponível]]</f>
        <v>0.81712062256809281</v>
      </c>
      <c r="AC317" s="37" t="str">
        <f>LEFT(MIP_4[[#This Row],[Equipe]], SEARCH("/",MIP_4[[#This Row],[Equipe]],1)-1)</f>
        <v xml:space="preserve">ANDERSON </v>
      </c>
      <c r="AD317" s="37" t="str">
        <f>RIGHT(MIP_4[[#This Row],[Equipe]], LEN(MIP_4[[#This Row],[Equipe]])-SEARCH("/",MIP_4[[#This Row],[Equipe]],1))</f>
        <v xml:space="preserve"> MARCO</v>
      </c>
      <c r="AE317" s="44">
        <f>COUNTIFS('[1]Tempo parado'!G:G,"&gt;="&amp;MIP_4[[#This Row],[S.B Sitrack]],'[1]Tempo parado'!H:H,"&lt;="&amp;MIP_4[[#This Row],[C.B Sitrack]],'[1]Tempo parado'!A:A,MIP_4[[#This Row],[Placa]])</f>
        <v>0</v>
      </c>
      <c r="AF317" s="36"/>
      <c r="AG317" s="35"/>
      <c r="AH317" s="34"/>
      <c r="AI317" s="34"/>
      <c r="AJ31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1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1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17" s="32" t="str">
        <f>IFERROR(MIP_4[[#This Row],[Tempo parado]]/(MIP_4[[#This Row],[C.B Sitrack]]-MIP_4[[#This Row],[S.B Sitrack]]),"")</f>
        <v/>
      </c>
      <c r="AN317" s="30"/>
      <c r="AO317" s="44">
        <f>IF(AND(MIP_4[Exc]=0,MIP_4[Previsto / Realizado]="Realizado"),MIP_4[Sem],0)</f>
        <v>31</v>
      </c>
      <c r="AP317" s="29">
        <f>IF(AND(MIP_4[Exc]=0,MIP_4[Previsto / Realizado]="Realizado",ISBLANK(MIP_4[[#This Row],[S.B Sitrack]])=FALSE,ISBLANK(MIP_4[[#This Row],[C.B Sitrack]])=FALSE),MIP_4[Sem],0)</f>
        <v>0</v>
      </c>
    </row>
    <row r="318" spans="1:42" ht="15.75" x14ac:dyDescent="0.25">
      <c r="A318" s="44">
        <f>WEEKNUM(MIP_4[[#This Row],[Data]])</f>
        <v>31</v>
      </c>
      <c r="B318" s="45">
        <v>42948</v>
      </c>
      <c r="C318" s="45"/>
      <c r="D318" s="35" t="s">
        <v>3</v>
      </c>
      <c r="E318" s="35" t="s">
        <v>5</v>
      </c>
      <c r="F318" s="35"/>
      <c r="G318" s="44">
        <v>2</v>
      </c>
      <c r="H318" s="44">
        <v>9</v>
      </c>
      <c r="I318" s="44">
        <v>1</v>
      </c>
      <c r="J318" s="44">
        <v>0</v>
      </c>
      <c r="K318" s="44">
        <v>8</v>
      </c>
      <c r="L318" s="43">
        <v>0.625</v>
      </c>
      <c r="M318" s="43">
        <v>0.64583333333333337</v>
      </c>
      <c r="N318" s="43">
        <f>1+18/24/60</f>
        <v>1.0125</v>
      </c>
      <c r="O318" s="43">
        <f>1+48/24/60</f>
        <v>1.0333333333333334</v>
      </c>
      <c r="P318" s="39"/>
      <c r="Q318" s="42"/>
      <c r="R318" s="29">
        <f>MIP_4[[#This Row],[PT-1]]+MIP_4[[#This Row],[PT-2]]*2+MIP_4[[#This Row],[PT-3]]*3+MIP_4[[#This Row],[PT &gt; 3 Pontos]]</f>
        <v>19</v>
      </c>
      <c r="S31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31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318" s="41">
        <f ca="1">MIP_4[[#This Row],[Eficiência]]</f>
        <v>1.3265400916291619</v>
      </c>
      <c r="V31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18" s="39">
        <f>IF(MIP_4[[#This Row],[P.S]]-MIP_4[[#This Row],[P.E]]&lt;0,1+MIP_4[[#This Row],[P.S]]-MIP_4[[#This Row],[P.E]]-1/24,MIP_4[[#This Row],[P.S]]-MIP_4[[#This Row],[P.E]]-1/24)</f>
        <v>0.36666666666666675</v>
      </c>
      <c r="X318" s="39">
        <f ca="1">MIP_4[[#This Row],[PT-1]]*$S$3+MIP_4[[#This Row],[PT-2]]*$T$3+MIP_4[[#This Row],[PT-3]]*$U$3+MIP_4[[#This Row],[PT &gt; 3 Pontos]]*$V$3</f>
        <v>0.43112552977947749</v>
      </c>
      <c r="Y318" s="39">
        <f>MIP_4[[#This Row],[HH disponível]]-MIP_4[[#This Row],[HH AC TOT]]</f>
        <v>0.3249999999999999</v>
      </c>
      <c r="Z318" s="38">
        <f ca="1">MIP_4[[#This Row],[HH Produtivo
Total]]/MIP_4[[#This Row],[HH Trabalhado]]</f>
        <v>1.3265400916291619</v>
      </c>
      <c r="AA318" s="38">
        <f ca="1">MIP_4[[#This Row],[HH Produtivo
Total]]/MIP_4[[#This Row],[HH disponível]]</f>
        <v>1.1757968993985748</v>
      </c>
      <c r="AB318" s="38">
        <f>MIP_4[[#This Row],[HH Trabalhado]]/MIP_4[[#This Row],[HH disponível]]</f>
        <v>0.88636363636363591</v>
      </c>
      <c r="AC318" s="37" t="str">
        <f>LEFT(MIP_4[[#This Row],[Equipe]], SEARCH("/",MIP_4[[#This Row],[Equipe]],1)-1)</f>
        <v xml:space="preserve">EDILTON </v>
      </c>
      <c r="AD318" s="37" t="str">
        <f>RIGHT(MIP_4[[#This Row],[Equipe]], LEN(MIP_4[[#This Row],[Equipe]])-SEARCH("/",MIP_4[[#This Row],[Equipe]],1))</f>
        <v xml:space="preserve"> GECIVALDO</v>
      </c>
      <c r="AE318" s="44">
        <f>COUNTIFS('[1]Tempo parado'!G:G,"&gt;="&amp;MIP_4[[#This Row],[S.B Sitrack]],'[1]Tempo parado'!H:H,"&lt;="&amp;MIP_4[[#This Row],[C.B Sitrack]],'[1]Tempo parado'!A:A,MIP_4[[#This Row],[Placa]])</f>
        <v>0</v>
      </c>
      <c r="AF318" s="36"/>
      <c r="AG318" s="35"/>
      <c r="AH318" s="34"/>
      <c r="AI318" s="34"/>
      <c r="AJ31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1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1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18" s="32" t="str">
        <f>IFERROR(MIP_4[[#This Row],[Tempo parado]]/(MIP_4[[#This Row],[C.B Sitrack]]-MIP_4[[#This Row],[S.B Sitrack]]),"")</f>
        <v/>
      </c>
      <c r="AN318" s="30"/>
      <c r="AO318" s="44">
        <f>IF(AND(MIP_4[Exc]=0,MIP_4[Previsto / Realizado]="Realizado"),MIP_4[Sem],0)</f>
        <v>0</v>
      </c>
      <c r="AP318" s="29">
        <f>IF(AND(MIP_4[Exc]=0,MIP_4[Previsto / Realizado]="Realizado",ISBLANK(MIP_4[[#This Row],[S.B Sitrack]])=FALSE,ISBLANK(MIP_4[[#This Row],[C.B Sitrack]])=FALSE),MIP_4[Sem],0)</f>
        <v>0</v>
      </c>
    </row>
    <row r="319" spans="1:42" ht="15.75" x14ac:dyDescent="0.25">
      <c r="A319" s="44">
        <f>WEEKNUM(MIP_4[[#This Row],[Data]])</f>
        <v>31</v>
      </c>
      <c r="B319" s="45">
        <v>42948</v>
      </c>
      <c r="C319" s="45"/>
      <c r="D319" s="35" t="s">
        <v>3</v>
      </c>
      <c r="E319" s="35" t="s">
        <v>2</v>
      </c>
      <c r="F319" s="35"/>
      <c r="G319" s="44">
        <v>2</v>
      </c>
      <c r="H319" s="44">
        <v>8</v>
      </c>
      <c r="I319" s="44">
        <v>1</v>
      </c>
      <c r="J319" s="44">
        <v>0</v>
      </c>
      <c r="K319" s="44">
        <v>0</v>
      </c>
      <c r="L319" s="43">
        <v>0.62291666666666667</v>
      </c>
      <c r="M319" s="43">
        <v>0.68055555555555547</v>
      </c>
      <c r="N319" s="43">
        <f>1+25/24/60</f>
        <v>1.0173611111111112</v>
      </c>
      <c r="O319" s="43">
        <f>1+50/24/60</f>
        <v>1.0347222222222223</v>
      </c>
      <c r="P319" s="39"/>
      <c r="Q319" s="42" t="s">
        <v>348</v>
      </c>
      <c r="R319" s="29">
        <f>MIP_4[[#This Row],[PT-1]]+MIP_4[[#This Row],[PT-2]]*2+MIP_4[[#This Row],[PT-3]]*3+MIP_4[[#This Row],[PT &gt; 3 Pontos]]</f>
        <v>10</v>
      </c>
      <c r="S31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7.4999999999999956E-2</v>
      </c>
      <c r="T31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7.4999999999999956E-2</v>
      </c>
      <c r="U319" s="41">
        <f ca="1">MIP_4[[#This Row],[Eficiência]]</f>
        <v>0.82712105711849881</v>
      </c>
      <c r="V31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19" s="39">
        <f>IF(MIP_4[[#This Row],[P.S]]-MIP_4[[#This Row],[P.E]]&lt;0,1+MIP_4[[#This Row],[P.S]]-MIP_4[[#This Row],[P.E]]-1/24,MIP_4[[#This Row],[P.S]]-MIP_4[[#This Row],[P.E]]-1/24)</f>
        <v>0.37013888888888896</v>
      </c>
      <c r="X319" s="39">
        <f ca="1">MIP_4[[#This Row],[PT-1]]*$S$3+MIP_4[[#This Row],[PT-2]]*$T$3+MIP_4[[#This Row],[PT-3]]*$U$3+MIP_4[[#This Row],[PT &gt; 3 Pontos]]*$V$3</f>
        <v>0.24411558977455702</v>
      </c>
      <c r="Y319" s="39">
        <f>MIP_4[[#This Row],[HH disponível]]-MIP_4[[#This Row],[HH AC TOT]]</f>
        <v>0.29513888888888901</v>
      </c>
      <c r="Z319" s="38">
        <f ca="1">MIP_4[[#This Row],[HH Produtivo
Total]]/MIP_4[[#This Row],[HH Trabalhado]]</f>
        <v>0.82712105711849881</v>
      </c>
      <c r="AA319" s="38">
        <f ca="1">MIP_4[[#This Row],[HH Produtivo
Total]]/MIP_4[[#This Row],[HH disponível]]</f>
        <v>0.65952429507572619</v>
      </c>
      <c r="AB319" s="38">
        <f>MIP_4[[#This Row],[HH Trabalhado]]/MIP_4[[#This Row],[HH disponível]]</f>
        <v>0.79737335834896828</v>
      </c>
      <c r="AC319" s="37" t="str">
        <f>LEFT(MIP_4[[#This Row],[Equipe]], SEARCH("/",MIP_4[[#This Row],[Equipe]],1)-1)</f>
        <v xml:space="preserve">EDILTON </v>
      </c>
      <c r="AD319" s="37" t="str">
        <f>RIGHT(MIP_4[[#This Row],[Equipe]], LEN(MIP_4[[#This Row],[Equipe]])-SEARCH("/",MIP_4[[#This Row],[Equipe]],1))</f>
        <v xml:space="preserve"> GECIVALDO</v>
      </c>
      <c r="AE319" s="44">
        <f>COUNTIFS('[1]Tempo parado'!G:G,"&gt;="&amp;MIP_4[[#This Row],[S.B Sitrack]],'[1]Tempo parado'!H:H,"&lt;="&amp;MIP_4[[#This Row],[C.B Sitrack]],'[1]Tempo parado'!A:A,MIP_4[[#This Row],[Placa]])</f>
        <v>0</v>
      </c>
      <c r="AF319" s="36"/>
      <c r="AG319" s="35"/>
      <c r="AH319" s="34"/>
      <c r="AI319" s="34"/>
      <c r="AJ31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1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1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19" s="32" t="str">
        <f>IFERROR(MIP_4[[#This Row],[Tempo parado]]/(MIP_4[[#This Row],[C.B Sitrack]]-MIP_4[[#This Row],[S.B Sitrack]]),"")</f>
        <v/>
      </c>
      <c r="AN319" s="30"/>
      <c r="AO319" s="44">
        <f>IF(AND(MIP_4[Exc]=0,MIP_4[Previsto / Realizado]="Realizado"),MIP_4[Sem],0)</f>
        <v>31</v>
      </c>
      <c r="AP319" s="29">
        <f>IF(AND(MIP_4[Exc]=0,MIP_4[Previsto / Realizado]="Realizado",ISBLANK(MIP_4[[#This Row],[S.B Sitrack]])=FALSE,ISBLANK(MIP_4[[#This Row],[C.B Sitrack]])=FALSE),MIP_4[Sem],0)</f>
        <v>0</v>
      </c>
    </row>
    <row r="320" spans="1:42" ht="15.75" x14ac:dyDescent="0.25">
      <c r="A320" s="44">
        <f>WEEKNUM(MIP_4[[#This Row],[Data]])</f>
        <v>31</v>
      </c>
      <c r="B320" s="45">
        <v>42948</v>
      </c>
      <c r="C320" s="45"/>
      <c r="D320" s="35" t="s">
        <v>10</v>
      </c>
      <c r="E320" s="35" t="s">
        <v>5</v>
      </c>
      <c r="F320" s="35"/>
      <c r="G320" s="44">
        <v>2</v>
      </c>
      <c r="H320" s="44">
        <v>6</v>
      </c>
      <c r="I320" s="44">
        <v>2</v>
      </c>
      <c r="J320" s="44">
        <v>0</v>
      </c>
      <c r="K320" s="44">
        <v>0</v>
      </c>
      <c r="L320" s="43">
        <v>0.25</v>
      </c>
      <c r="M320" s="43">
        <v>0.27083333333333331</v>
      </c>
      <c r="N320" s="43">
        <v>0.63750000000000007</v>
      </c>
      <c r="O320" s="43">
        <v>0.65833333333333333</v>
      </c>
      <c r="P320" s="39"/>
      <c r="Q320" s="42"/>
      <c r="R320" s="29">
        <f>MIP_4[[#This Row],[PT-1]]+MIP_4[[#This Row],[PT-2]]*2+MIP_4[[#This Row],[PT-3]]*3+MIP_4[[#This Row],[PT &gt; 3 Pontos]]</f>
        <v>10</v>
      </c>
      <c r="S32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32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320" s="41">
        <f ca="1">MIP_4[[#This Row],[Eficiência]]</f>
        <v>0.7322235383376684</v>
      </c>
      <c r="V32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20" s="39">
        <f>IF(MIP_4[[#This Row],[P.S]]-MIP_4[[#This Row],[P.E]]&lt;0,1+MIP_4[[#This Row],[P.S]]-MIP_4[[#This Row],[P.E]]-1/24,MIP_4[[#This Row],[P.S]]-MIP_4[[#This Row],[P.E]]-1/24)</f>
        <v>0.36666666666666664</v>
      </c>
      <c r="X320" s="39">
        <f ca="1">MIP_4[[#This Row],[PT-1]]*$S$3+MIP_4[[#This Row],[PT-2]]*$T$3+MIP_4[[#This Row],[PT-3]]*$U$3+MIP_4[[#This Row],[PT &gt; 3 Pontos]]*$V$3</f>
        <v>0.23797264995974227</v>
      </c>
      <c r="Y320" s="39">
        <f>MIP_4[[#This Row],[HH disponível]]-MIP_4[[#This Row],[HH AC TOT]]</f>
        <v>0.32500000000000007</v>
      </c>
      <c r="Z320" s="38">
        <f ca="1">MIP_4[[#This Row],[HH Produtivo
Total]]/MIP_4[[#This Row],[HH Trabalhado]]</f>
        <v>0.7322235383376684</v>
      </c>
      <c r="AA320" s="38">
        <f ca="1">MIP_4[[#This Row],[HH Produtivo
Total]]/MIP_4[[#This Row],[HH disponível]]</f>
        <v>0.64901631807202442</v>
      </c>
      <c r="AB320" s="38">
        <f>MIP_4[[#This Row],[HH Trabalhado]]/MIP_4[[#This Row],[HH disponível]]</f>
        <v>0.88636363636363658</v>
      </c>
      <c r="AC320" s="37" t="str">
        <f>LEFT(MIP_4[[#This Row],[Equipe]], SEARCH("/",MIP_4[[#This Row],[Equipe]],1)-1)</f>
        <v xml:space="preserve">JOILSON </v>
      </c>
      <c r="AD320" s="37" t="str">
        <f>RIGHT(MIP_4[[#This Row],[Equipe]], LEN(MIP_4[[#This Row],[Equipe]])-SEARCH("/",MIP_4[[#This Row],[Equipe]],1))</f>
        <v xml:space="preserve"> VALDEI</v>
      </c>
      <c r="AE320" s="44">
        <f>COUNTIFS('[1]Tempo parado'!G:G,"&gt;="&amp;MIP_4[[#This Row],[S.B Sitrack]],'[1]Tempo parado'!H:H,"&lt;="&amp;MIP_4[[#This Row],[C.B Sitrack]],'[1]Tempo parado'!A:A,MIP_4[[#This Row],[Placa]])</f>
        <v>0</v>
      </c>
      <c r="AF320" s="36"/>
      <c r="AG320" s="35"/>
      <c r="AH320" s="34"/>
      <c r="AI320" s="34"/>
      <c r="AJ32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2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2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20" s="32" t="str">
        <f>IFERROR(MIP_4[[#This Row],[Tempo parado]]/(MIP_4[[#This Row],[C.B Sitrack]]-MIP_4[[#This Row],[S.B Sitrack]]),"")</f>
        <v/>
      </c>
      <c r="AN320" s="30"/>
      <c r="AO320" s="44">
        <f>IF(AND(MIP_4[Exc]=0,MIP_4[Previsto / Realizado]="Realizado"),MIP_4[Sem],0)</f>
        <v>0</v>
      </c>
      <c r="AP320" s="29">
        <f>IF(AND(MIP_4[Exc]=0,MIP_4[Previsto / Realizado]="Realizado",ISBLANK(MIP_4[[#This Row],[S.B Sitrack]])=FALSE,ISBLANK(MIP_4[[#This Row],[C.B Sitrack]])=FALSE),MIP_4[Sem],0)</f>
        <v>0</v>
      </c>
    </row>
    <row r="321" spans="1:42" ht="15.75" x14ac:dyDescent="0.25">
      <c r="A321" s="44">
        <f>WEEKNUM(MIP_4[[#This Row],[Data]])</f>
        <v>31</v>
      </c>
      <c r="B321" s="45">
        <v>42948</v>
      </c>
      <c r="C321" s="45"/>
      <c r="D321" s="35" t="s">
        <v>10</v>
      </c>
      <c r="E321" s="35" t="s">
        <v>2</v>
      </c>
      <c r="F321" s="35"/>
      <c r="G321" s="44">
        <v>2</v>
      </c>
      <c r="H321" s="44">
        <v>6</v>
      </c>
      <c r="I321" s="44">
        <v>2</v>
      </c>
      <c r="J321" s="44">
        <v>0</v>
      </c>
      <c r="K321" s="44">
        <v>0</v>
      </c>
      <c r="L321" s="43">
        <v>0.25138888888888888</v>
      </c>
      <c r="M321" s="43">
        <v>0.28680555555555554</v>
      </c>
      <c r="N321" s="43">
        <v>0.61805555555555558</v>
      </c>
      <c r="O321" s="43">
        <v>0.66319444444444442</v>
      </c>
      <c r="P321" s="39"/>
      <c r="Q321" s="42"/>
      <c r="R321" s="29">
        <f>MIP_4[[#This Row],[PT-1]]+MIP_4[[#This Row],[PT-2]]*2+MIP_4[[#This Row],[PT-3]]*3+MIP_4[[#This Row],[PT &gt; 3 Pontos]]</f>
        <v>10</v>
      </c>
      <c r="S32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8.0555555555555491E-2</v>
      </c>
      <c r="T32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8.0555555555555491E-2</v>
      </c>
      <c r="U321" s="41">
        <f ca="1">MIP_4[[#This Row],[Eficiência]]</f>
        <v>0.8217760574149372</v>
      </c>
      <c r="V32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21" s="39">
        <f>IF(MIP_4[[#This Row],[P.S]]-MIP_4[[#This Row],[P.E]]&lt;0,1+MIP_4[[#This Row],[P.S]]-MIP_4[[#This Row],[P.E]]-1/24,MIP_4[[#This Row],[P.S]]-MIP_4[[#This Row],[P.E]]-1/24)</f>
        <v>0.37013888888888885</v>
      </c>
      <c r="X321" s="39">
        <f ca="1">MIP_4[[#This Row],[PT-1]]*$S$3+MIP_4[[#This Row],[PT-2]]*$T$3+MIP_4[[#This Row],[PT-3]]*$U$3+MIP_4[[#This Row],[PT &gt; 3 Pontos]]*$V$3</f>
        <v>0.23797264995974227</v>
      </c>
      <c r="Y321" s="39">
        <f>MIP_4[[#This Row],[HH disponível]]-MIP_4[[#This Row],[HH AC TOT]]</f>
        <v>0.28958333333333336</v>
      </c>
      <c r="Z321" s="38">
        <f ca="1">MIP_4[[#This Row],[HH Produtivo
Total]]/MIP_4[[#This Row],[HH Trabalhado]]</f>
        <v>0.8217760574149372</v>
      </c>
      <c r="AA321" s="38">
        <f ca="1">MIP_4[[#This Row],[HH Produtivo
Total]]/MIP_4[[#This Row],[HH disponível]]</f>
        <v>0.64292798488185532</v>
      </c>
      <c r="AB321" s="38">
        <f>MIP_4[[#This Row],[HH Trabalhado]]/MIP_4[[#This Row],[HH disponível]]</f>
        <v>0.7823639774859289</v>
      </c>
      <c r="AC321" s="37" t="str">
        <f>LEFT(MIP_4[[#This Row],[Equipe]], SEARCH("/",MIP_4[[#This Row],[Equipe]],1)-1)</f>
        <v xml:space="preserve">JOILSON </v>
      </c>
      <c r="AD321" s="37" t="str">
        <f>RIGHT(MIP_4[[#This Row],[Equipe]], LEN(MIP_4[[#This Row],[Equipe]])-SEARCH("/",MIP_4[[#This Row],[Equipe]],1))</f>
        <v xml:space="preserve"> VALDEI</v>
      </c>
      <c r="AE321" s="44">
        <f>COUNTIFS('[1]Tempo parado'!G:G,"&gt;="&amp;MIP_4[[#This Row],[S.B Sitrack]],'[1]Tempo parado'!H:H,"&lt;="&amp;MIP_4[[#This Row],[C.B Sitrack]],'[1]Tempo parado'!A:A,MIP_4[[#This Row],[Placa]])</f>
        <v>0</v>
      </c>
      <c r="AF321" s="36"/>
      <c r="AG321" s="35"/>
      <c r="AH321" s="34"/>
      <c r="AI321" s="34"/>
      <c r="AJ32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2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2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21" s="32" t="str">
        <f>IFERROR(MIP_4[[#This Row],[Tempo parado]]/(MIP_4[[#This Row],[C.B Sitrack]]-MIP_4[[#This Row],[S.B Sitrack]]),"")</f>
        <v/>
      </c>
      <c r="AN321" s="30"/>
      <c r="AO321" s="44">
        <f>IF(AND(MIP_4[Exc]=0,MIP_4[Previsto / Realizado]="Realizado"),MIP_4[Sem],0)</f>
        <v>31</v>
      </c>
      <c r="AP321" s="29">
        <f>IF(AND(MIP_4[Exc]=0,MIP_4[Previsto / Realizado]="Realizado",ISBLANK(MIP_4[[#This Row],[S.B Sitrack]])=FALSE,ISBLANK(MIP_4[[#This Row],[C.B Sitrack]])=FALSE),MIP_4[Sem],0)</f>
        <v>0</v>
      </c>
    </row>
    <row r="322" spans="1:42" ht="15.75" x14ac:dyDescent="0.25">
      <c r="A322" s="44">
        <f>WEEKNUM(MIP_4[[#This Row],[Data]])</f>
        <v>31</v>
      </c>
      <c r="B322" s="45">
        <v>42949</v>
      </c>
      <c r="C322" s="45"/>
      <c r="D322" s="35" t="s">
        <v>7</v>
      </c>
      <c r="E322" s="35" t="s">
        <v>5</v>
      </c>
      <c r="F322" s="35"/>
      <c r="G322" s="44">
        <v>2</v>
      </c>
      <c r="H322" s="44">
        <v>6</v>
      </c>
      <c r="I322" s="44">
        <v>1</v>
      </c>
      <c r="J322" s="44">
        <v>0</v>
      </c>
      <c r="K322" s="44">
        <v>0</v>
      </c>
      <c r="L322" s="43">
        <v>0.625</v>
      </c>
      <c r="M322" s="43">
        <v>0.64583333333333337</v>
      </c>
      <c r="N322" s="43">
        <f>1+18/24/60</f>
        <v>1.0125</v>
      </c>
      <c r="O322" s="43">
        <f>1+48/24/60</f>
        <v>1.0333333333333334</v>
      </c>
      <c r="P322" s="39"/>
      <c r="Q322" s="42"/>
      <c r="R322" s="29">
        <f>MIP_4[[#This Row],[PT-1]]+MIP_4[[#This Row],[PT-2]]*2+MIP_4[[#This Row],[PT-3]]*3+MIP_4[[#This Row],[PT &gt; 3 Pontos]]</f>
        <v>8</v>
      </c>
      <c r="S32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32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322" s="41">
        <f ca="1">MIP_4[[#This Row],[Eficiência]]</f>
        <v>0.59711964263594686</v>
      </c>
      <c r="V32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22" s="39">
        <f>IF(MIP_4[[#This Row],[P.S]]-MIP_4[[#This Row],[P.E]]&lt;0,1+MIP_4[[#This Row],[P.S]]-MIP_4[[#This Row],[P.E]]-1/24,MIP_4[[#This Row],[P.S]]-MIP_4[[#This Row],[P.E]]-1/24)</f>
        <v>0.36666666666666675</v>
      </c>
      <c r="X322" s="39">
        <f ca="1">MIP_4[[#This Row],[PT-1]]*$S$3+MIP_4[[#This Row],[PT-2]]*$T$3+MIP_4[[#This Row],[PT-3]]*$U$3+MIP_4[[#This Row],[PT &gt; 3 Pontos]]*$V$3</f>
        <v>0.19406388385668266</v>
      </c>
      <c r="Y322" s="39">
        <f>MIP_4[[#This Row],[HH disponível]]-MIP_4[[#This Row],[HH AC TOT]]</f>
        <v>0.3249999999999999</v>
      </c>
      <c r="Z322" s="38">
        <f ca="1">MIP_4[[#This Row],[HH Produtivo
Total]]/MIP_4[[#This Row],[HH Trabalhado]]</f>
        <v>0.59711964263594686</v>
      </c>
      <c r="AA322" s="38">
        <f ca="1">MIP_4[[#This Row],[HH Produtivo
Total]]/MIP_4[[#This Row],[HH disponível]]</f>
        <v>0.52926513779095263</v>
      </c>
      <c r="AB322" s="38">
        <f>MIP_4[[#This Row],[HH Trabalhado]]/MIP_4[[#This Row],[HH disponível]]</f>
        <v>0.88636363636363591</v>
      </c>
      <c r="AC322" s="37" t="str">
        <f>LEFT(MIP_4[[#This Row],[Equipe]], SEARCH("/",MIP_4[[#This Row],[Equipe]],1)-1)</f>
        <v xml:space="preserve">ANDERSON </v>
      </c>
      <c r="AD322" s="37" t="str">
        <f>RIGHT(MIP_4[[#This Row],[Equipe]], LEN(MIP_4[[#This Row],[Equipe]])-SEARCH("/",MIP_4[[#This Row],[Equipe]],1))</f>
        <v xml:space="preserve"> MARCO</v>
      </c>
      <c r="AE322" s="44">
        <f>COUNTIFS('[1]Tempo parado'!G:G,"&gt;="&amp;MIP_4[[#This Row],[S.B Sitrack]],'[1]Tempo parado'!H:H,"&lt;="&amp;MIP_4[[#This Row],[C.B Sitrack]],'[1]Tempo parado'!A:A,MIP_4[[#This Row],[Placa]])</f>
        <v>0</v>
      </c>
      <c r="AF322" s="36"/>
      <c r="AG322" s="35"/>
      <c r="AH322" s="34"/>
      <c r="AI322" s="34"/>
      <c r="AJ32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2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2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22" s="32" t="str">
        <f>IFERROR(MIP_4[[#This Row],[Tempo parado]]/(MIP_4[[#This Row],[C.B Sitrack]]-MIP_4[[#This Row],[S.B Sitrack]]),"")</f>
        <v/>
      </c>
      <c r="AN322" s="30"/>
      <c r="AO322" s="44">
        <f>IF(AND(MIP_4[Exc]=0,MIP_4[Previsto / Realizado]="Realizado"),MIP_4[Sem],0)</f>
        <v>0</v>
      </c>
      <c r="AP322" s="29">
        <f>IF(AND(MIP_4[Exc]=0,MIP_4[Previsto / Realizado]="Realizado",ISBLANK(MIP_4[[#This Row],[S.B Sitrack]])=FALSE,ISBLANK(MIP_4[[#This Row],[C.B Sitrack]])=FALSE),MIP_4[Sem],0)</f>
        <v>0</v>
      </c>
    </row>
    <row r="323" spans="1:42" ht="15.75" x14ac:dyDescent="0.25">
      <c r="A323" s="44">
        <f>WEEKNUM(MIP_4[[#This Row],[Data]])</f>
        <v>31</v>
      </c>
      <c r="B323" s="45">
        <v>42949</v>
      </c>
      <c r="C323" s="45"/>
      <c r="D323" s="35" t="s">
        <v>7</v>
      </c>
      <c r="E323" s="35" t="s">
        <v>2</v>
      </c>
      <c r="F323" s="35"/>
      <c r="G323" s="44">
        <v>2</v>
      </c>
      <c r="H323" s="44">
        <v>6</v>
      </c>
      <c r="I323" s="44">
        <v>1</v>
      </c>
      <c r="J323" s="44">
        <v>0</v>
      </c>
      <c r="K323" s="44">
        <v>4</v>
      </c>
      <c r="L323" s="43">
        <v>0.63888888888888895</v>
      </c>
      <c r="M323" s="43">
        <v>0.67013888888888884</v>
      </c>
      <c r="N323" s="43">
        <f>1+22/24/60</f>
        <v>1.0152777777777777</v>
      </c>
      <c r="O323" s="43">
        <f>1+48/24/60</f>
        <v>1.0333333333333334</v>
      </c>
      <c r="P323" s="39"/>
      <c r="Q323" s="42" t="s">
        <v>347</v>
      </c>
      <c r="R323" s="29">
        <f>MIP_4[[#This Row],[PT-1]]+MIP_4[[#This Row],[PT-2]]*2+MIP_4[[#This Row],[PT-3]]*3+MIP_4[[#This Row],[PT &gt; 3 Pontos]]</f>
        <v>12</v>
      </c>
      <c r="S32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4.9305555555555602E-2</v>
      </c>
      <c r="T32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4.9305555555555602E-2</v>
      </c>
      <c r="U323" s="41">
        <f ca="1">MIP_4[[#This Row],[Eficiência]]</f>
        <v>0.90636278129686743</v>
      </c>
      <c r="V32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23" s="39">
        <f>IF(MIP_4[[#This Row],[P.S]]-MIP_4[[#This Row],[P.E]]&lt;0,1+MIP_4[[#This Row],[P.S]]-MIP_4[[#This Row],[P.E]]-1/24,MIP_4[[#This Row],[P.S]]-MIP_4[[#This Row],[P.E]]-1/24)</f>
        <v>0.3527777777777778</v>
      </c>
      <c r="X323" s="39">
        <f ca="1">MIP_4[[#This Row],[PT-1]]*$S$3+MIP_4[[#This Row],[PT-2]]*$T$3+MIP_4[[#This Row],[PT-3]]*$U$3+MIP_4[[#This Row],[PT &gt; 3 Pontos]]*$V$3</f>
        <v>0.27505592737967433</v>
      </c>
      <c r="Y323" s="39">
        <f>MIP_4[[#This Row],[HH disponível]]-MIP_4[[#This Row],[HH AC TOT]]</f>
        <v>0.3034722222222222</v>
      </c>
      <c r="Z323" s="38">
        <f ca="1">MIP_4[[#This Row],[HH Produtivo
Total]]/MIP_4[[#This Row],[HH Trabalhado]]</f>
        <v>0.90636278129686743</v>
      </c>
      <c r="AA323" s="38">
        <f ca="1">MIP_4[[#This Row],[HH Produtivo
Total]]/MIP_4[[#This Row],[HH disponível]]</f>
        <v>0.77968609335970673</v>
      </c>
      <c r="AB323" s="38">
        <f>MIP_4[[#This Row],[HH Trabalhado]]/MIP_4[[#This Row],[HH disponível]]</f>
        <v>0.86023622047244086</v>
      </c>
      <c r="AC323" s="37" t="str">
        <f>LEFT(MIP_4[[#This Row],[Equipe]], SEARCH("/",MIP_4[[#This Row],[Equipe]],1)-1)</f>
        <v xml:space="preserve">ANDERSON </v>
      </c>
      <c r="AD323" s="37" t="str">
        <f>RIGHT(MIP_4[[#This Row],[Equipe]], LEN(MIP_4[[#This Row],[Equipe]])-SEARCH("/",MIP_4[[#This Row],[Equipe]],1))</f>
        <v xml:space="preserve"> MARCO</v>
      </c>
      <c r="AE323" s="44">
        <f>COUNTIFS('[1]Tempo parado'!G:G,"&gt;="&amp;MIP_4[[#This Row],[S.B Sitrack]],'[1]Tempo parado'!H:H,"&lt;="&amp;MIP_4[[#This Row],[C.B Sitrack]],'[1]Tempo parado'!A:A,MIP_4[[#This Row],[Placa]])</f>
        <v>0</v>
      </c>
      <c r="AF323" s="36"/>
      <c r="AG323" s="35"/>
      <c r="AH323" s="34"/>
      <c r="AI323" s="34"/>
      <c r="AJ32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2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2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23" s="32" t="str">
        <f>IFERROR(MIP_4[[#This Row],[Tempo parado]]/(MIP_4[[#This Row],[C.B Sitrack]]-MIP_4[[#This Row],[S.B Sitrack]]),"")</f>
        <v/>
      </c>
      <c r="AN323" s="30"/>
      <c r="AO323" s="44">
        <f>IF(AND(MIP_4[Exc]=0,MIP_4[Previsto / Realizado]="Realizado"),MIP_4[Sem],0)</f>
        <v>31</v>
      </c>
      <c r="AP323" s="29">
        <f>IF(AND(MIP_4[Exc]=0,MIP_4[Previsto / Realizado]="Realizado",ISBLANK(MIP_4[[#This Row],[S.B Sitrack]])=FALSE,ISBLANK(MIP_4[[#This Row],[C.B Sitrack]])=FALSE),MIP_4[Sem],0)</f>
        <v>0</v>
      </c>
    </row>
    <row r="324" spans="1:42" ht="15.75" x14ac:dyDescent="0.25">
      <c r="A324" s="44">
        <f>WEEKNUM(MIP_4[[#This Row],[Data]])</f>
        <v>31</v>
      </c>
      <c r="B324" s="45">
        <v>42949</v>
      </c>
      <c r="C324" s="45"/>
      <c r="D324" s="35" t="s">
        <v>3</v>
      </c>
      <c r="E324" s="35" t="s">
        <v>5</v>
      </c>
      <c r="F324" s="35"/>
      <c r="G324" s="44">
        <v>2</v>
      </c>
      <c r="H324" s="44">
        <v>3</v>
      </c>
      <c r="I324" s="44">
        <v>2</v>
      </c>
      <c r="J324" s="44">
        <v>1</v>
      </c>
      <c r="K324" s="44">
        <v>8</v>
      </c>
      <c r="L324" s="43">
        <v>0.625</v>
      </c>
      <c r="M324" s="43">
        <v>0.64583333333333337</v>
      </c>
      <c r="N324" s="43">
        <f>1+18/24/60</f>
        <v>1.0125</v>
      </c>
      <c r="O324" s="43">
        <f>1+48/24/60</f>
        <v>1.0333333333333334</v>
      </c>
      <c r="P324" s="39"/>
      <c r="Q324" s="42"/>
      <c r="R324" s="29">
        <f>MIP_4[[#This Row],[PT-1]]+MIP_4[[#This Row],[PT-2]]*2+MIP_4[[#This Row],[PT-3]]*3+MIP_4[[#This Row],[PT &gt; 3 Pontos]]</f>
        <v>18</v>
      </c>
      <c r="S32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32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324" s="41">
        <f ca="1">MIP_4[[#This Row],[Eficiência]]</f>
        <v>1.1928334073110649</v>
      </c>
      <c r="V32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24" s="39">
        <f>IF(MIP_4[[#This Row],[P.S]]-MIP_4[[#This Row],[P.E]]&lt;0,1+MIP_4[[#This Row],[P.S]]-MIP_4[[#This Row],[P.E]]-1/24,MIP_4[[#This Row],[P.S]]-MIP_4[[#This Row],[P.E]]-1/24)</f>
        <v>0.36666666666666675</v>
      </c>
      <c r="X324" s="39">
        <f ca="1">MIP_4[[#This Row],[PT-1]]*$S$3+MIP_4[[#This Row],[PT-2]]*$T$3+MIP_4[[#This Row],[PT-3]]*$U$3+MIP_4[[#This Row],[PT &gt; 3 Pontos]]*$V$3</f>
        <v>0.38767085737609597</v>
      </c>
      <c r="Y324" s="39">
        <f>MIP_4[[#This Row],[HH disponível]]-MIP_4[[#This Row],[HH AC TOT]]</f>
        <v>0.3249999999999999</v>
      </c>
      <c r="Z324" s="38">
        <f ca="1">MIP_4[[#This Row],[HH Produtivo
Total]]/MIP_4[[#This Row],[HH Trabalhado]]</f>
        <v>1.1928334073110649</v>
      </c>
      <c r="AA324" s="38">
        <f ca="1">MIP_4[[#This Row],[HH Produtivo
Total]]/MIP_4[[#This Row],[HH disponível]]</f>
        <v>1.0572841564802615</v>
      </c>
      <c r="AB324" s="38">
        <f>MIP_4[[#This Row],[HH Trabalhado]]/MIP_4[[#This Row],[HH disponível]]</f>
        <v>0.88636363636363591</v>
      </c>
      <c r="AC324" s="37" t="str">
        <f>LEFT(MIP_4[[#This Row],[Equipe]], SEARCH("/",MIP_4[[#This Row],[Equipe]],1)-1)</f>
        <v xml:space="preserve">EDILTON </v>
      </c>
      <c r="AD324" s="37" t="str">
        <f>RIGHT(MIP_4[[#This Row],[Equipe]], LEN(MIP_4[[#This Row],[Equipe]])-SEARCH("/",MIP_4[[#This Row],[Equipe]],1))</f>
        <v xml:space="preserve"> GECIVALDO</v>
      </c>
      <c r="AE324" s="44">
        <f>COUNTIFS('[1]Tempo parado'!G:G,"&gt;="&amp;MIP_4[[#This Row],[S.B Sitrack]],'[1]Tempo parado'!H:H,"&lt;="&amp;MIP_4[[#This Row],[C.B Sitrack]],'[1]Tempo parado'!A:A,MIP_4[[#This Row],[Placa]])</f>
        <v>0</v>
      </c>
      <c r="AF324" s="36"/>
      <c r="AG324" s="35"/>
      <c r="AH324" s="34"/>
      <c r="AI324" s="34"/>
      <c r="AJ32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2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2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24" s="32" t="str">
        <f>IFERROR(MIP_4[[#This Row],[Tempo parado]]/(MIP_4[[#This Row],[C.B Sitrack]]-MIP_4[[#This Row],[S.B Sitrack]]),"")</f>
        <v/>
      </c>
      <c r="AN324" s="30"/>
      <c r="AO324" s="44">
        <f>IF(AND(MIP_4[Exc]=0,MIP_4[Previsto / Realizado]="Realizado"),MIP_4[Sem],0)</f>
        <v>0</v>
      </c>
      <c r="AP324" s="29">
        <f>IF(AND(MIP_4[Exc]=0,MIP_4[Previsto / Realizado]="Realizado",ISBLANK(MIP_4[[#This Row],[S.B Sitrack]])=FALSE,ISBLANK(MIP_4[[#This Row],[C.B Sitrack]])=FALSE),MIP_4[Sem],0)</f>
        <v>0</v>
      </c>
    </row>
    <row r="325" spans="1:42" ht="15.75" x14ac:dyDescent="0.25">
      <c r="A325" s="44">
        <f>WEEKNUM(MIP_4[[#This Row],[Data]])</f>
        <v>31</v>
      </c>
      <c r="B325" s="45">
        <v>42949</v>
      </c>
      <c r="C325" s="45"/>
      <c r="D325" s="35" t="s">
        <v>3</v>
      </c>
      <c r="E325" s="35" t="s">
        <v>2</v>
      </c>
      <c r="F325" s="35"/>
      <c r="G325" s="44">
        <v>2</v>
      </c>
      <c r="H325" s="44">
        <v>3</v>
      </c>
      <c r="I325" s="44">
        <v>2</v>
      </c>
      <c r="J325" s="44">
        <v>1</v>
      </c>
      <c r="K325" s="44">
        <v>4</v>
      </c>
      <c r="L325" s="43">
        <v>0.63194444444444442</v>
      </c>
      <c r="M325" s="43">
        <v>0.67013888888888884</v>
      </c>
      <c r="N325" s="43">
        <f>1+22/24/60</f>
        <v>1.0152777777777777</v>
      </c>
      <c r="O325" s="43">
        <f>1+48/24/60</f>
        <v>1.0333333333333334</v>
      </c>
      <c r="P325" s="39"/>
      <c r="Q325" s="42"/>
      <c r="R325" s="29">
        <f>MIP_4[[#This Row],[PT-1]]+MIP_4[[#This Row],[PT-2]]*2+MIP_4[[#This Row],[PT-3]]*3+MIP_4[[#This Row],[PT &gt; 3 Pontos]]</f>
        <v>14</v>
      </c>
      <c r="S32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5.6250000000000133E-2</v>
      </c>
      <c r="T32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5.6250000000000133E-2</v>
      </c>
      <c r="U325" s="41">
        <f ca="1">MIP_4[[#This Row],[Eficiência]]</f>
        <v>1.0105663431315111</v>
      </c>
      <c r="V32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25" s="39">
        <f>IF(MIP_4[[#This Row],[P.S]]-MIP_4[[#This Row],[P.E]]&lt;0,1+MIP_4[[#This Row],[P.S]]-MIP_4[[#This Row],[P.E]]-1/24,MIP_4[[#This Row],[P.S]]-MIP_4[[#This Row],[P.E]]-1/24)</f>
        <v>0.35972222222222233</v>
      </c>
      <c r="X325" s="39">
        <f ca="1">MIP_4[[#This Row],[PT-1]]*$S$3+MIP_4[[#This Row],[PT-2]]*$T$3+MIP_4[[#This Row],[PT-3]]*$U$3+MIP_4[[#This Row],[PT &gt; 3 Pontos]]*$V$3</f>
        <v>0.30667881385310436</v>
      </c>
      <c r="Y325" s="39">
        <f>MIP_4[[#This Row],[HH disponível]]-MIP_4[[#This Row],[HH AC TOT]]</f>
        <v>0.3034722222222222</v>
      </c>
      <c r="Z325" s="38">
        <f ca="1">MIP_4[[#This Row],[HH Produtivo
Total]]/MIP_4[[#This Row],[HH Trabalhado]]</f>
        <v>1.0105663431315111</v>
      </c>
      <c r="AA325" s="38">
        <f ca="1">MIP_4[[#This Row],[HH Produtivo
Total]]/MIP_4[[#This Row],[HH disponível]]</f>
        <v>0.85254342074994238</v>
      </c>
      <c r="AB325" s="38">
        <f>MIP_4[[#This Row],[HH Trabalhado]]/MIP_4[[#This Row],[HH disponível]]</f>
        <v>0.84362934362934328</v>
      </c>
      <c r="AC325" s="37" t="str">
        <f>LEFT(MIP_4[[#This Row],[Equipe]], SEARCH("/",MIP_4[[#This Row],[Equipe]],1)-1)</f>
        <v xml:space="preserve">EDILTON </v>
      </c>
      <c r="AD325" s="37" t="str">
        <f>RIGHT(MIP_4[[#This Row],[Equipe]], LEN(MIP_4[[#This Row],[Equipe]])-SEARCH("/",MIP_4[[#This Row],[Equipe]],1))</f>
        <v xml:space="preserve"> GECIVALDO</v>
      </c>
      <c r="AE325" s="44">
        <f>COUNTIFS('[1]Tempo parado'!G:G,"&gt;="&amp;MIP_4[[#This Row],[S.B Sitrack]],'[1]Tempo parado'!H:H,"&lt;="&amp;MIP_4[[#This Row],[C.B Sitrack]],'[1]Tempo parado'!A:A,MIP_4[[#This Row],[Placa]])</f>
        <v>0</v>
      </c>
      <c r="AF325" s="36"/>
      <c r="AG325" s="35"/>
      <c r="AH325" s="34"/>
      <c r="AI325" s="34"/>
      <c r="AJ32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2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2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25" s="32" t="str">
        <f>IFERROR(MIP_4[[#This Row],[Tempo parado]]/(MIP_4[[#This Row],[C.B Sitrack]]-MIP_4[[#This Row],[S.B Sitrack]]),"")</f>
        <v/>
      </c>
      <c r="AN325" s="30"/>
      <c r="AO325" s="44">
        <f>IF(AND(MIP_4[Exc]=0,MIP_4[Previsto / Realizado]="Realizado"),MIP_4[Sem],0)</f>
        <v>31</v>
      </c>
      <c r="AP325" s="29">
        <f>IF(AND(MIP_4[Exc]=0,MIP_4[Previsto / Realizado]="Realizado",ISBLANK(MIP_4[[#This Row],[S.B Sitrack]])=FALSE,ISBLANK(MIP_4[[#This Row],[C.B Sitrack]])=FALSE),MIP_4[Sem],0)</f>
        <v>0</v>
      </c>
    </row>
    <row r="326" spans="1:42" ht="15.75" x14ac:dyDescent="0.25">
      <c r="A326" s="44">
        <f>WEEKNUM(MIP_4[[#This Row],[Data]])</f>
        <v>31</v>
      </c>
      <c r="B326" s="45">
        <v>42949</v>
      </c>
      <c r="C326" s="45"/>
      <c r="D326" s="35" t="s">
        <v>19</v>
      </c>
      <c r="E326" s="35" t="s">
        <v>5</v>
      </c>
      <c r="F326" s="35"/>
      <c r="G326" s="44">
        <v>2</v>
      </c>
      <c r="H326" s="44">
        <v>0</v>
      </c>
      <c r="I326" s="44">
        <v>0</v>
      </c>
      <c r="J326" s="44">
        <v>1</v>
      </c>
      <c r="K326" s="44">
        <v>17</v>
      </c>
      <c r="L326" s="43">
        <v>0.625</v>
      </c>
      <c r="M326" s="43">
        <v>0.64583333333333337</v>
      </c>
      <c r="N326" s="43">
        <f>1+18/24/60</f>
        <v>1.0125</v>
      </c>
      <c r="O326" s="43">
        <f>1+48/24/60</f>
        <v>1.0333333333333334</v>
      </c>
      <c r="P326" s="39"/>
      <c r="Q326" s="42"/>
      <c r="R326" s="29">
        <f>MIP_4[[#This Row],[PT-1]]+MIP_4[[#This Row],[PT-2]]*2+MIP_4[[#This Row],[PT-3]]*3+MIP_4[[#This Row],[PT &gt; 3 Pontos]]</f>
        <v>20</v>
      </c>
      <c r="S32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32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326" s="41">
        <f ca="1">MIP_4[[#This Row],[Eficiência]]</f>
        <v>1.2523318899073741</v>
      </c>
      <c r="V32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26" s="39">
        <f>IF(MIP_4[[#This Row],[P.S]]-MIP_4[[#This Row],[P.E]]&lt;0,1+MIP_4[[#This Row],[P.S]]-MIP_4[[#This Row],[P.E]]-1/24,MIP_4[[#This Row],[P.S]]-MIP_4[[#This Row],[P.E]]-1/24)</f>
        <v>0.36666666666666675</v>
      </c>
      <c r="X326" s="39">
        <f ca="1">MIP_4[[#This Row],[PT-1]]*$S$3+MIP_4[[#This Row],[PT-2]]*$T$3+MIP_4[[#This Row],[PT-3]]*$U$3+MIP_4[[#This Row],[PT &gt; 3 Pontos]]*$V$3</f>
        <v>0.40700786421989643</v>
      </c>
      <c r="Y326" s="39">
        <f>MIP_4[[#This Row],[HH disponível]]-MIP_4[[#This Row],[HH AC TOT]]</f>
        <v>0.3249999999999999</v>
      </c>
      <c r="Z326" s="38">
        <f ca="1">MIP_4[[#This Row],[HH Produtivo
Total]]/MIP_4[[#This Row],[HH Trabalhado]]</f>
        <v>1.2523318899073741</v>
      </c>
      <c r="AA326" s="38">
        <f ca="1">MIP_4[[#This Row],[HH Produtivo
Total]]/MIP_4[[#This Row],[HH disponível]]</f>
        <v>1.1100214478724446</v>
      </c>
      <c r="AB326" s="38">
        <f>MIP_4[[#This Row],[HH Trabalhado]]/MIP_4[[#This Row],[HH disponível]]</f>
        <v>0.88636363636363591</v>
      </c>
      <c r="AC326" s="37" t="str">
        <f>LEFT(MIP_4[[#This Row],[Equipe]], SEARCH("/",MIP_4[[#This Row],[Equipe]],1)-1)</f>
        <v xml:space="preserve">ADEMÁRIO </v>
      </c>
      <c r="AD326" s="37" t="str">
        <f>RIGHT(MIP_4[[#This Row],[Equipe]], LEN(MIP_4[[#This Row],[Equipe]])-SEARCH("/",MIP_4[[#This Row],[Equipe]],1))</f>
        <v xml:space="preserve"> RONALDO</v>
      </c>
      <c r="AE326" s="44">
        <f>COUNTIFS('[1]Tempo parado'!G:G,"&gt;="&amp;MIP_4[[#This Row],[S.B Sitrack]],'[1]Tempo parado'!H:H,"&lt;="&amp;MIP_4[[#This Row],[C.B Sitrack]],'[1]Tempo parado'!A:A,MIP_4[[#This Row],[Placa]])</f>
        <v>0</v>
      </c>
      <c r="AF326" s="36"/>
      <c r="AG326" s="35"/>
      <c r="AH326" s="34"/>
      <c r="AI326" s="34"/>
      <c r="AJ32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2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2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26" s="32" t="str">
        <f>IFERROR(MIP_4[[#This Row],[Tempo parado]]/(MIP_4[[#This Row],[C.B Sitrack]]-MIP_4[[#This Row],[S.B Sitrack]]),"")</f>
        <v/>
      </c>
      <c r="AN326" s="30"/>
      <c r="AO326" s="44">
        <f>IF(AND(MIP_4[Exc]=0,MIP_4[Previsto / Realizado]="Realizado"),MIP_4[Sem],0)</f>
        <v>0</v>
      </c>
      <c r="AP326" s="29">
        <f>IF(AND(MIP_4[Exc]=0,MIP_4[Previsto / Realizado]="Realizado",ISBLANK(MIP_4[[#This Row],[S.B Sitrack]])=FALSE,ISBLANK(MIP_4[[#This Row],[C.B Sitrack]])=FALSE),MIP_4[Sem],0)</f>
        <v>0</v>
      </c>
    </row>
    <row r="327" spans="1:42" ht="15.75" x14ac:dyDescent="0.25">
      <c r="A327" s="44">
        <f>WEEKNUM(MIP_4[[#This Row],[Data]])</f>
        <v>31</v>
      </c>
      <c r="B327" s="45">
        <v>42949</v>
      </c>
      <c r="C327" s="45"/>
      <c r="D327" s="35" t="s">
        <v>19</v>
      </c>
      <c r="E327" s="35" t="s">
        <v>2</v>
      </c>
      <c r="F327" s="35"/>
      <c r="G327" s="44">
        <v>2</v>
      </c>
      <c r="H327" s="44">
        <v>0</v>
      </c>
      <c r="I327" s="44">
        <v>0</v>
      </c>
      <c r="J327" s="44">
        <v>1</v>
      </c>
      <c r="K327" s="44">
        <v>17</v>
      </c>
      <c r="L327" s="43">
        <v>0.6430555555555556</v>
      </c>
      <c r="M327" s="43">
        <v>0.67013888888888884</v>
      </c>
      <c r="N327" s="43">
        <f>1+43/24/60</f>
        <v>1.0298611111111111</v>
      </c>
      <c r="O327" s="43">
        <f>1+64/24/60</f>
        <v>1.0444444444444445</v>
      </c>
      <c r="P327" s="39">
        <v>2.0833333333333332E-2</v>
      </c>
      <c r="Q327" s="42" t="s">
        <v>346</v>
      </c>
      <c r="R327" s="29">
        <f>MIP_4[[#This Row],[PT-1]]+MIP_4[[#This Row],[PT-2]]*2+MIP_4[[#This Row],[PT-3]]*3+MIP_4[[#This Row],[PT &gt; 3 Pontos]]</f>
        <v>20</v>
      </c>
      <c r="S32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6.2499999999999958E-2</v>
      </c>
      <c r="T32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4.166666666666663E-2</v>
      </c>
      <c r="U327" s="41">
        <f ca="1">MIP_4[[#This Row],[Eficiência]]</f>
        <v>1.3693722534501185</v>
      </c>
      <c r="V32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27" s="39">
        <f>IF(MIP_4[[#This Row],[P.S]]-MIP_4[[#This Row],[P.E]]&lt;0,1+MIP_4[[#This Row],[P.S]]-MIP_4[[#This Row],[P.E]]-1/24,MIP_4[[#This Row],[P.S]]-MIP_4[[#This Row],[P.E]]-1/24)</f>
        <v>0.35972222222222222</v>
      </c>
      <c r="X327" s="39">
        <f ca="1">MIP_4[[#This Row],[PT-1]]*$S$3+MIP_4[[#This Row],[PT-2]]*$T$3+MIP_4[[#This Row],[PT-3]]*$U$3+MIP_4[[#This Row],[PT &gt; 3 Pontos]]*$V$3</f>
        <v>0.40700786421989643</v>
      </c>
      <c r="Y327" s="39">
        <f>MIP_4[[#This Row],[HH disponível]]-MIP_4[[#This Row],[HH AC TOT]]</f>
        <v>0.29722222222222228</v>
      </c>
      <c r="Z327" s="38">
        <f ca="1">MIP_4[[#This Row],[HH Produtivo
Total]]/MIP_4[[#This Row],[HH Trabalhado]]</f>
        <v>1.3693722534501185</v>
      </c>
      <c r="AA327" s="38">
        <f ca="1">MIP_4[[#This Row],[HH Produtivo
Total]]/MIP_4[[#This Row],[HH disponível]]</f>
        <v>1.1314504333526079</v>
      </c>
      <c r="AB327" s="38">
        <f>MIP_4[[#This Row],[HH Trabalhado]]/MIP_4[[#This Row],[HH disponível]]</f>
        <v>0.82625482625482638</v>
      </c>
      <c r="AC327" s="37" t="str">
        <f>LEFT(MIP_4[[#This Row],[Equipe]], SEARCH("/",MIP_4[[#This Row],[Equipe]],1)-1)</f>
        <v xml:space="preserve">ADEMÁRIO </v>
      </c>
      <c r="AD327" s="37" t="str">
        <f>RIGHT(MIP_4[[#This Row],[Equipe]], LEN(MIP_4[[#This Row],[Equipe]])-SEARCH("/",MIP_4[[#This Row],[Equipe]],1))</f>
        <v xml:space="preserve"> RONALDO</v>
      </c>
      <c r="AE327" s="44">
        <f>COUNTIFS('[1]Tempo parado'!G:G,"&gt;="&amp;MIP_4[[#This Row],[S.B Sitrack]],'[1]Tempo parado'!H:H,"&lt;="&amp;MIP_4[[#This Row],[C.B Sitrack]],'[1]Tempo parado'!A:A,MIP_4[[#This Row],[Placa]])</f>
        <v>0</v>
      </c>
      <c r="AF327" s="36"/>
      <c r="AG327" s="35"/>
      <c r="AH327" s="34"/>
      <c r="AI327" s="34"/>
      <c r="AJ32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2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2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27" s="32" t="str">
        <f>IFERROR(MIP_4[[#This Row],[Tempo parado]]/(MIP_4[[#This Row],[C.B Sitrack]]-MIP_4[[#This Row],[S.B Sitrack]]),"")</f>
        <v/>
      </c>
      <c r="AN327" s="30"/>
      <c r="AO327" s="44">
        <f>IF(AND(MIP_4[Exc]=0,MIP_4[Previsto / Realizado]="Realizado"),MIP_4[Sem],0)</f>
        <v>31</v>
      </c>
      <c r="AP327" s="29">
        <f>IF(AND(MIP_4[Exc]=0,MIP_4[Previsto / Realizado]="Realizado",ISBLANK(MIP_4[[#This Row],[S.B Sitrack]])=FALSE,ISBLANK(MIP_4[[#This Row],[C.B Sitrack]])=FALSE),MIP_4[Sem],0)</f>
        <v>0</v>
      </c>
    </row>
    <row r="328" spans="1:42" ht="15.75" x14ac:dyDescent="0.25">
      <c r="A328" s="44">
        <f>WEEKNUM(MIP_4[[#This Row],[Data]])</f>
        <v>31</v>
      </c>
      <c r="B328" s="45">
        <v>42950</v>
      </c>
      <c r="C328" s="45"/>
      <c r="D328" s="35" t="s">
        <v>10</v>
      </c>
      <c r="E328" s="35" t="s">
        <v>5</v>
      </c>
      <c r="F328" s="35"/>
      <c r="G328" s="44">
        <v>2</v>
      </c>
      <c r="H328" s="44">
        <v>1</v>
      </c>
      <c r="I328" s="44">
        <v>3</v>
      </c>
      <c r="J328" s="44">
        <v>1</v>
      </c>
      <c r="K328" s="44">
        <v>9</v>
      </c>
      <c r="L328" s="43">
        <v>0.25</v>
      </c>
      <c r="M328" s="43">
        <v>0.27083333333333331</v>
      </c>
      <c r="N328" s="43">
        <v>0.63750000000000007</v>
      </c>
      <c r="O328" s="43">
        <v>0.65833333333333333</v>
      </c>
      <c r="P328" s="39"/>
      <c r="Q328" s="42"/>
      <c r="R328" s="29">
        <f>MIP_4[[#This Row],[PT-1]]+MIP_4[[#This Row],[PT-2]]*2+MIP_4[[#This Row],[PT-3]]*3+MIP_4[[#This Row],[PT &gt; 3 Pontos]]</f>
        <v>19</v>
      </c>
      <c r="S32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32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328" s="41">
        <f ca="1">MIP_4[[#This Row],[Eficiência]]</f>
        <v>1.2362336259754738</v>
      </c>
      <c r="V32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28" s="39">
        <f>IF(MIP_4[[#This Row],[P.S]]-MIP_4[[#This Row],[P.E]]&lt;0,1+MIP_4[[#This Row],[P.S]]-MIP_4[[#This Row],[P.E]]-1/24,MIP_4[[#This Row],[P.S]]-MIP_4[[#This Row],[P.E]]-1/24)</f>
        <v>0.36666666666666664</v>
      </c>
      <c r="X328" s="39">
        <f ca="1">MIP_4[[#This Row],[PT-1]]*$S$3+MIP_4[[#This Row],[PT-2]]*$T$3+MIP_4[[#This Row],[PT-3]]*$U$3+MIP_4[[#This Row],[PT &gt; 3 Pontos]]*$V$3</f>
        <v>0.40177592844202908</v>
      </c>
      <c r="Y328" s="39">
        <f>MIP_4[[#This Row],[HH disponível]]-MIP_4[[#This Row],[HH AC TOT]]</f>
        <v>0.32500000000000007</v>
      </c>
      <c r="Z328" s="38">
        <f ca="1">MIP_4[[#This Row],[HH Produtivo
Total]]/MIP_4[[#This Row],[HH Trabalhado]]</f>
        <v>1.2362336259754738</v>
      </c>
      <c r="AA328" s="38">
        <f ca="1">MIP_4[[#This Row],[HH Produtivo
Total]]/MIP_4[[#This Row],[HH disponível]]</f>
        <v>1.0957525321146249</v>
      </c>
      <c r="AB328" s="38">
        <f>MIP_4[[#This Row],[HH Trabalhado]]/MIP_4[[#This Row],[HH disponível]]</f>
        <v>0.88636363636363658</v>
      </c>
      <c r="AC328" s="37" t="str">
        <f>LEFT(MIP_4[[#This Row],[Equipe]], SEARCH("/",MIP_4[[#This Row],[Equipe]],1)-1)</f>
        <v xml:space="preserve">JOILSON </v>
      </c>
      <c r="AD328" s="37" t="str">
        <f>RIGHT(MIP_4[[#This Row],[Equipe]], LEN(MIP_4[[#This Row],[Equipe]])-SEARCH("/",MIP_4[[#This Row],[Equipe]],1))</f>
        <v xml:space="preserve"> VALDEI</v>
      </c>
      <c r="AE328" s="44">
        <f>COUNTIFS('[1]Tempo parado'!G:G,"&gt;="&amp;MIP_4[[#This Row],[S.B Sitrack]],'[1]Tempo parado'!H:H,"&lt;="&amp;MIP_4[[#This Row],[C.B Sitrack]],'[1]Tempo parado'!A:A,MIP_4[[#This Row],[Placa]])</f>
        <v>0</v>
      </c>
      <c r="AF328" s="36"/>
      <c r="AG328" s="35"/>
      <c r="AH328" s="34"/>
      <c r="AI328" s="34"/>
      <c r="AJ32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2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2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28" s="32" t="str">
        <f>IFERROR(MIP_4[[#This Row],[Tempo parado]]/(MIP_4[[#This Row],[C.B Sitrack]]-MIP_4[[#This Row],[S.B Sitrack]]),"")</f>
        <v/>
      </c>
      <c r="AN328" s="30"/>
      <c r="AO328" s="44">
        <f>IF(AND(MIP_4[Exc]=0,MIP_4[Previsto / Realizado]="Realizado"),MIP_4[Sem],0)</f>
        <v>0</v>
      </c>
      <c r="AP328" s="29">
        <f>IF(AND(MIP_4[Exc]=0,MIP_4[Previsto / Realizado]="Realizado",ISBLANK(MIP_4[[#This Row],[S.B Sitrack]])=FALSE,ISBLANK(MIP_4[[#This Row],[C.B Sitrack]])=FALSE),MIP_4[Sem],0)</f>
        <v>0</v>
      </c>
    </row>
    <row r="329" spans="1:42" ht="15.75" x14ac:dyDescent="0.25">
      <c r="A329" s="44">
        <f>WEEKNUM(MIP_4[[#This Row],[Data]])</f>
        <v>31</v>
      </c>
      <c r="B329" s="45">
        <v>42950</v>
      </c>
      <c r="C329" s="45"/>
      <c r="D329" s="35" t="s">
        <v>10</v>
      </c>
      <c r="E329" s="35" t="s">
        <v>2</v>
      </c>
      <c r="F329" s="35"/>
      <c r="G329" s="44">
        <v>2</v>
      </c>
      <c r="H329" s="44">
        <v>1</v>
      </c>
      <c r="I329" s="44">
        <v>3</v>
      </c>
      <c r="J329" s="44">
        <v>0</v>
      </c>
      <c r="K329" s="44">
        <v>4</v>
      </c>
      <c r="L329" s="43">
        <v>0.25</v>
      </c>
      <c r="M329" s="43">
        <v>0.29166666666666669</v>
      </c>
      <c r="N329" s="43">
        <v>0.62708333333333333</v>
      </c>
      <c r="O329" s="43">
        <v>0.66319444444444442</v>
      </c>
      <c r="P329" s="39"/>
      <c r="Q329" s="42"/>
      <c r="R329" s="29">
        <f>MIP_4[[#This Row],[PT-1]]+MIP_4[[#This Row],[PT-2]]*2+MIP_4[[#This Row],[PT-3]]*3+MIP_4[[#This Row],[PT &gt; 3 Pontos]]</f>
        <v>11</v>
      </c>
      <c r="S32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7.7777777777777779E-2</v>
      </c>
      <c r="T32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7.7777777777777779E-2</v>
      </c>
      <c r="U329" s="41">
        <f ca="1">MIP_4[[#This Row],[Eficiência]]</f>
        <v>0.80934193971440882</v>
      </c>
      <c r="V32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29" s="39">
        <f>IF(MIP_4[[#This Row],[P.S]]-MIP_4[[#This Row],[P.E]]&lt;0,1+MIP_4[[#This Row],[P.S]]-MIP_4[[#This Row],[P.E]]-1/24,MIP_4[[#This Row],[P.S]]-MIP_4[[#This Row],[P.E]]-1/24)</f>
        <v>0.37152777777777773</v>
      </c>
      <c r="X329" s="39">
        <f ca="1">MIP_4[[#This Row],[PT-1]]*$S$3+MIP_4[[#This Row],[PT-2]]*$T$3+MIP_4[[#This Row],[PT-3]]*$U$3+MIP_4[[#This Row],[PT &gt; 3 Pontos]]*$V$3</f>
        <v>0.23774419479110756</v>
      </c>
      <c r="Y329" s="39">
        <f>MIP_4[[#This Row],[HH disponível]]-MIP_4[[#This Row],[HH AC TOT]]</f>
        <v>0.29374999999999996</v>
      </c>
      <c r="Z329" s="38">
        <f ca="1">MIP_4[[#This Row],[HH Produtivo
Total]]/MIP_4[[#This Row],[HH Trabalhado]]</f>
        <v>0.80934193971440882</v>
      </c>
      <c r="AA329" s="38">
        <f ca="1">MIP_4[[#This Row],[HH Produtivo
Total]]/MIP_4[[#This Row],[HH disponível]]</f>
        <v>0.63990960840971012</v>
      </c>
      <c r="AB329" s="38">
        <f>MIP_4[[#This Row],[HH Trabalhado]]/MIP_4[[#This Row],[HH disponível]]</f>
        <v>0.79065420560747657</v>
      </c>
      <c r="AC329" s="37" t="str">
        <f>LEFT(MIP_4[[#This Row],[Equipe]], SEARCH("/",MIP_4[[#This Row],[Equipe]],1)-1)</f>
        <v xml:space="preserve">JOILSON </v>
      </c>
      <c r="AD329" s="37" t="str">
        <f>RIGHT(MIP_4[[#This Row],[Equipe]], LEN(MIP_4[[#This Row],[Equipe]])-SEARCH("/",MIP_4[[#This Row],[Equipe]],1))</f>
        <v xml:space="preserve"> VALDEI</v>
      </c>
      <c r="AE329" s="44">
        <f>COUNTIFS('[1]Tempo parado'!G:G,"&gt;="&amp;MIP_4[[#This Row],[S.B Sitrack]],'[1]Tempo parado'!H:H,"&lt;="&amp;MIP_4[[#This Row],[C.B Sitrack]],'[1]Tempo parado'!A:A,MIP_4[[#This Row],[Placa]])</f>
        <v>0</v>
      </c>
      <c r="AF329" s="36"/>
      <c r="AG329" s="35"/>
      <c r="AH329" s="34"/>
      <c r="AI329" s="34"/>
      <c r="AJ32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2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2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29" s="32" t="str">
        <f>IFERROR(MIP_4[[#This Row],[Tempo parado]]/(MIP_4[[#This Row],[C.B Sitrack]]-MIP_4[[#This Row],[S.B Sitrack]]),"")</f>
        <v/>
      </c>
      <c r="AN329" s="30"/>
      <c r="AO329" s="44">
        <f>IF(AND(MIP_4[Exc]=0,MIP_4[Previsto / Realizado]="Realizado"),MIP_4[Sem],0)</f>
        <v>31</v>
      </c>
      <c r="AP329" s="29">
        <f>IF(AND(MIP_4[Exc]=0,MIP_4[Previsto / Realizado]="Realizado",ISBLANK(MIP_4[[#This Row],[S.B Sitrack]])=FALSE,ISBLANK(MIP_4[[#This Row],[C.B Sitrack]])=FALSE),MIP_4[Sem],0)</f>
        <v>0</v>
      </c>
    </row>
    <row r="330" spans="1:42" ht="15.75" x14ac:dyDescent="0.25">
      <c r="A330" s="44">
        <f>WEEKNUM(MIP_4[[#This Row],[Data]])</f>
        <v>31</v>
      </c>
      <c r="B330" s="45">
        <v>42951</v>
      </c>
      <c r="C330" s="45"/>
      <c r="D330" s="35" t="s">
        <v>10</v>
      </c>
      <c r="E330" s="35" t="s">
        <v>5</v>
      </c>
      <c r="F330" s="35"/>
      <c r="G330" s="44">
        <v>2</v>
      </c>
      <c r="H330" s="44">
        <v>5</v>
      </c>
      <c r="I330" s="44">
        <v>0</v>
      </c>
      <c r="J330" s="44">
        <v>1</v>
      </c>
      <c r="K330" s="44">
        <v>5</v>
      </c>
      <c r="L330" s="43">
        <v>0.25</v>
      </c>
      <c r="M330" s="43">
        <v>0.27083333333333331</v>
      </c>
      <c r="N330" s="43">
        <v>0.63750000000000007</v>
      </c>
      <c r="O330" s="43">
        <v>0.65833333333333333</v>
      </c>
      <c r="P330" s="39"/>
      <c r="Q330" s="42"/>
      <c r="R330" s="29">
        <f>MIP_4[[#This Row],[PT-1]]+MIP_4[[#This Row],[PT-2]]*2+MIP_4[[#This Row],[PT-3]]*3+MIP_4[[#This Row],[PT &gt; 3 Pontos]]</f>
        <v>13</v>
      </c>
      <c r="S33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33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330" s="41">
        <f ca="1">MIP_4[[#This Row],[Eficiência]]</f>
        <v>0.88972614906340719</v>
      </c>
      <c r="V33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30" s="39">
        <f>IF(MIP_4[[#This Row],[P.S]]-MIP_4[[#This Row],[P.E]]&lt;0,1+MIP_4[[#This Row],[P.S]]-MIP_4[[#This Row],[P.E]]-1/24,MIP_4[[#This Row],[P.S]]-MIP_4[[#This Row],[P.E]]-1/24)</f>
        <v>0.36666666666666664</v>
      </c>
      <c r="X330" s="39">
        <f ca="1">MIP_4[[#This Row],[PT-1]]*$S$3+MIP_4[[#This Row],[PT-2]]*$T$3+MIP_4[[#This Row],[PT-3]]*$U$3+MIP_4[[#This Row],[PT &gt; 3 Pontos]]*$V$3</f>
        <v>0.28916099844560739</v>
      </c>
      <c r="Y330" s="39">
        <f>MIP_4[[#This Row],[HH disponível]]-MIP_4[[#This Row],[HH AC TOT]]</f>
        <v>0.32500000000000007</v>
      </c>
      <c r="Z330" s="38">
        <f ca="1">MIP_4[[#This Row],[HH Produtivo
Total]]/MIP_4[[#This Row],[HH Trabalhado]]</f>
        <v>0.88972614906340719</v>
      </c>
      <c r="AA330" s="38">
        <f ca="1">MIP_4[[#This Row],[HH Produtivo
Total]]/MIP_4[[#This Row],[HH disponível]]</f>
        <v>0.78862090485165659</v>
      </c>
      <c r="AB330" s="38">
        <f>MIP_4[[#This Row],[HH Trabalhado]]/MIP_4[[#This Row],[HH disponível]]</f>
        <v>0.88636363636363658</v>
      </c>
      <c r="AC330" s="37" t="str">
        <f>LEFT(MIP_4[[#This Row],[Equipe]], SEARCH("/",MIP_4[[#This Row],[Equipe]],1)-1)</f>
        <v xml:space="preserve">JOILSON </v>
      </c>
      <c r="AD330" s="37" t="str">
        <f>RIGHT(MIP_4[[#This Row],[Equipe]], LEN(MIP_4[[#This Row],[Equipe]])-SEARCH("/",MIP_4[[#This Row],[Equipe]],1))</f>
        <v xml:space="preserve"> VALDEI</v>
      </c>
      <c r="AE330" s="44">
        <f>COUNTIFS('[1]Tempo parado'!G:G,"&gt;="&amp;MIP_4[[#This Row],[S.B Sitrack]],'[1]Tempo parado'!H:H,"&lt;="&amp;MIP_4[[#This Row],[C.B Sitrack]],'[1]Tempo parado'!A:A,MIP_4[[#This Row],[Placa]])</f>
        <v>0</v>
      </c>
      <c r="AF330" s="36"/>
      <c r="AG330" s="35"/>
      <c r="AH330" s="34"/>
      <c r="AI330" s="34"/>
      <c r="AJ33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3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3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30" s="32" t="str">
        <f>IFERROR(MIP_4[[#This Row],[Tempo parado]]/(MIP_4[[#This Row],[C.B Sitrack]]-MIP_4[[#This Row],[S.B Sitrack]]),"")</f>
        <v/>
      </c>
      <c r="AN330" s="30"/>
      <c r="AO330" s="44">
        <f>IF(AND(MIP_4[Exc]=0,MIP_4[Previsto / Realizado]="Realizado"),MIP_4[Sem],0)</f>
        <v>0</v>
      </c>
      <c r="AP330" s="29">
        <f>IF(AND(MIP_4[Exc]=0,MIP_4[Previsto / Realizado]="Realizado",ISBLANK(MIP_4[[#This Row],[S.B Sitrack]])=FALSE,ISBLANK(MIP_4[[#This Row],[C.B Sitrack]])=FALSE),MIP_4[Sem],0)</f>
        <v>0</v>
      </c>
    </row>
    <row r="331" spans="1:42" ht="15.75" x14ac:dyDescent="0.25">
      <c r="A331" s="44">
        <f>WEEKNUM(MIP_4[[#This Row],[Data]])</f>
        <v>31</v>
      </c>
      <c r="B331" s="45">
        <v>42951</v>
      </c>
      <c r="C331" s="45"/>
      <c r="D331" s="35" t="s">
        <v>10</v>
      </c>
      <c r="E331" s="35" t="s">
        <v>2</v>
      </c>
      <c r="F331" s="35"/>
      <c r="G331" s="44">
        <v>2</v>
      </c>
      <c r="H331" s="44">
        <v>2</v>
      </c>
      <c r="I331" s="44">
        <v>0</v>
      </c>
      <c r="J331" s="44">
        <v>0</v>
      </c>
      <c r="K331" s="44">
        <v>0</v>
      </c>
      <c r="L331" s="43">
        <v>0.26041666666666669</v>
      </c>
      <c r="M331" s="43">
        <v>0.2902777777777778</v>
      </c>
      <c r="N331" s="43">
        <v>0.41666666666666669</v>
      </c>
      <c r="O331" s="43">
        <v>0.66736111111111107</v>
      </c>
      <c r="P331" s="39"/>
      <c r="Q331" s="42" t="s">
        <v>345</v>
      </c>
      <c r="R331" s="29">
        <f>MIP_4[[#This Row],[PT-1]]+MIP_4[[#This Row],[PT-2]]*2+MIP_4[[#This Row],[PT-3]]*3+MIP_4[[#This Row],[PT &gt; 3 Pontos]]</f>
        <v>2</v>
      </c>
      <c r="S33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0.2805555555555555</v>
      </c>
      <c r="T33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0.2805555555555555</v>
      </c>
      <c r="U331" s="41">
        <f ca="1">MIP_4[[#This Row],[Eficiência]]</f>
        <v>0.59077423378474669</v>
      </c>
      <c r="V33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31" s="39">
        <f>IF(MIP_4[[#This Row],[P.S]]-MIP_4[[#This Row],[P.E]]&lt;0,1+MIP_4[[#This Row],[P.S]]-MIP_4[[#This Row],[P.E]]-1/24,MIP_4[[#This Row],[P.S]]-MIP_4[[#This Row],[P.E]]-1/24)</f>
        <v>0.3652777777777777</v>
      </c>
      <c r="X331" s="39">
        <f ca="1">MIP_4[[#This Row],[PT-1]]*$S$3+MIP_4[[#This Row],[PT-2]]*$T$3+MIP_4[[#This Row],[PT-3]]*$U$3+MIP_4[[#This Row],[PT &gt; 3 Pontos]]*$V$3</f>
        <v>5.0051705917874362E-2</v>
      </c>
      <c r="Y331" s="39">
        <f>MIP_4[[#This Row],[HH disponível]]-MIP_4[[#This Row],[HH AC TOT]]</f>
        <v>8.4722222222222199E-2</v>
      </c>
      <c r="Z331" s="38">
        <f ca="1">MIP_4[[#This Row],[HH Produtivo
Total]]/MIP_4[[#This Row],[HH Trabalhado]]</f>
        <v>0.59077423378474669</v>
      </c>
      <c r="AA331" s="38">
        <f ca="1">MIP_4[[#This Row],[HH Produtivo
Total]]/MIP_4[[#This Row],[HH disponível]]</f>
        <v>0.13702368160026443</v>
      </c>
      <c r="AB331" s="38">
        <f>MIP_4[[#This Row],[HH Trabalhado]]/MIP_4[[#This Row],[HH disponível]]</f>
        <v>0.23193916349809884</v>
      </c>
      <c r="AC331" s="37" t="str">
        <f>LEFT(MIP_4[[#This Row],[Equipe]], SEARCH("/",MIP_4[[#This Row],[Equipe]],1)-1)</f>
        <v xml:space="preserve">JOILSON </v>
      </c>
      <c r="AD331" s="37" t="str">
        <f>RIGHT(MIP_4[[#This Row],[Equipe]], LEN(MIP_4[[#This Row],[Equipe]])-SEARCH("/",MIP_4[[#This Row],[Equipe]],1))</f>
        <v xml:space="preserve"> VALDEI</v>
      </c>
      <c r="AE331" s="44">
        <f>COUNTIFS('[1]Tempo parado'!G:G,"&gt;="&amp;MIP_4[[#This Row],[S.B Sitrack]],'[1]Tempo parado'!H:H,"&lt;="&amp;MIP_4[[#This Row],[C.B Sitrack]],'[1]Tempo parado'!A:A,MIP_4[[#This Row],[Placa]])</f>
        <v>0</v>
      </c>
      <c r="AF331" s="36"/>
      <c r="AG331" s="35"/>
      <c r="AH331" s="34"/>
      <c r="AI331" s="34"/>
      <c r="AJ33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3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3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31" s="32" t="str">
        <f>IFERROR(MIP_4[[#This Row],[Tempo parado]]/(MIP_4[[#This Row],[C.B Sitrack]]-MIP_4[[#This Row],[S.B Sitrack]]),"")</f>
        <v/>
      </c>
      <c r="AN331" s="30"/>
      <c r="AO331" s="44">
        <f>IF(AND(MIP_4[Exc]=0,MIP_4[Previsto / Realizado]="Realizado"),MIP_4[Sem],0)</f>
        <v>31</v>
      </c>
      <c r="AP331" s="29">
        <f>IF(AND(MIP_4[Exc]=0,MIP_4[Previsto / Realizado]="Realizado",ISBLANK(MIP_4[[#This Row],[S.B Sitrack]])=FALSE,ISBLANK(MIP_4[[#This Row],[C.B Sitrack]])=FALSE),MIP_4[Sem],0)</f>
        <v>0</v>
      </c>
    </row>
    <row r="332" spans="1:42" ht="15.75" x14ac:dyDescent="0.25">
      <c r="A332" s="44">
        <f>WEEKNUM(MIP_4[[#This Row],[Data]])</f>
        <v>31</v>
      </c>
      <c r="B332" s="45">
        <v>42951</v>
      </c>
      <c r="C332" s="45"/>
      <c r="D332" s="35" t="s">
        <v>3</v>
      </c>
      <c r="E332" s="35" t="s">
        <v>5</v>
      </c>
      <c r="F332" s="35"/>
      <c r="G332" s="44">
        <v>2</v>
      </c>
      <c r="H332" s="44">
        <v>9</v>
      </c>
      <c r="I332" s="44">
        <v>3</v>
      </c>
      <c r="J332" s="44">
        <v>1</v>
      </c>
      <c r="K332" s="44">
        <v>5</v>
      </c>
      <c r="L332" s="43">
        <v>0.625</v>
      </c>
      <c r="M332" s="43">
        <v>0.64583333333333337</v>
      </c>
      <c r="N332" s="43">
        <f>1+18/24/60</f>
        <v>1.0125</v>
      </c>
      <c r="O332" s="43">
        <f>1+48/24/60</f>
        <v>1.0333333333333334</v>
      </c>
      <c r="P332" s="39"/>
      <c r="Q332" s="42"/>
      <c r="R332" s="29">
        <f>MIP_4[[#This Row],[PT-1]]+MIP_4[[#This Row],[PT-2]]*2+MIP_4[[#This Row],[PT-3]]*3+MIP_4[[#This Row],[PT &gt; 3 Pontos]]</f>
        <v>23</v>
      </c>
      <c r="S33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33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332" s="41">
        <f ca="1">MIP_4[[#This Row],[Eficiência]]</f>
        <v>1.6030483341247233</v>
      </c>
      <c r="V33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32" s="39">
        <f>IF(MIP_4[[#This Row],[P.S]]-MIP_4[[#This Row],[P.E]]&lt;0,1+MIP_4[[#This Row],[P.S]]-MIP_4[[#This Row],[P.E]]-1/24,MIP_4[[#This Row],[P.S]]-MIP_4[[#This Row],[P.E]]-1/24)</f>
        <v>0.36666666666666675</v>
      </c>
      <c r="X332" s="39">
        <f ca="1">MIP_4[[#This Row],[PT-1]]*$S$3+MIP_4[[#This Row],[PT-2]]*$T$3+MIP_4[[#This Row],[PT-3]]*$U$3+MIP_4[[#This Row],[PT &gt; 3 Pontos]]*$V$3</f>
        <v>0.52099070859053487</v>
      </c>
      <c r="Y332" s="39">
        <f>MIP_4[[#This Row],[HH disponível]]-MIP_4[[#This Row],[HH AC TOT]]</f>
        <v>0.3249999999999999</v>
      </c>
      <c r="Z332" s="38">
        <f ca="1">MIP_4[[#This Row],[HH Produtivo
Total]]/MIP_4[[#This Row],[HH Trabalhado]]</f>
        <v>1.6030483341247233</v>
      </c>
      <c r="AA332" s="38">
        <f ca="1">MIP_4[[#This Row],[HH Produtivo
Total]]/MIP_4[[#This Row],[HH disponível]]</f>
        <v>1.4208837507014584</v>
      </c>
      <c r="AB332" s="38">
        <f>MIP_4[[#This Row],[HH Trabalhado]]/MIP_4[[#This Row],[HH disponível]]</f>
        <v>0.88636363636363591</v>
      </c>
      <c r="AC332" s="37" t="str">
        <f>LEFT(MIP_4[[#This Row],[Equipe]], SEARCH("/",MIP_4[[#This Row],[Equipe]],1)-1)</f>
        <v xml:space="preserve">EDILTON </v>
      </c>
      <c r="AD332" s="37" t="str">
        <f>RIGHT(MIP_4[[#This Row],[Equipe]], LEN(MIP_4[[#This Row],[Equipe]])-SEARCH("/",MIP_4[[#This Row],[Equipe]],1))</f>
        <v xml:space="preserve"> GECIVALDO</v>
      </c>
      <c r="AE332" s="44">
        <f>COUNTIFS('[1]Tempo parado'!G:G,"&gt;="&amp;MIP_4[[#This Row],[S.B Sitrack]],'[1]Tempo parado'!H:H,"&lt;="&amp;MIP_4[[#This Row],[C.B Sitrack]],'[1]Tempo parado'!A:A,MIP_4[[#This Row],[Placa]])</f>
        <v>0</v>
      </c>
      <c r="AF332" s="36"/>
      <c r="AG332" s="35"/>
      <c r="AH332" s="34"/>
      <c r="AI332" s="34"/>
      <c r="AJ33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3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3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32" s="32" t="str">
        <f>IFERROR(MIP_4[[#This Row],[Tempo parado]]/(MIP_4[[#This Row],[C.B Sitrack]]-MIP_4[[#This Row],[S.B Sitrack]]),"")</f>
        <v/>
      </c>
      <c r="AN332" s="30"/>
      <c r="AO332" s="44">
        <f>IF(AND(MIP_4[Exc]=0,MIP_4[Previsto / Realizado]="Realizado"),MIP_4[Sem],0)</f>
        <v>0</v>
      </c>
      <c r="AP332" s="29">
        <f>IF(AND(MIP_4[Exc]=0,MIP_4[Previsto / Realizado]="Realizado",ISBLANK(MIP_4[[#This Row],[S.B Sitrack]])=FALSE,ISBLANK(MIP_4[[#This Row],[C.B Sitrack]])=FALSE),MIP_4[Sem],0)</f>
        <v>0</v>
      </c>
    </row>
    <row r="333" spans="1:42" ht="15.75" x14ac:dyDescent="0.25">
      <c r="A333" s="44">
        <f>WEEKNUM(MIP_4[[#This Row],[Data]])</f>
        <v>31</v>
      </c>
      <c r="B333" s="45">
        <v>42951</v>
      </c>
      <c r="C333" s="45"/>
      <c r="D333" s="35" t="s">
        <v>3</v>
      </c>
      <c r="E333" s="35" t="s">
        <v>2</v>
      </c>
      <c r="F333" s="35"/>
      <c r="G333" s="44">
        <v>2</v>
      </c>
      <c r="H333" s="44">
        <v>6</v>
      </c>
      <c r="I333" s="44">
        <v>3</v>
      </c>
      <c r="J333" s="44">
        <v>0</v>
      </c>
      <c r="K333" s="44">
        <v>0</v>
      </c>
      <c r="L333" s="43">
        <v>0.61458333333333337</v>
      </c>
      <c r="M333" s="43">
        <v>0.67013888888888884</v>
      </c>
      <c r="N333" s="43">
        <f>1+34/24/60</f>
        <v>1.023611111111111</v>
      </c>
      <c r="O333" s="43">
        <f>1+50/24/60</f>
        <v>1.0347222222222223</v>
      </c>
      <c r="P333" s="39"/>
      <c r="Q333" s="42" t="s">
        <v>344</v>
      </c>
      <c r="R333" s="29">
        <f>MIP_4[[#This Row],[PT-1]]+MIP_4[[#This Row],[PT-2]]*2+MIP_4[[#This Row],[PT-3]]*3+MIP_4[[#This Row],[PT &gt; 3 Pontos]]</f>
        <v>12</v>
      </c>
      <c r="S33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6.6666666666666763E-2</v>
      </c>
      <c r="T33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6.6666666666666763E-2</v>
      </c>
      <c r="U333" s="41">
        <f ca="1">MIP_4[[#This Row],[Eficiência]]</f>
        <v>0.90402948581388576</v>
      </c>
      <c r="V33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33" s="39">
        <f>IF(MIP_4[[#This Row],[P.S]]-MIP_4[[#This Row],[P.E]]&lt;0,1+MIP_4[[#This Row],[P.S]]-MIP_4[[#This Row],[P.E]]-1/24,MIP_4[[#This Row],[P.S]]-MIP_4[[#This Row],[P.E]]-1/24)</f>
        <v>0.37847222222222227</v>
      </c>
      <c r="X333" s="39">
        <f ca="1">MIP_4[[#This Row],[PT-1]]*$S$3+MIP_4[[#This Row],[PT-2]]*$T$3+MIP_4[[#This Row],[PT-3]]*$U$3+MIP_4[[#This Row],[PT &gt; 3 Pontos]]*$V$3</f>
        <v>0.28188141606280182</v>
      </c>
      <c r="Y333" s="39">
        <f>MIP_4[[#This Row],[HH disponível]]-MIP_4[[#This Row],[HH AC TOT]]</f>
        <v>0.3118055555555555</v>
      </c>
      <c r="Z333" s="38">
        <f ca="1">MIP_4[[#This Row],[HH Produtivo
Total]]/MIP_4[[#This Row],[HH Trabalhado]]</f>
        <v>0.90402948581388576</v>
      </c>
      <c r="AA333" s="38">
        <f ca="1">MIP_4[[#This Row],[HH Produtivo
Total]]/MIP_4[[#This Row],[HH disponível]]</f>
        <v>0.74478759473474232</v>
      </c>
      <c r="AB333" s="38">
        <f>MIP_4[[#This Row],[HH Trabalhado]]/MIP_4[[#This Row],[HH disponível]]</f>
        <v>0.82385321100917408</v>
      </c>
      <c r="AC333" s="37" t="str">
        <f>LEFT(MIP_4[[#This Row],[Equipe]], SEARCH("/",MIP_4[[#This Row],[Equipe]],1)-1)</f>
        <v xml:space="preserve">EDILTON </v>
      </c>
      <c r="AD333" s="37" t="str">
        <f>RIGHT(MIP_4[[#This Row],[Equipe]], LEN(MIP_4[[#This Row],[Equipe]])-SEARCH("/",MIP_4[[#This Row],[Equipe]],1))</f>
        <v xml:space="preserve"> GECIVALDO</v>
      </c>
      <c r="AE333" s="44">
        <f>COUNTIFS('[1]Tempo parado'!G:G,"&gt;="&amp;MIP_4[[#This Row],[S.B Sitrack]],'[1]Tempo parado'!H:H,"&lt;="&amp;MIP_4[[#This Row],[C.B Sitrack]],'[1]Tempo parado'!A:A,MIP_4[[#This Row],[Placa]])</f>
        <v>0</v>
      </c>
      <c r="AF333" s="36"/>
      <c r="AG333" s="35"/>
      <c r="AH333" s="34"/>
      <c r="AI333" s="34"/>
      <c r="AJ33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3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3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33" s="32" t="str">
        <f>IFERROR(MIP_4[[#This Row],[Tempo parado]]/(MIP_4[[#This Row],[C.B Sitrack]]-MIP_4[[#This Row],[S.B Sitrack]]),"")</f>
        <v/>
      </c>
      <c r="AN333" s="30"/>
      <c r="AO333" s="44">
        <f>IF(AND(MIP_4[Exc]=0,MIP_4[Previsto / Realizado]="Realizado"),MIP_4[Sem],0)</f>
        <v>31</v>
      </c>
      <c r="AP333" s="29">
        <f>IF(AND(MIP_4[Exc]=0,MIP_4[Previsto / Realizado]="Realizado",ISBLANK(MIP_4[[#This Row],[S.B Sitrack]])=FALSE,ISBLANK(MIP_4[[#This Row],[C.B Sitrack]])=FALSE),MIP_4[Sem],0)</f>
        <v>0</v>
      </c>
    </row>
    <row r="334" spans="1:42" ht="15.75" x14ac:dyDescent="0.25">
      <c r="A334" s="44">
        <f>WEEKNUM(MIP_4[[#This Row],[Data]])</f>
        <v>31</v>
      </c>
      <c r="B334" s="45">
        <v>42952</v>
      </c>
      <c r="C334" s="45"/>
      <c r="D334" s="35" t="s">
        <v>10</v>
      </c>
      <c r="E334" s="35" t="s">
        <v>5</v>
      </c>
      <c r="F334" s="35"/>
      <c r="G334" s="44">
        <v>2</v>
      </c>
      <c r="H334" s="44">
        <v>0</v>
      </c>
      <c r="I334" s="44">
        <v>0</v>
      </c>
      <c r="J334" s="44">
        <v>0</v>
      </c>
      <c r="K334" s="44">
        <v>0</v>
      </c>
      <c r="L334" s="43">
        <v>0.25</v>
      </c>
      <c r="M334" s="43">
        <v>0.27083333333333331</v>
      </c>
      <c r="N334" s="43">
        <v>0.63750000000000007</v>
      </c>
      <c r="O334" s="43">
        <v>0.65833333333333333</v>
      </c>
      <c r="P334" s="39"/>
      <c r="Q334" s="42"/>
      <c r="R334" s="29">
        <f>MIP_4[[#This Row],[PT-1]]+MIP_4[[#This Row],[PT-2]]*2+MIP_4[[#This Row],[PT-3]]*3+MIP_4[[#This Row],[PT &gt; 3 Pontos]]</f>
        <v>0</v>
      </c>
      <c r="S33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33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334" s="41">
        <f ca="1">MIP_4[[#This Row],[Eficiência]]</f>
        <v>0</v>
      </c>
      <c r="V33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34" s="39">
        <f>IF(MIP_4[[#This Row],[P.S]]-MIP_4[[#This Row],[P.E]]&lt;0,1+MIP_4[[#This Row],[P.S]]-MIP_4[[#This Row],[P.E]]-1/24,MIP_4[[#This Row],[P.S]]-MIP_4[[#This Row],[P.E]]-1/24)</f>
        <v>0.36666666666666664</v>
      </c>
      <c r="X334" s="39">
        <f ca="1">MIP_4[[#This Row],[PT-1]]*$S$3+MIP_4[[#This Row],[PT-2]]*$T$3+MIP_4[[#This Row],[PT-3]]*$U$3+MIP_4[[#This Row],[PT &gt; 3 Pontos]]*$V$3</f>
        <v>0</v>
      </c>
      <c r="Y334" s="39">
        <f>MIP_4[[#This Row],[HH disponível]]-MIP_4[[#This Row],[HH AC TOT]]</f>
        <v>0.32500000000000007</v>
      </c>
      <c r="Z334" s="38">
        <f ca="1">MIP_4[[#This Row],[HH Produtivo
Total]]/MIP_4[[#This Row],[HH Trabalhado]]</f>
        <v>0</v>
      </c>
      <c r="AA334" s="38">
        <f ca="1">MIP_4[[#This Row],[HH Produtivo
Total]]/MIP_4[[#This Row],[HH disponível]]</f>
        <v>0</v>
      </c>
      <c r="AB334" s="38">
        <f>MIP_4[[#This Row],[HH Trabalhado]]/MIP_4[[#This Row],[HH disponível]]</f>
        <v>0.88636363636363658</v>
      </c>
      <c r="AC334" s="37" t="str">
        <f>LEFT(MIP_4[[#This Row],[Equipe]], SEARCH("/",MIP_4[[#This Row],[Equipe]],1)-1)</f>
        <v xml:space="preserve">JOILSON </v>
      </c>
      <c r="AD334" s="37" t="str">
        <f>RIGHT(MIP_4[[#This Row],[Equipe]], LEN(MIP_4[[#This Row],[Equipe]])-SEARCH("/",MIP_4[[#This Row],[Equipe]],1))</f>
        <v xml:space="preserve"> VALDEI</v>
      </c>
      <c r="AE334" s="44">
        <f>COUNTIFS('[1]Tempo parado'!G:G,"&gt;="&amp;MIP_4[[#This Row],[S.B Sitrack]],'[1]Tempo parado'!H:H,"&lt;="&amp;MIP_4[[#This Row],[C.B Sitrack]],'[1]Tempo parado'!A:A,MIP_4[[#This Row],[Placa]])</f>
        <v>0</v>
      </c>
      <c r="AF334" s="36"/>
      <c r="AG334" s="35"/>
      <c r="AH334" s="34"/>
      <c r="AI334" s="34"/>
      <c r="AJ33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3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3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34" s="32" t="str">
        <f>IFERROR(MIP_4[[#This Row],[Tempo parado]]/(MIP_4[[#This Row],[C.B Sitrack]]-MIP_4[[#This Row],[S.B Sitrack]]),"")</f>
        <v/>
      </c>
      <c r="AN334" s="30"/>
      <c r="AO334" s="44">
        <f>IF(AND(MIP_4[Exc]=0,MIP_4[Previsto / Realizado]="Realizado"),MIP_4[Sem],0)</f>
        <v>0</v>
      </c>
      <c r="AP334" s="29">
        <f>IF(AND(MIP_4[Exc]=0,MIP_4[Previsto / Realizado]="Realizado",ISBLANK(MIP_4[[#This Row],[S.B Sitrack]])=FALSE,ISBLANK(MIP_4[[#This Row],[C.B Sitrack]])=FALSE),MIP_4[Sem],0)</f>
        <v>0</v>
      </c>
    </row>
    <row r="335" spans="1:42" ht="15.75" x14ac:dyDescent="0.25">
      <c r="A335" s="44">
        <f>WEEKNUM(MIP_4[[#This Row],[Data]])</f>
        <v>31</v>
      </c>
      <c r="B335" s="45">
        <v>42952</v>
      </c>
      <c r="C335" s="45"/>
      <c r="D335" s="35" t="s">
        <v>10</v>
      </c>
      <c r="E335" s="35" t="s">
        <v>2</v>
      </c>
      <c r="F335" s="35"/>
      <c r="G335" s="44">
        <v>2</v>
      </c>
      <c r="H335" s="44">
        <v>3</v>
      </c>
      <c r="I335" s="44">
        <v>0</v>
      </c>
      <c r="J335" s="44">
        <v>1</v>
      </c>
      <c r="K335" s="44">
        <v>4</v>
      </c>
      <c r="L335" s="43">
        <v>0.24513888888888888</v>
      </c>
      <c r="M335" s="43">
        <v>0.27777777777777779</v>
      </c>
      <c r="N335" s="43">
        <v>0.60069444444444442</v>
      </c>
      <c r="O335" s="43">
        <v>0.6333333333333333</v>
      </c>
      <c r="P335" s="39"/>
      <c r="Q335" s="42" t="s">
        <v>343</v>
      </c>
      <c r="R335" s="29">
        <f>MIP_4[[#This Row],[PT-1]]+MIP_4[[#This Row],[PT-2]]*2+MIP_4[[#This Row],[PT-3]]*3+MIP_4[[#This Row],[PT &gt; 3 Pontos]]</f>
        <v>10</v>
      </c>
      <c r="S33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6.5277777777777796E-2</v>
      </c>
      <c r="T33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6.5277777777777796E-2</v>
      </c>
      <c r="U335" s="41">
        <f ca="1">MIP_4[[#This Row],[Eficiência]]</f>
        <v>0.77817344585594761</v>
      </c>
      <c r="V33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35" s="39">
        <f>IF(MIP_4[[#This Row],[P.S]]-MIP_4[[#This Row],[P.E]]&lt;0,1+MIP_4[[#This Row],[P.S]]-MIP_4[[#This Row],[P.E]]-1/24,MIP_4[[#This Row],[P.S]]-MIP_4[[#This Row],[P.E]]-1/24)</f>
        <v>0.34652777777777771</v>
      </c>
      <c r="X335" s="39">
        <f ca="1">MIP_4[[#This Row],[PT-1]]*$S$3+MIP_4[[#This Row],[PT-2]]*$T$3+MIP_4[[#This Row],[PT-3]]*$U$3+MIP_4[[#This Row],[PT &gt; 3 Pontos]]*$V$3</f>
        <v>0.21886128164698518</v>
      </c>
      <c r="Y335" s="39">
        <f>MIP_4[[#This Row],[HH disponível]]-MIP_4[[#This Row],[HH AC TOT]]</f>
        <v>0.28124999999999989</v>
      </c>
      <c r="Z335" s="38">
        <f ca="1">MIP_4[[#This Row],[HH Produtivo
Total]]/MIP_4[[#This Row],[HH Trabalhado]]</f>
        <v>0.77817344585594761</v>
      </c>
      <c r="AA335" s="38">
        <f ca="1">MIP_4[[#This Row],[HH Produtivo
Total]]/MIP_4[[#This Row],[HH disponível]]</f>
        <v>0.6315836584602379</v>
      </c>
      <c r="AB335" s="38">
        <f>MIP_4[[#This Row],[HH Trabalhado]]/MIP_4[[#This Row],[HH disponível]]</f>
        <v>0.81162324649298578</v>
      </c>
      <c r="AC335" s="37" t="str">
        <f>LEFT(MIP_4[[#This Row],[Equipe]], SEARCH("/",MIP_4[[#This Row],[Equipe]],1)-1)</f>
        <v xml:space="preserve">JOILSON </v>
      </c>
      <c r="AD335" s="37" t="str">
        <f>RIGHT(MIP_4[[#This Row],[Equipe]], LEN(MIP_4[[#This Row],[Equipe]])-SEARCH("/",MIP_4[[#This Row],[Equipe]],1))</f>
        <v xml:space="preserve"> VALDEI</v>
      </c>
      <c r="AE335" s="44">
        <f>COUNTIFS('[1]Tempo parado'!G:G,"&gt;="&amp;MIP_4[[#This Row],[S.B Sitrack]],'[1]Tempo parado'!H:H,"&lt;="&amp;MIP_4[[#This Row],[C.B Sitrack]],'[1]Tempo parado'!A:A,MIP_4[[#This Row],[Placa]])</f>
        <v>0</v>
      </c>
      <c r="AF335" s="36"/>
      <c r="AG335" s="35"/>
      <c r="AH335" s="34"/>
      <c r="AI335" s="34"/>
      <c r="AJ33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3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3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35" s="32" t="str">
        <f>IFERROR(MIP_4[[#This Row],[Tempo parado]]/(MIP_4[[#This Row],[C.B Sitrack]]-MIP_4[[#This Row],[S.B Sitrack]]),"")</f>
        <v/>
      </c>
      <c r="AN335" s="30"/>
      <c r="AO335" s="44">
        <f>IF(AND(MIP_4[Exc]=0,MIP_4[Previsto / Realizado]="Realizado"),MIP_4[Sem],0)</f>
        <v>31</v>
      </c>
      <c r="AP335" s="29">
        <f>IF(AND(MIP_4[Exc]=0,MIP_4[Previsto / Realizado]="Realizado",ISBLANK(MIP_4[[#This Row],[S.B Sitrack]])=FALSE,ISBLANK(MIP_4[[#This Row],[C.B Sitrack]])=FALSE),MIP_4[Sem],0)</f>
        <v>0</v>
      </c>
    </row>
    <row r="336" spans="1:42" ht="15.75" x14ac:dyDescent="0.25">
      <c r="A336" s="44">
        <f>WEEKNUM(MIP_4[[#This Row],[Data]])</f>
        <v>32</v>
      </c>
      <c r="B336" s="45">
        <v>42953</v>
      </c>
      <c r="C336" s="45"/>
      <c r="D336" s="35" t="s">
        <v>19</v>
      </c>
      <c r="E336" s="35" t="s">
        <v>5</v>
      </c>
      <c r="F336" s="35"/>
      <c r="G336" s="44">
        <v>2</v>
      </c>
      <c r="H336" s="44">
        <v>0</v>
      </c>
      <c r="I336" s="44">
        <v>0</v>
      </c>
      <c r="J336" s="44">
        <v>0</v>
      </c>
      <c r="K336" s="44">
        <v>0</v>
      </c>
      <c r="L336" s="43">
        <v>0.625</v>
      </c>
      <c r="M336" s="43">
        <v>0.64583333333333337</v>
      </c>
      <c r="N336" s="43">
        <f>1+18/24/60</f>
        <v>1.0125</v>
      </c>
      <c r="O336" s="43">
        <f>1+48/24/60</f>
        <v>1.0333333333333334</v>
      </c>
      <c r="P336" s="39"/>
      <c r="Q336" s="42"/>
      <c r="R336" s="29">
        <f>MIP_4[[#This Row],[PT-1]]+MIP_4[[#This Row],[PT-2]]*2+MIP_4[[#This Row],[PT-3]]*3+MIP_4[[#This Row],[PT &gt; 3 Pontos]]</f>
        <v>0</v>
      </c>
      <c r="S33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33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336" s="41">
        <f ca="1">MIP_4[[#This Row],[Eficiência]]</f>
        <v>0</v>
      </c>
      <c r="V33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36" s="39">
        <f>IF(MIP_4[[#This Row],[P.S]]-MIP_4[[#This Row],[P.E]]&lt;0,1+MIP_4[[#This Row],[P.S]]-MIP_4[[#This Row],[P.E]]-1/24,MIP_4[[#This Row],[P.S]]-MIP_4[[#This Row],[P.E]]-1/24)</f>
        <v>0.36666666666666675</v>
      </c>
      <c r="X336" s="39">
        <f ca="1">MIP_4[[#This Row],[PT-1]]*$S$3+MIP_4[[#This Row],[PT-2]]*$T$3+MIP_4[[#This Row],[PT-3]]*$U$3+MIP_4[[#This Row],[PT &gt; 3 Pontos]]*$V$3</f>
        <v>0</v>
      </c>
      <c r="Y336" s="39">
        <f>MIP_4[[#This Row],[HH disponível]]-MIP_4[[#This Row],[HH AC TOT]]</f>
        <v>0.3249999999999999</v>
      </c>
      <c r="Z336" s="38">
        <f ca="1">MIP_4[[#This Row],[HH Produtivo
Total]]/MIP_4[[#This Row],[HH Trabalhado]]</f>
        <v>0</v>
      </c>
      <c r="AA336" s="38">
        <f ca="1">MIP_4[[#This Row],[HH Produtivo
Total]]/MIP_4[[#This Row],[HH disponível]]</f>
        <v>0</v>
      </c>
      <c r="AB336" s="38">
        <f>MIP_4[[#This Row],[HH Trabalhado]]/MIP_4[[#This Row],[HH disponível]]</f>
        <v>0.88636363636363591</v>
      </c>
      <c r="AC336" s="37" t="str">
        <f>LEFT(MIP_4[[#This Row],[Equipe]], SEARCH("/",MIP_4[[#This Row],[Equipe]],1)-1)</f>
        <v xml:space="preserve">ADEMÁRIO </v>
      </c>
      <c r="AD336" s="37" t="str">
        <f>RIGHT(MIP_4[[#This Row],[Equipe]], LEN(MIP_4[[#This Row],[Equipe]])-SEARCH("/",MIP_4[[#This Row],[Equipe]],1))</f>
        <v xml:space="preserve"> RONALDO</v>
      </c>
      <c r="AE336" s="44">
        <f>COUNTIFS('[1]Tempo parado'!G:G,"&gt;="&amp;MIP_4[[#This Row],[S.B Sitrack]],'[1]Tempo parado'!H:H,"&lt;="&amp;MIP_4[[#This Row],[C.B Sitrack]],'[1]Tempo parado'!A:A,MIP_4[[#This Row],[Placa]])</f>
        <v>0</v>
      </c>
      <c r="AF336" s="36"/>
      <c r="AG336" s="35"/>
      <c r="AH336" s="34"/>
      <c r="AI336" s="34"/>
      <c r="AJ33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3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3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36" s="32" t="str">
        <f>IFERROR(MIP_4[[#This Row],[Tempo parado]]/(MIP_4[[#This Row],[C.B Sitrack]]-MIP_4[[#This Row],[S.B Sitrack]]),"")</f>
        <v/>
      </c>
      <c r="AN336" s="30"/>
      <c r="AO336" s="44">
        <f>IF(AND(MIP_4[Exc]=0,MIP_4[Previsto / Realizado]="Realizado"),MIP_4[Sem],0)</f>
        <v>0</v>
      </c>
      <c r="AP336" s="29">
        <f>IF(AND(MIP_4[Exc]=0,MIP_4[Previsto / Realizado]="Realizado",ISBLANK(MIP_4[[#This Row],[S.B Sitrack]])=FALSE,ISBLANK(MIP_4[[#This Row],[C.B Sitrack]])=FALSE),MIP_4[Sem],0)</f>
        <v>0</v>
      </c>
    </row>
    <row r="337" spans="1:42" ht="15.75" x14ac:dyDescent="0.25">
      <c r="A337" s="44">
        <f>WEEKNUM(MIP_4[[#This Row],[Data]])</f>
        <v>32</v>
      </c>
      <c r="B337" s="45">
        <v>42953</v>
      </c>
      <c r="C337" s="45"/>
      <c r="D337" s="35" t="s">
        <v>19</v>
      </c>
      <c r="E337" s="35" t="s">
        <v>2</v>
      </c>
      <c r="F337" s="35"/>
      <c r="G337" s="44">
        <v>2</v>
      </c>
      <c r="H337" s="44">
        <v>0</v>
      </c>
      <c r="I337" s="44">
        <v>0</v>
      </c>
      <c r="J337" s="44">
        <v>0</v>
      </c>
      <c r="K337" s="44">
        <v>4</v>
      </c>
      <c r="L337" s="43">
        <v>0.62291666666666667</v>
      </c>
      <c r="M337" s="43">
        <v>0.65972222222222221</v>
      </c>
      <c r="N337" s="43">
        <f>1+15/24/60</f>
        <v>1.0104166666666667</v>
      </c>
      <c r="O337" s="43">
        <f>1+52/24/60</f>
        <v>1.0361111111111112</v>
      </c>
      <c r="P337" s="39">
        <v>0.25</v>
      </c>
      <c r="Q337" s="42" t="s">
        <v>342</v>
      </c>
      <c r="R337" s="29">
        <f>MIP_4[[#This Row],[PT-1]]+MIP_4[[#This Row],[PT-2]]*2+MIP_4[[#This Row],[PT-3]]*3+MIP_4[[#This Row],[PT &gt; 3 Pontos]]</f>
        <v>4</v>
      </c>
      <c r="S33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0.3125</v>
      </c>
      <c r="T33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6.25E-2</v>
      </c>
      <c r="U337" s="41">
        <f ca="1">MIP_4[[#This Row],[Eficiência]]</f>
        <v>1.3721005020365626</v>
      </c>
      <c r="V33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37" s="39">
        <f>IF(MIP_4[[#This Row],[P.S]]-MIP_4[[#This Row],[P.E]]&lt;0,1+MIP_4[[#This Row],[P.S]]-MIP_4[[#This Row],[P.E]]-1/24,MIP_4[[#This Row],[P.S]]-MIP_4[[#This Row],[P.E]]-1/24)</f>
        <v>0.37152777777777785</v>
      </c>
      <c r="X337" s="39">
        <f ca="1">MIP_4[[#This Row],[PT-1]]*$S$3+MIP_4[[#This Row],[PT-2]]*$T$3+MIP_4[[#This Row],[PT-3]]*$U$3+MIP_4[[#This Row],[PT &gt; 3 Pontos]]*$V$3</f>
        <v>8.0992043522991636E-2</v>
      </c>
      <c r="Y337" s="39">
        <f>MIP_4[[#This Row],[HH disponível]]-MIP_4[[#This Row],[HH AC TOT]]</f>
        <v>5.9027777777777846E-2</v>
      </c>
      <c r="Z337" s="38">
        <f ca="1">MIP_4[[#This Row],[HH Produtivo
Total]]/MIP_4[[#This Row],[HH Trabalhado]]</f>
        <v>1.3721005020365626</v>
      </c>
      <c r="AA337" s="38">
        <f ca="1">MIP_4[[#This Row],[HH Produtivo
Total]]/MIP_4[[#This Row],[HH disponível]]</f>
        <v>0.21799727602450081</v>
      </c>
      <c r="AB337" s="38">
        <f>MIP_4[[#This Row],[HH Trabalhado]]/MIP_4[[#This Row],[HH disponível]]</f>
        <v>0.15887850467289735</v>
      </c>
      <c r="AC337" s="37" t="str">
        <f>LEFT(MIP_4[[#This Row],[Equipe]], SEARCH("/",MIP_4[[#This Row],[Equipe]],1)-1)</f>
        <v xml:space="preserve">ADEMÁRIO </v>
      </c>
      <c r="AD337" s="37" t="str">
        <f>RIGHT(MIP_4[[#This Row],[Equipe]], LEN(MIP_4[[#This Row],[Equipe]])-SEARCH("/",MIP_4[[#This Row],[Equipe]],1))</f>
        <v xml:space="preserve"> RONALDO</v>
      </c>
      <c r="AE337" s="44">
        <f>COUNTIFS('[1]Tempo parado'!G:G,"&gt;="&amp;MIP_4[[#This Row],[S.B Sitrack]],'[1]Tempo parado'!H:H,"&lt;="&amp;MIP_4[[#This Row],[C.B Sitrack]],'[1]Tempo parado'!A:A,MIP_4[[#This Row],[Placa]])</f>
        <v>0</v>
      </c>
      <c r="AF337" s="36"/>
      <c r="AG337" s="35"/>
      <c r="AH337" s="34"/>
      <c r="AI337" s="34"/>
      <c r="AJ33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3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3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37" s="32" t="str">
        <f>IFERROR(MIP_4[[#This Row],[Tempo parado]]/(MIP_4[[#This Row],[C.B Sitrack]]-MIP_4[[#This Row],[S.B Sitrack]]),"")</f>
        <v/>
      </c>
      <c r="AN337" s="30"/>
      <c r="AO337" s="44">
        <f>IF(AND(MIP_4[Exc]=0,MIP_4[Previsto / Realizado]="Realizado"),MIP_4[Sem],0)</f>
        <v>32</v>
      </c>
      <c r="AP337" s="29">
        <f>IF(AND(MIP_4[Exc]=0,MIP_4[Previsto / Realizado]="Realizado",ISBLANK(MIP_4[[#This Row],[S.B Sitrack]])=FALSE,ISBLANK(MIP_4[[#This Row],[C.B Sitrack]])=FALSE),MIP_4[Sem],0)</f>
        <v>0</v>
      </c>
    </row>
    <row r="338" spans="1:42" ht="15.75" x14ac:dyDescent="0.25">
      <c r="A338" s="44">
        <f>WEEKNUM(MIP_4[[#This Row],[Data]])</f>
        <v>32</v>
      </c>
      <c r="B338" s="45">
        <v>42954</v>
      </c>
      <c r="C338" s="45"/>
      <c r="D338" s="35" t="s">
        <v>3</v>
      </c>
      <c r="E338" s="35" t="s">
        <v>5</v>
      </c>
      <c r="F338" s="35"/>
      <c r="G338" s="44">
        <v>2</v>
      </c>
      <c r="H338" s="44">
        <v>9</v>
      </c>
      <c r="I338" s="44">
        <v>3</v>
      </c>
      <c r="J338" s="44">
        <v>0</v>
      </c>
      <c r="K338" s="44">
        <v>0</v>
      </c>
      <c r="L338" s="43">
        <v>0.625</v>
      </c>
      <c r="M338" s="43">
        <v>0.64583333333333337</v>
      </c>
      <c r="N338" s="43">
        <f>1+18/24/60</f>
        <v>1.0125</v>
      </c>
      <c r="O338" s="43">
        <f>1+48/24/60</f>
        <v>1.0333333333333334</v>
      </c>
      <c r="P338" s="39"/>
      <c r="Q338" s="42"/>
      <c r="R338" s="29">
        <f>MIP_4[[#This Row],[PT-1]]+MIP_4[[#This Row],[PT-2]]*2+MIP_4[[#This Row],[PT-3]]*3+MIP_4[[#This Row],[PT &gt; 3 Pontos]]</f>
        <v>15</v>
      </c>
      <c r="S33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33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338" s="41">
        <f ca="1">MIP_4[[#This Row],[Eficiência]]</f>
        <v>1.098335307506503</v>
      </c>
      <c r="V33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38" s="39">
        <f>IF(MIP_4[[#This Row],[P.S]]-MIP_4[[#This Row],[P.E]]&lt;0,1+MIP_4[[#This Row],[P.S]]-MIP_4[[#This Row],[P.E]]-1/24,MIP_4[[#This Row],[P.S]]-MIP_4[[#This Row],[P.E]]-1/24)</f>
        <v>0.36666666666666675</v>
      </c>
      <c r="X338" s="39">
        <f ca="1">MIP_4[[#This Row],[PT-1]]*$S$3+MIP_4[[#This Row],[PT-2]]*$T$3+MIP_4[[#This Row],[PT-3]]*$U$3+MIP_4[[#This Row],[PT &gt; 3 Pontos]]*$V$3</f>
        <v>0.35695897493961337</v>
      </c>
      <c r="Y338" s="39">
        <f>MIP_4[[#This Row],[HH disponível]]-MIP_4[[#This Row],[HH AC TOT]]</f>
        <v>0.3249999999999999</v>
      </c>
      <c r="Z338" s="38">
        <f ca="1">MIP_4[[#This Row],[HH Produtivo
Total]]/MIP_4[[#This Row],[HH Trabalhado]]</f>
        <v>1.098335307506503</v>
      </c>
      <c r="AA338" s="38">
        <f ca="1">MIP_4[[#This Row],[HH Produtivo
Total]]/MIP_4[[#This Row],[HH disponível]]</f>
        <v>0.97352447710803625</v>
      </c>
      <c r="AB338" s="38">
        <f>MIP_4[[#This Row],[HH Trabalhado]]/MIP_4[[#This Row],[HH disponível]]</f>
        <v>0.88636363636363591</v>
      </c>
      <c r="AC338" s="37" t="str">
        <f>LEFT(MIP_4[[#This Row],[Equipe]], SEARCH("/",MIP_4[[#This Row],[Equipe]],1)-1)</f>
        <v xml:space="preserve">EDILTON </v>
      </c>
      <c r="AD338" s="37" t="str">
        <f>RIGHT(MIP_4[[#This Row],[Equipe]], LEN(MIP_4[[#This Row],[Equipe]])-SEARCH("/",MIP_4[[#This Row],[Equipe]],1))</f>
        <v xml:space="preserve"> GECIVALDO</v>
      </c>
      <c r="AE338" s="44">
        <f>COUNTIFS('[1]Tempo parado'!G:G,"&gt;="&amp;MIP_4[[#This Row],[S.B Sitrack]],'[1]Tempo parado'!H:H,"&lt;="&amp;MIP_4[[#This Row],[C.B Sitrack]],'[1]Tempo parado'!A:A,MIP_4[[#This Row],[Placa]])</f>
        <v>0</v>
      </c>
      <c r="AF338" s="36"/>
      <c r="AG338" s="35"/>
      <c r="AH338" s="34"/>
      <c r="AI338" s="34"/>
      <c r="AJ33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3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3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38" s="32" t="str">
        <f>IFERROR(MIP_4[[#This Row],[Tempo parado]]/(MIP_4[[#This Row],[C.B Sitrack]]-MIP_4[[#This Row],[S.B Sitrack]]),"")</f>
        <v/>
      </c>
      <c r="AN338" s="30"/>
      <c r="AO338" s="44">
        <f>IF(AND(MIP_4[Exc]=0,MIP_4[Previsto / Realizado]="Realizado"),MIP_4[Sem],0)</f>
        <v>0</v>
      </c>
      <c r="AP338" s="29">
        <f>IF(AND(MIP_4[Exc]=0,MIP_4[Previsto / Realizado]="Realizado",ISBLANK(MIP_4[[#This Row],[S.B Sitrack]])=FALSE,ISBLANK(MIP_4[[#This Row],[C.B Sitrack]])=FALSE),MIP_4[Sem],0)</f>
        <v>0</v>
      </c>
    </row>
    <row r="339" spans="1:42" ht="15.75" x14ac:dyDescent="0.25">
      <c r="A339" s="44">
        <f>WEEKNUM(MIP_4[[#This Row],[Data]])</f>
        <v>32</v>
      </c>
      <c r="B339" s="45">
        <v>42954</v>
      </c>
      <c r="C339" s="45"/>
      <c r="D339" s="35" t="s">
        <v>3</v>
      </c>
      <c r="E339" s="35" t="s">
        <v>2</v>
      </c>
      <c r="F339" s="35"/>
      <c r="G339" s="44">
        <v>2</v>
      </c>
      <c r="H339" s="44">
        <v>6</v>
      </c>
      <c r="I339" s="44">
        <v>3</v>
      </c>
      <c r="J339" s="44">
        <v>0</v>
      </c>
      <c r="K339" s="44">
        <v>0</v>
      </c>
      <c r="L339" s="43">
        <v>0.62222222222222223</v>
      </c>
      <c r="M339" s="43">
        <v>0.66180555555555554</v>
      </c>
      <c r="N339" s="43">
        <f>1+28/24/60</f>
        <v>1.0194444444444444</v>
      </c>
      <c r="O339" s="43">
        <f>1+48/24/60</f>
        <v>1.0333333333333334</v>
      </c>
      <c r="P339" s="39"/>
      <c r="Q339" s="42"/>
      <c r="R339" s="29">
        <f>MIP_4[[#This Row],[PT-1]]+MIP_4[[#This Row],[PT-2]]*2+MIP_4[[#This Row],[PT-3]]*3+MIP_4[[#This Row],[PT &gt; 3 Pontos]]</f>
        <v>12</v>
      </c>
      <c r="S33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5.3472222222222365E-2</v>
      </c>
      <c r="T33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5.3472222222222365E-2</v>
      </c>
      <c r="U339" s="41">
        <f ca="1">MIP_4[[#This Row],[Eficiência]]</f>
        <v>0.89210821786908723</v>
      </c>
      <c r="V33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39" s="39">
        <f>IF(MIP_4[[#This Row],[P.S]]-MIP_4[[#This Row],[P.E]]&lt;0,1+MIP_4[[#This Row],[P.S]]-MIP_4[[#This Row],[P.E]]-1/24,MIP_4[[#This Row],[P.S]]-MIP_4[[#This Row],[P.E]]-1/24)</f>
        <v>0.36944444444444452</v>
      </c>
      <c r="X339" s="39">
        <f ca="1">MIP_4[[#This Row],[PT-1]]*$S$3+MIP_4[[#This Row],[PT-2]]*$T$3+MIP_4[[#This Row],[PT-3]]*$U$3+MIP_4[[#This Row],[PT &gt; 3 Pontos]]*$V$3</f>
        <v>0.28188141606280182</v>
      </c>
      <c r="Y339" s="39">
        <f>MIP_4[[#This Row],[HH disponível]]-MIP_4[[#This Row],[HH AC TOT]]</f>
        <v>0.31597222222222215</v>
      </c>
      <c r="Z339" s="38">
        <f ca="1">MIP_4[[#This Row],[HH Produtivo
Total]]/MIP_4[[#This Row],[HH Trabalhado]]</f>
        <v>0.89210821786908723</v>
      </c>
      <c r="AA339" s="38">
        <f ca="1">MIP_4[[#This Row],[HH Produtivo
Total]]/MIP_4[[#This Row],[HH disponível]]</f>
        <v>0.76298729159856116</v>
      </c>
      <c r="AB339" s="38">
        <f>MIP_4[[#This Row],[HH Trabalhado]]/MIP_4[[#This Row],[HH disponível]]</f>
        <v>0.8552631578947365</v>
      </c>
      <c r="AC339" s="37" t="str">
        <f>LEFT(MIP_4[[#This Row],[Equipe]], SEARCH("/",MIP_4[[#This Row],[Equipe]],1)-1)</f>
        <v xml:space="preserve">EDILTON </v>
      </c>
      <c r="AD339" s="37" t="str">
        <f>RIGHT(MIP_4[[#This Row],[Equipe]], LEN(MIP_4[[#This Row],[Equipe]])-SEARCH("/",MIP_4[[#This Row],[Equipe]],1))</f>
        <v xml:space="preserve"> GECIVALDO</v>
      </c>
      <c r="AE339" s="44">
        <f>COUNTIFS('[1]Tempo parado'!G:G,"&gt;="&amp;MIP_4[[#This Row],[S.B Sitrack]],'[1]Tempo parado'!H:H,"&lt;="&amp;MIP_4[[#This Row],[C.B Sitrack]],'[1]Tempo parado'!A:A,MIP_4[[#This Row],[Placa]])</f>
        <v>0</v>
      </c>
      <c r="AF339" s="36"/>
      <c r="AG339" s="35"/>
      <c r="AH339" s="34"/>
      <c r="AI339" s="34"/>
      <c r="AJ33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3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3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39" s="32" t="str">
        <f>IFERROR(MIP_4[[#This Row],[Tempo parado]]/(MIP_4[[#This Row],[C.B Sitrack]]-MIP_4[[#This Row],[S.B Sitrack]]),"")</f>
        <v/>
      </c>
      <c r="AN339" s="30"/>
      <c r="AO339" s="44">
        <f>IF(AND(MIP_4[Exc]=0,MIP_4[Previsto / Realizado]="Realizado"),MIP_4[Sem],0)</f>
        <v>32</v>
      </c>
      <c r="AP339" s="29">
        <f>IF(AND(MIP_4[Exc]=0,MIP_4[Previsto / Realizado]="Realizado",ISBLANK(MIP_4[[#This Row],[S.B Sitrack]])=FALSE,ISBLANK(MIP_4[[#This Row],[C.B Sitrack]])=FALSE),MIP_4[Sem],0)</f>
        <v>0</v>
      </c>
    </row>
    <row r="340" spans="1:42" ht="15.75" x14ac:dyDescent="0.25">
      <c r="A340" s="44">
        <f>WEEKNUM(MIP_4[[#This Row],[Data]])</f>
        <v>32</v>
      </c>
      <c r="B340" s="45">
        <v>42955</v>
      </c>
      <c r="C340" s="45"/>
      <c r="D340" s="35" t="s">
        <v>341</v>
      </c>
      <c r="E340" s="35" t="s">
        <v>5</v>
      </c>
      <c r="F340" s="35"/>
      <c r="G340" s="44">
        <v>3</v>
      </c>
      <c r="H340" s="44">
        <v>11</v>
      </c>
      <c r="I340" s="44">
        <v>2</v>
      </c>
      <c r="J340" s="44">
        <v>0</v>
      </c>
      <c r="K340" s="44">
        <v>8</v>
      </c>
      <c r="L340" s="43">
        <v>0.625</v>
      </c>
      <c r="M340" s="43">
        <v>0.64583333333333337</v>
      </c>
      <c r="N340" s="43">
        <f>1+18/24/60</f>
        <v>1.0125</v>
      </c>
      <c r="O340" s="43">
        <f>1+48/24/60</f>
        <v>1.0333333333333334</v>
      </c>
      <c r="P340" s="39"/>
      <c r="Q340" s="42"/>
      <c r="R340" s="29">
        <f>MIP_4[[#This Row],[PT-1]]+MIP_4[[#This Row],[PT-2]]*2+MIP_4[[#This Row],[PT-3]]*3+MIP_4[[#This Row],[PT &gt; 3 Pontos]]</f>
        <v>23</v>
      </c>
      <c r="S34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34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340" s="41">
        <f ca="1">MIP_4[[#This Row],[Eficiência]]</f>
        <v>1.6156492363089587</v>
      </c>
      <c r="V34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40" s="39">
        <f>IF(MIP_4[[#This Row],[P.S]]-MIP_4[[#This Row],[P.E]]&lt;0,1+MIP_4[[#This Row],[P.S]]-MIP_4[[#This Row],[P.E]]-1/24,MIP_4[[#This Row],[P.S]]-MIP_4[[#This Row],[P.E]]-1/24)</f>
        <v>0.36666666666666675</v>
      </c>
      <c r="X340" s="39">
        <f ca="1">MIP_4[[#This Row],[PT-1]]*$S$3+MIP_4[[#This Row],[PT-2]]*$T$3+MIP_4[[#This Row],[PT-3]]*$U$3+MIP_4[[#This Row],[PT &gt; 3 Pontos]]*$V$3</f>
        <v>0.52508600180041143</v>
      </c>
      <c r="Y340" s="39">
        <f>MIP_4[[#This Row],[HH disponível]]-MIP_4[[#This Row],[HH AC TOT]]</f>
        <v>0.3249999999999999</v>
      </c>
      <c r="Z340" s="38">
        <f ca="1">MIP_4[[#This Row],[HH Produtivo
Total]]/MIP_4[[#This Row],[HH Trabalhado]]</f>
        <v>1.6156492363089587</v>
      </c>
      <c r="AA340" s="38">
        <f ca="1">MIP_4[[#This Row],[HH Produtivo
Total]]/MIP_4[[#This Row],[HH disponível]]</f>
        <v>1.4320527321829399</v>
      </c>
      <c r="AB340" s="38">
        <f>MIP_4[[#This Row],[HH Trabalhado]]/MIP_4[[#This Row],[HH disponível]]</f>
        <v>0.88636363636363591</v>
      </c>
      <c r="AC340" s="37" t="str">
        <f>LEFT(MIP_4[[#This Row],[Equipe]], SEARCH("/",MIP_4[[#This Row],[Equipe]],1)-1)</f>
        <v xml:space="preserve">ANDERSON </v>
      </c>
      <c r="AD340" s="37" t="str">
        <f>RIGHT(MIP_4[[#This Row],[Equipe]], LEN(MIP_4[[#This Row],[Equipe]])-SEARCH("/",MIP_4[[#This Row],[Equipe]],1))</f>
        <v xml:space="preserve"> EDILTON / GECIVALDO</v>
      </c>
      <c r="AE340" s="44">
        <f>COUNTIFS('[1]Tempo parado'!G:G,"&gt;="&amp;MIP_4[[#This Row],[S.B Sitrack]],'[1]Tempo parado'!H:H,"&lt;="&amp;MIP_4[[#This Row],[C.B Sitrack]],'[1]Tempo parado'!A:A,MIP_4[[#This Row],[Placa]])</f>
        <v>0</v>
      </c>
      <c r="AF340" s="36"/>
      <c r="AG340" s="35"/>
      <c r="AH340" s="34"/>
      <c r="AI340" s="34"/>
      <c r="AJ34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4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4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40" s="32" t="str">
        <f>IFERROR(MIP_4[[#This Row],[Tempo parado]]/(MIP_4[[#This Row],[C.B Sitrack]]-MIP_4[[#This Row],[S.B Sitrack]]),"")</f>
        <v/>
      </c>
      <c r="AN340" s="30"/>
      <c r="AO340" s="44">
        <f>IF(AND(MIP_4[Exc]=0,MIP_4[Previsto / Realizado]="Realizado"),MIP_4[Sem],0)</f>
        <v>0</v>
      </c>
      <c r="AP340" s="29">
        <f>IF(AND(MIP_4[Exc]=0,MIP_4[Previsto / Realizado]="Realizado",ISBLANK(MIP_4[[#This Row],[S.B Sitrack]])=FALSE,ISBLANK(MIP_4[[#This Row],[C.B Sitrack]])=FALSE),MIP_4[Sem],0)</f>
        <v>0</v>
      </c>
    </row>
    <row r="341" spans="1:42" ht="15.75" x14ac:dyDescent="0.25">
      <c r="A341" s="44">
        <f>WEEKNUM(MIP_4[[#This Row],[Data]])</f>
        <v>32</v>
      </c>
      <c r="B341" s="45">
        <v>42955</v>
      </c>
      <c r="C341" s="45"/>
      <c r="D341" s="35" t="s">
        <v>341</v>
      </c>
      <c r="E341" s="35" t="s">
        <v>2</v>
      </c>
      <c r="F341" s="35"/>
      <c r="G341" s="44">
        <v>3</v>
      </c>
      <c r="H341" s="44">
        <v>5</v>
      </c>
      <c r="I341" s="44">
        <v>0</v>
      </c>
      <c r="J341" s="44">
        <v>0</v>
      </c>
      <c r="K341" s="44">
        <v>8</v>
      </c>
      <c r="L341" s="43">
        <v>0.63680555555555551</v>
      </c>
      <c r="M341" s="43">
        <v>0.65347222222222223</v>
      </c>
      <c r="N341" s="43">
        <v>0.97916666666666663</v>
      </c>
      <c r="O341" s="43">
        <f>1+58/24/60</f>
        <v>1.0402777777777779</v>
      </c>
      <c r="P341" s="39"/>
      <c r="Q341" s="42"/>
      <c r="R341" s="29">
        <f>MIP_4[[#This Row],[PT-1]]+MIP_4[[#This Row],[PT-2]]*2+MIP_4[[#This Row],[PT-3]]*3+MIP_4[[#This Row],[PT &gt; 3 Pontos]]</f>
        <v>13</v>
      </c>
      <c r="S34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7.7777777777777946E-2</v>
      </c>
      <c r="T34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7.7777777777777946E-2</v>
      </c>
      <c r="U341" s="41">
        <f ca="1">MIP_4[[#This Row],[Eficiência]]</f>
        <v>1.010863634842454</v>
      </c>
      <c r="V34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41" s="39">
        <f>IF(MIP_4[[#This Row],[P.S]]-MIP_4[[#This Row],[P.E]]&lt;0,1+MIP_4[[#This Row],[P.S]]-MIP_4[[#This Row],[P.E]]-1/24,MIP_4[[#This Row],[P.S]]-MIP_4[[#This Row],[P.E]]-1/24)</f>
        <v>0.36180555555555566</v>
      </c>
      <c r="X341" s="39">
        <f ca="1">MIP_4[[#This Row],[PT-1]]*$S$3+MIP_4[[#This Row],[PT-2]]*$T$3+MIP_4[[#This Row],[PT-3]]*$U$3+MIP_4[[#This Row],[PT &gt; 3 Pontos]]*$V$3</f>
        <v>0.28711335184066916</v>
      </c>
      <c r="Y341" s="39">
        <f>MIP_4[[#This Row],[HH disponível]]-MIP_4[[#This Row],[HH AC TOT]]</f>
        <v>0.28402777777777771</v>
      </c>
      <c r="Z341" s="38">
        <f ca="1">MIP_4[[#This Row],[HH Produtivo
Total]]/MIP_4[[#This Row],[HH Trabalhado]]</f>
        <v>1.010863634842454</v>
      </c>
      <c r="AA341" s="38">
        <f ca="1">MIP_4[[#This Row],[HH Produtivo
Total]]/MIP_4[[#This Row],[HH disponível]]</f>
        <v>0.79355705691087042</v>
      </c>
      <c r="AB341" s="38">
        <f>MIP_4[[#This Row],[HH Trabalhado]]/MIP_4[[#This Row],[HH disponível]]</f>
        <v>0.78502879078694776</v>
      </c>
      <c r="AC341" s="37" t="str">
        <f>LEFT(MIP_4[[#This Row],[Equipe]], SEARCH("/",MIP_4[[#This Row],[Equipe]],1)-1)</f>
        <v xml:space="preserve">ANDERSON </v>
      </c>
      <c r="AD341" s="37" t="str">
        <f>RIGHT(MIP_4[[#This Row],[Equipe]], LEN(MIP_4[[#This Row],[Equipe]])-SEARCH("/",MIP_4[[#This Row],[Equipe]],1))</f>
        <v xml:space="preserve"> EDILTON / GECIVALDO</v>
      </c>
      <c r="AE341" s="44">
        <f>COUNTIFS('[1]Tempo parado'!G:G,"&gt;="&amp;MIP_4[[#This Row],[S.B Sitrack]],'[1]Tempo parado'!H:H,"&lt;="&amp;MIP_4[[#This Row],[C.B Sitrack]],'[1]Tempo parado'!A:A,MIP_4[[#This Row],[Placa]])</f>
        <v>0</v>
      </c>
      <c r="AF341" s="36"/>
      <c r="AG341" s="35"/>
      <c r="AH341" s="34"/>
      <c r="AI341" s="34"/>
      <c r="AJ34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4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4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41" s="32" t="str">
        <f>IFERROR(MIP_4[[#This Row],[Tempo parado]]/(MIP_4[[#This Row],[C.B Sitrack]]-MIP_4[[#This Row],[S.B Sitrack]]),"")</f>
        <v/>
      </c>
      <c r="AN341" s="30"/>
      <c r="AO341" s="44">
        <f>IF(AND(MIP_4[Exc]=0,MIP_4[Previsto / Realizado]="Realizado"),MIP_4[Sem],0)</f>
        <v>32</v>
      </c>
      <c r="AP341" s="29">
        <f>IF(AND(MIP_4[Exc]=0,MIP_4[Previsto / Realizado]="Realizado",ISBLANK(MIP_4[[#This Row],[S.B Sitrack]])=FALSE,ISBLANK(MIP_4[[#This Row],[C.B Sitrack]])=FALSE),MIP_4[Sem],0)</f>
        <v>0</v>
      </c>
    </row>
    <row r="342" spans="1:42" ht="15.75" x14ac:dyDescent="0.25">
      <c r="A342" s="44">
        <f>WEEKNUM(MIP_4[[#This Row],[Data]])</f>
        <v>32</v>
      </c>
      <c r="B342" s="45">
        <v>42955</v>
      </c>
      <c r="C342" s="45"/>
      <c r="D342" s="35" t="s">
        <v>10</v>
      </c>
      <c r="E342" s="35" t="s">
        <v>5</v>
      </c>
      <c r="F342" s="35"/>
      <c r="G342" s="44">
        <v>2</v>
      </c>
      <c r="H342" s="44">
        <v>6</v>
      </c>
      <c r="I342" s="44">
        <v>0</v>
      </c>
      <c r="J342" s="44">
        <v>0</v>
      </c>
      <c r="K342" s="44">
        <v>4</v>
      </c>
      <c r="L342" s="43">
        <v>0.25</v>
      </c>
      <c r="M342" s="43">
        <v>0.27083333333333331</v>
      </c>
      <c r="N342" s="43">
        <v>0.63750000000000007</v>
      </c>
      <c r="O342" s="43">
        <v>0.65833333333333333</v>
      </c>
      <c r="P342" s="39"/>
      <c r="Q342" s="42" t="s">
        <v>70</v>
      </c>
      <c r="R342" s="29">
        <f>MIP_4[[#This Row],[PT-1]]+MIP_4[[#This Row],[PT-2]]*2+MIP_4[[#This Row],[PT-3]]*3+MIP_4[[#This Row],[PT &gt; 3 Pontos]]</f>
        <v>10</v>
      </c>
      <c r="S34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34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342" s="41">
        <f ca="1">MIP_4[[#This Row],[Eficiência]]</f>
        <v>0.71122203469727596</v>
      </c>
      <c r="V34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42" s="39">
        <f>IF(MIP_4[[#This Row],[P.S]]-MIP_4[[#This Row],[P.E]]&lt;0,1+MIP_4[[#This Row],[P.S]]-MIP_4[[#This Row],[P.E]]-1/24,MIP_4[[#This Row],[P.S]]-MIP_4[[#This Row],[P.E]]-1/24)</f>
        <v>0.36666666666666664</v>
      </c>
      <c r="X342" s="39">
        <f ca="1">MIP_4[[#This Row],[PT-1]]*$S$3+MIP_4[[#This Row],[PT-2]]*$T$3+MIP_4[[#This Row],[PT-3]]*$U$3+MIP_4[[#This Row],[PT &gt; 3 Pontos]]*$V$3</f>
        <v>0.23114716127661472</v>
      </c>
      <c r="Y342" s="39">
        <f>MIP_4[[#This Row],[HH disponível]]-MIP_4[[#This Row],[HH AC TOT]]</f>
        <v>0.32500000000000007</v>
      </c>
      <c r="Z342" s="38">
        <f ca="1">MIP_4[[#This Row],[HH Produtivo
Total]]/MIP_4[[#This Row],[HH Trabalhado]]</f>
        <v>0.71122203469727596</v>
      </c>
      <c r="AA342" s="38">
        <f ca="1">MIP_4[[#This Row],[HH Produtivo
Total]]/MIP_4[[#This Row],[HH disponível]]</f>
        <v>0.63040134893622202</v>
      </c>
      <c r="AB342" s="38">
        <f>MIP_4[[#This Row],[HH Trabalhado]]/MIP_4[[#This Row],[HH disponível]]</f>
        <v>0.88636363636363658</v>
      </c>
      <c r="AC342" s="37" t="str">
        <f>LEFT(MIP_4[[#This Row],[Equipe]], SEARCH("/",MIP_4[[#This Row],[Equipe]],1)-1)</f>
        <v xml:space="preserve">JOILSON </v>
      </c>
      <c r="AD342" s="37" t="str">
        <f>RIGHT(MIP_4[[#This Row],[Equipe]], LEN(MIP_4[[#This Row],[Equipe]])-SEARCH("/",MIP_4[[#This Row],[Equipe]],1))</f>
        <v xml:space="preserve"> VALDEI</v>
      </c>
      <c r="AE342" s="44">
        <f>COUNTIFS('[1]Tempo parado'!G:G,"&gt;="&amp;MIP_4[[#This Row],[S.B Sitrack]],'[1]Tempo parado'!H:H,"&lt;="&amp;MIP_4[[#This Row],[C.B Sitrack]],'[1]Tempo parado'!A:A,MIP_4[[#This Row],[Placa]])</f>
        <v>0</v>
      </c>
      <c r="AF342" s="36"/>
      <c r="AG342" s="35"/>
      <c r="AH342" s="34"/>
      <c r="AI342" s="34"/>
      <c r="AJ34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4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4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42" s="32" t="str">
        <f>IFERROR(MIP_4[[#This Row],[Tempo parado]]/(MIP_4[[#This Row],[C.B Sitrack]]-MIP_4[[#This Row],[S.B Sitrack]]),"")</f>
        <v/>
      </c>
      <c r="AN342" s="30"/>
      <c r="AO342" s="44">
        <f>IF(AND(MIP_4[Exc]=0,MIP_4[Previsto / Realizado]="Realizado"),MIP_4[Sem],0)</f>
        <v>0</v>
      </c>
      <c r="AP342" s="29">
        <f>IF(AND(MIP_4[Exc]=0,MIP_4[Previsto / Realizado]="Realizado",ISBLANK(MIP_4[[#This Row],[S.B Sitrack]])=FALSE,ISBLANK(MIP_4[[#This Row],[C.B Sitrack]])=FALSE),MIP_4[Sem],0)</f>
        <v>0</v>
      </c>
    </row>
    <row r="343" spans="1:42" ht="15.75" x14ac:dyDescent="0.25">
      <c r="A343" s="44">
        <f>WEEKNUM(MIP_4[[#This Row],[Data]])</f>
        <v>32</v>
      </c>
      <c r="B343" s="45">
        <v>42955</v>
      </c>
      <c r="C343" s="45"/>
      <c r="D343" s="35" t="s">
        <v>10</v>
      </c>
      <c r="E343" s="35" t="s">
        <v>2</v>
      </c>
      <c r="F343" s="35"/>
      <c r="G343" s="44">
        <v>2</v>
      </c>
      <c r="H343" s="44">
        <v>6</v>
      </c>
      <c r="I343" s="44">
        <v>0</v>
      </c>
      <c r="J343" s="44">
        <v>0</v>
      </c>
      <c r="K343" s="44">
        <v>4</v>
      </c>
      <c r="L343" s="43">
        <v>0.25416666666666665</v>
      </c>
      <c r="M343" s="43">
        <v>0.29166666666666669</v>
      </c>
      <c r="N343" s="43">
        <v>0.6479166666666667</v>
      </c>
      <c r="O343" s="43">
        <v>0.67361111111111116</v>
      </c>
      <c r="P343" s="39"/>
      <c r="Q343" s="42"/>
      <c r="R343" s="29">
        <f>MIP_4[[#This Row],[PT-1]]+MIP_4[[#This Row],[PT-2]]*2+MIP_4[[#This Row],[PT-3]]*3+MIP_4[[#This Row],[PT &gt; 3 Pontos]]</f>
        <v>10</v>
      </c>
      <c r="S34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6.3194444444444497E-2</v>
      </c>
      <c r="T34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6.3194444444444497E-2</v>
      </c>
      <c r="U343" s="41">
        <f ca="1">MIP_4[[#This Row],[Eficiência]]</f>
        <v>0.73477243319718588</v>
      </c>
      <c r="V34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43" s="39">
        <f>IF(MIP_4[[#This Row],[P.S]]-MIP_4[[#This Row],[P.E]]&lt;0,1+MIP_4[[#This Row],[P.S]]-MIP_4[[#This Row],[P.E]]-1/24,MIP_4[[#This Row],[P.S]]-MIP_4[[#This Row],[P.E]]-1/24)</f>
        <v>0.37777777777777782</v>
      </c>
      <c r="X343" s="39">
        <f ca="1">MIP_4[[#This Row],[PT-1]]*$S$3+MIP_4[[#This Row],[PT-2]]*$T$3+MIP_4[[#This Row],[PT-3]]*$U$3+MIP_4[[#This Row],[PT &gt; 3 Pontos]]*$V$3</f>
        <v>0.23114716127661472</v>
      </c>
      <c r="Y343" s="39">
        <f>MIP_4[[#This Row],[HH disponível]]-MIP_4[[#This Row],[HH AC TOT]]</f>
        <v>0.31458333333333333</v>
      </c>
      <c r="Z343" s="38">
        <f ca="1">MIP_4[[#This Row],[HH Produtivo
Total]]/MIP_4[[#This Row],[HH Trabalhado]]</f>
        <v>0.73477243319718588</v>
      </c>
      <c r="AA343" s="38">
        <f ca="1">MIP_4[[#This Row],[HH Produtivo
Total]]/MIP_4[[#This Row],[HH disponível]]</f>
        <v>0.6118601327910389</v>
      </c>
      <c r="AB343" s="38">
        <f>MIP_4[[#This Row],[HH Trabalhado]]/MIP_4[[#This Row],[HH disponível]]</f>
        <v>0.83272058823529405</v>
      </c>
      <c r="AC343" s="37" t="str">
        <f>LEFT(MIP_4[[#This Row],[Equipe]], SEARCH("/",MIP_4[[#This Row],[Equipe]],1)-1)</f>
        <v xml:space="preserve">JOILSON </v>
      </c>
      <c r="AD343" s="37" t="str">
        <f>RIGHT(MIP_4[[#This Row],[Equipe]], LEN(MIP_4[[#This Row],[Equipe]])-SEARCH("/",MIP_4[[#This Row],[Equipe]],1))</f>
        <v xml:space="preserve"> VALDEI</v>
      </c>
      <c r="AE343" s="44">
        <f>COUNTIFS('[1]Tempo parado'!G:G,"&gt;="&amp;MIP_4[[#This Row],[S.B Sitrack]],'[1]Tempo parado'!H:H,"&lt;="&amp;MIP_4[[#This Row],[C.B Sitrack]],'[1]Tempo parado'!A:A,MIP_4[[#This Row],[Placa]])</f>
        <v>0</v>
      </c>
      <c r="AF343" s="36"/>
      <c r="AG343" s="35"/>
      <c r="AH343" s="34"/>
      <c r="AI343" s="34"/>
      <c r="AJ34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4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4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43" s="32" t="str">
        <f>IFERROR(MIP_4[[#This Row],[Tempo parado]]/(MIP_4[[#This Row],[C.B Sitrack]]-MIP_4[[#This Row],[S.B Sitrack]]),"")</f>
        <v/>
      </c>
      <c r="AN343" s="30"/>
      <c r="AO343" s="44">
        <f>IF(AND(MIP_4[Exc]=0,MIP_4[Previsto / Realizado]="Realizado"),MIP_4[Sem],0)</f>
        <v>32</v>
      </c>
      <c r="AP343" s="29">
        <f>IF(AND(MIP_4[Exc]=0,MIP_4[Previsto / Realizado]="Realizado",ISBLANK(MIP_4[[#This Row],[S.B Sitrack]])=FALSE,ISBLANK(MIP_4[[#This Row],[C.B Sitrack]])=FALSE),MIP_4[Sem],0)</f>
        <v>0</v>
      </c>
    </row>
    <row r="344" spans="1:42" ht="15.75" x14ac:dyDescent="0.25">
      <c r="A344" s="44">
        <f>WEEKNUM(MIP_4[[#This Row],[Data]])</f>
        <v>32</v>
      </c>
      <c r="B344" s="45">
        <v>42956</v>
      </c>
      <c r="C344" s="45"/>
      <c r="D344" s="35" t="s">
        <v>10</v>
      </c>
      <c r="E344" s="35" t="s">
        <v>5</v>
      </c>
      <c r="F344" s="35"/>
      <c r="G344" s="44">
        <v>2</v>
      </c>
      <c r="H344" s="44">
        <v>8</v>
      </c>
      <c r="I344" s="44">
        <v>3</v>
      </c>
      <c r="J344" s="44">
        <v>0</v>
      </c>
      <c r="K344" s="44">
        <v>0</v>
      </c>
      <c r="L344" s="43">
        <v>0.25</v>
      </c>
      <c r="M344" s="43">
        <v>0.27083333333333331</v>
      </c>
      <c r="N344" s="43">
        <v>0.63750000000000007</v>
      </c>
      <c r="O344" s="43">
        <v>0.65833333333333333</v>
      </c>
      <c r="P344" s="39"/>
      <c r="Q344" s="42"/>
      <c r="R344" s="29">
        <f>MIP_4[[#This Row],[PT-1]]+MIP_4[[#This Row],[PT-2]]*2+MIP_4[[#This Row],[PT-3]]*3+MIP_4[[#This Row],[PT &gt; 3 Pontos]]</f>
        <v>14</v>
      </c>
      <c r="S34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34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344" s="41">
        <f ca="1">MIP_4[[#This Row],[Eficiência]]</f>
        <v>1.0213326830174649</v>
      </c>
      <c r="V34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44" s="39">
        <f>IF(MIP_4[[#This Row],[P.S]]-MIP_4[[#This Row],[P.E]]&lt;0,1+MIP_4[[#This Row],[P.S]]-MIP_4[[#This Row],[P.E]]-1/24,MIP_4[[#This Row],[P.S]]-MIP_4[[#This Row],[P.E]]-1/24)</f>
        <v>0.36666666666666664</v>
      </c>
      <c r="X344" s="39">
        <f ca="1">MIP_4[[#This Row],[PT-1]]*$S$3+MIP_4[[#This Row],[PT-2]]*$T$3+MIP_4[[#This Row],[PT-3]]*$U$3+MIP_4[[#This Row],[PT &gt; 3 Pontos]]*$V$3</f>
        <v>0.3319331219806762</v>
      </c>
      <c r="Y344" s="39">
        <f>MIP_4[[#This Row],[HH disponível]]-MIP_4[[#This Row],[HH AC TOT]]</f>
        <v>0.32500000000000007</v>
      </c>
      <c r="Z344" s="38">
        <f ca="1">MIP_4[[#This Row],[HH Produtivo
Total]]/MIP_4[[#This Row],[HH Trabalhado]]</f>
        <v>1.0213326830174649</v>
      </c>
      <c r="AA344" s="38">
        <f ca="1">MIP_4[[#This Row],[HH Produtivo
Total]]/MIP_4[[#This Row],[HH disponível]]</f>
        <v>0.90527215085638968</v>
      </c>
      <c r="AB344" s="38">
        <f>MIP_4[[#This Row],[HH Trabalhado]]/MIP_4[[#This Row],[HH disponível]]</f>
        <v>0.88636363636363658</v>
      </c>
      <c r="AC344" s="37" t="str">
        <f>LEFT(MIP_4[[#This Row],[Equipe]], SEARCH("/",MIP_4[[#This Row],[Equipe]],1)-1)</f>
        <v xml:space="preserve">JOILSON </v>
      </c>
      <c r="AD344" s="37" t="str">
        <f>RIGHT(MIP_4[[#This Row],[Equipe]], LEN(MIP_4[[#This Row],[Equipe]])-SEARCH("/",MIP_4[[#This Row],[Equipe]],1))</f>
        <v xml:space="preserve"> VALDEI</v>
      </c>
      <c r="AE344" s="44">
        <f>COUNTIFS('[1]Tempo parado'!G:G,"&gt;="&amp;MIP_4[[#This Row],[S.B Sitrack]],'[1]Tempo parado'!H:H,"&lt;="&amp;MIP_4[[#This Row],[C.B Sitrack]],'[1]Tempo parado'!A:A,MIP_4[[#This Row],[Placa]])</f>
        <v>0</v>
      </c>
      <c r="AF344" s="36"/>
      <c r="AG344" s="35"/>
      <c r="AH344" s="34"/>
      <c r="AI344" s="34"/>
      <c r="AJ34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4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4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44" s="32" t="str">
        <f>IFERROR(MIP_4[[#This Row],[Tempo parado]]/(MIP_4[[#This Row],[C.B Sitrack]]-MIP_4[[#This Row],[S.B Sitrack]]),"")</f>
        <v/>
      </c>
      <c r="AN344" s="30"/>
      <c r="AO344" s="44">
        <f>IF(AND(MIP_4[Exc]=0,MIP_4[Previsto / Realizado]="Realizado"),MIP_4[Sem],0)</f>
        <v>0</v>
      </c>
      <c r="AP344" s="29">
        <f>IF(AND(MIP_4[Exc]=0,MIP_4[Previsto / Realizado]="Realizado",ISBLANK(MIP_4[[#This Row],[S.B Sitrack]])=FALSE,ISBLANK(MIP_4[[#This Row],[C.B Sitrack]])=FALSE),MIP_4[Sem],0)</f>
        <v>0</v>
      </c>
    </row>
    <row r="345" spans="1:42" ht="15.75" x14ac:dyDescent="0.25">
      <c r="A345" s="44">
        <f>WEEKNUM(MIP_4[[#This Row],[Data]])</f>
        <v>32</v>
      </c>
      <c r="B345" s="45">
        <v>42956</v>
      </c>
      <c r="C345" s="45"/>
      <c r="D345" s="35" t="s">
        <v>10</v>
      </c>
      <c r="E345" s="35" t="s">
        <v>2</v>
      </c>
      <c r="F345" s="35"/>
      <c r="G345" s="44">
        <v>2</v>
      </c>
      <c r="H345" s="44">
        <v>6</v>
      </c>
      <c r="I345" s="44">
        <v>3</v>
      </c>
      <c r="J345" s="44">
        <v>0</v>
      </c>
      <c r="K345" s="44">
        <v>0</v>
      </c>
      <c r="L345" s="43">
        <v>0.25416666666666665</v>
      </c>
      <c r="M345" s="43">
        <v>0.3034722222222222</v>
      </c>
      <c r="N345" s="43">
        <v>0.61458333333333337</v>
      </c>
      <c r="O345" s="43">
        <v>0.65833333333333333</v>
      </c>
      <c r="P345" s="39"/>
      <c r="Q345" s="42"/>
      <c r="R345" s="29">
        <f>MIP_4[[#This Row],[PT-1]]+MIP_4[[#This Row],[PT-2]]*2+MIP_4[[#This Row],[PT-3]]*3+MIP_4[[#This Row],[PT &gt; 3 Pontos]]</f>
        <v>12</v>
      </c>
      <c r="S34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9.3055555555555503E-2</v>
      </c>
      <c r="T34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9.3055555555555503E-2</v>
      </c>
      <c r="U345" s="41">
        <f ca="1">MIP_4[[#This Row],[Eficiência]]</f>
        <v>1.0461578328103984</v>
      </c>
      <c r="V34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45" s="39">
        <f>IF(MIP_4[[#This Row],[P.S]]-MIP_4[[#This Row],[P.E]]&lt;0,1+MIP_4[[#This Row],[P.S]]-MIP_4[[#This Row],[P.E]]-1/24,MIP_4[[#This Row],[P.S]]-MIP_4[[#This Row],[P.E]]-1/24)</f>
        <v>0.36249999999999999</v>
      </c>
      <c r="X345" s="39">
        <f ca="1">MIP_4[[#This Row],[PT-1]]*$S$3+MIP_4[[#This Row],[PT-2]]*$T$3+MIP_4[[#This Row],[PT-3]]*$U$3+MIP_4[[#This Row],[PT &gt; 3 Pontos]]*$V$3</f>
        <v>0.28188141606280182</v>
      </c>
      <c r="Y345" s="39">
        <f>MIP_4[[#This Row],[HH disponível]]-MIP_4[[#This Row],[HH AC TOT]]</f>
        <v>0.26944444444444449</v>
      </c>
      <c r="Z345" s="38">
        <f ca="1">MIP_4[[#This Row],[HH Produtivo
Total]]/MIP_4[[#This Row],[HH Trabalhado]]</f>
        <v>1.0461578328103984</v>
      </c>
      <c r="AA345" s="38">
        <f ca="1">MIP_4[[#This Row],[HH Produtivo
Total]]/MIP_4[[#This Row],[HH disponível]]</f>
        <v>0.77760390638014298</v>
      </c>
      <c r="AB345" s="38">
        <f>MIP_4[[#This Row],[HH Trabalhado]]/MIP_4[[#This Row],[HH disponível]]</f>
        <v>0.74329501915708829</v>
      </c>
      <c r="AC345" s="37" t="str">
        <f>LEFT(MIP_4[[#This Row],[Equipe]], SEARCH("/",MIP_4[[#This Row],[Equipe]],1)-1)</f>
        <v xml:space="preserve">JOILSON </v>
      </c>
      <c r="AD345" s="37" t="str">
        <f>RIGHT(MIP_4[[#This Row],[Equipe]], LEN(MIP_4[[#This Row],[Equipe]])-SEARCH("/",MIP_4[[#This Row],[Equipe]],1))</f>
        <v xml:space="preserve"> VALDEI</v>
      </c>
      <c r="AE345" s="44">
        <f>COUNTIFS('[1]Tempo parado'!G:G,"&gt;="&amp;MIP_4[[#This Row],[S.B Sitrack]],'[1]Tempo parado'!H:H,"&lt;="&amp;MIP_4[[#This Row],[C.B Sitrack]],'[1]Tempo parado'!A:A,MIP_4[[#This Row],[Placa]])</f>
        <v>0</v>
      </c>
      <c r="AF345" s="36"/>
      <c r="AG345" s="35"/>
      <c r="AH345" s="34"/>
      <c r="AI345" s="34"/>
      <c r="AJ34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4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4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45" s="32" t="str">
        <f>IFERROR(MIP_4[[#This Row],[Tempo parado]]/(MIP_4[[#This Row],[C.B Sitrack]]-MIP_4[[#This Row],[S.B Sitrack]]),"")</f>
        <v/>
      </c>
      <c r="AN345" s="30"/>
      <c r="AO345" s="44">
        <f>IF(AND(MIP_4[Exc]=0,MIP_4[Previsto / Realizado]="Realizado"),MIP_4[Sem],0)</f>
        <v>32</v>
      </c>
      <c r="AP345" s="29">
        <f>IF(AND(MIP_4[Exc]=0,MIP_4[Previsto / Realizado]="Realizado",ISBLANK(MIP_4[[#This Row],[S.B Sitrack]])=FALSE,ISBLANK(MIP_4[[#This Row],[C.B Sitrack]])=FALSE),MIP_4[Sem],0)</f>
        <v>0</v>
      </c>
    </row>
    <row r="346" spans="1:42" ht="15.75" x14ac:dyDescent="0.25">
      <c r="A346" s="44">
        <f>WEEKNUM(MIP_4[[#This Row],[Data]])</f>
        <v>32</v>
      </c>
      <c r="B346" s="45">
        <v>42956</v>
      </c>
      <c r="C346" s="45"/>
      <c r="D346" s="35" t="s">
        <v>3</v>
      </c>
      <c r="E346" s="35" t="s">
        <v>5</v>
      </c>
      <c r="F346" s="35"/>
      <c r="G346" s="44">
        <v>2</v>
      </c>
      <c r="H346" s="44">
        <v>5</v>
      </c>
      <c r="I346" s="44">
        <v>1</v>
      </c>
      <c r="J346" s="44">
        <v>2</v>
      </c>
      <c r="K346" s="44">
        <v>0</v>
      </c>
      <c r="L346" s="43">
        <v>0.625</v>
      </c>
      <c r="M346" s="43">
        <v>0.64583333333333337</v>
      </c>
      <c r="N346" s="43">
        <f>1+18/24/60</f>
        <v>1.0125</v>
      </c>
      <c r="O346" s="43">
        <f>1+48/24/60</f>
        <v>1.0333333333333334</v>
      </c>
      <c r="P346" s="39"/>
      <c r="Q346" s="42"/>
      <c r="R346" s="29">
        <f>MIP_4[[#This Row],[PT-1]]+MIP_4[[#This Row],[PT-2]]*2+MIP_4[[#This Row],[PT-3]]*3+MIP_4[[#This Row],[PT &gt; 3 Pontos]]</f>
        <v>13</v>
      </c>
      <c r="S34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34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346" s="41">
        <f ca="1">MIP_4[[#This Row],[Eficiência]]</f>
        <v>0.90652735197572176</v>
      </c>
      <c r="V34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46" s="39">
        <f>IF(MIP_4[[#This Row],[P.S]]-MIP_4[[#This Row],[P.E]]&lt;0,1+MIP_4[[#This Row],[P.S]]-MIP_4[[#This Row],[P.E]]-1/24,MIP_4[[#This Row],[P.S]]-MIP_4[[#This Row],[P.E]]-1/24)</f>
        <v>0.36666666666666675</v>
      </c>
      <c r="X346" s="39">
        <f ca="1">MIP_4[[#This Row],[PT-1]]*$S$3+MIP_4[[#This Row],[PT-2]]*$T$3+MIP_4[[#This Row],[PT-3]]*$U$3+MIP_4[[#This Row],[PT &gt; 3 Pontos]]*$V$3</f>
        <v>0.29462138939210947</v>
      </c>
      <c r="Y346" s="39">
        <f>MIP_4[[#This Row],[HH disponível]]-MIP_4[[#This Row],[HH AC TOT]]</f>
        <v>0.3249999999999999</v>
      </c>
      <c r="Z346" s="38">
        <f ca="1">MIP_4[[#This Row],[HH Produtivo
Total]]/MIP_4[[#This Row],[HH Trabalhado]]</f>
        <v>0.90652735197572176</v>
      </c>
      <c r="AA346" s="38">
        <f ca="1">MIP_4[[#This Row],[HH Produtivo
Total]]/MIP_4[[#This Row],[HH disponível]]</f>
        <v>0.80351288016029832</v>
      </c>
      <c r="AB346" s="38">
        <f>MIP_4[[#This Row],[HH Trabalhado]]/MIP_4[[#This Row],[HH disponível]]</f>
        <v>0.88636363636363591</v>
      </c>
      <c r="AC346" s="37" t="str">
        <f>LEFT(MIP_4[[#This Row],[Equipe]], SEARCH("/",MIP_4[[#This Row],[Equipe]],1)-1)</f>
        <v xml:space="preserve">EDILTON </v>
      </c>
      <c r="AD346" s="37" t="str">
        <f>RIGHT(MIP_4[[#This Row],[Equipe]], LEN(MIP_4[[#This Row],[Equipe]])-SEARCH("/",MIP_4[[#This Row],[Equipe]],1))</f>
        <v xml:space="preserve"> GECIVALDO</v>
      </c>
      <c r="AE346" s="44">
        <f>COUNTIFS('[1]Tempo parado'!G:G,"&gt;="&amp;MIP_4[[#This Row],[S.B Sitrack]],'[1]Tempo parado'!H:H,"&lt;="&amp;MIP_4[[#This Row],[C.B Sitrack]],'[1]Tempo parado'!A:A,MIP_4[[#This Row],[Placa]])</f>
        <v>0</v>
      </c>
      <c r="AF346" s="36"/>
      <c r="AG346" s="35"/>
      <c r="AH346" s="34"/>
      <c r="AI346" s="34"/>
      <c r="AJ34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4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4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46" s="32" t="str">
        <f>IFERROR(MIP_4[[#This Row],[Tempo parado]]/(MIP_4[[#This Row],[C.B Sitrack]]-MIP_4[[#This Row],[S.B Sitrack]]),"")</f>
        <v/>
      </c>
      <c r="AN346" s="30"/>
      <c r="AO346" s="44">
        <f>IF(AND(MIP_4[Exc]=0,MIP_4[Previsto / Realizado]="Realizado"),MIP_4[Sem],0)</f>
        <v>0</v>
      </c>
      <c r="AP346" s="29">
        <f>IF(AND(MIP_4[Exc]=0,MIP_4[Previsto / Realizado]="Realizado",ISBLANK(MIP_4[[#This Row],[S.B Sitrack]])=FALSE,ISBLANK(MIP_4[[#This Row],[C.B Sitrack]])=FALSE),MIP_4[Sem],0)</f>
        <v>0</v>
      </c>
    </row>
    <row r="347" spans="1:42" ht="15.75" x14ac:dyDescent="0.25">
      <c r="A347" s="44">
        <f>WEEKNUM(MIP_4[[#This Row],[Data]])</f>
        <v>32</v>
      </c>
      <c r="B347" s="45">
        <v>42956</v>
      </c>
      <c r="C347" s="45"/>
      <c r="D347" s="35" t="s">
        <v>3</v>
      </c>
      <c r="E347" s="35" t="s">
        <v>2</v>
      </c>
      <c r="F347" s="35"/>
      <c r="G347" s="44">
        <v>2</v>
      </c>
      <c r="H347" s="44">
        <v>8</v>
      </c>
      <c r="I347" s="44">
        <v>1</v>
      </c>
      <c r="J347" s="44">
        <v>1</v>
      </c>
      <c r="K347" s="44">
        <v>0</v>
      </c>
      <c r="L347" s="43">
        <v>0.62152777777777779</v>
      </c>
      <c r="M347" s="43">
        <v>0.65347222222222223</v>
      </c>
      <c r="N347" s="43">
        <v>0.9868055555555556</v>
      </c>
      <c r="O347" s="43">
        <f>1+51/24/60</f>
        <v>1.0354166666666667</v>
      </c>
      <c r="P347" s="39"/>
      <c r="Q347" s="42" t="s">
        <v>340</v>
      </c>
      <c r="R347" s="29">
        <f>MIP_4[[#This Row],[PT-1]]+MIP_4[[#This Row],[PT-2]]*2+MIP_4[[#This Row],[PT-3]]*3+MIP_4[[#This Row],[PT &gt; 3 Pontos]]</f>
        <v>13</v>
      </c>
      <c r="S34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8.0555555555555491E-2</v>
      </c>
      <c r="T34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8.0555555555555491E-2</v>
      </c>
      <c r="U347" s="41">
        <f ca="1">MIP_4[[#This Row],[Eficiência]]</f>
        <v>1.0522534937888195</v>
      </c>
      <c r="V34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47" s="39">
        <f>IF(MIP_4[[#This Row],[P.S]]-MIP_4[[#This Row],[P.E]]&lt;0,1+MIP_4[[#This Row],[P.S]]-MIP_4[[#This Row],[P.E]]-1/24,MIP_4[[#This Row],[P.S]]-MIP_4[[#This Row],[P.E]]-1/24)</f>
        <v>0.37222222222222218</v>
      </c>
      <c r="X347" s="39">
        <f ca="1">MIP_4[[#This Row],[PT-1]]*$S$3+MIP_4[[#This Row],[PT-2]]*$T$3+MIP_4[[#This Row],[PT-3]]*$U$3+MIP_4[[#This Row],[PT &gt; 3 Pontos]]*$V$3</f>
        <v>0.30690726902173904</v>
      </c>
      <c r="Y347" s="39">
        <f>MIP_4[[#This Row],[HH disponível]]-MIP_4[[#This Row],[HH AC TOT]]</f>
        <v>0.29166666666666669</v>
      </c>
      <c r="Z347" s="38">
        <f ca="1">MIP_4[[#This Row],[HH Produtivo
Total]]/MIP_4[[#This Row],[HH Trabalhado]]</f>
        <v>1.0522534937888195</v>
      </c>
      <c r="AA347" s="38">
        <f ca="1">MIP_4[[#This Row],[HH Produtivo
Total]]/MIP_4[[#This Row],[HH disponível]]</f>
        <v>0.82452699140168706</v>
      </c>
      <c r="AB347" s="38">
        <f>MIP_4[[#This Row],[HH Trabalhado]]/MIP_4[[#This Row],[HH disponível]]</f>
        <v>0.78358208955223896</v>
      </c>
      <c r="AC347" s="37" t="str">
        <f>LEFT(MIP_4[[#This Row],[Equipe]], SEARCH("/",MIP_4[[#This Row],[Equipe]],1)-1)</f>
        <v xml:space="preserve">EDILTON </v>
      </c>
      <c r="AD347" s="37" t="str">
        <f>RIGHT(MIP_4[[#This Row],[Equipe]], LEN(MIP_4[[#This Row],[Equipe]])-SEARCH("/",MIP_4[[#This Row],[Equipe]],1))</f>
        <v xml:space="preserve"> GECIVALDO</v>
      </c>
      <c r="AE347" s="44">
        <f>COUNTIFS('[1]Tempo parado'!G:G,"&gt;="&amp;MIP_4[[#This Row],[S.B Sitrack]],'[1]Tempo parado'!H:H,"&lt;="&amp;MIP_4[[#This Row],[C.B Sitrack]],'[1]Tempo parado'!A:A,MIP_4[[#This Row],[Placa]])</f>
        <v>0</v>
      </c>
      <c r="AF347" s="36"/>
      <c r="AG347" s="35"/>
      <c r="AH347" s="34"/>
      <c r="AI347" s="34"/>
      <c r="AJ34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4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4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47" s="32" t="str">
        <f>IFERROR(MIP_4[[#This Row],[Tempo parado]]/(MIP_4[[#This Row],[C.B Sitrack]]-MIP_4[[#This Row],[S.B Sitrack]]),"")</f>
        <v/>
      </c>
      <c r="AN347" s="30"/>
      <c r="AO347" s="44">
        <f>IF(AND(MIP_4[Exc]=0,MIP_4[Previsto / Realizado]="Realizado"),MIP_4[Sem],0)</f>
        <v>32</v>
      </c>
      <c r="AP347" s="29">
        <f>IF(AND(MIP_4[Exc]=0,MIP_4[Previsto / Realizado]="Realizado",ISBLANK(MIP_4[[#This Row],[S.B Sitrack]])=FALSE,ISBLANK(MIP_4[[#This Row],[C.B Sitrack]])=FALSE),MIP_4[Sem],0)</f>
        <v>0</v>
      </c>
    </row>
    <row r="348" spans="1:42" ht="15.75" x14ac:dyDescent="0.25">
      <c r="A348" s="44">
        <f>WEEKNUM(MIP_4[[#This Row],[Data]])</f>
        <v>32</v>
      </c>
      <c r="B348" s="45">
        <v>42956</v>
      </c>
      <c r="C348" s="45"/>
      <c r="D348" s="35" t="s">
        <v>19</v>
      </c>
      <c r="E348" s="35" t="s">
        <v>5</v>
      </c>
      <c r="F348" s="35"/>
      <c r="G348" s="44">
        <v>2</v>
      </c>
      <c r="H348" s="44">
        <v>5</v>
      </c>
      <c r="I348" s="44">
        <v>2</v>
      </c>
      <c r="J348" s="44">
        <v>0</v>
      </c>
      <c r="K348" s="44">
        <v>4</v>
      </c>
      <c r="L348" s="43">
        <v>0.625</v>
      </c>
      <c r="M348" s="43">
        <v>0.64583333333333337</v>
      </c>
      <c r="N348" s="43">
        <f>1+18/24/60</f>
        <v>1.0125</v>
      </c>
      <c r="O348" s="43">
        <f>1+48/24/60</f>
        <v>1.0333333333333334</v>
      </c>
      <c r="P348" s="39"/>
      <c r="Q348" s="42" t="s">
        <v>339</v>
      </c>
      <c r="R348" s="29">
        <f>MIP_4[[#This Row],[PT-1]]+MIP_4[[#This Row],[PT-2]]*2+MIP_4[[#This Row],[PT-3]]*3+MIP_4[[#This Row],[PT &gt; 3 Pontos]]</f>
        <v>13</v>
      </c>
      <c r="S34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34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348" s="41">
        <f ca="1">MIP_4[[#This Row],[Eficiência]]</f>
        <v>0.90442720161168244</v>
      </c>
      <c r="V34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48" s="39">
        <f>IF(MIP_4[[#This Row],[P.S]]-MIP_4[[#This Row],[P.E]]&lt;0,1+MIP_4[[#This Row],[P.S]]-MIP_4[[#This Row],[P.E]]-1/24,MIP_4[[#This Row],[P.S]]-MIP_4[[#This Row],[P.E]]-1/24)</f>
        <v>0.36666666666666675</v>
      </c>
      <c r="X348" s="39">
        <f ca="1">MIP_4[[#This Row],[PT-1]]*$S$3+MIP_4[[#This Row],[PT-2]]*$T$3+MIP_4[[#This Row],[PT-3]]*$U$3+MIP_4[[#This Row],[PT &gt; 3 Pontos]]*$V$3</f>
        <v>0.29393884052379671</v>
      </c>
      <c r="Y348" s="39">
        <f>MIP_4[[#This Row],[HH disponível]]-MIP_4[[#This Row],[HH AC TOT]]</f>
        <v>0.3249999999999999</v>
      </c>
      <c r="Z348" s="38">
        <f ca="1">MIP_4[[#This Row],[HH Produtivo
Total]]/MIP_4[[#This Row],[HH Trabalhado]]</f>
        <v>0.90442720161168244</v>
      </c>
      <c r="AA348" s="38">
        <f ca="1">MIP_4[[#This Row],[HH Produtivo
Total]]/MIP_4[[#This Row],[HH disponível]]</f>
        <v>0.80165138324671814</v>
      </c>
      <c r="AB348" s="38">
        <f>MIP_4[[#This Row],[HH Trabalhado]]/MIP_4[[#This Row],[HH disponível]]</f>
        <v>0.88636363636363591</v>
      </c>
      <c r="AC348" s="37" t="str">
        <f>LEFT(MIP_4[[#This Row],[Equipe]], SEARCH("/",MIP_4[[#This Row],[Equipe]],1)-1)</f>
        <v xml:space="preserve">ADEMÁRIO </v>
      </c>
      <c r="AD348" s="37" t="str">
        <f>RIGHT(MIP_4[[#This Row],[Equipe]], LEN(MIP_4[[#This Row],[Equipe]])-SEARCH("/",MIP_4[[#This Row],[Equipe]],1))</f>
        <v xml:space="preserve"> RONALDO</v>
      </c>
      <c r="AE348" s="44">
        <f>COUNTIFS('[1]Tempo parado'!G:G,"&gt;="&amp;MIP_4[[#This Row],[S.B Sitrack]],'[1]Tempo parado'!H:H,"&lt;="&amp;MIP_4[[#This Row],[C.B Sitrack]],'[1]Tempo parado'!A:A,MIP_4[[#This Row],[Placa]])</f>
        <v>0</v>
      </c>
      <c r="AF348" s="36"/>
      <c r="AG348" s="35"/>
      <c r="AH348" s="34"/>
      <c r="AI348" s="34"/>
      <c r="AJ34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4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4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48" s="32" t="str">
        <f>IFERROR(MIP_4[[#This Row],[Tempo parado]]/(MIP_4[[#This Row],[C.B Sitrack]]-MIP_4[[#This Row],[S.B Sitrack]]),"")</f>
        <v/>
      </c>
      <c r="AN348" s="30"/>
      <c r="AO348" s="44">
        <f>IF(AND(MIP_4[Exc]=0,MIP_4[Previsto / Realizado]="Realizado"),MIP_4[Sem],0)</f>
        <v>0</v>
      </c>
      <c r="AP348" s="29">
        <f>IF(AND(MIP_4[Exc]=0,MIP_4[Previsto / Realizado]="Realizado",ISBLANK(MIP_4[[#This Row],[S.B Sitrack]])=FALSE,ISBLANK(MIP_4[[#This Row],[C.B Sitrack]])=FALSE),MIP_4[Sem],0)</f>
        <v>0</v>
      </c>
    </row>
    <row r="349" spans="1:42" ht="15.75" x14ac:dyDescent="0.25">
      <c r="A349" s="44">
        <f>WEEKNUM(MIP_4[[#This Row],[Data]])</f>
        <v>32</v>
      </c>
      <c r="B349" s="45">
        <v>42956</v>
      </c>
      <c r="C349" s="45"/>
      <c r="D349" s="35" t="s">
        <v>19</v>
      </c>
      <c r="E349" s="35" t="s">
        <v>2</v>
      </c>
      <c r="F349" s="35"/>
      <c r="G349" s="44">
        <v>2</v>
      </c>
      <c r="H349" s="44">
        <v>5</v>
      </c>
      <c r="I349" s="44">
        <v>3</v>
      </c>
      <c r="J349" s="44">
        <v>0</v>
      </c>
      <c r="K349" s="44">
        <v>4</v>
      </c>
      <c r="L349" s="43">
        <v>0.63750000000000007</v>
      </c>
      <c r="M349" s="43">
        <v>0.65625</v>
      </c>
      <c r="N349" s="43">
        <f>1+18/24/60</f>
        <v>1.0125</v>
      </c>
      <c r="O349" s="43">
        <f>1+65/24/60</f>
        <v>1.0451388888888888</v>
      </c>
      <c r="P349" s="39"/>
      <c r="Q349" s="42" t="s">
        <v>338</v>
      </c>
      <c r="R349" s="29">
        <f>MIP_4[[#This Row],[PT-1]]+MIP_4[[#This Row],[PT-2]]*2+MIP_4[[#This Row],[PT-3]]*3+MIP_4[[#This Row],[PT &gt; 3 Pontos]]</f>
        <v>15</v>
      </c>
      <c r="S34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5.1388888888888817E-2</v>
      </c>
      <c r="T34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5.1388888888888817E-2</v>
      </c>
      <c r="U349" s="41">
        <f ca="1">MIP_4[[#This Row],[Eficiência]]</f>
        <v>1.0739526568270932</v>
      </c>
      <c r="V34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49" s="39">
        <f>IF(MIP_4[[#This Row],[P.S]]-MIP_4[[#This Row],[P.E]]&lt;0,1+MIP_4[[#This Row],[P.S]]-MIP_4[[#This Row],[P.E]]-1/24,MIP_4[[#This Row],[P.S]]-MIP_4[[#This Row],[P.E]]-1/24)</f>
        <v>0.36597222222222209</v>
      </c>
      <c r="X349" s="39">
        <f ca="1">MIP_4[[#This Row],[PT-1]]*$S$3+MIP_4[[#This Row],[PT-2]]*$T$3+MIP_4[[#This Row],[PT-3]]*$U$3+MIP_4[[#This Row],[PT &gt; 3 Pontos]]*$V$3</f>
        <v>0.33784760662685631</v>
      </c>
      <c r="Y349" s="39">
        <f>MIP_4[[#This Row],[HH disponível]]-MIP_4[[#This Row],[HH AC TOT]]</f>
        <v>0.31458333333333327</v>
      </c>
      <c r="Z349" s="38">
        <f ca="1">MIP_4[[#This Row],[HH Produtivo
Total]]/MIP_4[[#This Row],[HH Trabalhado]]</f>
        <v>1.0739526568270932</v>
      </c>
      <c r="AA349" s="38">
        <f ca="1">MIP_4[[#This Row],[HH Produtivo
Total]]/MIP_4[[#This Row],[HH disponível]]</f>
        <v>0.92315095548894355</v>
      </c>
      <c r="AB349" s="38">
        <f>MIP_4[[#This Row],[HH Trabalhado]]/MIP_4[[#This Row],[HH disponível]]</f>
        <v>0.8595825426944973</v>
      </c>
      <c r="AC349" s="37" t="str">
        <f>LEFT(MIP_4[[#This Row],[Equipe]], SEARCH("/",MIP_4[[#This Row],[Equipe]],1)-1)</f>
        <v xml:space="preserve">ADEMÁRIO </v>
      </c>
      <c r="AD349" s="37" t="str">
        <f>RIGHT(MIP_4[[#This Row],[Equipe]], LEN(MIP_4[[#This Row],[Equipe]])-SEARCH("/",MIP_4[[#This Row],[Equipe]],1))</f>
        <v xml:space="preserve"> RONALDO</v>
      </c>
      <c r="AE349" s="44">
        <f>COUNTIFS('[1]Tempo parado'!G:G,"&gt;="&amp;MIP_4[[#This Row],[S.B Sitrack]],'[1]Tempo parado'!H:H,"&lt;="&amp;MIP_4[[#This Row],[C.B Sitrack]],'[1]Tempo parado'!A:A,MIP_4[[#This Row],[Placa]])</f>
        <v>0</v>
      </c>
      <c r="AF349" s="36"/>
      <c r="AG349" s="35"/>
      <c r="AH349" s="34"/>
      <c r="AI349" s="34"/>
      <c r="AJ34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4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4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49" s="32" t="str">
        <f>IFERROR(MIP_4[[#This Row],[Tempo parado]]/(MIP_4[[#This Row],[C.B Sitrack]]-MIP_4[[#This Row],[S.B Sitrack]]),"")</f>
        <v/>
      </c>
      <c r="AN349" s="30"/>
      <c r="AO349" s="44">
        <f>IF(AND(MIP_4[Exc]=0,MIP_4[Previsto / Realizado]="Realizado"),MIP_4[Sem],0)</f>
        <v>32</v>
      </c>
      <c r="AP349" s="29">
        <f>IF(AND(MIP_4[Exc]=0,MIP_4[Previsto / Realizado]="Realizado",ISBLANK(MIP_4[[#This Row],[S.B Sitrack]])=FALSE,ISBLANK(MIP_4[[#This Row],[C.B Sitrack]])=FALSE),MIP_4[Sem],0)</f>
        <v>0</v>
      </c>
    </row>
    <row r="350" spans="1:42" ht="15.75" x14ac:dyDescent="0.25">
      <c r="A350" s="44">
        <f>WEEKNUM(MIP_4[[#This Row],[Data]])</f>
        <v>32</v>
      </c>
      <c r="B350" s="45">
        <v>42957</v>
      </c>
      <c r="C350" s="45"/>
      <c r="D350" s="35" t="s">
        <v>10</v>
      </c>
      <c r="E350" s="35" t="s">
        <v>5</v>
      </c>
      <c r="F350" s="35"/>
      <c r="G350" s="44">
        <v>2</v>
      </c>
      <c r="H350" s="44">
        <v>0</v>
      </c>
      <c r="I350" s="44">
        <v>0</v>
      </c>
      <c r="J350" s="44">
        <v>1</v>
      </c>
      <c r="K350" s="44">
        <v>4</v>
      </c>
      <c r="L350" s="43">
        <v>0.25</v>
      </c>
      <c r="M350" s="43">
        <v>0.27083333333333331</v>
      </c>
      <c r="N350" s="43">
        <v>0.63750000000000007</v>
      </c>
      <c r="O350" s="43">
        <v>0.65833333333333333</v>
      </c>
      <c r="P350" s="39"/>
      <c r="Q350" s="42"/>
      <c r="R350" s="29">
        <f>MIP_4[[#This Row],[PT-1]]+MIP_4[[#This Row],[PT-2]]*2+MIP_4[[#This Row],[PT-3]]*3+MIP_4[[#This Row],[PT &gt; 3 Pontos]]</f>
        <v>7</v>
      </c>
      <c r="S35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35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350" s="41">
        <f ca="1">MIP_4[[#This Row],[Eficiência]]</f>
        <v>0.44241145467745718</v>
      </c>
      <c r="V35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50" s="39">
        <f>IF(MIP_4[[#This Row],[P.S]]-MIP_4[[#This Row],[P.E]]&lt;0,1+MIP_4[[#This Row],[P.S]]-MIP_4[[#This Row],[P.E]]-1/24,MIP_4[[#This Row],[P.S]]-MIP_4[[#This Row],[P.E]]-1/24)</f>
        <v>0.36666666666666664</v>
      </c>
      <c r="X350" s="39">
        <f ca="1">MIP_4[[#This Row],[PT-1]]*$S$3+MIP_4[[#This Row],[PT-2]]*$T$3+MIP_4[[#This Row],[PT-3]]*$U$3+MIP_4[[#This Row],[PT &gt; 3 Pontos]]*$V$3</f>
        <v>0.14378372277017362</v>
      </c>
      <c r="Y350" s="39">
        <f>MIP_4[[#This Row],[HH disponível]]-MIP_4[[#This Row],[HH AC TOT]]</f>
        <v>0.32500000000000007</v>
      </c>
      <c r="Z350" s="38">
        <f ca="1">MIP_4[[#This Row],[HH Produtivo
Total]]/MIP_4[[#This Row],[HH Trabalhado]]</f>
        <v>0.44241145467745718</v>
      </c>
      <c r="AA350" s="38">
        <f ca="1">MIP_4[[#This Row],[HH Produtivo
Total]]/MIP_4[[#This Row],[HH disponível]]</f>
        <v>0.39213742573683719</v>
      </c>
      <c r="AB350" s="38">
        <f>MIP_4[[#This Row],[HH Trabalhado]]/MIP_4[[#This Row],[HH disponível]]</f>
        <v>0.88636363636363658</v>
      </c>
      <c r="AC350" s="37" t="str">
        <f>LEFT(MIP_4[[#This Row],[Equipe]], SEARCH("/",MIP_4[[#This Row],[Equipe]],1)-1)</f>
        <v xml:space="preserve">JOILSON </v>
      </c>
      <c r="AD350" s="37" t="str">
        <f>RIGHT(MIP_4[[#This Row],[Equipe]], LEN(MIP_4[[#This Row],[Equipe]])-SEARCH("/",MIP_4[[#This Row],[Equipe]],1))</f>
        <v xml:space="preserve"> VALDEI</v>
      </c>
      <c r="AE350" s="44">
        <f>COUNTIFS('[1]Tempo parado'!G:G,"&gt;="&amp;MIP_4[[#This Row],[S.B Sitrack]],'[1]Tempo parado'!H:H,"&lt;="&amp;MIP_4[[#This Row],[C.B Sitrack]],'[1]Tempo parado'!A:A,MIP_4[[#This Row],[Placa]])</f>
        <v>0</v>
      </c>
      <c r="AF350" s="36"/>
      <c r="AG350" s="35"/>
      <c r="AH350" s="34"/>
      <c r="AI350" s="34"/>
      <c r="AJ35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5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5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50" s="32" t="str">
        <f>IFERROR(MIP_4[[#This Row],[Tempo parado]]/(MIP_4[[#This Row],[C.B Sitrack]]-MIP_4[[#This Row],[S.B Sitrack]]),"")</f>
        <v/>
      </c>
      <c r="AN350" s="30"/>
      <c r="AO350" s="44">
        <f>IF(AND(MIP_4[Exc]=0,MIP_4[Previsto / Realizado]="Realizado"),MIP_4[Sem],0)</f>
        <v>0</v>
      </c>
      <c r="AP350" s="29">
        <f>IF(AND(MIP_4[Exc]=0,MIP_4[Previsto / Realizado]="Realizado",ISBLANK(MIP_4[[#This Row],[S.B Sitrack]])=FALSE,ISBLANK(MIP_4[[#This Row],[C.B Sitrack]])=FALSE),MIP_4[Sem],0)</f>
        <v>0</v>
      </c>
    </row>
    <row r="351" spans="1:42" ht="15.75" x14ac:dyDescent="0.25">
      <c r="A351" s="44">
        <f>WEEKNUM(MIP_4[[#This Row],[Data]])</f>
        <v>32</v>
      </c>
      <c r="B351" s="45">
        <v>42957</v>
      </c>
      <c r="C351" s="45"/>
      <c r="D351" s="35" t="s">
        <v>10</v>
      </c>
      <c r="E351" s="35" t="s">
        <v>2</v>
      </c>
      <c r="F351" s="35"/>
      <c r="G351" s="44">
        <v>2</v>
      </c>
      <c r="H351" s="44">
        <v>2</v>
      </c>
      <c r="I351" s="44">
        <v>2</v>
      </c>
      <c r="J351" s="44">
        <v>1</v>
      </c>
      <c r="K351" s="44">
        <v>4</v>
      </c>
      <c r="L351" s="43">
        <v>0.24722222222222223</v>
      </c>
      <c r="M351" s="43">
        <v>0.29236111111111113</v>
      </c>
      <c r="N351" s="43">
        <v>0.61805555555555558</v>
      </c>
      <c r="O351" s="43">
        <v>0.65833333333333333</v>
      </c>
      <c r="P351" s="39"/>
      <c r="Q351" s="42" t="s">
        <v>337</v>
      </c>
      <c r="R351" s="29">
        <f>MIP_4[[#This Row],[PT-1]]+MIP_4[[#This Row],[PT-2]]*2+MIP_4[[#This Row],[PT-3]]*3+MIP_4[[#This Row],[PT &gt; 3 Pontos]]</f>
        <v>13</v>
      </c>
      <c r="S35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8.5416666666666641E-2</v>
      </c>
      <c r="T35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8.5416666666666641E-2</v>
      </c>
      <c r="U351" s="41">
        <f ca="1">MIP_4[[#This Row],[Eficiência]]</f>
        <v>0.99163878652225113</v>
      </c>
      <c r="V35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51" s="39">
        <f>IF(MIP_4[[#This Row],[P.S]]-MIP_4[[#This Row],[P.E]]&lt;0,1+MIP_4[[#This Row],[P.S]]-MIP_4[[#This Row],[P.E]]-1/24,MIP_4[[#This Row],[P.S]]-MIP_4[[#This Row],[P.E]]-1/24)</f>
        <v>0.36944444444444441</v>
      </c>
      <c r="X351" s="39">
        <f ca="1">MIP_4[[#This Row],[PT-1]]*$S$3+MIP_4[[#This Row],[PT-2]]*$T$3+MIP_4[[#This Row],[PT-3]]*$U$3+MIP_4[[#This Row],[PT &gt; 3 Pontos]]*$V$3</f>
        <v>0.28165296089416714</v>
      </c>
      <c r="Y351" s="39">
        <f>MIP_4[[#This Row],[HH disponível]]-MIP_4[[#This Row],[HH AC TOT]]</f>
        <v>0.28402777777777777</v>
      </c>
      <c r="Z351" s="38">
        <f ca="1">MIP_4[[#This Row],[HH Produtivo
Total]]/MIP_4[[#This Row],[HH Trabalhado]]</f>
        <v>0.99163878652225113</v>
      </c>
      <c r="AA351" s="38">
        <f ca="1">MIP_4[[#This Row],[HH Produtivo
Total]]/MIP_4[[#This Row],[HH disponível]]</f>
        <v>0.76236891670601636</v>
      </c>
      <c r="AB351" s="38">
        <f>MIP_4[[#This Row],[HH Trabalhado]]/MIP_4[[#This Row],[HH disponível]]</f>
        <v>0.76879699248120303</v>
      </c>
      <c r="AC351" s="37" t="str">
        <f>LEFT(MIP_4[[#This Row],[Equipe]], SEARCH("/",MIP_4[[#This Row],[Equipe]],1)-1)</f>
        <v xml:space="preserve">JOILSON </v>
      </c>
      <c r="AD351" s="37" t="str">
        <f>RIGHT(MIP_4[[#This Row],[Equipe]], LEN(MIP_4[[#This Row],[Equipe]])-SEARCH("/",MIP_4[[#This Row],[Equipe]],1))</f>
        <v xml:space="preserve"> VALDEI</v>
      </c>
      <c r="AE351" s="44">
        <f>COUNTIFS('[1]Tempo parado'!G:G,"&gt;="&amp;MIP_4[[#This Row],[S.B Sitrack]],'[1]Tempo parado'!H:H,"&lt;="&amp;MIP_4[[#This Row],[C.B Sitrack]],'[1]Tempo parado'!A:A,MIP_4[[#This Row],[Placa]])</f>
        <v>0</v>
      </c>
      <c r="AF351" s="36"/>
      <c r="AG351" s="35"/>
      <c r="AH351" s="34"/>
      <c r="AI351" s="34"/>
      <c r="AJ35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5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5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51" s="32" t="str">
        <f>IFERROR(MIP_4[[#This Row],[Tempo parado]]/(MIP_4[[#This Row],[C.B Sitrack]]-MIP_4[[#This Row],[S.B Sitrack]]),"")</f>
        <v/>
      </c>
      <c r="AN351" s="30"/>
      <c r="AO351" s="44">
        <f>IF(AND(MIP_4[Exc]=0,MIP_4[Previsto / Realizado]="Realizado"),MIP_4[Sem],0)</f>
        <v>32</v>
      </c>
      <c r="AP351" s="29">
        <f>IF(AND(MIP_4[Exc]=0,MIP_4[Previsto / Realizado]="Realizado",ISBLANK(MIP_4[[#This Row],[S.B Sitrack]])=FALSE,ISBLANK(MIP_4[[#This Row],[C.B Sitrack]])=FALSE),MIP_4[Sem],0)</f>
        <v>0</v>
      </c>
    </row>
    <row r="352" spans="1:42" ht="15.75" x14ac:dyDescent="0.25">
      <c r="A352" s="44">
        <f>WEEKNUM(MIP_4[[#This Row],[Data]])</f>
        <v>32</v>
      </c>
      <c r="B352" s="45">
        <v>42957</v>
      </c>
      <c r="C352" s="45"/>
      <c r="D352" s="35" t="s">
        <v>19</v>
      </c>
      <c r="E352" s="35" t="s">
        <v>5</v>
      </c>
      <c r="F352" s="35"/>
      <c r="G352" s="44">
        <v>2</v>
      </c>
      <c r="H352" s="44">
        <v>1</v>
      </c>
      <c r="I352" s="44">
        <v>1</v>
      </c>
      <c r="J352" s="44">
        <v>0</v>
      </c>
      <c r="K352" s="44">
        <v>4</v>
      </c>
      <c r="L352" s="43">
        <v>0.625</v>
      </c>
      <c r="M352" s="43">
        <v>0.64583333333333337</v>
      </c>
      <c r="N352" s="43">
        <f>1+18/24/60</f>
        <v>1.0125</v>
      </c>
      <c r="O352" s="43">
        <f>1+48/24/60</f>
        <v>1.0333333333333334</v>
      </c>
      <c r="P352" s="39"/>
      <c r="Q352" s="42" t="s">
        <v>336</v>
      </c>
      <c r="R352" s="29">
        <f>MIP_4[[#This Row],[PT-1]]+MIP_4[[#This Row],[PT-2]]*2+MIP_4[[#This Row],[PT-3]]*3+MIP_4[[#This Row],[PT &gt; 3 Pontos]]</f>
        <v>7</v>
      </c>
      <c r="S35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35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352" s="41">
        <f ca="1">MIP_4[[#This Row],[Eficiência]]</f>
        <v>0.46131280795381063</v>
      </c>
      <c r="V35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52" s="39">
        <f>IF(MIP_4[[#This Row],[P.S]]-MIP_4[[#This Row],[P.E]]&lt;0,1+MIP_4[[#This Row],[P.S]]-MIP_4[[#This Row],[P.E]]-1/24,MIP_4[[#This Row],[P.S]]-MIP_4[[#This Row],[P.E]]-1/24)</f>
        <v>0.36666666666666675</v>
      </c>
      <c r="X352" s="39">
        <f ca="1">MIP_4[[#This Row],[PT-1]]*$S$3+MIP_4[[#This Row],[PT-2]]*$T$3+MIP_4[[#This Row],[PT-3]]*$U$3+MIP_4[[#This Row],[PT &gt; 3 Pontos]]*$V$3</f>
        <v>0.14992666258498841</v>
      </c>
      <c r="Y352" s="39">
        <f>MIP_4[[#This Row],[HH disponível]]-MIP_4[[#This Row],[HH AC TOT]]</f>
        <v>0.3249999999999999</v>
      </c>
      <c r="Z352" s="38">
        <f ca="1">MIP_4[[#This Row],[HH Produtivo
Total]]/MIP_4[[#This Row],[HH Trabalhado]]</f>
        <v>0.46131280795381063</v>
      </c>
      <c r="AA352" s="38">
        <f ca="1">MIP_4[[#This Row],[HH Produtivo
Total]]/MIP_4[[#This Row],[HH disponível]]</f>
        <v>0.4088908979590592</v>
      </c>
      <c r="AB352" s="38">
        <f>MIP_4[[#This Row],[HH Trabalhado]]/MIP_4[[#This Row],[HH disponível]]</f>
        <v>0.88636363636363591</v>
      </c>
      <c r="AC352" s="37" t="str">
        <f>LEFT(MIP_4[[#This Row],[Equipe]], SEARCH("/",MIP_4[[#This Row],[Equipe]],1)-1)</f>
        <v xml:space="preserve">ADEMÁRIO </v>
      </c>
      <c r="AD352" s="37" t="str">
        <f>RIGHT(MIP_4[[#This Row],[Equipe]], LEN(MIP_4[[#This Row],[Equipe]])-SEARCH("/",MIP_4[[#This Row],[Equipe]],1))</f>
        <v xml:space="preserve"> RONALDO</v>
      </c>
      <c r="AE352" s="44">
        <f>COUNTIFS('[1]Tempo parado'!G:G,"&gt;="&amp;MIP_4[[#This Row],[S.B Sitrack]],'[1]Tempo parado'!H:H,"&lt;="&amp;MIP_4[[#This Row],[C.B Sitrack]],'[1]Tempo parado'!A:A,MIP_4[[#This Row],[Placa]])</f>
        <v>0</v>
      </c>
      <c r="AF352" s="36"/>
      <c r="AG352" s="35"/>
      <c r="AH352" s="34"/>
      <c r="AI352" s="34"/>
      <c r="AJ35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5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5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52" s="32" t="str">
        <f>IFERROR(MIP_4[[#This Row],[Tempo parado]]/(MIP_4[[#This Row],[C.B Sitrack]]-MIP_4[[#This Row],[S.B Sitrack]]),"")</f>
        <v/>
      </c>
      <c r="AN352" s="30"/>
      <c r="AO352" s="44">
        <f>IF(AND(MIP_4[Exc]=0,MIP_4[Previsto / Realizado]="Realizado"),MIP_4[Sem],0)</f>
        <v>0</v>
      </c>
      <c r="AP352" s="29">
        <f>IF(AND(MIP_4[Exc]=0,MIP_4[Previsto / Realizado]="Realizado",ISBLANK(MIP_4[[#This Row],[S.B Sitrack]])=FALSE,ISBLANK(MIP_4[[#This Row],[C.B Sitrack]])=FALSE),MIP_4[Sem],0)</f>
        <v>0</v>
      </c>
    </row>
    <row r="353" spans="1:42" ht="15.75" x14ac:dyDescent="0.25">
      <c r="A353" s="44">
        <f>WEEKNUM(MIP_4[[#This Row],[Data]])</f>
        <v>32</v>
      </c>
      <c r="B353" s="45">
        <v>42957</v>
      </c>
      <c r="C353" s="45"/>
      <c r="D353" s="35" t="s">
        <v>19</v>
      </c>
      <c r="E353" s="35" t="s">
        <v>2</v>
      </c>
      <c r="F353" s="35"/>
      <c r="G353" s="44">
        <v>2</v>
      </c>
      <c r="H353" s="44">
        <v>0</v>
      </c>
      <c r="I353" s="44">
        <v>0</v>
      </c>
      <c r="J353" s="44">
        <v>0</v>
      </c>
      <c r="K353" s="44">
        <v>4</v>
      </c>
      <c r="L353" s="43">
        <v>0.64374999999999993</v>
      </c>
      <c r="M353" s="43">
        <v>0.68611111111111101</v>
      </c>
      <c r="N353" s="43">
        <v>1.0125</v>
      </c>
      <c r="O353" s="43">
        <f>1+50/24/60</f>
        <v>1.0347222222222223</v>
      </c>
      <c r="P353" s="39">
        <f>19/24-MIP_4[[#This Row],[S.B]]+2.5/24</f>
        <v>0.20972222222222231</v>
      </c>
      <c r="Q353" s="42" t="s">
        <v>335</v>
      </c>
      <c r="R353" s="29">
        <f>MIP_4[[#This Row],[PT-1]]+MIP_4[[#This Row],[PT-2]]*2+MIP_4[[#This Row],[PT-3]]*3+MIP_4[[#This Row],[PT &gt; 3 Pontos]]</f>
        <v>4</v>
      </c>
      <c r="S35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0.27430555555555575</v>
      </c>
      <c r="T35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6.4583333333333437E-2</v>
      </c>
      <c r="U353" s="41">
        <f ca="1">MIP_4[[#This Row],[Eficiência]]</f>
        <v>1.0798939136398891</v>
      </c>
      <c r="V35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53" s="39">
        <f>IF(MIP_4[[#This Row],[P.S]]-MIP_4[[#This Row],[P.E]]&lt;0,1+MIP_4[[#This Row],[P.S]]-MIP_4[[#This Row],[P.E]]-1/24,MIP_4[[#This Row],[P.S]]-MIP_4[[#This Row],[P.E]]-1/24)</f>
        <v>0.3493055555555557</v>
      </c>
      <c r="X353" s="39">
        <f ca="1">MIP_4[[#This Row],[PT-1]]*$S$3+MIP_4[[#This Row],[PT-2]]*$T$3+MIP_4[[#This Row],[PT-3]]*$U$3+MIP_4[[#This Row],[PT &gt; 3 Pontos]]*$V$3</f>
        <v>8.0992043522991636E-2</v>
      </c>
      <c r="Y353" s="39">
        <f>MIP_4[[#This Row],[HH disponível]]-MIP_4[[#This Row],[HH AC TOT]]</f>
        <v>7.4999999999999956E-2</v>
      </c>
      <c r="Z353" s="38">
        <f ca="1">MIP_4[[#This Row],[HH Produtivo
Total]]/MIP_4[[#This Row],[HH Trabalhado]]</f>
        <v>1.0798939136398891</v>
      </c>
      <c r="AA353" s="38">
        <f ca="1">MIP_4[[#This Row],[HH Produtivo
Total]]/MIP_4[[#This Row],[HH disponível]]</f>
        <v>0.23186589000617874</v>
      </c>
      <c r="AB353" s="38">
        <f>MIP_4[[#This Row],[HH Trabalhado]]/MIP_4[[#This Row],[HH disponível]]</f>
        <v>0.21471172962226617</v>
      </c>
      <c r="AC353" s="37" t="str">
        <f>LEFT(MIP_4[[#This Row],[Equipe]], SEARCH("/",MIP_4[[#This Row],[Equipe]],1)-1)</f>
        <v xml:space="preserve">ADEMÁRIO </v>
      </c>
      <c r="AD353" s="37" t="str">
        <f>RIGHT(MIP_4[[#This Row],[Equipe]], LEN(MIP_4[[#This Row],[Equipe]])-SEARCH("/",MIP_4[[#This Row],[Equipe]],1))</f>
        <v xml:space="preserve"> RONALDO</v>
      </c>
      <c r="AE353" s="44">
        <f>COUNTIFS('[1]Tempo parado'!G:G,"&gt;="&amp;MIP_4[[#This Row],[S.B Sitrack]],'[1]Tempo parado'!H:H,"&lt;="&amp;MIP_4[[#This Row],[C.B Sitrack]],'[1]Tempo parado'!A:A,MIP_4[[#This Row],[Placa]])</f>
        <v>0</v>
      </c>
      <c r="AF353" s="36"/>
      <c r="AG353" s="35"/>
      <c r="AH353" s="34"/>
      <c r="AI353" s="34"/>
      <c r="AJ35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5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5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53" s="32" t="str">
        <f>IFERROR(MIP_4[[#This Row],[Tempo parado]]/(MIP_4[[#This Row],[C.B Sitrack]]-MIP_4[[#This Row],[S.B Sitrack]]),"")</f>
        <v/>
      </c>
      <c r="AN353" s="30"/>
      <c r="AO353" s="44">
        <f>IF(AND(MIP_4[Exc]=0,MIP_4[Previsto / Realizado]="Realizado"),MIP_4[Sem],0)</f>
        <v>32</v>
      </c>
      <c r="AP353" s="29">
        <f>IF(AND(MIP_4[Exc]=0,MIP_4[Previsto / Realizado]="Realizado",ISBLANK(MIP_4[[#This Row],[S.B Sitrack]])=FALSE,ISBLANK(MIP_4[[#This Row],[C.B Sitrack]])=FALSE),MIP_4[Sem],0)</f>
        <v>0</v>
      </c>
    </row>
    <row r="354" spans="1:42" ht="15.75" x14ac:dyDescent="0.25">
      <c r="A354" s="44">
        <f>WEEKNUM(MIP_4[[#This Row],[Data]])</f>
        <v>32</v>
      </c>
      <c r="B354" s="45">
        <v>42957</v>
      </c>
      <c r="C354" s="45"/>
      <c r="D354" s="35" t="s">
        <v>7</v>
      </c>
      <c r="E354" s="35" t="s">
        <v>5</v>
      </c>
      <c r="F354" s="35"/>
      <c r="G354" s="44">
        <v>2</v>
      </c>
      <c r="H354" s="44">
        <v>3</v>
      </c>
      <c r="I354" s="44">
        <v>2</v>
      </c>
      <c r="J354" s="44">
        <v>0</v>
      </c>
      <c r="K354" s="44">
        <v>5</v>
      </c>
      <c r="L354" s="43">
        <v>0.625</v>
      </c>
      <c r="M354" s="43">
        <v>0.64583333333333337</v>
      </c>
      <c r="N354" s="43">
        <f>1+18/24/60</f>
        <v>1.0125</v>
      </c>
      <c r="O354" s="43">
        <f>1+48/24/60</f>
        <v>1.0333333333333334</v>
      </c>
      <c r="P354" s="39"/>
      <c r="Q354" s="42" t="s">
        <v>334</v>
      </c>
      <c r="R354" s="29">
        <f>MIP_4[[#This Row],[PT-1]]+MIP_4[[#This Row],[PT-2]]*2+MIP_4[[#This Row],[PT-3]]*3+MIP_4[[#This Row],[PT &gt; 3 Pontos]]</f>
        <v>12</v>
      </c>
      <c r="S35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35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354" s="41">
        <f ca="1">MIP_4[[#This Row],[Eficiência]]</f>
        <v>0.81272352457437036</v>
      </c>
      <c r="V35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54" s="39">
        <f>IF(MIP_4[[#This Row],[P.S]]-MIP_4[[#This Row],[P.E]]&lt;0,1+MIP_4[[#This Row],[P.S]]-MIP_4[[#This Row],[P.E]]-1/24,MIP_4[[#This Row],[P.S]]-MIP_4[[#This Row],[P.E]]-1/24)</f>
        <v>0.36666666666666675</v>
      </c>
      <c r="X354" s="39">
        <f ca="1">MIP_4[[#This Row],[PT-1]]*$S$3+MIP_4[[#This Row],[PT-2]]*$T$3+MIP_4[[#This Row],[PT-3]]*$U$3+MIP_4[[#This Row],[PT &gt; 3 Pontos]]*$V$3</f>
        <v>0.26413514548667028</v>
      </c>
      <c r="Y354" s="39">
        <f>MIP_4[[#This Row],[HH disponível]]-MIP_4[[#This Row],[HH AC TOT]]</f>
        <v>0.3249999999999999</v>
      </c>
      <c r="Z354" s="38">
        <f ca="1">MIP_4[[#This Row],[HH Produtivo
Total]]/MIP_4[[#This Row],[HH Trabalhado]]</f>
        <v>0.81272352457437036</v>
      </c>
      <c r="AA354" s="38">
        <f ca="1">MIP_4[[#This Row],[HH Produtivo
Total]]/MIP_4[[#This Row],[HH disponível]]</f>
        <v>0.72036857860000969</v>
      </c>
      <c r="AB354" s="38">
        <f>MIP_4[[#This Row],[HH Trabalhado]]/MIP_4[[#This Row],[HH disponível]]</f>
        <v>0.88636363636363591</v>
      </c>
      <c r="AC354" s="37" t="str">
        <f>LEFT(MIP_4[[#This Row],[Equipe]], SEARCH("/",MIP_4[[#This Row],[Equipe]],1)-1)</f>
        <v xml:space="preserve">ANDERSON </v>
      </c>
      <c r="AD354" s="37" t="str">
        <f>RIGHT(MIP_4[[#This Row],[Equipe]], LEN(MIP_4[[#This Row],[Equipe]])-SEARCH("/",MIP_4[[#This Row],[Equipe]],1))</f>
        <v xml:space="preserve"> MARCO</v>
      </c>
      <c r="AE354" s="44">
        <f>COUNTIFS('[1]Tempo parado'!G:G,"&gt;="&amp;MIP_4[[#This Row],[S.B Sitrack]],'[1]Tempo parado'!H:H,"&lt;="&amp;MIP_4[[#This Row],[C.B Sitrack]],'[1]Tempo parado'!A:A,MIP_4[[#This Row],[Placa]])</f>
        <v>0</v>
      </c>
      <c r="AF354" s="36"/>
      <c r="AG354" s="35"/>
      <c r="AH354" s="34"/>
      <c r="AI354" s="34"/>
      <c r="AJ35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5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5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54" s="32" t="str">
        <f>IFERROR(MIP_4[[#This Row],[Tempo parado]]/(MIP_4[[#This Row],[C.B Sitrack]]-MIP_4[[#This Row],[S.B Sitrack]]),"")</f>
        <v/>
      </c>
      <c r="AN354" s="30"/>
      <c r="AO354" s="44">
        <f>IF(AND(MIP_4[Exc]=0,MIP_4[Previsto / Realizado]="Realizado"),MIP_4[Sem],0)</f>
        <v>0</v>
      </c>
      <c r="AP354" s="29">
        <f>IF(AND(MIP_4[Exc]=0,MIP_4[Previsto / Realizado]="Realizado",ISBLANK(MIP_4[[#This Row],[S.B Sitrack]])=FALSE,ISBLANK(MIP_4[[#This Row],[C.B Sitrack]])=FALSE),MIP_4[Sem],0)</f>
        <v>0</v>
      </c>
    </row>
    <row r="355" spans="1:42" ht="15.75" x14ac:dyDescent="0.25">
      <c r="A355" s="44">
        <f>WEEKNUM(MIP_4[[#This Row],[Data]])</f>
        <v>32</v>
      </c>
      <c r="B355" s="45">
        <v>42957</v>
      </c>
      <c r="C355" s="45"/>
      <c r="D355" s="35" t="s">
        <v>7</v>
      </c>
      <c r="E355" s="35" t="s">
        <v>2</v>
      </c>
      <c r="F355" s="35"/>
      <c r="G355" s="44">
        <v>2</v>
      </c>
      <c r="H355" s="44">
        <v>3</v>
      </c>
      <c r="I355" s="44">
        <v>2</v>
      </c>
      <c r="J355" s="44">
        <v>0</v>
      </c>
      <c r="K355" s="44">
        <v>5</v>
      </c>
      <c r="L355" s="43">
        <v>0.625</v>
      </c>
      <c r="M355" s="43">
        <v>0.66319444444444442</v>
      </c>
      <c r="N355" s="43">
        <f>1+0/24/60</f>
        <v>1</v>
      </c>
      <c r="O355" s="43">
        <f>1+48/24/60</f>
        <v>1.0333333333333334</v>
      </c>
      <c r="P355" s="39">
        <v>3.4722222222222224E-2</v>
      </c>
      <c r="Q355" s="42" t="s">
        <v>333</v>
      </c>
      <c r="R355" s="29">
        <f>MIP_4[[#This Row],[PT-1]]+MIP_4[[#This Row],[PT-2]]*2+MIP_4[[#This Row],[PT-3]]*3+MIP_4[[#This Row],[PT &gt; 3 Pontos]]</f>
        <v>12</v>
      </c>
      <c r="S35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0.10625000000000008</v>
      </c>
      <c r="T35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7.1527777777777857E-2</v>
      </c>
      <c r="U355" s="41">
        <f ca="1">MIP_4[[#This Row],[Eficiência]]</f>
        <v>1.0142789586688137</v>
      </c>
      <c r="V35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55" s="39">
        <f>IF(MIP_4[[#This Row],[P.S]]-MIP_4[[#This Row],[P.E]]&lt;0,1+MIP_4[[#This Row],[P.S]]-MIP_4[[#This Row],[P.E]]-1/24,MIP_4[[#This Row],[P.S]]-MIP_4[[#This Row],[P.E]]-1/24)</f>
        <v>0.36666666666666675</v>
      </c>
      <c r="X355" s="39">
        <f ca="1">MIP_4[[#This Row],[PT-1]]*$S$3+MIP_4[[#This Row],[PT-2]]*$T$3+MIP_4[[#This Row],[PT-3]]*$U$3+MIP_4[[#This Row],[PT &gt; 3 Pontos]]*$V$3</f>
        <v>0.26413514548667028</v>
      </c>
      <c r="Y355" s="39">
        <f>MIP_4[[#This Row],[HH disponível]]-MIP_4[[#This Row],[HH AC TOT]]</f>
        <v>0.26041666666666669</v>
      </c>
      <c r="Z355" s="38">
        <f ca="1">MIP_4[[#This Row],[HH Produtivo
Total]]/MIP_4[[#This Row],[HH Trabalhado]]</f>
        <v>1.0142789586688137</v>
      </c>
      <c r="AA355" s="38">
        <f ca="1">MIP_4[[#This Row],[HH Produtivo
Total]]/MIP_4[[#This Row],[HH disponível]]</f>
        <v>0.72036857860000969</v>
      </c>
      <c r="AB355" s="38">
        <f>MIP_4[[#This Row],[HH Trabalhado]]/MIP_4[[#This Row],[HH disponível]]</f>
        <v>0.7102272727272726</v>
      </c>
      <c r="AC355" s="37" t="str">
        <f>LEFT(MIP_4[[#This Row],[Equipe]], SEARCH("/",MIP_4[[#This Row],[Equipe]],1)-1)</f>
        <v xml:space="preserve">ANDERSON </v>
      </c>
      <c r="AD355" s="37" t="str">
        <f>RIGHT(MIP_4[[#This Row],[Equipe]], LEN(MIP_4[[#This Row],[Equipe]])-SEARCH("/",MIP_4[[#This Row],[Equipe]],1))</f>
        <v xml:space="preserve"> MARCO</v>
      </c>
      <c r="AE355" s="44">
        <f>COUNTIFS('[1]Tempo parado'!G:G,"&gt;="&amp;MIP_4[[#This Row],[S.B Sitrack]],'[1]Tempo parado'!H:H,"&lt;="&amp;MIP_4[[#This Row],[C.B Sitrack]],'[1]Tempo parado'!A:A,MIP_4[[#This Row],[Placa]])</f>
        <v>0</v>
      </c>
      <c r="AF355" s="36"/>
      <c r="AG355" s="35"/>
      <c r="AH355" s="34"/>
      <c r="AI355" s="34"/>
      <c r="AJ35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5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5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55" s="32" t="str">
        <f>IFERROR(MIP_4[[#This Row],[Tempo parado]]/(MIP_4[[#This Row],[C.B Sitrack]]-MIP_4[[#This Row],[S.B Sitrack]]),"")</f>
        <v/>
      </c>
      <c r="AN355" s="30"/>
      <c r="AO355" s="44">
        <f>IF(AND(MIP_4[Exc]=0,MIP_4[Previsto / Realizado]="Realizado"),MIP_4[Sem],0)</f>
        <v>32</v>
      </c>
      <c r="AP355" s="29">
        <f>IF(AND(MIP_4[Exc]=0,MIP_4[Previsto / Realizado]="Realizado",ISBLANK(MIP_4[[#This Row],[S.B Sitrack]])=FALSE,ISBLANK(MIP_4[[#This Row],[C.B Sitrack]])=FALSE),MIP_4[Sem],0)</f>
        <v>0</v>
      </c>
    </row>
    <row r="356" spans="1:42" ht="15.75" x14ac:dyDescent="0.25">
      <c r="A356" s="44">
        <f>WEEKNUM(MIP_4[[#This Row],[Data]])</f>
        <v>32</v>
      </c>
      <c r="B356" s="45">
        <v>42958</v>
      </c>
      <c r="C356" s="45"/>
      <c r="D356" s="35" t="s">
        <v>3</v>
      </c>
      <c r="E356" s="35" t="s">
        <v>5</v>
      </c>
      <c r="F356" s="35"/>
      <c r="G356" s="44">
        <v>2</v>
      </c>
      <c r="H356" s="44">
        <v>4</v>
      </c>
      <c r="I356" s="44">
        <v>1</v>
      </c>
      <c r="J356" s="44">
        <v>0</v>
      </c>
      <c r="K356" s="44">
        <v>0</v>
      </c>
      <c r="L356" s="43">
        <v>0.625</v>
      </c>
      <c r="M356" s="43">
        <v>0.64583333333333337</v>
      </c>
      <c r="N356" s="43">
        <f>1+18/24/60</f>
        <v>1.0125</v>
      </c>
      <c r="O356" s="43">
        <f>1+48/24/60</f>
        <v>1.0333333333333334</v>
      </c>
      <c r="P356" s="39"/>
      <c r="Q356" s="42"/>
      <c r="R356" s="29">
        <f>MIP_4[[#This Row],[PT-1]]+MIP_4[[#This Row],[PT-2]]*2+MIP_4[[#This Row],[PT-3]]*3+MIP_4[[#This Row],[PT &gt; 3 Pontos]]</f>
        <v>6</v>
      </c>
      <c r="S35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35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356" s="41">
        <f ca="1">MIP_4[[#This Row],[Eficiência]]</f>
        <v>0.44311439365787181</v>
      </c>
      <c r="V35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56" s="39">
        <f>IF(MIP_4[[#This Row],[P.S]]-MIP_4[[#This Row],[P.E]]&lt;0,1+MIP_4[[#This Row],[P.S]]-MIP_4[[#This Row],[P.E]]-1/24,MIP_4[[#This Row],[P.S]]-MIP_4[[#This Row],[P.E]]-1/24)</f>
        <v>0.36666666666666675</v>
      </c>
      <c r="X356" s="39">
        <f ca="1">MIP_4[[#This Row],[PT-1]]*$S$3+MIP_4[[#This Row],[PT-2]]*$T$3+MIP_4[[#This Row],[PT-3]]*$U$3+MIP_4[[#This Row],[PT &gt; 3 Pontos]]*$V$3</f>
        <v>0.1440121779388083</v>
      </c>
      <c r="Y356" s="39">
        <f>MIP_4[[#This Row],[HH disponível]]-MIP_4[[#This Row],[HH AC TOT]]</f>
        <v>0.3249999999999999</v>
      </c>
      <c r="Z356" s="38">
        <f ca="1">MIP_4[[#This Row],[HH Produtivo
Total]]/MIP_4[[#This Row],[HH Trabalhado]]</f>
        <v>0.44311439365787181</v>
      </c>
      <c r="AA356" s="38">
        <f ca="1">MIP_4[[#This Row],[HH Produtivo
Total]]/MIP_4[[#This Row],[HH disponível]]</f>
        <v>0.39276048528765889</v>
      </c>
      <c r="AB356" s="38">
        <f>MIP_4[[#This Row],[HH Trabalhado]]/MIP_4[[#This Row],[HH disponível]]</f>
        <v>0.88636363636363591</v>
      </c>
      <c r="AC356" s="37" t="str">
        <f>LEFT(MIP_4[[#This Row],[Equipe]], SEARCH("/",MIP_4[[#This Row],[Equipe]],1)-1)</f>
        <v xml:space="preserve">EDILTON </v>
      </c>
      <c r="AD356" s="37" t="str">
        <f>RIGHT(MIP_4[[#This Row],[Equipe]], LEN(MIP_4[[#This Row],[Equipe]])-SEARCH("/",MIP_4[[#This Row],[Equipe]],1))</f>
        <v xml:space="preserve"> GECIVALDO</v>
      </c>
      <c r="AE356" s="44">
        <f>COUNTIFS('[1]Tempo parado'!G:G,"&gt;="&amp;MIP_4[[#This Row],[S.B Sitrack]],'[1]Tempo parado'!H:H,"&lt;="&amp;MIP_4[[#This Row],[C.B Sitrack]],'[1]Tempo parado'!A:A,MIP_4[[#This Row],[Placa]])</f>
        <v>0</v>
      </c>
      <c r="AF356" s="36"/>
      <c r="AG356" s="35"/>
      <c r="AH356" s="34"/>
      <c r="AI356" s="34"/>
      <c r="AJ35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5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5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56" s="32" t="str">
        <f>IFERROR(MIP_4[[#This Row],[Tempo parado]]/(MIP_4[[#This Row],[C.B Sitrack]]-MIP_4[[#This Row],[S.B Sitrack]]),"")</f>
        <v/>
      </c>
      <c r="AN356" s="30"/>
      <c r="AO356" s="44">
        <f>IF(AND(MIP_4[Exc]=0,MIP_4[Previsto / Realizado]="Realizado"),MIP_4[Sem],0)</f>
        <v>0</v>
      </c>
      <c r="AP356" s="29">
        <f>IF(AND(MIP_4[Exc]=0,MIP_4[Previsto / Realizado]="Realizado",ISBLANK(MIP_4[[#This Row],[S.B Sitrack]])=FALSE,ISBLANK(MIP_4[[#This Row],[C.B Sitrack]])=FALSE),MIP_4[Sem],0)</f>
        <v>0</v>
      </c>
    </row>
    <row r="357" spans="1:42" ht="15.75" x14ac:dyDescent="0.25">
      <c r="A357" s="44">
        <f>WEEKNUM(MIP_4[[#This Row],[Data]])</f>
        <v>32</v>
      </c>
      <c r="B357" s="45">
        <v>42958</v>
      </c>
      <c r="C357" s="45"/>
      <c r="D357" s="35" t="s">
        <v>3</v>
      </c>
      <c r="E357" s="35" t="s">
        <v>2</v>
      </c>
      <c r="F357" s="35"/>
      <c r="G357" s="44">
        <v>2</v>
      </c>
      <c r="H357" s="44">
        <v>4</v>
      </c>
      <c r="I357" s="44">
        <v>1</v>
      </c>
      <c r="J357" s="44">
        <v>0</v>
      </c>
      <c r="K357" s="44">
        <v>0</v>
      </c>
      <c r="L357" s="43">
        <v>0.65069444444444446</v>
      </c>
      <c r="M357" s="43">
        <v>0.68611111111111101</v>
      </c>
      <c r="N357" s="43">
        <f>1+28/24/60</f>
        <v>1.0194444444444444</v>
      </c>
      <c r="O357" s="43">
        <f>1+48/24/60</f>
        <v>1.0333333333333334</v>
      </c>
      <c r="P357" s="39">
        <f>1+18/24/60-20/24-50/24/60</f>
        <v>0.14444444444444438</v>
      </c>
      <c r="Q357" s="42" t="s">
        <v>332</v>
      </c>
      <c r="R357" s="29">
        <f>MIP_4[[#This Row],[PT-1]]+MIP_4[[#This Row],[PT-2]]*2+MIP_4[[#This Row],[PT-3]]*3+MIP_4[[#This Row],[PT &gt; 3 Pontos]]</f>
        <v>6</v>
      </c>
      <c r="S35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0.19374999999999998</v>
      </c>
      <c r="T35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4.9305555555555602E-2</v>
      </c>
      <c r="U357" s="41">
        <f ca="1">MIP_4[[#This Row],[Eficiência]]</f>
        <v>0.97819592562209357</v>
      </c>
      <c r="V35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57" s="39">
        <f>IF(MIP_4[[#This Row],[P.S]]-MIP_4[[#This Row],[P.E]]&lt;0,1+MIP_4[[#This Row],[P.S]]-MIP_4[[#This Row],[P.E]]-1/24,MIP_4[[#This Row],[P.S]]-MIP_4[[#This Row],[P.E]]-1/24)</f>
        <v>0.34097222222222229</v>
      </c>
      <c r="X357" s="39">
        <f ca="1">MIP_4[[#This Row],[PT-1]]*$S$3+MIP_4[[#This Row],[PT-2]]*$T$3+MIP_4[[#This Row],[PT-3]]*$U$3+MIP_4[[#This Row],[PT &gt; 3 Pontos]]*$V$3</f>
        <v>0.1440121779388083</v>
      </c>
      <c r="Y357" s="39">
        <f>MIP_4[[#This Row],[HH disponível]]-MIP_4[[#This Row],[HH AC TOT]]</f>
        <v>0.14722222222222231</v>
      </c>
      <c r="Z357" s="38">
        <f ca="1">MIP_4[[#This Row],[HH Produtivo
Total]]/MIP_4[[#This Row],[HH Trabalhado]]</f>
        <v>0.97819592562209357</v>
      </c>
      <c r="AA357" s="38">
        <f ca="1">MIP_4[[#This Row],[HH Produtivo
Total]]/MIP_4[[#This Row],[HH disponível]]</f>
        <v>0.42235750760057822</v>
      </c>
      <c r="AB357" s="38">
        <f>MIP_4[[#This Row],[HH Trabalhado]]/MIP_4[[#This Row],[HH disponível]]</f>
        <v>0.43177189409368655</v>
      </c>
      <c r="AC357" s="37" t="str">
        <f>LEFT(MIP_4[[#This Row],[Equipe]], SEARCH("/",MIP_4[[#This Row],[Equipe]],1)-1)</f>
        <v xml:space="preserve">EDILTON </v>
      </c>
      <c r="AD357" s="37" t="str">
        <f>RIGHT(MIP_4[[#This Row],[Equipe]], LEN(MIP_4[[#This Row],[Equipe]])-SEARCH("/",MIP_4[[#This Row],[Equipe]],1))</f>
        <v xml:space="preserve"> GECIVALDO</v>
      </c>
      <c r="AE357" s="44">
        <f>COUNTIFS('[1]Tempo parado'!G:G,"&gt;="&amp;MIP_4[[#This Row],[S.B Sitrack]],'[1]Tempo parado'!H:H,"&lt;="&amp;MIP_4[[#This Row],[C.B Sitrack]],'[1]Tempo parado'!A:A,MIP_4[[#This Row],[Placa]])</f>
        <v>0</v>
      </c>
      <c r="AF357" s="36"/>
      <c r="AG357" s="35"/>
      <c r="AH357" s="34"/>
      <c r="AI357" s="34"/>
      <c r="AJ35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5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5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57" s="32" t="str">
        <f>IFERROR(MIP_4[[#This Row],[Tempo parado]]/(MIP_4[[#This Row],[C.B Sitrack]]-MIP_4[[#This Row],[S.B Sitrack]]),"")</f>
        <v/>
      </c>
      <c r="AN357" s="30"/>
      <c r="AO357" s="44">
        <f>IF(AND(MIP_4[Exc]=0,MIP_4[Previsto / Realizado]="Realizado"),MIP_4[Sem],0)</f>
        <v>32</v>
      </c>
      <c r="AP357" s="29">
        <f>IF(AND(MIP_4[Exc]=0,MIP_4[Previsto / Realizado]="Realizado",ISBLANK(MIP_4[[#This Row],[S.B Sitrack]])=FALSE,ISBLANK(MIP_4[[#This Row],[C.B Sitrack]])=FALSE),MIP_4[Sem],0)</f>
        <v>0</v>
      </c>
    </row>
    <row r="358" spans="1:42" ht="15.75" x14ac:dyDescent="0.25">
      <c r="A358" s="44">
        <f>WEEKNUM(MIP_4[[#This Row],[Data]])</f>
        <v>32</v>
      </c>
      <c r="B358" s="45">
        <v>42958</v>
      </c>
      <c r="C358" s="45"/>
      <c r="D358" s="35" t="s">
        <v>7</v>
      </c>
      <c r="E358" s="35" t="s">
        <v>5</v>
      </c>
      <c r="F358" s="35"/>
      <c r="G358" s="44">
        <v>2</v>
      </c>
      <c r="H358" s="44">
        <v>5</v>
      </c>
      <c r="I358" s="44">
        <v>2</v>
      </c>
      <c r="J358" s="44">
        <v>0</v>
      </c>
      <c r="K358" s="44">
        <v>0</v>
      </c>
      <c r="L358" s="43">
        <v>0.625</v>
      </c>
      <c r="M358" s="43">
        <v>0.64583333333333337</v>
      </c>
      <c r="N358" s="43">
        <f>1+18/24/60</f>
        <v>1.0125</v>
      </c>
      <c r="O358" s="43">
        <f>1+48/24/60</f>
        <v>1.0333333333333334</v>
      </c>
      <c r="P358" s="39"/>
      <c r="Q358" s="42"/>
      <c r="R358" s="29">
        <f>MIP_4[[#This Row],[PT-1]]+MIP_4[[#This Row],[PT-2]]*2+MIP_4[[#This Row],[PT-3]]*3+MIP_4[[#This Row],[PT &gt; 3 Pontos]]</f>
        <v>9</v>
      </c>
      <c r="S35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35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358" s="41">
        <f ca="1">MIP_4[[#This Row],[Eficiência]]</f>
        <v>0.65522091384863113</v>
      </c>
      <c r="V35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58" s="39">
        <f>IF(MIP_4[[#This Row],[P.S]]-MIP_4[[#This Row],[P.E]]&lt;0,1+MIP_4[[#This Row],[P.S]]-MIP_4[[#This Row],[P.E]]-1/24,MIP_4[[#This Row],[P.S]]-MIP_4[[#This Row],[P.E]]-1/24)</f>
        <v>0.36666666666666675</v>
      </c>
      <c r="X358" s="39">
        <f ca="1">MIP_4[[#This Row],[PT-1]]*$S$3+MIP_4[[#This Row],[PT-2]]*$T$3+MIP_4[[#This Row],[PT-3]]*$U$3+MIP_4[[#This Row],[PT &gt; 3 Pontos]]*$V$3</f>
        <v>0.21294679700080504</v>
      </c>
      <c r="Y358" s="39">
        <f>MIP_4[[#This Row],[HH disponível]]-MIP_4[[#This Row],[HH AC TOT]]</f>
        <v>0.3249999999999999</v>
      </c>
      <c r="Z358" s="38">
        <f ca="1">MIP_4[[#This Row],[HH Produtivo
Total]]/MIP_4[[#This Row],[HH Trabalhado]]</f>
        <v>0.65522091384863113</v>
      </c>
      <c r="AA358" s="38">
        <f ca="1">MIP_4[[#This Row],[HH Produtivo
Total]]/MIP_4[[#This Row],[HH disponível]]</f>
        <v>0.5807639918203773</v>
      </c>
      <c r="AB358" s="38">
        <f>MIP_4[[#This Row],[HH Trabalhado]]/MIP_4[[#This Row],[HH disponível]]</f>
        <v>0.88636363636363591</v>
      </c>
      <c r="AC358" s="37" t="str">
        <f>LEFT(MIP_4[[#This Row],[Equipe]], SEARCH("/",MIP_4[[#This Row],[Equipe]],1)-1)</f>
        <v xml:space="preserve">ANDERSON </v>
      </c>
      <c r="AD358" s="37" t="str">
        <f>RIGHT(MIP_4[[#This Row],[Equipe]], LEN(MIP_4[[#This Row],[Equipe]])-SEARCH("/",MIP_4[[#This Row],[Equipe]],1))</f>
        <v xml:space="preserve"> MARCO</v>
      </c>
      <c r="AE358" s="44">
        <f>COUNTIFS('[1]Tempo parado'!G:G,"&gt;="&amp;MIP_4[[#This Row],[S.B Sitrack]],'[1]Tempo parado'!H:H,"&lt;="&amp;MIP_4[[#This Row],[C.B Sitrack]],'[1]Tempo parado'!A:A,MIP_4[[#This Row],[Placa]])</f>
        <v>0</v>
      </c>
      <c r="AF358" s="36"/>
      <c r="AG358" s="35"/>
      <c r="AH358" s="34"/>
      <c r="AI358" s="34"/>
      <c r="AJ35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5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5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58" s="32" t="str">
        <f>IFERROR(MIP_4[[#This Row],[Tempo parado]]/(MIP_4[[#This Row],[C.B Sitrack]]-MIP_4[[#This Row],[S.B Sitrack]]),"")</f>
        <v/>
      </c>
      <c r="AN358" s="30"/>
      <c r="AO358" s="44">
        <f>IF(AND(MIP_4[Exc]=0,MIP_4[Previsto / Realizado]="Realizado"),MIP_4[Sem],0)</f>
        <v>0</v>
      </c>
      <c r="AP358" s="29">
        <f>IF(AND(MIP_4[Exc]=0,MIP_4[Previsto / Realizado]="Realizado",ISBLANK(MIP_4[[#This Row],[S.B Sitrack]])=FALSE,ISBLANK(MIP_4[[#This Row],[C.B Sitrack]])=FALSE),MIP_4[Sem],0)</f>
        <v>0</v>
      </c>
    </row>
    <row r="359" spans="1:42" ht="15.75" x14ac:dyDescent="0.25">
      <c r="A359" s="44">
        <f>WEEKNUM(MIP_4[[#This Row],[Data]])</f>
        <v>32</v>
      </c>
      <c r="B359" s="45">
        <v>42958</v>
      </c>
      <c r="C359" s="45"/>
      <c r="D359" s="35" t="s">
        <v>7</v>
      </c>
      <c r="E359" s="35" t="s">
        <v>2</v>
      </c>
      <c r="F359" s="35"/>
      <c r="G359" s="44">
        <v>2</v>
      </c>
      <c r="H359" s="44">
        <v>5</v>
      </c>
      <c r="I359" s="44">
        <v>2</v>
      </c>
      <c r="J359" s="44">
        <v>0</v>
      </c>
      <c r="K359" s="44">
        <v>0</v>
      </c>
      <c r="L359" s="43">
        <v>0.62152777777777779</v>
      </c>
      <c r="M359" s="43">
        <v>0.69305555555555554</v>
      </c>
      <c r="N359" s="43">
        <f>1+10/24/60</f>
        <v>1.0069444444444444</v>
      </c>
      <c r="O359" s="43">
        <f>1+48/24/60</f>
        <v>1.0333333333333334</v>
      </c>
      <c r="P359" s="39"/>
      <c r="Q359" s="42" t="s">
        <v>331</v>
      </c>
      <c r="R359" s="29">
        <f>MIP_4[[#This Row],[PT-1]]+MIP_4[[#This Row],[PT-2]]*2+MIP_4[[#This Row],[PT-3]]*3+MIP_4[[#This Row],[PT &gt; 3 Pontos]]</f>
        <v>9</v>
      </c>
      <c r="S35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9.7916666666666763E-2</v>
      </c>
      <c r="T35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9.7916666666666763E-2</v>
      </c>
      <c r="U359" s="41">
        <f ca="1">MIP_4[[#This Row],[Eficiência]]</f>
        <v>0.78225354000295733</v>
      </c>
      <c r="V35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59" s="39">
        <f>IF(MIP_4[[#This Row],[P.S]]-MIP_4[[#This Row],[P.E]]&lt;0,1+MIP_4[[#This Row],[P.S]]-MIP_4[[#This Row],[P.E]]-1/24,MIP_4[[#This Row],[P.S]]-MIP_4[[#This Row],[P.E]]-1/24)</f>
        <v>0.37013888888888896</v>
      </c>
      <c r="X359" s="39">
        <f ca="1">MIP_4[[#This Row],[PT-1]]*$S$3+MIP_4[[#This Row],[PT-2]]*$T$3+MIP_4[[#This Row],[PT-3]]*$U$3+MIP_4[[#This Row],[PT &gt; 3 Pontos]]*$V$3</f>
        <v>0.21294679700080504</v>
      </c>
      <c r="Y359" s="39">
        <f>MIP_4[[#This Row],[HH disponível]]-MIP_4[[#This Row],[HH AC TOT]]</f>
        <v>0.2722222222222222</v>
      </c>
      <c r="Z359" s="38">
        <f ca="1">MIP_4[[#This Row],[HH Produtivo
Total]]/MIP_4[[#This Row],[HH Trabalhado]]</f>
        <v>0.78225354000295733</v>
      </c>
      <c r="AA359" s="38">
        <f ca="1">MIP_4[[#This Row],[HH Produtivo
Total]]/MIP_4[[#This Row],[HH disponível]]</f>
        <v>0.57531592435489531</v>
      </c>
      <c r="AB359" s="38">
        <f>MIP_4[[#This Row],[HH Trabalhado]]/MIP_4[[#This Row],[HH disponível]]</f>
        <v>0.73545966228893034</v>
      </c>
      <c r="AC359" s="37" t="str">
        <f>LEFT(MIP_4[[#This Row],[Equipe]], SEARCH("/",MIP_4[[#This Row],[Equipe]],1)-1)</f>
        <v xml:space="preserve">ANDERSON </v>
      </c>
      <c r="AD359" s="37" t="str">
        <f>RIGHT(MIP_4[[#This Row],[Equipe]], LEN(MIP_4[[#This Row],[Equipe]])-SEARCH("/",MIP_4[[#This Row],[Equipe]],1))</f>
        <v xml:space="preserve"> MARCO</v>
      </c>
      <c r="AE359" s="44">
        <f>COUNTIFS('[1]Tempo parado'!G:G,"&gt;="&amp;MIP_4[[#This Row],[S.B Sitrack]],'[1]Tempo parado'!H:H,"&lt;="&amp;MIP_4[[#This Row],[C.B Sitrack]],'[1]Tempo parado'!A:A,MIP_4[[#This Row],[Placa]])</f>
        <v>0</v>
      </c>
      <c r="AF359" s="36"/>
      <c r="AG359" s="35"/>
      <c r="AH359" s="34"/>
      <c r="AI359" s="34"/>
      <c r="AJ35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5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5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59" s="32" t="str">
        <f>IFERROR(MIP_4[[#This Row],[Tempo parado]]/(MIP_4[[#This Row],[C.B Sitrack]]-MIP_4[[#This Row],[S.B Sitrack]]),"")</f>
        <v/>
      </c>
      <c r="AN359" s="30"/>
      <c r="AO359" s="44">
        <f>IF(AND(MIP_4[Exc]=0,MIP_4[Previsto / Realizado]="Realizado"),MIP_4[Sem],0)</f>
        <v>32</v>
      </c>
      <c r="AP359" s="29">
        <f>IF(AND(MIP_4[Exc]=0,MIP_4[Previsto / Realizado]="Realizado",ISBLANK(MIP_4[[#This Row],[S.B Sitrack]])=FALSE,ISBLANK(MIP_4[[#This Row],[C.B Sitrack]])=FALSE),MIP_4[Sem],0)</f>
        <v>0</v>
      </c>
    </row>
    <row r="360" spans="1:42" ht="15.75" x14ac:dyDescent="0.25">
      <c r="A360" s="44">
        <f>WEEKNUM(MIP_4[[#This Row],[Data]])</f>
        <v>32</v>
      </c>
      <c r="B360" s="45">
        <v>42959</v>
      </c>
      <c r="C360" s="45"/>
      <c r="D360" s="35" t="s">
        <v>3</v>
      </c>
      <c r="E360" s="35" t="s">
        <v>5</v>
      </c>
      <c r="F360" s="35"/>
      <c r="G360" s="44">
        <v>2</v>
      </c>
      <c r="H360" s="44">
        <v>4</v>
      </c>
      <c r="I360" s="44">
        <v>1</v>
      </c>
      <c r="J360" s="44">
        <v>2</v>
      </c>
      <c r="K360" s="44">
        <v>0</v>
      </c>
      <c r="L360" s="43">
        <v>0.625</v>
      </c>
      <c r="M360" s="43">
        <v>0.64583333333333337</v>
      </c>
      <c r="N360" s="43">
        <f>1+18/24/60</f>
        <v>1.0125</v>
      </c>
      <c r="O360" s="43">
        <f>1+48/24/60</f>
        <v>1.0333333333333334</v>
      </c>
      <c r="P360" s="39"/>
      <c r="Q360" s="42"/>
      <c r="R360" s="29">
        <f>MIP_4[[#This Row],[PT-1]]+MIP_4[[#This Row],[PT-2]]*2+MIP_4[[#This Row],[PT-3]]*3+MIP_4[[#This Row],[PT &gt; 3 Pontos]]</f>
        <v>12</v>
      </c>
      <c r="S36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36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360" s="41">
        <f ca="1">MIP_4[[#This Row],[Eficiência]]</f>
        <v>0.82952472748668404</v>
      </c>
      <c r="V36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60" s="39">
        <f>IF(MIP_4[[#This Row],[P.S]]-MIP_4[[#This Row],[P.E]]&lt;0,1+MIP_4[[#This Row],[P.S]]-MIP_4[[#This Row],[P.E]]-1/24,MIP_4[[#This Row],[P.S]]-MIP_4[[#This Row],[P.E]]-1/24)</f>
        <v>0.36666666666666675</v>
      </c>
      <c r="X360" s="39">
        <f ca="1">MIP_4[[#This Row],[PT-1]]*$S$3+MIP_4[[#This Row],[PT-2]]*$T$3+MIP_4[[#This Row],[PT-3]]*$U$3+MIP_4[[#This Row],[PT &gt; 3 Pontos]]*$V$3</f>
        <v>0.26959553643317224</v>
      </c>
      <c r="Y360" s="39">
        <f>MIP_4[[#This Row],[HH disponível]]-MIP_4[[#This Row],[HH AC TOT]]</f>
        <v>0.3249999999999999</v>
      </c>
      <c r="Z360" s="38">
        <f ca="1">MIP_4[[#This Row],[HH Produtivo
Total]]/MIP_4[[#This Row],[HH Trabalhado]]</f>
        <v>0.82952472748668404</v>
      </c>
      <c r="AA360" s="38">
        <f ca="1">MIP_4[[#This Row],[HH Produtivo
Total]]/MIP_4[[#This Row],[HH disponível]]</f>
        <v>0.73526055390865142</v>
      </c>
      <c r="AB360" s="38">
        <f>MIP_4[[#This Row],[HH Trabalhado]]/MIP_4[[#This Row],[HH disponível]]</f>
        <v>0.88636363636363591</v>
      </c>
      <c r="AC360" s="37" t="str">
        <f>LEFT(MIP_4[[#This Row],[Equipe]], SEARCH("/",MIP_4[[#This Row],[Equipe]],1)-1)</f>
        <v xml:space="preserve">EDILTON </v>
      </c>
      <c r="AD360" s="37" t="str">
        <f>RIGHT(MIP_4[[#This Row],[Equipe]], LEN(MIP_4[[#This Row],[Equipe]])-SEARCH("/",MIP_4[[#This Row],[Equipe]],1))</f>
        <v xml:space="preserve"> GECIVALDO</v>
      </c>
      <c r="AE360" s="44">
        <f>COUNTIFS('[1]Tempo parado'!G:G,"&gt;="&amp;MIP_4[[#This Row],[S.B Sitrack]],'[1]Tempo parado'!H:H,"&lt;="&amp;MIP_4[[#This Row],[C.B Sitrack]],'[1]Tempo parado'!A:A,MIP_4[[#This Row],[Placa]])</f>
        <v>0</v>
      </c>
      <c r="AF360" s="36"/>
      <c r="AG360" s="35"/>
      <c r="AH360" s="34"/>
      <c r="AI360" s="34"/>
      <c r="AJ36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6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6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60" s="32" t="str">
        <f>IFERROR(MIP_4[[#This Row],[Tempo parado]]/(MIP_4[[#This Row],[C.B Sitrack]]-MIP_4[[#This Row],[S.B Sitrack]]),"")</f>
        <v/>
      </c>
      <c r="AN360" s="30"/>
      <c r="AO360" s="44">
        <f>IF(AND(MIP_4[Exc]=0,MIP_4[Previsto / Realizado]="Realizado"),MIP_4[Sem],0)</f>
        <v>0</v>
      </c>
      <c r="AP360" s="29">
        <f>IF(AND(MIP_4[Exc]=0,MIP_4[Previsto / Realizado]="Realizado",ISBLANK(MIP_4[[#This Row],[S.B Sitrack]])=FALSE,ISBLANK(MIP_4[[#This Row],[C.B Sitrack]])=FALSE),MIP_4[Sem],0)</f>
        <v>0</v>
      </c>
    </row>
    <row r="361" spans="1:42" ht="15.75" x14ac:dyDescent="0.25">
      <c r="A361" s="44">
        <f>WEEKNUM(MIP_4[[#This Row],[Data]])</f>
        <v>32</v>
      </c>
      <c r="B361" s="45">
        <v>42959</v>
      </c>
      <c r="C361" s="45"/>
      <c r="D361" s="35" t="s">
        <v>3</v>
      </c>
      <c r="E361" s="35" t="s">
        <v>2</v>
      </c>
      <c r="F361" s="35"/>
      <c r="G361" s="44">
        <v>2</v>
      </c>
      <c r="H361" s="44">
        <v>4</v>
      </c>
      <c r="I361" s="44">
        <v>1</v>
      </c>
      <c r="J361" s="44">
        <v>2</v>
      </c>
      <c r="K361" s="44">
        <v>0</v>
      </c>
      <c r="L361" s="43">
        <v>0.62222222222222223</v>
      </c>
      <c r="M361" s="43">
        <v>0.64444444444444449</v>
      </c>
      <c r="N361" s="43">
        <f>1+10/24/60</f>
        <v>1.0069444444444444</v>
      </c>
      <c r="O361" s="43">
        <f>1+48/24/60</f>
        <v>1.0333333333333334</v>
      </c>
      <c r="P361" s="39">
        <v>4.8611111111111112E-2</v>
      </c>
      <c r="Q361" s="42" t="s">
        <v>330</v>
      </c>
      <c r="R361" s="29">
        <f>MIP_4[[#This Row],[PT-1]]+MIP_4[[#This Row],[PT-2]]*2+MIP_4[[#This Row],[PT-3]]*3+MIP_4[[#This Row],[PT &gt; 3 Pontos]]</f>
        <v>12</v>
      </c>
      <c r="S36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9.7222222222222376E-2</v>
      </c>
      <c r="T36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4.8611111111111271E-2</v>
      </c>
      <c r="U361" s="41">
        <f ca="1">MIP_4[[#This Row],[Eficiência]]</f>
        <v>0.99035095016267383</v>
      </c>
      <c r="V36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61" s="39">
        <f>IF(MIP_4[[#This Row],[P.S]]-MIP_4[[#This Row],[P.E]]&lt;0,1+MIP_4[[#This Row],[P.S]]-MIP_4[[#This Row],[P.E]]-1/24,MIP_4[[#This Row],[P.S]]-MIP_4[[#This Row],[P.E]]-1/24)</f>
        <v>0.36944444444444452</v>
      </c>
      <c r="X361" s="39">
        <f ca="1">MIP_4[[#This Row],[PT-1]]*$S$3+MIP_4[[#This Row],[PT-2]]*$T$3+MIP_4[[#This Row],[PT-3]]*$U$3+MIP_4[[#This Row],[PT &gt; 3 Pontos]]*$V$3</f>
        <v>0.26959553643317224</v>
      </c>
      <c r="Y361" s="39">
        <f>MIP_4[[#This Row],[HH disponível]]-MIP_4[[#This Row],[HH AC TOT]]</f>
        <v>0.27222222222222214</v>
      </c>
      <c r="Z361" s="38">
        <f ca="1">MIP_4[[#This Row],[HH Produtivo
Total]]/MIP_4[[#This Row],[HH Trabalhado]]</f>
        <v>0.99035095016267383</v>
      </c>
      <c r="AA361" s="38">
        <f ca="1">MIP_4[[#This Row],[HH Produtivo
Total]]/MIP_4[[#This Row],[HH disponível]]</f>
        <v>0.72973227906723304</v>
      </c>
      <c r="AB361" s="38">
        <f>MIP_4[[#This Row],[HH Trabalhado]]/MIP_4[[#This Row],[HH disponível]]</f>
        <v>0.73684210526315752</v>
      </c>
      <c r="AC361" s="37" t="str">
        <f>LEFT(MIP_4[[#This Row],[Equipe]], SEARCH("/",MIP_4[[#This Row],[Equipe]],1)-1)</f>
        <v xml:space="preserve">EDILTON </v>
      </c>
      <c r="AD361" s="37" t="str">
        <f>RIGHT(MIP_4[[#This Row],[Equipe]], LEN(MIP_4[[#This Row],[Equipe]])-SEARCH("/",MIP_4[[#This Row],[Equipe]],1))</f>
        <v xml:space="preserve"> GECIVALDO</v>
      </c>
      <c r="AE361" s="44">
        <f>COUNTIFS('[1]Tempo parado'!G:G,"&gt;="&amp;MIP_4[[#This Row],[S.B Sitrack]],'[1]Tempo parado'!H:H,"&lt;="&amp;MIP_4[[#This Row],[C.B Sitrack]],'[1]Tempo parado'!A:A,MIP_4[[#This Row],[Placa]])</f>
        <v>0</v>
      </c>
      <c r="AF361" s="36"/>
      <c r="AG361" s="35"/>
      <c r="AH361" s="34"/>
      <c r="AI361" s="34"/>
      <c r="AJ36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6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6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61" s="32" t="str">
        <f>IFERROR(MIP_4[[#This Row],[Tempo parado]]/(MIP_4[[#This Row],[C.B Sitrack]]-MIP_4[[#This Row],[S.B Sitrack]]),"")</f>
        <v/>
      </c>
      <c r="AN361" s="30"/>
      <c r="AO361" s="44">
        <f>IF(AND(MIP_4[Exc]=0,MIP_4[Previsto / Realizado]="Realizado"),MIP_4[Sem],0)</f>
        <v>32</v>
      </c>
      <c r="AP361" s="29">
        <f>IF(AND(MIP_4[Exc]=0,MIP_4[Previsto / Realizado]="Realizado",ISBLANK(MIP_4[[#This Row],[S.B Sitrack]])=FALSE,ISBLANK(MIP_4[[#This Row],[C.B Sitrack]])=FALSE),MIP_4[Sem],0)</f>
        <v>0</v>
      </c>
    </row>
    <row r="362" spans="1:42" ht="15.75" x14ac:dyDescent="0.25">
      <c r="A362" s="44">
        <f>WEEKNUM(MIP_4[[#This Row],[Data]])</f>
        <v>32</v>
      </c>
      <c r="B362" s="45">
        <v>42959</v>
      </c>
      <c r="C362" s="45"/>
      <c r="D362" s="35" t="s">
        <v>7</v>
      </c>
      <c r="E362" s="35" t="s">
        <v>5</v>
      </c>
      <c r="F362" s="35"/>
      <c r="G362" s="44">
        <v>2</v>
      </c>
      <c r="H362" s="44"/>
      <c r="I362" s="44"/>
      <c r="J362" s="44"/>
      <c r="K362" s="44"/>
      <c r="L362" s="43">
        <v>0.625</v>
      </c>
      <c r="M362" s="43">
        <v>0.64583333333333337</v>
      </c>
      <c r="N362" s="43">
        <f>1+18/24/60</f>
        <v>1.0125</v>
      </c>
      <c r="O362" s="43">
        <f>1+48/24/60</f>
        <v>1.0333333333333334</v>
      </c>
      <c r="P362" s="39"/>
      <c r="Q362" s="42"/>
      <c r="R362" s="29">
        <f>MIP_4[[#This Row],[PT-1]]+MIP_4[[#This Row],[PT-2]]*2+MIP_4[[#This Row],[PT-3]]*3+MIP_4[[#This Row],[PT &gt; 3 Pontos]]</f>
        <v>0</v>
      </c>
      <c r="S36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36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362" s="41">
        <f ca="1">MIP_4[[#This Row],[Eficiência]]</f>
        <v>0</v>
      </c>
      <c r="V36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62" s="39">
        <f>IF(MIP_4[[#This Row],[P.S]]-MIP_4[[#This Row],[P.E]]&lt;0,1+MIP_4[[#This Row],[P.S]]-MIP_4[[#This Row],[P.E]]-1/24,MIP_4[[#This Row],[P.S]]-MIP_4[[#This Row],[P.E]]-1/24)</f>
        <v>0.36666666666666675</v>
      </c>
      <c r="X362" s="39">
        <f ca="1">MIP_4[[#This Row],[PT-1]]*$S$3+MIP_4[[#This Row],[PT-2]]*$T$3+MIP_4[[#This Row],[PT-3]]*$U$3+MIP_4[[#This Row],[PT &gt; 3 Pontos]]*$V$3</f>
        <v>0</v>
      </c>
      <c r="Y362" s="39">
        <f>MIP_4[[#This Row],[HH disponível]]-MIP_4[[#This Row],[HH AC TOT]]</f>
        <v>0.3249999999999999</v>
      </c>
      <c r="Z362" s="38">
        <f ca="1">MIP_4[[#This Row],[HH Produtivo
Total]]/MIP_4[[#This Row],[HH Trabalhado]]</f>
        <v>0</v>
      </c>
      <c r="AA362" s="38">
        <f ca="1">MIP_4[[#This Row],[HH Produtivo
Total]]/MIP_4[[#This Row],[HH disponível]]</f>
        <v>0</v>
      </c>
      <c r="AB362" s="38">
        <f>MIP_4[[#This Row],[HH Trabalhado]]/MIP_4[[#This Row],[HH disponível]]</f>
        <v>0.88636363636363591</v>
      </c>
      <c r="AC362" s="37" t="str">
        <f>LEFT(MIP_4[[#This Row],[Equipe]], SEARCH("/",MIP_4[[#This Row],[Equipe]],1)-1)</f>
        <v xml:space="preserve">ANDERSON </v>
      </c>
      <c r="AD362" s="37" t="str">
        <f>RIGHT(MIP_4[[#This Row],[Equipe]], LEN(MIP_4[[#This Row],[Equipe]])-SEARCH("/",MIP_4[[#This Row],[Equipe]],1))</f>
        <v xml:space="preserve"> MARCO</v>
      </c>
      <c r="AE362" s="44">
        <f>COUNTIFS('[1]Tempo parado'!G:G,"&gt;="&amp;MIP_4[[#This Row],[S.B Sitrack]],'[1]Tempo parado'!H:H,"&lt;="&amp;MIP_4[[#This Row],[C.B Sitrack]],'[1]Tempo parado'!A:A,MIP_4[[#This Row],[Placa]])</f>
        <v>0</v>
      </c>
      <c r="AF362" s="36"/>
      <c r="AG362" s="35"/>
      <c r="AH362" s="34"/>
      <c r="AI362" s="34"/>
      <c r="AJ36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6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6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62" s="32" t="str">
        <f>IFERROR(MIP_4[[#This Row],[Tempo parado]]/(MIP_4[[#This Row],[C.B Sitrack]]-MIP_4[[#This Row],[S.B Sitrack]]),"")</f>
        <v/>
      </c>
      <c r="AN362" s="30"/>
      <c r="AO362" s="44">
        <f>IF(AND(MIP_4[Exc]=0,MIP_4[Previsto / Realizado]="Realizado"),MIP_4[Sem],0)</f>
        <v>0</v>
      </c>
      <c r="AP362" s="29">
        <f>IF(AND(MIP_4[Exc]=0,MIP_4[Previsto / Realizado]="Realizado",ISBLANK(MIP_4[[#This Row],[S.B Sitrack]])=FALSE,ISBLANK(MIP_4[[#This Row],[C.B Sitrack]])=FALSE),MIP_4[Sem],0)</f>
        <v>0</v>
      </c>
    </row>
    <row r="363" spans="1:42" ht="15.75" x14ac:dyDescent="0.25">
      <c r="A363" s="44">
        <f>WEEKNUM(MIP_4[[#This Row],[Data]])</f>
        <v>32</v>
      </c>
      <c r="B363" s="45">
        <v>42959</v>
      </c>
      <c r="C363" s="45"/>
      <c r="D363" s="35" t="s">
        <v>7</v>
      </c>
      <c r="E363" s="35" t="s">
        <v>2</v>
      </c>
      <c r="F363" s="35"/>
      <c r="G363" s="44">
        <v>2</v>
      </c>
      <c r="H363" s="44">
        <v>4</v>
      </c>
      <c r="I363" s="44">
        <v>1</v>
      </c>
      <c r="J363" s="44">
        <v>0</v>
      </c>
      <c r="K363" s="44">
        <v>4</v>
      </c>
      <c r="L363" s="43">
        <v>0.63750000000000007</v>
      </c>
      <c r="M363" s="43">
        <v>0.64583333333333337</v>
      </c>
      <c r="N363" s="43">
        <f>1+15/24/60</f>
        <v>1.0104166666666667</v>
      </c>
      <c r="O363" s="43">
        <f>1+56/24/60</f>
        <v>1.038888888888889</v>
      </c>
      <c r="P363" s="39">
        <v>2.0833333333333332E-2</v>
      </c>
      <c r="Q363" s="42" t="s">
        <v>329</v>
      </c>
      <c r="R363" s="29">
        <f>MIP_4[[#This Row],[PT-1]]+MIP_4[[#This Row],[PT-2]]*2+MIP_4[[#This Row],[PT-3]]*3+MIP_4[[#This Row],[PT &gt; 3 Pontos]]</f>
        <v>10</v>
      </c>
      <c r="S36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5.7638888888888865E-2</v>
      </c>
      <c r="T36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3.6805555555555536E-2</v>
      </c>
      <c r="U363" s="41">
        <f ca="1">MIP_4[[#This Row],[Eficiência]]</f>
        <v>0.74484156070113072</v>
      </c>
      <c r="V36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63" s="39">
        <f>IF(MIP_4[[#This Row],[P.S]]-MIP_4[[#This Row],[P.E]]&lt;0,1+MIP_4[[#This Row],[P.S]]-MIP_4[[#This Row],[P.E]]-1/24,MIP_4[[#This Row],[P.S]]-MIP_4[[#This Row],[P.E]]-1/24)</f>
        <v>0.35972222222222222</v>
      </c>
      <c r="X363" s="39">
        <f ca="1">MIP_4[[#This Row],[PT-1]]*$S$3+MIP_4[[#This Row],[PT-2]]*$T$3+MIP_4[[#This Row],[PT-3]]*$U$3+MIP_4[[#This Row],[PT &gt; 3 Pontos]]*$V$3</f>
        <v>0.22500422146179994</v>
      </c>
      <c r="Y363" s="39">
        <f>MIP_4[[#This Row],[HH disponível]]-MIP_4[[#This Row],[HH AC TOT]]</f>
        <v>0.30208333333333337</v>
      </c>
      <c r="Z363" s="38">
        <f ca="1">MIP_4[[#This Row],[HH Produtivo
Total]]/MIP_4[[#This Row],[HH Trabalhado]]</f>
        <v>0.74484156070113072</v>
      </c>
      <c r="AA363" s="38">
        <f ca="1">MIP_4[[#This Row],[HH Produtivo
Total]]/MIP_4[[#This Row],[HH disponível]]</f>
        <v>0.62549436082044774</v>
      </c>
      <c r="AB363" s="38">
        <f>MIP_4[[#This Row],[HH Trabalhado]]/MIP_4[[#This Row],[HH disponível]]</f>
        <v>0.83976833976833987</v>
      </c>
      <c r="AC363" s="37" t="str">
        <f>LEFT(MIP_4[[#This Row],[Equipe]], SEARCH("/",MIP_4[[#This Row],[Equipe]],1)-1)</f>
        <v xml:space="preserve">ANDERSON </v>
      </c>
      <c r="AD363" s="37" t="str">
        <f>RIGHT(MIP_4[[#This Row],[Equipe]], LEN(MIP_4[[#This Row],[Equipe]])-SEARCH("/",MIP_4[[#This Row],[Equipe]],1))</f>
        <v xml:space="preserve"> MARCO</v>
      </c>
      <c r="AE363" s="44">
        <f>COUNTIFS('[1]Tempo parado'!G:G,"&gt;="&amp;MIP_4[[#This Row],[S.B Sitrack]],'[1]Tempo parado'!H:H,"&lt;="&amp;MIP_4[[#This Row],[C.B Sitrack]],'[1]Tempo parado'!A:A,MIP_4[[#This Row],[Placa]])</f>
        <v>0</v>
      </c>
      <c r="AF363" s="36"/>
      <c r="AG363" s="35"/>
      <c r="AH363" s="34"/>
      <c r="AI363" s="34"/>
      <c r="AJ36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6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6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63" s="32" t="str">
        <f>IFERROR(MIP_4[[#This Row],[Tempo parado]]/(MIP_4[[#This Row],[C.B Sitrack]]-MIP_4[[#This Row],[S.B Sitrack]]),"")</f>
        <v/>
      </c>
      <c r="AN363" s="30"/>
      <c r="AO363" s="44">
        <f>IF(AND(MIP_4[Exc]=0,MIP_4[Previsto / Realizado]="Realizado"),MIP_4[Sem],0)</f>
        <v>32</v>
      </c>
      <c r="AP363" s="29">
        <f>IF(AND(MIP_4[Exc]=0,MIP_4[Previsto / Realizado]="Realizado",ISBLANK(MIP_4[[#This Row],[S.B Sitrack]])=FALSE,ISBLANK(MIP_4[[#This Row],[C.B Sitrack]])=FALSE),MIP_4[Sem],0)</f>
        <v>0</v>
      </c>
    </row>
    <row r="364" spans="1:42" ht="15.75" x14ac:dyDescent="0.25">
      <c r="A364" s="44">
        <f>WEEKNUM(MIP_4[[#This Row],[Data]])</f>
        <v>33</v>
      </c>
      <c r="B364" s="45">
        <v>42960</v>
      </c>
      <c r="C364" s="45"/>
      <c r="D364" s="35" t="s">
        <v>7</v>
      </c>
      <c r="E364" s="35" t="s">
        <v>5</v>
      </c>
      <c r="F364" s="35"/>
      <c r="G364" s="44">
        <v>2</v>
      </c>
      <c r="H364" s="44"/>
      <c r="I364" s="44"/>
      <c r="J364" s="44"/>
      <c r="K364" s="44"/>
      <c r="L364" s="43">
        <v>0.625</v>
      </c>
      <c r="M364" s="43">
        <v>0.64583333333333337</v>
      </c>
      <c r="N364" s="43">
        <f>1+18/24/60</f>
        <v>1.0125</v>
      </c>
      <c r="O364" s="43">
        <f>1+48/24/60</f>
        <v>1.0333333333333334</v>
      </c>
      <c r="P364" s="39"/>
      <c r="Q364" s="42"/>
      <c r="R364" s="29">
        <f>MIP_4[[#This Row],[PT-1]]+MIP_4[[#This Row],[PT-2]]*2+MIP_4[[#This Row],[PT-3]]*3+MIP_4[[#This Row],[PT &gt; 3 Pontos]]</f>
        <v>0</v>
      </c>
      <c r="S36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36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364" s="41">
        <f ca="1">MIP_4[[#This Row],[Eficiência]]</f>
        <v>0</v>
      </c>
      <c r="V36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64" s="39">
        <f>IF(MIP_4[[#This Row],[P.S]]-MIP_4[[#This Row],[P.E]]&lt;0,1+MIP_4[[#This Row],[P.S]]-MIP_4[[#This Row],[P.E]]-1/24,MIP_4[[#This Row],[P.S]]-MIP_4[[#This Row],[P.E]]-1/24)</f>
        <v>0.36666666666666675</v>
      </c>
      <c r="X364" s="39">
        <f ca="1">MIP_4[[#This Row],[PT-1]]*$S$3+MIP_4[[#This Row],[PT-2]]*$T$3+MIP_4[[#This Row],[PT-3]]*$U$3+MIP_4[[#This Row],[PT &gt; 3 Pontos]]*$V$3</f>
        <v>0</v>
      </c>
      <c r="Y364" s="39">
        <f>MIP_4[[#This Row],[HH disponível]]-MIP_4[[#This Row],[HH AC TOT]]</f>
        <v>0.3249999999999999</v>
      </c>
      <c r="Z364" s="38">
        <f ca="1">MIP_4[[#This Row],[HH Produtivo
Total]]/MIP_4[[#This Row],[HH Trabalhado]]</f>
        <v>0</v>
      </c>
      <c r="AA364" s="38">
        <f ca="1">MIP_4[[#This Row],[HH Produtivo
Total]]/MIP_4[[#This Row],[HH disponível]]</f>
        <v>0</v>
      </c>
      <c r="AB364" s="38">
        <f>MIP_4[[#This Row],[HH Trabalhado]]/MIP_4[[#This Row],[HH disponível]]</f>
        <v>0.88636363636363591</v>
      </c>
      <c r="AC364" s="37" t="str">
        <f>LEFT(MIP_4[[#This Row],[Equipe]], SEARCH("/",MIP_4[[#This Row],[Equipe]],1)-1)</f>
        <v xml:space="preserve">ANDERSON </v>
      </c>
      <c r="AD364" s="37" t="str">
        <f>RIGHT(MIP_4[[#This Row],[Equipe]], LEN(MIP_4[[#This Row],[Equipe]])-SEARCH("/",MIP_4[[#This Row],[Equipe]],1))</f>
        <v xml:space="preserve"> MARCO</v>
      </c>
      <c r="AE364" s="44">
        <f>COUNTIFS('[1]Tempo parado'!G:G,"&gt;="&amp;MIP_4[[#This Row],[S.B Sitrack]],'[1]Tempo parado'!H:H,"&lt;="&amp;MIP_4[[#This Row],[C.B Sitrack]],'[1]Tempo parado'!A:A,MIP_4[[#This Row],[Placa]])</f>
        <v>0</v>
      </c>
      <c r="AF364" s="36"/>
      <c r="AG364" s="35"/>
      <c r="AH364" s="34"/>
      <c r="AI364" s="34"/>
      <c r="AJ36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6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6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64" s="32" t="str">
        <f>IFERROR(MIP_4[[#This Row],[Tempo parado]]/(MIP_4[[#This Row],[C.B Sitrack]]-MIP_4[[#This Row],[S.B Sitrack]]),"")</f>
        <v/>
      </c>
      <c r="AN364" s="30"/>
      <c r="AO364" s="44">
        <f>IF(AND(MIP_4[Exc]=0,MIP_4[Previsto / Realizado]="Realizado"),MIP_4[Sem],0)</f>
        <v>0</v>
      </c>
      <c r="AP364" s="29">
        <f>IF(AND(MIP_4[Exc]=0,MIP_4[Previsto / Realizado]="Realizado",ISBLANK(MIP_4[[#This Row],[S.B Sitrack]])=FALSE,ISBLANK(MIP_4[[#This Row],[C.B Sitrack]])=FALSE),MIP_4[Sem],0)</f>
        <v>0</v>
      </c>
    </row>
    <row r="365" spans="1:42" ht="15.75" x14ac:dyDescent="0.25">
      <c r="A365" s="44">
        <f>WEEKNUM(MIP_4[[#This Row],[Data]])</f>
        <v>33</v>
      </c>
      <c r="B365" s="45">
        <v>42960</v>
      </c>
      <c r="C365" s="45"/>
      <c r="D365" s="35" t="s">
        <v>7</v>
      </c>
      <c r="E365" s="35" t="s">
        <v>2</v>
      </c>
      <c r="F365" s="35"/>
      <c r="G365" s="44">
        <v>2</v>
      </c>
      <c r="H365" s="44">
        <v>5</v>
      </c>
      <c r="I365" s="44">
        <v>1</v>
      </c>
      <c r="J365" s="44">
        <v>0</v>
      </c>
      <c r="K365" s="44">
        <v>6</v>
      </c>
      <c r="L365" s="43">
        <v>0.61805555555555558</v>
      </c>
      <c r="M365" s="43">
        <v>0.64374999999999993</v>
      </c>
      <c r="N365" s="43">
        <f>1+0/24/60</f>
        <v>1</v>
      </c>
      <c r="O365" s="43">
        <f>1+48/24/60</f>
        <v>1.0333333333333334</v>
      </c>
      <c r="P365" s="39"/>
      <c r="Q365" s="42" t="s">
        <v>328</v>
      </c>
      <c r="R365" s="29">
        <f>MIP_4[[#This Row],[PT-1]]+MIP_4[[#This Row],[PT-2]]*2+MIP_4[[#This Row],[PT-3]]*3+MIP_4[[#This Row],[PT &gt; 3 Pontos]]</f>
        <v>13</v>
      </c>
      <c r="S36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5.902777777777779E-2</v>
      </c>
      <c r="T36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5.902777777777779E-2</v>
      </c>
      <c r="U365" s="41">
        <f ca="1">MIP_4[[#This Row],[Eficiência]]</f>
        <v>0.92352666336074019</v>
      </c>
      <c r="V36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65" s="39">
        <f>IF(MIP_4[[#This Row],[P.S]]-MIP_4[[#This Row],[P.E]]&lt;0,1+MIP_4[[#This Row],[P.S]]-MIP_4[[#This Row],[P.E]]-1/24,MIP_4[[#This Row],[P.S]]-MIP_4[[#This Row],[P.E]]-1/24)</f>
        <v>0.37361111111111117</v>
      </c>
      <c r="X365" s="39">
        <f ca="1">MIP_4[[#This Row],[PT-1]]*$S$3+MIP_4[[#This Row],[PT-2]]*$T$3+MIP_4[[#This Row],[PT-3]]*$U$3+MIP_4[[#This Row],[PT &gt; 3 Pontos]]*$V$3</f>
        <v>0.29052609618223291</v>
      </c>
      <c r="Y365" s="39">
        <f>MIP_4[[#This Row],[HH disponível]]-MIP_4[[#This Row],[HH AC TOT]]</f>
        <v>0.31458333333333338</v>
      </c>
      <c r="Z365" s="38">
        <f ca="1">MIP_4[[#This Row],[HH Produtivo
Total]]/MIP_4[[#This Row],[HH Trabalhado]]</f>
        <v>0.92352666336074019</v>
      </c>
      <c r="AA365" s="38">
        <f ca="1">MIP_4[[#This Row],[HH Produtivo
Total]]/MIP_4[[#This Row],[HH disponível]]</f>
        <v>0.77761631691898758</v>
      </c>
      <c r="AB365" s="38">
        <f>MIP_4[[#This Row],[HH Trabalhado]]/MIP_4[[#This Row],[HH disponível]]</f>
        <v>0.84200743494423791</v>
      </c>
      <c r="AC365" s="37" t="str">
        <f>LEFT(MIP_4[[#This Row],[Equipe]], SEARCH("/",MIP_4[[#This Row],[Equipe]],1)-1)</f>
        <v xml:space="preserve">ANDERSON </v>
      </c>
      <c r="AD365" s="37" t="str">
        <f>RIGHT(MIP_4[[#This Row],[Equipe]], LEN(MIP_4[[#This Row],[Equipe]])-SEARCH("/",MIP_4[[#This Row],[Equipe]],1))</f>
        <v xml:space="preserve"> MARCO</v>
      </c>
      <c r="AE365" s="44">
        <f>COUNTIFS('[1]Tempo parado'!G:G,"&gt;="&amp;MIP_4[[#This Row],[S.B Sitrack]],'[1]Tempo parado'!H:H,"&lt;="&amp;MIP_4[[#This Row],[C.B Sitrack]],'[1]Tempo parado'!A:A,MIP_4[[#This Row],[Placa]])</f>
        <v>0</v>
      </c>
      <c r="AF365" s="36"/>
      <c r="AG365" s="35"/>
      <c r="AH365" s="34"/>
      <c r="AI365" s="34"/>
      <c r="AJ36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6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6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65" s="32" t="str">
        <f>IFERROR(MIP_4[[#This Row],[Tempo parado]]/(MIP_4[[#This Row],[C.B Sitrack]]-MIP_4[[#This Row],[S.B Sitrack]]),"")</f>
        <v/>
      </c>
      <c r="AN365" s="30"/>
      <c r="AO365" s="44">
        <f>IF(AND(MIP_4[Exc]=0,MIP_4[Previsto / Realizado]="Realizado"),MIP_4[Sem],0)</f>
        <v>33</v>
      </c>
      <c r="AP365" s="29">
        <f>IF(AND(MIP_4[Exc]=0,MIP_4[Previsto / Realizado]="Realizado",ISBLANK(MIP_4[[#This Row],[S.B Sitrack]])=FALSE,ISBLANK(MIP_4[[#This Row],[C.B Sitrack]])=FALSE),MIP_4[Sem],0)</f>
        <v>0</v>
      </c>
    </row>
    <row r="366" spans="1:42" ht="15.75" x14ac:dyDescent="0.25">
      <c r="A366" s="44">
        <f>WEEKNUM(MIP_4[[#This Row],[Data]])</f>
        <v>33</v>
      </c>
      <c r="B366" s="45">
        <v>42960</v>
      </c>
      <c r="C366" s="45"/>
      <c r="D366" s="35" t="s">
        <v>3</v>
      </c>
      <c r="E366" s="35" t="s">
        <v>5</v>
      </c>
      <c r="F366" s="35"/>
      <c r="G366" s="44">
        <v>2</v>
      </c>
      <c r="H366" s="44"/>
      <c r="I366" s="44"/>
      <c r="J366" s="44"/>
      <c r="K366" s="44"/>
      <c r="L366" s="43">
        <v>0.625</v>
      </c>
      <c r="M366" s="43">
        <v>0.64583333333333337</v>
      </c>
      <c r="N366" s="43">
        <f>1+18/24/60</f>
        <v>1.0125</v>
      </c>
      <c r="O366" s="43">
        <f>1+48/24/60</f>
        <v>1.0333333333333334</v>
      </c>
      <c r="P366" s="39"/>
      <c r="Q366" s="42"/>
      <c r="R366" s="29">
        <f>MIP_4[[#This Row],[PT-1]]+MIP_4[[#This Row],[PT-2]]*2+MIP_4[[#This Row],[PT-3]]*3+MIP_4[[#This Row],[PT &gt; 3 Pontos]]</f>
        <v>0</v>
      </c>
      <c r="S36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36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366" s="41">
        <f ca="1">MIP_4[[#This Row],[Eficiência]]</f>
        <v>0</v>
      </c>
      <c r="V36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66" s="39">
        <f>IF(MIP_4[[#This Row],[P.S]]-MIP_4[[#This Row],[P.E]]&lt;0,1+MIP_4[[#This Row],[P.S]]-MIP_4[[#This Row],[P.E]]-1/24,MIP_4[[#This Row],[P.S]]-MIP_4[[#This Row],[P.E]]-1/24)</f>
        <v>0.36666666666666675</v>
      </c>
      <c r="X366" s="39">
        <f ca="1">MIP_4[[#This Row],[PT-1]]*$S$3+MIP_4[[#This Row],[PT-2]]*$T$3+MIP_4[[#This Row],[PT-3]]*$U$3+MIP_4[[#This Row],[PT &gt; 3 Pontos]]*$V$3</f>
        <v>0</v>
      </c>
      <c r="Y366" s="39">
        <f>MIP_4[[#This Row],[HH disponível]]-MIP_4[[#This Row],[HH AC TOT]]</f>
        <v>0.3249999999999999</v>
      </c>
      <c r="Z366" s="38">
        <f ca="1">MIP_4[[#This Row],[HH Produtivo
Total]]/MIP_4[[#This Row],[HH Trabalhado]]</f>
        <v>0</v>
      </c>
      <c r="AA366" s="38">
        <f ca="1">MIP_4[[#This Row],[HH Produtivo
Total]]/MIP_4[[#This Row],[HH disponível]]</f>
        <v>0</v>
      </c>
      <c r="AB366" s="38">
        <f>MIP_4[[#This Row],[HH Trabalhado]]/MIP_4[[#This Row],[HH disponível]]</f>
        <v>0.88636363636363591</v>
      </c>
      <c r="AC366" s="37" t="str">
        <f>LEFT(MIP_4[[#This Row],[Equipe]], SEARCH("/",MIP_4[[#This Row],[Equipe]],1)-1)</f>
        <v xml:space="preserve">EDILTON </v>
      </c>
      <c r="AD366" s="37" t="str">
        <f>RIGHT(MIP_4[[#This Row],[Equipe]], LEN(MIP_4[[#This Row],[Equipe]])-SEARCH("/",MIP_4[[#This Row],[Equipe]],1))</f>
        <v xml:space="preserve"> GECIVALDO</v>
      </c>
      <c r="AE366" s="44">
        <f>COUNTIFS('[1]Tempo parado'!G:G,"&gt;="&amp;MIP_4[[#This Row],[S.B Sitrack]],'[1]Tempo parado'!H:H,"&lt;="&amp;MIP_4[[#This Row],[C.B Sitrack]],'[1]Tempo parado'!A:A,MIP_4[[#This Row],[Placa]])</f>
        <v>0</v>
      </c>
      <c r="AF366" s="36"/>
      <c r="AG366" s="35"/>
      <c r="AH366" s="34"/>
      <c r="AI366" s="34"/>
      <c r="AJ36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6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6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66" s="32" t="str">
        <f>IFERROR(MIP_4[[#This Row],[Tempo parado]]/(MIP_4[[#This Row],[C.B Sitrack]]-MIP_4[[#This Row],[S.B Sitrack]]),"")</f>
        <v/>
      </c>
      <c r="AN366" s="30"/>
      <c r="AO366" s="44">
        <f>IF(AND(MIP_4[Exc]=0,MIP_4[Previsto / Realizado]="Realizado"),MIP_4[Sem],0)</f>
        <v>0</v>
      </c>
      <c r="AP366" s="29">
        <f>IF(AND(MIP_4[Exc]=0,MIP_4[Previsto / Realizado]="Realizado",ISBLANK(MIP_4[[#This Row],[S.B Sitrack]])=FALSE,ISBLANK(MIP_4[[#This Row],[C.B Sitrack]])=FALSE),MIP_4[Sem],0)</f>
        <v>0</v>
      </c>
    </row>
    <row r="367" spans="1:42" ht="15.75" x14ac:dyDescent="0.25">
      <c r="A367" s="44">
        <f>WEEKNUM(MIP_4[[#This Row],[Data]])</f>
        <v>33</v>
      </c>
      <c r="B367" s="45">
        <v>42960</v>
      </c>
      <c r="C367" s="45"/>
      <c r="D367" s="35" t="s">
        <v>3</v>
      </c>
      <c r="E367" s="35" t="s">
        <v>2</v>
      </c>
      <c r="F367" s="35"/>
      <c r="G367" s="44">
        <v>2</v>
      </c>
      <c r="H367" s="44">
        <v>4</v>
      </c>
      <c r="I367" s="44">
        <v>1</v>
      </c>
      <c r="J367" s="44">
        <v>0</v>
      </c>
      <c r="K367" s="44">
        <v>5</v>
      </c>
      <c r="L367" s="43">
        <v>0.62222222222222223</v>
      </c>
      <c r="M367" s="43">
        <v>0.64583333333333337</v>
      </c>
      <c r="N367" s="43">
        <v>0.96875</v>
      </c>
      <c r="O367" s="43">
        <f>1+48/24/60</f>
        <v>1.0333333333333334</v>
      </c>
      <c r="P367" s="39"/>
      <c r="Q367" s="42" t="s">
        <v>328</v>
      </c>
      <c r="R367" s="29">
        <f>MIP_4[[#This Row],[PT-1]]+MIP_4[[#This Row],[PT-2]]*2+MIP_4[[#This Row],[PT-3]]*3+MIP_4[[#This Row],[PT &gt; 3 Pontos]]</f>
        <v>11</v>
      </c>
      <c r="S36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8.8194444444444575E-2</v>
      </c>
      <c r="T36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8.8194444444444575E-2</v>
      </c>
      <c r="U367" s="41">
        <f ca="1">MIP_4[[#This Row],[Eficiência]]</f>
        <v>0.872007937217948</v>
      </c>
      <c r="V36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67" s="39">
        <f>IF(MIP_4[[#This Row],[P.S]]-MIP_4[[#This Row],[P.E]]&lt;0,1+MIP_4[[#This Row],[P.S]]-MIP_4[[#This Row],[P.E]]-1/24,MIP_4[[#This Row],[P.S]]-MIP_4[[#This Row],[P.E]]-1/24)</f>
        <v>0.36944444444444452</v>
      </c>
      <c r="X367" s="39">
        <f ca="1">MIP_4[[#This Row],[PT-1]]*$S$3+MIP_4[[#This Row],[PT-2]]*$T$3+MIP_4[[#This Row],[PT-3]]*$U$3+MIP_4[[#This Row],[PT &gt; 3 Pontos]]*$V$3</f>
        <v>0.24525223234254784</v>
      </c>
      <c r="Y367" s="39">
        <f>MIP_4[[#This Row],[HH disponível]]-MIP_4[[#This Row],[HH AC TOT]]</f>
        <v>0.28124999999999994</v>
      </c>
      <c r="Z367" s="38">
        <f ca="1">MIP_4[[#This Row],[HH Produtivo
Total]]/MIP_4[[#This Row],[HH Trabalhado]]</f>
        <v>0.872007937217948</v>
      </c>
      <c r="AA367" s="38">
        <f ca="1">MIP_4[[#This Row],[HH Produtivo
Total]]/MIP_4[[#This Row],[HH disponível]]</f>
        <v>0.66384062889712181</v>
      </c>
      <c r="AB367" s="38">
        <f>MIP_4[[#This Row],[HH Trabalhado]]/MIP_4[[#This Row],[HH disponível]]</f>
        <v>0.76127819548872155</v>
      </c>
      <c r="AC367" s="37" t="str">
        <f>LEFT(MIP_4[[#This Row],[Equipe]], SEARCH("/",MIP_4[[#This Row],[Equipe]],1)-1)</f>
        <v xml:space="preserve">EDILTON </v>
      </c>
      <c r="AD367" s="37" t="str">
        <f>RIGHT(MIP_4[[#This Row],[Equipe]], LEN(MIP_4[[#This Row],[Equipe]])-SEARCH("/",MIP_4[[#This Row],[Equipe]],1))</f>
        <v xml:space="preserve"> GECIVALDO</v>
      </c>
      <c r="AE367" s="44">
        <f>COUNTIFS('[1]Tempo parado'!G:G,"&gt;="&amp;MIP_4[[#This Row],[S.B Sitrack]],'[1]Tempo parado'!H:H,"&lt;="&amp;MIP_4[[#This Row],[C.B Sitrack]],'[1]Tempo parado'!A:A,MIP_4[[#This Row],[Placa]])</f>
        <v>0</v>
      </c>
      <c r="AF367" s="36"/>
      <c r="AG367" s="35"/>
      <c r="AH367" s="34"/>
      <c r="AI367" s="34"/>
      <c r="AJ36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6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6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67" s="32" t="str">
        <f>IFERROR(MIP_4[[#This Row],[Tempo parado]]/(MIP_4[[#This Row],[C.B Sitrack]]-MIP_4[[#This Row],[S.B Sitrack]]),"")</f>
        <v/>
      </c>
      <c r="AN367" s="30"/>
      <c r="AO367" s="44">
        <f>IF(AND(MIP_4[Exc]=0,MIP_4[Previsto / Realizado]="Realizado"),MIP_4[Sem],0)</f>
        <v>33</v>
      </c>
      <c r="AP367" s="29">
        <f>IF(AND(MIP_4[Exc]=0,MIP_4[Previsto / Realizado]="Realizado",ISBLANK(MIP_4[[#This Row],[S.B Sitrack]])=FALSE,ISBLANK(MIP_4[[#This Row],[C.B Sitrack]])=FALSE),MIP_4[Sem],0)</f>
        <v>0</v>
      </c>
    </row>
    <row r="368" spans="1:42" ht="15.75" x14ac:dyDescent="0.25">
      <c r="A368" s="44">
        <f>WEEKNUM(MIP_4[[#This Row],[Data]])</f>
        <v>33</v>
      </c>
      <c r="B368" s="45">
        <v>42961</v>
      </c>
      <c r="C368" s="45"/>
      <c r="D368" s="35" t="s">
        <v>244</v>
      </c>
      <c r="E368" s="35" t="s">
        <v>5</v>
      </c>
      <c r="F368" s="35"/>
      <c r="G368" s="44">
        <v>2</v>
      </c>
      <c r="H368" s="44">
        <v>9</v>
      </c>
      <c r="I368" s="44">
        <v>2</v>
      </c>
      <c r="J368" s="44">
        <v>1</v>
      </c>
      <c r="K368" s="44">
        <v>4</v>
      </c>
      <c r="L368" s="43">
        <v>0.625</v>
      </c>
      <c r="M368" s="43">
        <v>0.64583333333333337</v>
      </c>
      <c r="N368" s="43">
        <f>1+18/24/60</f>
        <v>1.0125</v>
      </c>
      <c r="O368" s="43">
        <f>1+48/24/60</f>
        <v>1.0333333333333334</v>
      </c>
      <c r="P368" s="39"/>
      <c r="Q368" s="42"/>
      <c r="R368" s="29">
        <f>MIP_4[[#This Row],[PT-1]]+MIP_4[[#This Row],[PT-2]]*2+MIP_4[[#This Row],[PT-3]]*3+MIP_4[[#This Row],[PT &gt; 3 Pontos]]</f>
        <v>20</v>
      </c>
      <c r="S36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36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368" s="41">
        <f ca="1">MIP_4[[#This Row],[Eficiência]]</f>
        <v>1.4056428664822385</v>
      </c>
      <c r="V36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68" s="39">
        <f>IF(MIP_4[[#This Row],[P.S]]-MIP_4[[#This Row],[P.E]]&lt;0,1+MIP_4[[#This Row],[P.S]]-MIP_4[[#This Row],[P.E]]-1/24,MIP_4[[#This Row],[P.S]]-MIP_4[[#This Row],[P.E]]-1/24)</f>
        <v>0.36666666666666675</v>
      </c>
      <c r="X368" s="39">
        <f ca="1">MIP_4[[#This Row],[PT-1]]*$S$3+MIP_4[[#This Row],[PT-2]]*$T$3+MIP_4[[#This Row],[PT-3]]*$U$3+MIP_4[[#This Row],[PT &gt; 3 Pontos]]*$V$3</f>
        <v>0.45683393160672736</v>
      </c>
      <c r="Y368" s="39">
        <f>MIP_4[[#This Row],[HH disponível]]-MIP_4[[#This Row],[HH AC TOT]]</f>
        <v>0.3249999999999999</v>
      </c>
      <c r="Z368" s="38">
        <f ca="1">MIP_4[[#This Row],[HH Produtivo
Total]]/MIP_4[[#This Row],[HH Trabalhado]]</f>
        <v>1.4056428664822385</v>
      </c>
      <c r="AA368" s="38">
        <f ca="1">MIP_4[[#This Row],[HH Produtivo
Total]]/MIP_4[[#This Row],[HH disponível]]</f>
        <v>1.2459107225638015</v>
      </c>
      <c r="AB368" s="38">
        <f>MIP_4[[#This Row],[HH Trabalhado]]/MIP_4[[#This Row],[HH disponível]]</f>
        <v>0.88636363636363591</v>
      </c>
      <c r="AC368" s="37" t="str">
        <f>LEFT(MIP_4[[#This Row],[Equipe]], SEARCH("/",MIP_4[[#This Row],[Equipe]],1)-1)</f>
        <v xml:space="preserve">EDILTON </v>
      </c>
      <c r="AD368" s="37" t="str">
        <f>RIGHT(MIP_4[[#This Row],[Equipe]], LEN(MIP_4[[#This Row],[Equipe]])-SEARCH("/",MIP_4[[#This Row],[Equipe]],1))</f>
        <v xml:space="preserve"> MARCO</v>
      </c>
      <c r="AE368" s="44">
        <f>COUNTIFS('[1]Tempo parado'!G:G,"&gt;="&amp;MIP_4[[#This Row],[S.B Sitrack]],'[1]Tempo parado'!H:H,"&lt;="&amp;MIP_4[[#This Row],[C.B Sitrack]],'[1]Tempo parado'!A:A,MIP_4[[#This Row],[Placa]])</f>
        <v>0</v>
      </c>
      <c r="AF368" s="36"/>
      <c r="AG368" s="35"/>
      <c r="AH368" s="34"/>
      <c r="AI368" s="34"/>
      <c r="AJ36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6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6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68" s="32" t="str">
        <f>IFERROR(MIP_4[[#This Row],[Tempo parado]]/(MIP_4[[#This Row],[C.B Sitrack]]-MIP_4[[#This Row],[S.B Sitrack]]),"")</f>
        <v/>
      </c>
      <c r="AN368" s="30"/>
      <c r="AO368" s="44">
        <f>IF(AND(MIP_4[Exc]=0,MIP_4[Previsto / Realizado]="Realizado"),MIP_4[Sem],0)</f>
        <v>0</v>
      </c>
      <c r="AP368" s="29">
        <f>IF(AND(MIP_4[Exc]=0,MIP_4[Previsto / Realizado]="Realizado",ISBLANK(MIP_4[[#This Row],[S.B Sitrack]])=FALSE,ISBLANK(MIP_4[[#This Row],[C.B Sitrack]])=FALSE),MIP_4[Sem],0)</f>
        <v>0</v>
      </c>
    </row>
    <row r="369" spans="1:42" ht="15.75" x14ac:dyDescent="0.25">
      <c r="A369" s="44">
        <f>WEEKNUM(MIP_4[[#This Row],[Data]])</f>
        <v>33</v>
      </c>
      <c r="B369" s="45">
        <v>42961</v>
      </c>
      <c r="C369" s="45"/>
      <c r="D369" s="35" t="s">
        <v>244</v>
      </c>
      <c r="E369" s="35" t="s">
        <v>2</v>
      </c>
      <c r="F369" s="35"/>
      <c r="G369" s="44">
        <v>2</v>
      </c>
      <c r="H369" s="44">
        <v>8</v>
      </c>
      <c r="I369" s="44">
        <v>2</v>
      </c>
      <c r="J369" s="44">
        <v>1</v>
      </c>
      <c r="K369" s="44">
        <v>0</v>
      </c>
      <c r="L369" s="43">
        <v>0.61805555555555558</v>
      </c>
      <c r="M369" s="43">
        <v>0.65833333333333333</v>
      </c>
      <c r="N369" s="43">
        <v>0.96527777777777779</v>
      </c>
      <c r="O369" s="43">
        <f>1+48/24/60</f>
        <v>1.0333333333333334</v>
      </c>
      <c r="P369" s="39"/>
      <c r="Q369" s="42"/>
      <c r="R369" s="29">
        <f>MIP_4[[#This Row],[PT-1]]+MIP_4[[#This Row],[PT-2]]*2+MIP_4[[#This Row],[PT-3]]*3+MIP_4[[#This Row],[PT &gt; 3 Pontos]]</f>
        <v>15</v>
      </c>
      <c r="S36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0.10833333333333339</v>
      </c>
      <c r="T36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0.10833333333333339</v>
      </c>
      <c r="U369" s="41">
        <f ca="1">MIP_4[[#This Row],[Eficiência]]</f>
        <v>1.3224478810987172</v>
      </c>
      <c r="V36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69" s="39">
        <f>IF(MIP_4[[#This Row],[P.S]]-MIP_4[[#This Row],[P.E]]&lt;0,1+MIP_4[[#This Row],[P.S]]-MIP_4[[#This Row],[P.E]]-1/24,MIP_4[[#This Row],[P.S]]-MIP_4[[#This Row],[P.E]]-1/24)</f>
        <v>0.37361111111111117</v>
      </c>
      <c r="X369" s="39">
        <f ca="1">MIP_4[[#This Row],[PT-1]]*$S$3+MIP_4[[#This Row],[PT-2]]*$T$3+MIP_4[[#This Row],[PT-3]]*$U$3+MIP_4[[#This Row],[PT &gt; 3 Pontos]]*$V$3</f>
        <v>0.35081603512479859</v>
      </c>
      <c r="Y369" s="39">
        <f>MIP_4[[#This Row],[HH disponível]]-MIP_4[[#This Row],[HH AC TOT]]</f>
        <v>0.26527777777777778</v>
      </c>
      <c r="Z369" s="38">
        <f ca="1">MIP_4[[#This Row],[HH Produtivo
Total]]/MIP_4[[#This Row],[HH Trabalhado]]</f>
        <v>1.3224478810987172</v>
      </c>
      <c r="AA369" s="38">
        <f ca="1">MIP_4[[#This Row],[HH Produtivo
Total]]/MIP_4[[#This Row],[HH disponível]]</f>
        <v>0.93898715721135662</v>
      </c>
      <c r="AB369" s="38">
        <f>MIP_4[[#This Row],[HH Trabalhado]]/MIP_4[[#This Row],[HH disponível]]</f>
        <v>0.71003717472118943</v>
      </c>
      <c r="AC369" s="37" t="str">
        <f>LEFT(MIP_4[[#This Row],[Equipe]], SEARCH("/",MIP_4[[#This Row],[Equipe]],1)-1)</f>
        <v xml:space="preserve">EDILTON </v>
      </c>
      <c r="AD369" s="37" t="str">
        <f>RIGHT(MIP_4[[#This Row],[Equipe]], LEN(MIP_4[[#This Row],[Equipe]])-SEARCH("/",MIP_4[[#This Row],[Equipe]],1))</f>
        <v xml:space="preserve"> MARCO</v>
      </c>
      <c r="AE369" s="44">
        <f>COUNTIFS('[1]Tempo parado'!G:G,"&gt;="&amp;MIP_4[[#This Row],[S.B Sitrack]],'[1]Tempo parado'!H:H,"&lt;="&amp;MIP_4[[#This Row],[C.B Sitrack]],'[1]Tempo parado'!A:A,MIP_4[[#This Row],[Placa]])</f>
        <v>0</v>
      </c>
      <c r="AF369" s="36"/>
      <c r="AG369" s="35"/>
      <c r="AH369" s="34"/>
      <c r="AI369" s="34"/>
      <c r="AJ36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6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6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69" s="32" t="str">
        <f>IFERROR(MIP_4[[#This Row],[Tempo parado]]/(MIP_4[[#This Row],[C.B Sitrack]]-MIP_4[[#This Row],[S.B Sitrack]]),"")</f>
        <v/>
      </c>
      <c r="AN369" s="30"/>
      <c r="AO369" s="44">
        <f>IF(AND(MIP_4[Exc]=0,MIP_4[Previsto / Realizado]="Realizado"),MIP_4[Sem],0)</f>
        <v>33</v>
      </c>
      <c r="AP369" s="29">
        <f>IF(AND(MIP_4[Exc]=0,MIP_4[Previsto / Realizado]="Realizado",ISBLANK(MIP_4[[#This Row],[S.B Sitrack]])=FALSE,ISBLANK(MIP_4[[#This Row],[C.B Sitrack]])=FALSE),MIP_4[Sem],0)</f>
        <v>0</v>
      </c>
    </row>
    <row r="370" spans="1:42" ht="15.75" x14ac:dyDescent="0.25">
      <c r="A370" s="44">
        <f>WEEKNUM(MIP_4[[#This Row],[Data]])</f>
        <v>33</v>
      </c>
      <c r="B370" s="45">
        <v>42961</v>
      </c>
      <c r="C370" s="45"/>
      <c r="D370" s="35" t="s">
        <v>19</v>
      </c>
      <c r="E370" s="35" t="s">
        <v>5</v>
      </c>
      <c r="F370" s="35"/>
      <c r="G370" s="44">
        <v>2</v>
      </c>
      <c r="H370" s="44">
        <v>8</v>
      </c>
      <c r="I370" s="44">
        <v>1</v>
      </c>
      <c r="J370" s="44">
        <v>1</v>
      </c>
      <c r="K370" s="44">
        <v>0</v>
      </c>
      <c r="L370" s="43">
        <v>0.625</v>
      </c>
      <c r="M370" s="43">
        <v>0.64583333333333337</v>
      </c>
      <c r="N370" s="43">
        <f>1+18/24/60</f>
        <v>1.0125</v>
      </c>
      <c r="O370" s="43">
        <f>1+48/24/60</f>
        <v>1.0333333333333334</v>
      </c>
      <c r="P370" s="39"/>
      <c r="Q370" s="42"/>
      <c r="R370" s="29">
        <f>MIP_4[[#This Row],[PT-1]]+MIP_4[[#This Row],[PT-2]]*2+MIP_4[[#This Row],[PT-3]]*3+MIP_4[[#This Row],[PT &gt; 3 Pontos]]</f>
        <v>13</v>
      </c>
      <c r="S37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37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370" s="41">
        <f ca="1">MIP_4[[#This Row],[Eficiência]]</f>
        <v>0.94433005852842811</v>
      </c>
      <c r="V37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70" s="39">
        <f>IF(MIP_4[[#This Row],[P.S]]-MIP_4[[#This Row],[P.E]]&lt;0,1+MIP_4[[#This Row],[P.S]]-MIP_4[[#This Row],[P.E]]-1/24,MIP_4[[#This Row],[P.S]]-MIP_4[[#This Row],[P.E]]-1/24)</f>
        <v>0.36666666666666675</v>
      </c>
      <c r="X370" s="39">
        <f ca="1">MIP_4[[#This Row],[PT-1]]*$S$3+MIP_4[[#This Row],[PT-2]]*$T$3+MIP_4[[#This Row],[PT-3]]*$U$3+MIP_4[[#This Row],[PT &gt; 3 Pontos]]*$V$3</f>
        <v>0.30690726902173904</v>
      </c>
      <c r="Y370" s="39">
        <f>MIP_4[[#This Row],[HH disponível]]-MIP_4[[#This Row],[HH AC TOT]]</f>
        <v>0.3249999999999999</v>
      </c>
      <c r="Z370" s="38">
        <f ca="1">MIP_4[[#This Row],[HH Produtivo
Total]]/MIP_4[[#This Row],[HH Trabalhado]]</f>
        <v>0.94433005852842811</v>
      </c>
      <c r="AA370" s="38">
        <f ca="1">MIP_4[[#This Row],[HH Produtivo
Total]]/MIP_4[[#This Row],[HH disponível]]</f>
        <v>0.83701982460474267</v>
      </c>
      <c r="AB370" s="38">
        <f>MIP_4[[#This Row],[HH Trabalhado]]/MIP_4[[#This Row],[HH disponível]]</f>
        <v>0.88636363636363591</v>
      </c>
      <c r="AC370" s="37" t="str">
        <f>LEFT(MIP_4[[#This Row],[Equipe]], SEARCH("/",MIP_4[[#This Row],[Equipe]],1)-1)</f>
        <v xml:space="preserve">ADEMÁRIO </v>
      </c>
      <c r="AD370" s="37" t="str">
        <f>RIGHT(MIP_4[[#This Row],[Equipe]], LEN(MIP_4[[#This Row],[Equipe]])-SEARCH("/",MIP_4[[#This Row],[Equipe]],1))</f>
        <v xml:space="preserve"> RONALDO</v>
      </c>
      <c r="AE370" s="44">
        <f>COUNTIFS('[1]Tempo parado'!G:G,"&gt;="&amp;MIP_4[[#This Row],[S.B Sitrack]],'[1]Tempo parado'!H:H,"&lt;="&amp;MIP_4[[#This Row],[C.B Sitrack]],'[1]Tempo parado'!A:A,MIP_4[[#This Row],[Placa]])</f>
        <v>0</v>
      </c>
      <c r="AF370" s="36"/>
      <c r="AG370" s="35"/>
      <c r="AH370" s="34"/>
      <c r="AI370" s="34"/>
      <c r="AJ37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7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7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70" s="32" t="str">
        <f>IFERROR(MIP_4[[#This Row],[Tempo parado]]/(MIP_4[[#This Row],[C.B Sitrack]]-MIP_4[[#This Row],[S.B Sitrack]]),"")</f>
        <v/>
      </c>
      <c r="AN370" s="30"/>
      <c r="AO370" s="44">
        <f>IF(AND(MIP_4[Exc]=0,MIP_4[Previsto / Realizado]="Realizado"),MIP_4[Sem],0)</f>
        <v>0</v>
      </c>
      <c r="AP370" s="29">
        <f>IF(AND(MIP_4[Exc]=0,MIP_4[Previsto / Realizado]="Realizado",ISBLANK(MIP_4[[#This Row],[S.B Sitrack]])=FALSE,ISBLANK(MIP_4[[#This Row],[C.B Sitrack]])=FALSE),MIP_4[Sem],0)</f>
        <v>0</v>
      </c>
    </row>
    <row r="371" spans="1:42" ht="15.75" x14ac:dyDescent="0.25">
      <c r="A371" s="44">
        <f>WEEKNUM(MIP_4[[#This Row],[Data]])</f>
        <v>33</v>
      </c>
      <c r="B371" s="45">
        <v>42961</v>
      </c>
      <c r="C371" s="45"/>
      <c r="D371" s="35" t="s">
        <v>19</v>
      </c>
      <c r="E371" s="35" t="s">
        <v>2</v>
      </c>
      <c r="F371" s="35"/>
      <c r="G371" s="44">
        <v>2</v>
      </c>
      <c r="H371" s="44">
        <v>10</v>
      </c>
      <c r="I371" s="44">
        <v>0</v>
      </c>
      <c r="J371" s="44">
        <v>0</v>
      </c>
      <c r="K371" s="44">
        <v>0</v>
      </c>
      <c r="L371" s="43">
        <v>0.64652777777777781</v>
      </c>
      <c r="M371" s="43">
        <v>0.66180555555555554</v>
      </c>
      <c r="N371" s="43">
        <v>0.94166666666666676</v>
      </c>
      <c r="O371" s="43">
        <f>1+51/24/60</f>
        <v>1.0354166666666667</v>
      </c>
      <c r="P371" s="39">
        <f>17/24+3/24/60-MIP_4[[#This Row],[S.B]]</f>
        <v>4.861111111111116E-2</v>
      </c>
      <c r="Q371" s="42" t="s">
        <v>327</v>
      </c>
      <c r="R371" s="29">
        <f>MIP_4[[#This Row],[PT-1]]+MIP_4[[#This Row],[PT-2]]*2+MIP_4[[#This Row],[PT-3]]*3+MIP_4[[#This Row],[PT &gt; 3 Pontos]]</f>
        <v>10</v>
      </c>
      <c r="S37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0.15763888888888877</v>
      </c>
      <c r="T37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0.10902777777777761</v>
      </c>
      <c r="U371" s="41">
        <f ca="1">MIP_4[[#This Row],[Eficiência]]</f>
        <v>1.320044991240642</v>
      </c>
      <c r="V37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71" s="39">
        <f>IF(MIP_4[[#This Row],[P.S]]-MIP_4[[#This Row],[P.E]]&lt;0,1+MIP_4[[#This Row],[P.S]]-MIP_4[[#This Row],[P.E]]-1/24,MIP_4[[#This Row],[P.S]]-MIP_4[[#This Row],[P.E]]-1/24)</f>
        <v>0.34722222222222215</v>
      </c>
      <c r="X371" s="39">
        <f ca="1">MIP_4[[#This Row],[PT-1]]*$S$3+MIP_4[[#This Row],[PT-2]]*$T$3+MIP_4[[#This Row],[PT-3]]*$U$3+MIP_4[[#This Row],[PT &gt; 3 Pontos]]*$V$3</f>
        <v>0.25025852958937178</v>
      </c>
      <c r="Y371" s="39">
        <f>MIP_4[[#This Row],[HH disponível]]-MIP_4[[#This Row],[HH AC TOT]]</f>
        <v>0.18958333333333338</v>
      </c>
      <c r="Z371" s="38">
        <f ca="1">MIP_4[[#This Row],[HH Produtivo
Total]]/MIP_4[[#This Row],[HH Trabalhado]]</f>
        <v>1.320044991240642</v>
      </c>
      <c r="AA371" s="38">
        <f ca="1">MIP_4[[#This Row],[HH Produtivo
Total]]/MIP_4[[#This Row],[HH disponível]]</f>
        <v>0.72074456521739083</v>
      </c>
      <c r="AB371" s="38">
        <f>MIP_4[[#This Row],[HH Trabalhado]]/MIP_4[[#This Row],[HH disponível]]</f>
        <v>0.54600000000000026</v>
      </c>
      <c r="AC371" s="37" t="str">
        <f>LEFT(MIP_4[[#This Row],[Equipe]], SEARCH("/",MIP_4[[#This Row],[Equipe]],1)-1)</f>
        <v xml:space="preserve">ADEMÁRIO </v>
      </c>
      <c r="AD371" s="37" t="str">
        <f>RIGHT(MIP_4[[#This Row],[Equipe]], LEN(MIP_4[[#This Row],[Equipe]])-SEARCH("/",MIP_4[[#This Row],[Equipe]],1))</f>
        <v xml:space="preserve"> RONALDO</v>
      </c>
      <c r="AE371" s="44">
        <f>COUNTIFS('[1]Tempo parado'!G:G,"&gt;="&amp;MIP_4[[#This Row],[S.B Sitrack]],'[1]Tempo parado'!H:H,"&lt;="&amp;MIP_4[[#This Row],[C.B Sitrack]],'[1]Tempo parado'!A:A,MIP_4[[#This Row],[Placa]])</f>
        <v>0</v>
      </c>
      <c r="AF371" s="36"/>
      <c r="AG371" s="35"/>
      <c r="AH371" s="34"/>
      <c r="AI371" s="34"/>
      <c r="AJ37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7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7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71" s="32" t="str">
        <f>IFERROR(MIP_4[[#This Row],[Tempo parado]]/(MIP_4[[#This Row],[C.B Sitrack]]-MIP_4[[#This Row],[S.B Sitrack]]),"")</f>
        <v/>
      </c>
      <c r="AN371" s="30"/>
      <c r="AO371" s="44">
        <f>IF(AND(MIP_4[Exc]=0,MIP_4[Previsto / Realizado]="Realizado"),MIP_4[Sem],0)</f>
        <v>33</v>
      </c>
      <c r="AP371" s="29">
        <f>IF(AND(MIP_4[Exc]=0,MIP_4[Previsto / Realizado]="Realizado",ISBLANK(MIP_4[[#This Row],[S.B Sitrack]])=FALSE,ISBLANK(MIP_4[[#This Row],[C.B Sitrack]])=FALSE),MIP_4[Sem],0)</f>
        <v>0</v>
      </c>
    </row>
    <row r="372" spans="1:42" ht="15.75" x14ac:dyDescent="0.25">
      <c r="A372" s="44">
        <f>WEEKNUM(MIP_4[[#This Row],[Data]])</f>
        <v>33</v>
      </c>
      <c r="B372" s="45">
        <v>42962</v>
      </c>
      <c r="C372" s="45"/>
      <c r="D372" s="35" t="s">
        <v>10</v>
      </c>
      <c r="E372" s="35" t="s">
        <v>5</v>
      </c>
      <c r="F372" s="35"/>
      <c r="G372" s="44">
        <v>2</v>
      </c>
      <c r="H372" s="44">
        <v>4</v>
      </c>
      <c r="I372" s="44">
        <v>3</v>
      </c>
      <c r="J372" s="44">
        <v>2</v>
      </c>
      <c r="K372" s="44">
        <v>0</v>
      </c>
      <c r="L372" s="43">
        <v>0.25</v>
      </c>
      <c r="M372" s="43">
        <v>0.27083333333333331</v>
      </c>
      <c r="N372" s="43">
        <v>0.63750000000000007</v>
      </c>
      <c r="O372" s="43">
        <v>0.65833333333333333</v>
      </c>
      <c r="P372" s="39"/>
      <c r="Q372" s="42"/>
      <c r="R372" s="29">
        <f>MIP_4[[#This Row],[PT-1]]+MIP_4[[#This Row],[PT-2]]*2+MIP_4[[#This Row],[PT-3]]*3+MIP_4[[#This Row],[PT &gt; 3 Pontos]]</f>
        <v>16</v>
      </c>
      <c r="S37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37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372" s="41">
        <f ca="1">MIP_4[[#This Row],[Eficiência]]</f>
        <v>1.0997325188901272</v>
      </c>
      <c r="V37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72" s="39">
        <f>IF(MIP_4[[#This Row],[P.S]]-MIP_4[[#This Row],[P.E]]&lt;0,1+MIP_4[[#This Row],[P.S]]-MIP_4[[#This Row],[P.E]]-1/24,MIP_4[[#This Row],[P.S]]-MIP_4[[#This Row],[P.E]]-1/24)</f>
        <v>0.36666666666666664</v>
      </c>
      <c r="X372" s="39">
        <f ca="1">MIP_4[[#This Row],[PT-1]]*$S$3+MIP_4[[#This Row],[PT-2]]*$T$3+MIP_4[[#This Row],[PT-3]]*$U$3+MIP_4[[#This Row],[PT &gt; 3 Pontos]]*$V$3</f>
        <v>0.35741306863929145</v>
      </c>
      <c r="Y372" s="39">
        <f>MIP_4[[#This Row],[HH disponível]]-MIP_4[[#This Row],[HH AC TOT]]</f>
        <v>0.32500000000000007</v>
      </c>
      <c r="Z372" s="38">
        <f ca="1">MIP_4[[#This Row],[HH Produtivo
Total]]/MIP_4[[#This Row],[HH Trabalhado]]</f>
        <v>1.0997325188901272</v>
      </c>
      <c r="AA372" s="38">
        <f ca="1">MIP_4[[#This Row],[HH Produtivo
Total]]/MIP_4[[#This Row],[HH disponível]]</f>
        <v>0.97476291447079499</v>
      </c>
      <c r="AB372" s="38">
        <f>MIP_4[[#This Row],[HH Trabalhado]]/MIP_4[[#This Row],[HH disponível]]</f>
        <v>0.88636363636363658</v>
      </c>
      <c r="AC372" s="37" t="str">
        <f>LEFT(MIP_4[[#This Row],[Equipe]], SEARCH("/",MIP_4[[#This Row],[Equipe]],1)-1)</f>
        <v xml:space="preserve">JOILSON </v>
      </c>
      <c r="AD372" s="37" t="str">
        <f>RIGHT(MIP_4[[#This Row],[Equipe]], LEN(MIP_4[[#This Row],[Equipe]])-SEARCH("/",MIP_4[[#This Row],[Equipe]],1))</f>
        <v xml:space="preserve"> VALDEI</v>
      </c>
      <c r="AE372" s="44">
        <f>COUNTIFS('[1]Tempo parado'!G:G,"&gt;="&amp;MIP_4[[#This Row],[S.B Sitrack]],'[1]Tempo parado'!H:H,"&lt;="&amp;MIP_4[[#This Row],[C.B Sitrack]],'[1]Tempo parado'!A:A,MIP_4[[#This Row],[Placa]])</f>
        <v>0</v>
      </c>
      <c r="AF372" s="36"/>
      <c r="AG372" s="35"/>
      <c r="AH372" s="34"/>
      <c r="AI372" s="34"/>
      <c r="AJ37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7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7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72" s="32" t="str">
        <f>IFERROR(MIP_4[[#This Row],[Tempo parado]]/(MIP_4[[#This Row],[C.B Sitrack]]-MIP_4[[#This Row],[S.B Sitrack]]),"")</f>
        <v/>
      </c>
      <c r="AN372" s="30"/>
      <c r="AO372" s="44">
        <f>IF(AND(MIP_4[Exc]=0,MIP_4[Previsto / Realizado]="Realizado"),MIP_4[Sem],0)</f>
        <v>0</v>
      </c>
      <c r="AP372" s="29">
        <f>IF(AND(MIP_4[Exc]=0,MIP_4[Previsto / Realizado]="Realizado",ISBLANK(MIP_4[[#This Row],[S.B Sitrack]])=FALSE,ISBLANK(MIP_4[[#This Row],[C.B Sitrack]])=FALSE),MIP_4[Sem],0)</f>
        <v>0</v>
      </c>
    </row>
    <row r="373" spans="1:42" ht="15.75" x14ac:dyDescent="0.25">
      <c r="A373" s="44">
        <f>WEEKNUM(MIP_4[[#This Row],[Data]])</f>
        <v>33</v>
      </c>
      <c r="B373" s="45">
        <v>42962</v>
      </c>
      <c r="C373" s="45"/>
      <c r="D373" s="35" t="s">
        <v>10</v>
      </c>
      <c r="E373" s="35" t="s">
        <v>2</v>
      </c>
      <c r="F373" s="35"/>
      <c r="G373" s="44">
        <v>2</v>
      </c>
      <c r="H373" s="44">
        <v>3</v>
      </c>
      <c r="I373" s="44">
        <v>3</v>
      </c>
      <c r="J373" s="44">
        <v>2</v>
      </c>
      <c r="K373" s="44">
        <v>0</v>
      </c>
      <c r="L373" s="43">
        <v>0.24374999999999999</v>
      </c>
      <c r="M373" s="43">
        <v>0.28125</v>
      </c>
      <c r="N373" s="43">
        <v>0.63888888888888895</v>
      </c>
      <c r="O373" s="43">
        <v>0.67152777777777783</v>
      </c>
      <c r="P373" s="39"/>
      <c r="Q373" s="42"/>
      <c r="R373" s="29">
        <f>MIP_4[[#This Row],[PT-1]]+MIP_4[[#This Row],[PT-2]]*2+MIP_4[[#This Row],[PT-3]]*3+MIP_4[[#This Row],[PT &gt; 3 Pontos]]</f>
        <v>15</v>
      </c>
      <c r="S37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7.013888888888889E-2</v>
      </c>
      <c r="T37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7.013888888888889E-2</v>
      </c>
      <c r="U373" s="41">
        <f ca="1">MIP_4[[#This Row],[Eficiência]]</f>
        <v>1.0519507485268356</v>
      </c>
      <c r="V37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73" s="39">
        <f>IF(MIP_4[[#This Row],[P.S]]-MIP_4[[#This Row],[P.E]]&lt;0,1+MIP_4[[#This Row],[P.S]]-MIP_4[[#This Row],[P.E]]-1/24,MIP_4[[#This Row],[P.S]]-MIP_4[[#This Row],[P.E]]-1/24)</f>
        <v>0.38611111111111113</v>
      </c>
      <c r="X373" s="39">
        <f ca="1">MIP_4[[#This Row],[PT-1]]*$S$3+MIP_4[[#This Row],[PT-2]]*$T$3+MIP_4[[#This Row],[PT-3]]*$U$3+MIP_4[[#This Row],[PT &gt; 3 Pontos]]*$V$3</f>
        <v>0.33238721568035429</v>
      </c>
      <c r="Y373" s="39">
        <f>MIP_4[[#This Row],[HH disponível]]-MIP_4[[#This Row],[HH AC TOT]]</f>
        <v>0.31597222222222221</v>
      </c>
      <c r="Z373" s="38">
        <f ca="1">MIP_4[[#This Row],[HH Produtivo
Total]]/MIP_4[[#This Row],[HH Trabalhado]]</f>
        <v>1.0519507485268356</v>
      </c>
      <c r="AA373" s="38">
        <f ca="1">MIP_4[[#This Row],[HH Produtivo
Total]]/MIP_4[[#This Row],[HH disponível]]</f>
        <v>0.86085897586278803</v>
      </c>
      <c r="AB373" s="38">
        <f>MIP_4[[#This Row],[HH Trabalhado]]/MIP_4[[#This Row],[HH disponível]]</f>
        <v>0.8183453237410071</v>
      </c>
      <c r="AC373" s="37" t="str">
        <f>LEFT(MIP_4[[#This Row],[Equipe]], SEARCH("/",MIP_4[[#This Row],[Equipe]],1)-1)</f>
        <v xml:space="preserve">JOILSON </v>
      </c>
      <c r="AD373" s="37" t="str">
        <f>RIGHT(MIP_4[[#This Row],[Equipe]], LEN(MIP_4[[#This Row],[Equipe]])-SEARCH("/",MIP_4[[#This Row],[Equipe]],1))</f>
        <v xml:space="preserve"> VALDEI</v>
      </c>
      <c r="AE373" s="44">
        <f>COUNTIFS('[1]Tempo parado'!G:G,"&gt;="&amp;MIP_4[[#This Row],[S.B Sitrack]],'[1]Tempo parado'!H:H,"&lt;="&amp;MIP_4[[#This Row],[C.B Sitrack]],'[1]Tempo parado'!A:A,MIP_4[[#This Row],[Placa]])</f>
        <v>0</v>
      </c>
      <c r="AF373" s="36"/>
      <c r="AG373" s="35"/>
      <c r="AH373" s="34"/>
      <c r="AI373" s="34"/>
      <c r="AJ37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7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7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73" s="32" t="str">
        <f>IFERROR(MIP_4[[#This Row],[Tempo parado]]/(MIP_4[[#This Row],[C.B Sitrack]]-MIP_4[[#This Row],[S.B Sitrack]]),"")</f>
        <v/>
      </c>
      <c r="AN373" s="30"/>
      <c r="AO373" s="44">
        <f>IF(AND(MIP_4[Exc]=0,MIP_4[Previsto / Realizado]="Realizado"),MIP_4[Sem],0)</f>
        <v>33</v>
      </c>
      <c r="AP373" s="29">
        <f>IF(AND(MIP_4[Exc]=0,MIP_4[Previsto / Realizado]="Realizado",ISBLANK(MIP_4[[#This Row],[S.B Sitrack]])=FALSE,ISBLANK(MIP_4[[#This Row],[C.B Sitrack]])=FALSE),MIP_4[Sem],0)</f>
        <v>0</v>
      </c>
    </row>
    <row r="374" spans="1:42" ht="15.75" x14ac:dyDescent="0.25">
      <c r="A374" s="44">
        <f>WEEKNUM(MIP_4[[#This Row],[Data]])</f>
        <v>33</v>
      </c>
      <c r="B374" s="45">
        <v>42962</v>
      </c>
      <c r="C374" s="45"/>
      <c r="D374" s="35" t="s">
        <v>326</v>
      </c>
      <c r="E374" s="35" t="s">
        <v>5</v>
      </c>
      <c r="F374" s="35"/>
      <c r="G374" s="44">
        <v>2</v>
      </c>
      <c r="H374" s="44">
        <v>3</v>
      </c>
      <c r="I374" s="44">
        <v>3</v>
      </c>
      <c r="J374" s="44">
        <v>0</v>
      </c>
      <c r="K374" s="44">
        <v>0</v>
      </c>
      <c r="L374" s="43">
        <v>0.625</v>
      </c>
      <c r="M374" s="43">
        <v>0.64583333333333337</v>
      </c>
      <c r="N374" s="43">
        <f>1+18/24/60</f>
        <v>1.0125</v>
      </c>
      <c r="O374" s="43">
        <f>1+48/24/60</f>
        <v>1.0333333333333334</v>
      </c>
      <c r="P374" s="39"/>
      <c r="Q374" s="42"/>
      <c r="R374" s="29">
        <f>MIP_4[[#This Row],[PT-1]]+MIP_4[[#This Row],[PT-2]]*2+MIP_4[[#This Row],[PT-3]]*3+MIP_4[[#This Row],[PT &gt; 3 Pontos]]</f>
        <v>9</v>
      </c>
      <c r="S37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37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374" s="41">
        <f ca="1">MIP_4[[#This Row],[Eficiência]]</f>
        <v>0.63631956057227812</v>
      </c>
      <c r="V37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74" s="39">
        <f>IF(MIP_4[[#This Row],[P.S]]-MIP_4[[#This Row],[P.E]]&lt;0,1+MIP_4[[#This Row],[P.S]]-MIP_4[[#This Row],[P.E]]-1/24,MIP_4[[#This Row],[P.S]]-MIP_4[[#This Row],[P.E]]-1/24)</f>
        <v>0.36666666666666675</v>
      </c>
      <c r="X374" s="39">
        <f ca="1">MIP_4[[#This Row],[PT-1]]*$S$3+MIP_4[[#This Row],[PT-2]]*$T$3+MIP_4[[#This Row],[PT-3]]*$U$3+MIP_4[[#This Row],[PT &gt; 3 Pontos]]*$V$3</f>
        <v>0.20680385718599031</v>
      </c>
      <c r="Y374" s="39">
        <f>MIP_4[[#This Row],[HH disponível]]-MIP_4[[#This Row],[HH AC TOT]]</f>
        <v>0.3249999999999999</v>
      </c>
      <c r="Z374" s="38">
        <f ca="1">MIP_4[[#This Row],[HH Produtivo
Total]]/MIP_4[[#This Row],[HH Trabalhado]]</f>
        <v>0.63631956057227812</v>
      </c>
      <c r="AA374" s="38">
        <f ca="1">MIP_4[[#This Row],[HH Produtivo
Total]]/MIP_4[[#This Row],[HH disponível]]</f>
        <v>0.56401051959815529</v>
      </c>
      <c r="AB374" s="38">
        <f>MIP_4[[#This Row],[HH Trabalhado]]/MIP_4[[#This Row],[HH disponível]]</f>
        <v>0.88636363636363591</v>
      </c>
      <c r="AC374" s="37" t="str">
        <f>LEFT(MIP_4[[#This Row],[Equipe]], SEARCH("/",MIP_4[[#This Row],[Equipe]],1)-1)</f>
        <v xml:space="preserve">ANDERSON </v>
      </c>
      <c r="AD374" s="37" t="str">
        <f>RIGHT(MIP_4[[#This Row],[Equipe]], LEN(MIP_4[[#This Row],[Equipe]])-SEARCH("/",MIP_4[[#This Row],[Equipe]],1))</f>
        <v xml:space="preserve"> GECIVALDO</v>
      </c>
      <c r="AE374" s="44">
        <f>COUNTIFS('[1]Tempo parado'!G:G,"&gt;="&amp;MIP_4[[#This Row],[S.B Sitrack]],'[1]Tempo parado'!H:H,"&lt;="&amp;MIP_4[[#This Row],[C.B Sitrack]],'[1]Tempo parado'!A:A,MIP_4[[#This Row],[Placa]])</f>
        <v>0</v>
      </c>
      <c r="AF374" s="36"/>
      <c r="AG374" s="35"/>
      <c r="AH374" s="34"/>
      <c r="AI374" s="34"/>
      <c r="AJ37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7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7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74" s="32" t="str">
        <f>IFERROR(MIP_4[[#This Row],[Tempo parado]]/(MIP_4[[#This Row],[C.B Sitrack]]-MIP_4[[#This Row],[S.B Sitrack]]),"")</f>
        <v/>
      </c>
      <c r="AN374" s="30"/>
      <c r="AO374" s="44">
        <f>IF(AND(MIP_4[Exc]=0,MIP_4[Previsto / Realizado]="Realizado"),MIP_4[Sem],0)</f>
        <v>0</v>
      </c>
      <c r="AP374" s="29">
        <f>IF(AND(MIP_4[Exc]=0,MIP_4[Previsto / Realizado]="Realizado",ISBLANK(MIP_4[[#This Row],[S.B Sitrack]])=FALSE,ISBLANK(MIP_4[[#This Row],[C.B Sitrack]])=FALSE),MIP_4[Sem],0)</f>
        <v>0</v>
      </c>
    </row>
    <row r="375" spans="1:42" ht="15.75" x14ac:dyDescent="0.25">
      <c r="A375" s="44">
        <f>WEEKNUM(MIP_4[[#This Row],[Data]])</f>
        <v>33</v>
      </c>
      <c r="B375" s="45">
        <v>42962</v>
      </c>
      <c r="C375" s="45"/>
      <c r="D375" s="35" t="s">
        <v>326</v>
      </c>
      <c r="E375" s="35" t="s">
        <v>2</v>
      </c>
      <c r="F375" s="35"/>
      <c r="G375" s="44">
        <v>2</v>
      </c>
      <c r="H375" s="44">
        <v>3</v>
      </c>
      <c r="I375" s="44">
        <v>3</v>
      </c>
      <c r="J375" s="44">
        <v>0</v>
      </c>
      <c r="K375" s="44">
        <v>4</v>
      </c>
      <c r="L375" s="43">
        <v>0.61944444444444446</v>
      </c>
      <c r="M375" s="43">
        <v>0.65972222222222221</v>
      </c>
      <c r="N375" s="43">
        <v>0.99513888888888891</v>
      </c>
      <c r="O375" s="43">
        <f>1+52/24/60</f>
        <v>1.0361111111111112</v>
      </c>
      <c r="P375" s="39"/>
      <c r="Q375" s="42" t="s">
        <v>325</v>
      </c>
      <c r="R375" s="29">
        <f>MIP_4[[#This Row],[PT-1]]+MIP_4[[#This Row],[PT-2]]*2+MIP_4[[#This Row],[PT-3]]*3+MIP_4[[#This Row],[PT &gt; 3 Pontos]]</f>
        <v>13</v>
      </c>
      <c r="S37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8.1250000000000044E-2</v>
      </c>
      <c r="T37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8.1250000000000044E-2</v>
      </c>
      <c r="U375" s="41">
        <f ca="1">MIP_4[[#This Row],[Eficiência]]</f>
        <v>0.97973072581781095</v>
      </c>
      <c r="V37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75" s="39">
        <f>IF(MIP_4[[#This Row],[P.S]]-MIP_4[[#This Row],[P.E]]&lt;0,1+MIP_4[[#This Row],[P.S]]-MIP_4[[#This Row],[P.E]]-1/24,MIP_4[[#This Row],[P.S]]-MIP_4[[#This Row],[P.E]]-1/24)</f>
        <v>0.37500000000000006</v>
      </c>
      <c r="X375" s="39">
        <f ca="1">MIP_4[[#This Row],[PT-1]]*$S$3+MIP_4[[#This Row],[PT-2]]*$T$3+MIP_4[[#This Row],[PT-3]]*$U$3+MIP_4[[#This Row],[PT &gt; 3 Pontos]]*$V$3</f>
        <v>0.28779590070898198</v>
      </c>
      <c r="Y375" s="39">
        <f>MIP_4[[#This Row],[HH disponível]]-MIP_4[[#This Row],[HH AC TOT]]</f>
        <v>0.29375000000000001</v>
      </c>
      <c r="Z375" s="38">
        <f ca="1">MIP_4[[#This Row],[HH Produtivo
Total]]/MIP_4[[#This Row],[HH Trabalhado]]</f>
        <v>0.97973072581781095</v>
      </c>
      <c r="AA375" s="38">
        <f ca="1">MIP_4[[#This Row],[HH Produtivo
Total]]/MIP_4[[#This Row],[HH disponível]]</f>
        <v>0.76745573522395183</v>
      </c>
      <c r="AB375" s="38">
        <f>MIP_4[[#This Row],[HH Trabalhado]]/MIP_4[[#This Row],[HH disponível]]</f>
        <v>0.78333333333333321</v>
      </c>
      <c r="AC375" s="37" t="str">
        <f>LEFT(MIP_4[[#This Row],[Equipe]], SEARCH("/",MIP_4[[#This Row],[Equipe]],1)-1)</f>
        <v xml:space="preserve">ANDERSON </v>
      </c>
      <c r="AD375" s="37" t="str">
        <f>RIGHT(MIP_4[[#This Row],[Equipe]], LEN(MIP_4[[#This Row],[Equipe]])-SEARCH("/",MIP_4[[#This Row],[Equipe]],1))</f>
        <v xml:space="preserve"> GECIVALDO</v>
      </c>
      <c r="AE375" s="44">
        <f>COUNTIFS('[1]Tempo parado'!G:G,"&gt;="&amp;MIP_4[[#This Row],[S.B Sitrack]],'[1]Tempo parado'!H:H,"&lt;="&amp;MIP_4[[#This Row],[C.B Sitrack]],'[1]Tempo parado'!A:A,MIP_4[[#This Row],[Placa]])</f>
        <v>0</v>
      </c>
      <c r="AF375" s="36"/>
      <c r="AG375" s="35"/>
      <c r="AH375" s="34"/>
      <c r="AI375" s="34"/>
      <c r="AJ37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7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7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75" s="32" t="str">
        <f>IFERROR(MIP_4[[#This Row],[Tempo parado]]/(MIP_4[[#This Row],[C.B Sitrack]]-MIP_4[[#This Row],[S.B Sitrack]]),"")</f>
        <v/>
      </c>
      <c r="AN375" s="30"/>
      <c r="AO375" s="44">
        <f>IF(AND(MIP_4[Exc]=0,MIP_4[Previsto / Realizado]="Realizado"),MIP_4[Sem],0)</f>
        <v>33</v>
      </c>
      <c r="AP375" s="29">
        <f>IF(AND(MIP_4[Exc]=0,MIP_4[Previsto / Realizado]="Realizado",ISBLANK(MIP_4[[#This Row],[S.B Sitrack]])=FALSE,ISBLANK(MIP_4[[#This Row],[C.B Sitrack]])=FALSE),MIP_4[Sem],0)</f>
        <v>0</v>
      </c>
    </row>
    <row r="376" spans="1:42" ht="15.75" x14ac:dyDescent="0.25">
      <c r="A376" s="44">
        <f>WEEKNUM(MIP_4[[#This Row],[Data]])</f>
        <v>33</v>
      </c>
      <c r="B376" s="45">
        <v>42962</v>
      </c>
      <c r="C376" s="45"/>
      <c r="D376" s="35" t="s">
        <v>19</v>
      </c>
      <c r="E376" s="35" t="s">
        <v>5</v>
      </c>
      <c r="F376" s="35"/>
      <c r="G376" s="44">
        <v>2</v>
      </c>
      <c r="H376" s="44">
        <v>2</v>
      </c>
      <c r="I376" s="44">
        <v>1</v>
      </c>
      <c r="J376" s="44">
        <v>0</v>
      </c>
      <c r="K376" s="44">
        <v>0</v>
      </c>
      <c r="L376" s="43">
        <v>0.625</v>
      </c>
      <c r="M376" s="43">
        <v>0.64583333333333337</v>
      </c>
      <c r="N376" s="43">
        <f>1+18/24/60</f>
        <v>1.0125</v>
      </c>
      <c r="O376" s="43">
        <f>1+48/24/60</f>
        <v>1.0333333333333334</v>
      </c>
      <c r="P376" s="39"/>
      <c r="Q376" s="42"/>
      <c r="R376" s="29">
        <f>MIP_4[[#This Row],[PT-1]]+MIP_4[[#This Row],[PT-2]]*2+MIP_4[[#This Row],[PT-3]]*3+MIP_4[[#This Row],[PT &gt; 3 Pontos]]</f>
        <v>4</v>
      </c>
      <c r="S37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37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376" s="41">
        <f ca="1">MIP_4[[#This Row],[Eficiência]]</f>
        <v>0.28910914467979681</v>
      </c>
      <c r="V37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76" s="39">
        <f>IF(MIP_4[[#This Row],[P.S]]-MIP_4[[#This Row],[P.E]]&lt;0,1+MIP_4[[#This Row],[P.S]]-MIP_4[[#This Row],[P.E]]-1/24,MIP_4[[#This Row],[P.S]]-MIP_4[[#This Row],[P.E]]-1/24)</f>
        <v>0.36666666666666675</v>
      </c>
      <c r="X376" s="39">
        <f ca="1">MIP_4[[#This Row],[PT-1]]*$S$3+MIP_4[[#This Row],[PT-2]]*$T$3+MIP_4[[#This Row],[PT-3]]*$U$3+MIP_4[[#This Row],[PT &gt; 3 Pontos]]*$V$3</f>
        <v>9.3960472020933938E-2</v>
      </c>
      <c r="Y376" s="39">
        <f>MIP_4[[#This Row],[HH disponível]]-MIP_4[[#This Row],[HH AC TOT]]</f>
        <v>0.3249999999999999</v>
      </c>
      <c r="Z376" s="38">
        <f ca="1">MIP_4[[#This Row],[HH Produtivo
Total]]/MIP_4[[#This Row],[HH Trabalhado]]</f>
        <v>0.28910914467979681</v>
      </c>
      <c r="AA376" s="38">
        <f ca="1">MIP_4[[#This Row],[HH Produtivo
Total]]/MIP_4[[#This Row],[HH disponível]]</f>
        <v>0.2562558327843652</v>
      </c>
      <c r="AB376" s="38">
        <f>MIP_4[[#This Row],[HH Trabalhado]]/MIP_4[[#This Row],[HH disponível]]</f>
        <v>0.88636363636363591</v>
      </c>
      <c r="AC376" s="37" t="str">
        <f>LEFT(MIP_4[[#This Row],[Equipe]], SEARCH("/",MIP_4[[#This Row],[Equipe]],1)-1)</f>
        <v xml:space="preserve">ADEMÁRIO </v>
      </c>
      <c r="AD376" s="37" t="str">
        <f>RIGHT(MIP_4[[#This Row],[Equipe]], LEN(MIP_4[[#This Row],[Equipe]])-SEARCH("/",MIP_4[[#This Row],[Equipe]],1))</f>
        <v xml:space="preserve"> RONALDO</v>
      </c>
      <c r="AE376" s="44">
        <f>COUNTIFS('[1]Tempo parado'!G:G,"&gt;="&amp;MIP_4[[#This Row],[S.B Sitrack]],'[1]Tempo parado'!H:H,"&lt;="&amp;MIP_4[[#This Row],[C.B Sitrack]],'[1]Tempo parado'!A:A,MIP_4[[#This Row],[Placa]])</f>
        <v>0</v>
      </c>
      <c r="AF376" s="36"/>
      <c r="AG376" s="35"/>
      <c r="AH376" s="34"/>
      <c r="AI376" s="34"/>
      <c r="AJ37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7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7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76" s="32" t="str">
        <f>IFERROR(MIP_4[[#This Row],[Tempo parado]]/(MIP_4[[#This Row],[C.B Sitrack]]-MIP_4[[#This Row],[S.B Sitrack]]),"")</f>
        <v/>
      </c>
      <c r="AN376" s="30"/>
      <c r="AO376" s="44">
        <f>IF(AND(MIP_4[Exc]=0,MIP_4[Previsto / Realizado]="Realizado"),MIP_4[Sem],0)</f>
        <v>0</v>
      </c>
      <c r="AP376" s="29">
        <f>IF(AND(MIP_4[Exc]=0,MIP_4[Previsto / Realizado]="Realizado",ISBLANK(MIP_4[[#This Row],[S.B Sitrack]])=FALSE,ISBLANK(MIP_4[[#This Row],[C.B Sitrack]])=FALSE),MIP_4[Sem],0)</f>
        <v>0</v>
      </c>
    </row>
    <row r="377" spans="1:42" ht="15.75" x14ac:dyDescent="0.25">
      <c r="A377" s="44">
        <f>WEEKNUM(MIP_4[[#This Row],[Data]])</f>
        <v>33</v>
      </c>
      <c r="B377" s="45">
        <v>42962</v>
      </c>
      <c r="C377" s="45"/>
      <c r="D377" s="35" t="s">
        <v>19</v>
      </c>
      <c r="E377" s="35" t="s">
        <v>2</v>
      </c>
      <c r="F377" s="35"/>
      <c r="G377" s="44">
        <v>2</v>
      </c>
      <c r="H377" s="44">
        <v>4</v>
      </c>
      <c r="I377" s="44">
        <v>1</v>
      </c>
      <c r="J377" s="44">
        <v>0</v>
      </c>
      <c r="K377" s="44">
        <v>0</v>
      </c>
      <c r="L377" s="43">
        <v>0.65277777777777779</v>
      </c>
      <c r="M377" s="43">
        <v>0.68611111111111101</v>
      </c>
      <c r="N377" s="43">
        <v>0.91666666666666663</v>
      </c>
      <c r="O377" s="43">
        <f>1+55/24/60</f>
        <v>1.0381944444444444</v>
      </c>
      <c r="P377" s="39"/>
      <c r="Q377" s="42" t="s">
        <v>324</v>
      </c>
      <c r="R377" s="29">
        <f>MIP_4[[#This Row],[PT-1]]+MIP_4[[#This Row],[PT-2]]*2+MIP_4[[#This Row],[PT-3]]*3+MIP_4[[#This Row],[PT &gt; 3 Pontos]]</f>
        <v>6</v>
      </c>
      <c r="S37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0.15486111111111101</v>
      </c>
      <c r="T37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0.15486111111111101</v>
      </c>
      <c r="U377" s="41">
        <f ca="1">MIP_4[[#This Row],[Eficiência]]</f>
        <v>0.76241741261722018</v>
      </c>
      <c r="V37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77" s="39">
        <f>IF(MIP_4[[#This Row],[P.S]]-MIP_4[[#This Row],[P.E]]&lt;0,1+MIP_4[[#This Row],[P.S]]-MIP_4[[#This Row],[P.E]]-1/24,MIP_4[[#This Row],[P.S]]-MIP_4[[#This Row],[P.E]]-1/24)</f>
        <v>0.34374999999999994</v>
      </c>
      <c r="X377" s="39">
        <f ca="1">MIP_4[[#This Row],[PT-1]]*$S$3+MIP_4[[#This Row],[PT-2]]*$T$3+MIP_4[[#This Row],[PT-3]]*$U$3+MIP_4[[#This Row],[PT &gt; 3 Pontos]]*$V$3</f>
        <v>0.1440121779388083</v>
      </c>
      <c r="Y377" s="39">
        <f>MIP_4[[#This Row],[HH disponível]]-MIP_4[[#This Row],[HH AC TOT]]</f>
        <v>0.18888888888888894</v>
      </c>
      <c r="Z377" s="38">
        <f ca="1">MIP_4[[#This Row],[HH Produtivo
Total]]/MIP_4[[#This Row],[HH Trabalhado]]</f>
        <v>0.76241741261722018</v>
      </c>
      <c r="AA377" s="38">
        <f ca="1">MIP_4[[#This Row],[HH Produtivo
Total]]/MIP_4[[#This Row],[HH disponível]]</f>
        <v>0.41894451764016966</v>
      </c>
      <c r="AB377" s="38">
        <f>MIP_4[[#This Row],[HH Trabalhado]]/MIP_4[[#This Row],[HH disponível]]</f>
        <v>0.5494949494949497</v>
      </c>
      <c r="AC377" s="37" t="str">
        <f>LEFT(MIP_4[[#This Row],[Equipe]], SEARCH("/",MIP_4[[#This Row],[Equipe]],1)-1)</f>
        <v xml:space="preserve">ADEMÁRIO </v>
      </c>
      <c r="AD377" s="37" t="str">
        <f>RIGHT(MIP_4[[#This Row],[Equipe]], LEN(MIP_4[[#This Row],[Equipe]])-SEARCH("/",MIP_4[[#This Row],[Equipe]],1))</f>
        <v xml:space="preserve"> RONALDO</v>
      </c>
      <c r="AE377" s="44">
        <f>COUNTIFS('[1]Tempo parado'!G:G,"&gt;="&amp;MIP_4[[#This Row],[S.B Sitrack]],'[1]Tempo parado'!H:H,"&lt;="&amp;MIP_4[[#This Row],[C.B Sitrack]],'[1]Tempo parado'!A:A,MIP_4[[#This Row],[Placa]])</f>
        <v>0</v>
      </c>
      <c r="AF377" s="36"/>
      <c r="AG377" s="35"/>
      <c r="AH377" s="34"/>
      <c r="AI377" s="34"/>
      <c r="AJ37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7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7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77" s="32" t="str">
        <f>IFERROR(MIP_4[[#This Row],[Tempo parado]]/(MIP_4[[#This Row],[C.B Sitrack]]-MIP_4[[#This Row],[S.B Sitrack]]),"")</f>
        <v/>
      </c>
      <c r="AN377" s="30"/>
      <c r="AO377" s="44">
        <f>IF(AND(MIP_4[Exc]=0,MIP_4[Previsto / Realizado]="Realizado"),MIP_4[Sem],0)</f>
        <v>33</v>
      </c>
      <c r="AP377" s="29">
        <f>IF(AND(MIP_4[Exc]=0,MIP_4[Previsto / Realizado]="Realizado",ISBLANK(MIP_4[[#This Row],[S.B Sitrack]])=FALSE,ISBLANK(MIP_4[[#This Row],[C.B Sitrack]])=FALSE),MIP_4[Sem],0)</f>
        <v>0</v>
      </c>
    </row>
    <row r="378" spans="1:42" ht="15.75" x14ac:dyDescent="0.25">
      <c r="A378" s="44">
        <f>WEEKNUM(MIP_4[[#This Row],[Data]])</f>
        <v>33</v>
      </c>
      <c r="B378" s="45">
        <v>42963</v>
      </c>
      <c r="C378" s="45"/>
      <c r="D378" s="35" t="s">
        <v>3</v>
      </c>
      <c r="E378" s="35" t="s">
        <v>5</v>
      </c>
      <c r="F378" s="35"/>
      <c r="G378" s="44">
        <v>2</v>
      </c>
      <c r="H378" s="44">
        <v>1</v>
      </c>
      <c r="I378" s="44">
        <v>0</v>
      </c>
      <c r="J378" s="44">
        <v>0</v>
      </c>
      <c r="K378" s="44">
        <v>0</v>
      </c>
      <c r="L378" s="43">
        <v>0.625</v>
      </c>
      <c r="M378" s="43">
        <v>0.64583333333333337</v>
      </c>
      <c r="N378" s="43">
        <f>1+18/24/60</f>
        <v>1.0125</v>
      </c>
      <c r="O378" s="43">
        <f>1+48/24/60</f>
        <v>1.0333333333333334</v>
      </c>
      <c r="P378" s="39"/>
      <c r="Q378" s="42"/>
      <c r="R378" s="29">
        <f>MIP_4[[#This Row],[PT-1]]+MIP_4[[#This Row],[PT-2]]*2+MIP_4[[#This Row],[PT-3]]*3+MIP_4[[#This Row],[PT &gt; 3 Pontos]]</f>
        <v>1</v>
      </c>
      <c r="S37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37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378" s="41">
        <f ca="1">MIP_4[[#This Row],[Eficiência]]</f>
        <v>7.7002624489037497E-2</v>
      </c>
      <c r="V37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78" s="39">
        <f>IF(MIP_4[[#This Row],[P.S]]-MIP_4[[#This Row],[P.E]]&lt;0,1+MIP_4[[#This Row],[P.S]]-MIP_4[[#This Row],[P.E]]-1/24,MIP_4[[#This Row],[P.S]]-MIP_4[[#This Row],[P.E]]-1/24)</f>
        <v>0.36666666666666675</v>
      </c>
      <c r="X378" s="39">
        <f ca="1">MIP_4[[#This Row],[PT-1]]*$S$3+MIP_4[[#This Row],[PT-2]]*$T$3+MIP_4[[#This Row],[PT-3]]*$U$3+MIP_4[[#This Row],[PT &gt; 3 Pontos]]*$V$3</f>
        <v>2.5025852958937181E-2</v>
      </c>
      <c r="Y378" s="39">
        <f>MIP_4[[#This Row],[HH disponível]]-MIP_4[[#This Row],[HH AC TOT]]</f>
        <v>0.3249999999999999</v>
      </c>
      <c r="Z378" s="38">
        <f ca="1">MIP_4[[#This Row],[HH Produtivo
Total]]/MIP_4[[#This Row],[HH Trabalhado]]</f>
        <v>7.7002624489037497E-2</v>
      </c>
      <c r="AA378" s="38">
        <f ca="1">MIP_4[[#This Row],[HH Produtivo
Total]]/MIP_4[[#This Row],[HH disponível]]</f>
        <v>6.8252326251646844E-2</v>
      </c>
      <c r="AB378" s="38">
        <f>MIP_4[[#This Row],[HH Trabalhado]]/MIP_4[[#This Row],[HH disponível]]</f>
        <v>0.88636363636363591</v>
      </c>
      <c r="AC378" s="37" t="str">
        <f>LEFT(MIP_4[[#This Row],[Equipe]], SEARCH("/",MIP_4[[#This Row],[Equipe]],1)-1)</f>
        <v xml:space="preserve">EDILTON </v>
      </c>
      <c r="AD378" s="37" t="str">
        <f>RIGHT(MIP_4[[#This Row],[Equipe]], LEN(MIP_4[[#This Row],[Equipe]])-SEARCH("/",MIP_4[[#This Row],[Equipe]],1))</f>
        <v xml:space="preserve"> GECIVALDO</v>
      </c>
      <c r="AE378" s="44">
        <f>COUNTIFS('[1]Tempo parado'!G:G,"&gt;="&amp;MIP_4[[#This Row],[S.B Sitrack]],'[1]Tempo parado'!H:H,"&lt;="&amp;MIP_4[[#This Row],[C.B Sitrack]],'[1]Tempo parado'!A:A,MIP_4[[#This Row],[Placa]])</f>
        <v>0</v>
      </c>
      <c r="AF378" s="36"/>
      <c r="AG378" s="35"/>
      <c r="AH378" s="34"/>
      <c r="AI378" s="34"/>
      <c r="AJ37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7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7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78" s="32" t="str">
        <f>IFERROR(MIP_4[[#This Row],[Tempo parado]]/(MIP_4[[#This Row],[C.B Sitrack]]-MIP_4[[#This Row],[S.B Sitrack]]),"")</f>
        <v/>
      </c>
      <c r="AN378" s="30"/>
      <c r="AO378" s="44">
        <f>IF(AND(MIP_4[Exc]=0,MIP_4[Previsto / Realizado]="Realizado"),MIP_4[Sem],0)</f>
        <v>0</v>
      </c>
      <c r="AP378" s="29">
        <f>IF(AND(MIP_4[Exc]=0,MIP_4[Previsto / Realizado]="Realizado",ISBLANK(MIP_4[[#This Row],[S.B Sitrack]])=FALSE,ISBLANK(MIP_4[[#This Row],[C.B Sitrack]])=FALSE),MIP_4[Sem],0)</f>
        <v>0</v>
      </c>
    </row>
    <row r="379" spans="1:42" ht="15.75" x14ac:dyDescent="0.25">
      <c r="A379" s="44">
        <f>WEEKNUM(MIP_4[[#This Row],[Data]])</f>
        <v>33</v>
      </c>
      <c r="B379" s="45">
        <v>42963</v>
      </c>
      <c r="C379" s="45"/>
      <c r="D379" s="35" t="s">
        <v>3</v>
      </c>
      <c r="E379" s="35" t="s">
        <v>2</v>
      </c>
      <c r="F379" s="35"/>
      <c r="G379" s="44">
        <v>2</v>
      </c>
      <c r="H379" s="44">
        <v>7</v>
      </c>
      <c r="I379" s="44">
        <v>1</v>
      </c>
      <c r="J379" s="44">
        <v>0</v>
      </c>
      <c r="K379" s="44">
        <v>6</v>
      </c>
      <c r="L379" s="43">
        <v>0.625</v>
      </c>
      <c r="M379" s="43">
        <v>0.66319444444444442</v>
      </c>
      <c r="N379" s="43">
        <v>0.94791666666666663</v>
      </c>
      <c r="O379" s="43">
        <f>1+52/24/60</f>
        <v>1.0361111111111112</v>
      </c>
      <c r="P379" s="39"/>
      <c r="Q379" s="42" t="s">
        <v>323</v>
      </c>
      <c r="R379" s="29">
        <f>MIP_4[[#This Row],[PT-1]]+MIP_4[[#This Row],[PT-2]]*2+MIP_4[[#This Row],[PT-3]]*3+MIP_4[[#This Row],[PT &gt; 3 Pontos]]</f>
        <v>15</v>
      </c>
      <c r="S37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0.12638888888888899</v>
      </c>
      <c r="T37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0.12638888888888899</v>
      </c>
      <c r="U379" s="41">
        <f ca="1">MIP_4[[#This Row],[Eficiência]]</f>
        <v>1.4012343857832987</v>
      </c>
      <c r="V37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79" s="39">
        <f>IF(MIP_4[[#This Row],[P.S]]-MIP_4[[#This Row],[P.E]]&lt;0,1+MIP_4[[#This Row],[P.S]]-MIP_4[[#This Row],[P.E]]-1/24,MIP_4[[#This Row],[P.S]]-MIP_4[[#This Row],[P.E]]-1/24)</f>
        <v>0.36944444444444452</v>
      </c>
      <c r="X379" s="39">
        <f ca="1">MIP_4[[#This Row],[PT-1]]*$S$3+MIP_4[[#This Row],[PT-2]]*$T$3+MIP_4[[#This Row],[PT-3]]*$U$3+MIP_4[[#This Row],[PT &gt; 3 Pontos]]*$V$3</f>
        <v>0.3405778021001073</v>
      </c>
      <c r="Y379" s="39">
        <f>MIP_4[[#This Row],[HH disponível]]-MIP_4[[#This Row],[HH AC TOT]]</f>
        <v>0.24305555555555552</v>
      </c>
      <c r="Z379" s="38">
        <f ca="1">MIP_4[[#This Row],[HH Produtivo
Total]]/MIP_4[[#This Row],[HH Trabalhado]]</f>
        <v>1.4012343857832987</v>
      </c>
      <c r="AA379" s="38">
        <f ca="1">MIP_4[[#This Row],[HH Produtivo
Total]]/MIP_4[[#This Row],[HH disponível]]</f>
        <v>0.92186472748901205</v>
      </c>
      <c r="AB379" s="38">
        <f>MIP_4[[#This Row],[HH Trabalhado]]/MIP_4[[#This Row],[HH disponível]]</f>
        <v>0.65789473684210509</v>
      </c>
      <c r="AC379" s="37" t="str">
        <f>LEFT(MIP_4[[#This Row],[Equipe]], SEARCH("/",MIP_4[[#This Row],[Equipe]],1)-1)</f>
        <v xml:space="preserve">EDILTON </v>
      </c>
      <c r="AD379" s="37" t="str">
        <f>RIGHT(MIP_4[[#This Row],[Equipe]], LEN(MIP_4[[#This Row],[Equipe]])-SEARCH("/",MIP_4[[#This Row],[Equipe]],1))</f>
        <v xml:space="preserve"> GECIVALDO</v>
      </c>
      <c r="AE379" s="44">
        <f>COUNTIFS('[1]Tempo parado'!G:G,"&gt;="&amp;MIP_4[[#This Row],[S.B Sitrack]],'[1]Tempo parado'!H:H,"&lt;="&amp;MIP_4[[#This Row],[C.B Sitrack]],'[1]Tempo parado'!A:A,MIP_4[[#This Row],[Placa]])</f>
        <v>0</v>
      </c>
      <c r="AF379" s="36"/>
      <c r="AG379" s="35"/>
      <c r="AH379" s="34"/>
      <c r="AI379" s="34"/>
      <c r="AJ37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7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7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79" s="32" t="str">
        <f>IFERROR(MIP_4[[#This Row],[Tempo parado]]/(MIP_4[[#This Row],[C.B Sitrack]]-MIP_4[[#This Row],[S.B Sitrack]]),"")</f>
        <v/>
      </c>
      <c r="AN379" s="30"/>
      <c r="AO379" s="44">
        <f>IF(AND(MIP_4[Exc]=0,MIP_4[Previsto / Realizado]="Realizado"),MIP_4[Sem],0)</f>
        <v>33</v>
      </c>
      <c r="AP379" s="29">
        <f>IF(AND(MIP_4[Exc]=0,MIP_4[Previsto / Realizado]="Realizado",ISBLANK(MIP_4[[#This Row],[S.B Sitrack]])=FALSE,ISBLANK(MIP_4[[#This Row],[C.B Sitrack]])=FALSE),MIP_4[Sem],0)</f>
        <v>0</v>
      </c>
    </row>
    <row r="380" spans="1:42" ht="15.75" x14ac:dyDescent="0.25">
      <c r="A380" s="44">
        <f>WEEKNUM(MIP_4[[#This Row],[Data]])</f>
        <v>33</v>
      </c>
      <c r="B380" s="45">
        <v>42963</v>
      </c>
      <c r="C380" s="45"/>
      <c r="D380" s="35" t="s">
        <v>19</v>
      </c>
      <c r="E380" s="35" t="s">
        <v>5</v>
      </c>
      <c r="F380" s="35"/>
      <c r="G380" s="44">
        <v>2</v>
      </c>
      <c r="H380" s="44">
        <v>0</v>
      </c>
      <c r="I380" s="44">
        <v>0</v>
      </c>
      <c r="J380" s="44">
        <v>0</v>
      </c>
      <c r="K380" s="44">
        <v>0</v>
      </c>
      <c r="L380" s="43">
        <v>0.625</v>
      </c>
      <c r="M380" s="43">
        <v>0.64583333333333337</v>
      </c>
      <c r="N380" s="43">
        <f>1+18/24/60</f>
        <v>1.0125</v>
      </c>
      <c r="O380" s="43">
        <f>1+48/24/60</f>
        <v>1.0333333333333334</v>
      </c>
      <c r="P380" s="39"/>
      <c r="Q380" s="42" t="s">
        <v>322</v>
      </c>
      <c r="R380" s="29">
        <f>MIP_4[[#This Row],[PT-1]]+MIP_4[[#This Row],[PT-2]]*2+MIP_4[[#This Row],[PT-3]]*3+MIP_4[[#This Row],[PT &gt; 3 Pontos]]</f>
        <v>0</v>
      </c>
      <c r="S38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38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380" s="41">
        <f ca="1">MIP_4[[#This Row],[Eficiência]]</f>
        <v>0</v>
      </c>
      <c r="V38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80" s="39">
        <f>IF(MIP_4[[#This Row],[P.S]]-MIP_4[[#This Row],[P.E]]&lt;0,1+MIP_4[[#This Row],[P.S]]-MIP_4[[#This Row],[P.E]]-1/24,MIP_4[[#This Row],[P.S]]-MIP_4[[#This Row],[P.E]]-1/24)</f>
        <v>0.36666666666666675</v>
      </c>
      <c r="X380" s="39">
        <f ca="1">MIP_4[[#This Row],[PT-1]]*$S$3+MIP_4[[#This Row],[PT-2]]*$T$3+MIP_4[[#This Row],[PT-3]]*$U$3+MIP_4[[#This Row],[PT &gt; 3 Pontos]]*$V$3</f>
        <v>0</v>
      </c>
      <c r="Y380" s="39">
        <f>MIP_4[[#This Row],[HH disponível]]-MIP_4[[#This Row],[HH AC TOT]]</f>
        <v>0.3249999999999999</v>
      </c>
      <c r="Z380" s="38">
        <f ca="1">MIP_4[[#This Row],[HH Produtivo
Total]]/MIP_4[[#This Row],[HH Trabalhado]]</f>
        <v>0</v>
      </c>
      <c r="AA380" s="38">
        <f ca="1">MIP_4[[#This Row],[HH Produtivo
Total]]/MIP_4[[#This Row],[HH disponível]]</f>
        <v>0</v>
      </c>
      <c r="AB380" s="38">
        <f>MIP_4[[#This Row],[HH Trabalhado]]/MIP_4[[#This Row],[HH disponível]]</f>
        <v>0.88636363636363591</v>
      </c>
      <c r="AC380" s="37" t="str">
        <f>LEFT(MIP_4[[#This Row],[Equipe]], SEARCH("/",MIP_4[[#This Row],[Equipe]],1)-1)</f>
        <v xml:space="preserve">ADEMÁRIO </v>
      </c>
      <c r="AD380" s="37" t="str">
        <f>RIGHT(MIP_4[[#This Row],[Equipe]], LEN(MIP_4[[#This Row],[Equipe]])-SEARCH("/",MIP_4[[#This Row],[Equipe]],1))</f>
        <v xml:space="preserve"> RONALDO</v>
      </c>
      <c r="AE380" s="44">
        <f>COUNTIFS('[1]Tempo parado'!G:G,"&gt;="&amp;MIP_4[[#This Row],[S.B Sitrack]],'[1]Tempo parado'!H:H,"&lt;="&amp;MIP_4[[#This Row],[C.B Sitrack]],'[1]Tempo parado'!A:A,MIP_4[[#This Row],[Placa]])</f>
        <v>0</v>
      </c>
      <c r="AF380" s="36"/>
      <c r="AG380" s="35"/>
      <c r="AH380" s="34"/>
      <c r="AI380" s="34"/>
      <c r="AJ38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8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8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80" s="32" t="str">
        <f>IFERROR(MIP_4[[#This Row],[Tempo parado]]/(MIP_4[[#This Row],[C.B Sitrack]]-MIP_4[[#This Row],[S.B Sitrack]]),"")</f>
        <v/>
      </c>
      <c r="AN380" s="30"/>
      <c r="AO380" s="44">
        <f>IF(AND(MIP_4[Exc]=0,MIP_4[Previsto / Realizado]="Realizado"),MIP_4[Sem],0)</f>
        <v>0</v>
      </c>
      <c r="AP380" s="29">
        <f>IF(AND(MIP_4[Exc]=0,MIP_4[Previsto / Realizado]="Realizado",ISBLANK(MIP_4[[#This Row],[S.B Sitrack]])=FALSE,ISBLANK(MIP_4[[#This Row],[C.B Sitrack]])=FALSE),MIP_4[Sem],0)</f>
        <v>0</v>
      </c>
    </row>
    <row r="381" spans="1:42" ht="15.75" x14ac:dyDescent="0.25">
      <c r="A381" s="44">
        <f>WEEKNUM(MIP_4[[#This Row],[Data]])</f>
        <v>33</v>
      </c>
      <c r="B381" s="45">
        <v>42963</v>
      </c>
      <c r="C381" s="45"/>
      <c r="D381" s="35" t="s">
        <v>19</v>
      </c>
      <c r="E381" s="35" t="s">
        <v>2</v>
      </c>
      <c r="F381" s="35"/>
      <c r="G381" s="44">
        <v>2</v>
      </c>
      <c r="H381" s="44">
        <v>0</v>
      </c>
      <c r="I381" s="44">
        <v>0</v>
      </c>
      <c r="J381" s="44">
        <v>0</v>
      </c>
      <c r="K381" s="44">
        <v>15</v>
      </c>
      <c r="L381" s="43">
        <v>0.63680555555555551</v>
      </c>
      <c r="M381" s="43">
        <v>0.67013888888888884</v>
      </c>
      <c r="N381" s="43">
        <f>1+22/24/60</f>
        <v>1.0152777777777777</v>
      </c>
      <c r="O381" s="43">
        <f>1+56/24/60</f>
        <v>1.038888888888889</v>
      </c>
      <c r="P381" s="39"/>
      <c r="Q381" s="42" t="s">
        <v>321</v>
      </c>
      <c r="R381" s="29">
        <f>MIP_4[[#This Row],[PT-1]]+MIP_4[[#This Row],[PT-2]]*2+MIP_4[[#This Row],[PT-3]]*3+MIP_4[[#This Row],[PT &gt; 3 Pontos]]</f>
        <v>15</v>
      </c>
      <c r="S38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5.6944444444444575E-2</v>
      </c>
      <c r="T38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5.6944444444444575E-2</v>
      </c>
      <c r="U381" s="41">
        <f ca="1">MIP_4[[#This Row],[Eficiência]]</f>
        <v>1.0008170137852515</v>
      </c>
      <c r="V38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81" s="39">
        <f>IF(MIP_4[[#This Row],[P.S]]-MIP_4[[#This Row],[P.E]]&lt;0,1+MIP_4[[#This Row],[P.S]]-MIP_4[[#This Row],[P.E]]-1/24,MIP_4[[#This Row],[P.S]]-MIP_4[[#This Row],[P.E]]-1/24)</f>
        <v>0.36041666666666677</v>
      </c>
      <c r="X381" s="39">
        <f ca="1">MIP_4[[#This Row],[PT-1]]*$S$3+MIP_4[[#This Row],[PT-2]]*$T$3+MIP_4[[#This Row],[PT-3]]*$U$3+MIP_4[[#This Row],[PT &gt; 3 Pontos]]*$V$3</f>
        <v>0.30372016321121864</v>
      </c>
      <c r="Y381" s="39">
        <f>MIP_4[[#This Row],[HH disponível]]-MIP_4[[#This Row],[HH AC TOT]]</f>
        <v>0.3034722222222222</v>
      </c>
      <c r="Z381" s="38">
        <f ca="1">MIP_4[[#This Row],[HH Produtivo
Total]]/MIP_4[[#This Row],[HH Trabalhado]]</f>
        <v>1.0008170137852515</v>
      </c>
      <c r="AA381" s="38">
        <f ca="1">MIP_4[[#This Row],[HH Produtivo
Total]]/MIP_4[[#This Row],[HH disponível]]</f>
        <v>0.84269178232014397</v>
      </c>
      <c r="AB381" s="38">
        <f>MIP_4[[#This Row],[HH Trabalhado]]/MIP_4[[#This Row],[HH disponível]]</f>
        <v>0.84200385356454688</v>
      </c>
      <c r="AC381" s="37" t="str">
        <f>LEFT(MIP_4[[#This Row],[Equipe]], SEARCH("/",MIP_4[[#This Row],[Equipe]],1)-1)</f>
        <v xml:space="preserve">ADEMÁRIO </v>
      </c>
      <c r="AD381" s="37" t="str">
        <f>RIGHT(MIP_4[[#This Row],[Equipe]], LEN(MIP_4[[#This Row],[Equipe]])-SEARCH("/",MIP_4[[#This Row],[Equipe]],1))</f>
        <v xml:space="preserve"> RONALDO</v>
      </c>
      <c r="AE381" s="44">
        <f>COUNTIFS('[1]Tempo parado'!G:G,"&gt;="&amp;MIP_4[[#This Row],[S.B Sitrack]],'[1]Tempo parado'!H:H,"&lt;="&amp;MIP_4[[#This Row],[C.B Sitrack]],'[1]Tempo parado'!A:A,MIP_4[[#This Row],[Placa]])</f>
        <v>0</v>
      </c>
      <c r="AF381" s="36"/>
      <c r="AG381" s="35"/>
      <c r="AH381" s="34"/>
      <c r="AI381" s="34"/>
      <c r="AJ38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8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8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81" s="32" t="str">
        <f>IFERROR(MIP_4[[#This Row],[Tempo parado]]/(MIP_4[[#This Row],[C.B Sitrack]]-MIP_4[[#This Row],[S.B Sitrack]]),"")</f>
        <v/>
      </c>
      <c r="AN381" s="30"/>
      <c r="AO381" s="44">
        <f>IF(AND(MIP_4[Exc]=0,MIP_4[Previsto / Realizado]="Realizado"),MIP_4[Sem],0)</f>
        <v>33</v>
      </c>
      <c r="AP381" s="29">
        <f>IF(AND(MIP_4[Exc]=0,MIP_4[Previsto / Realizado]="Realizado",ISBLANK(MIP_4[[#This Row],[S.B Sitrack]])=FALSE,ISBLANK(MIP_4[[#This Row],[C.B Sitrack]])=FALSE),MIP_4[Sem],0)</f>
        <v>0</v>
      </c>
    </row>
    <row r="382" spans="1:42" ht="15.75" x14ac:dyDescent="0.25">
      <c r="A382" s="44">
        <f>WEEKNUM(MIP_4[[#This Row],[Data]])</f>
        <v>33</v>
      </c>
      <c r="B382" s="45">
        <v>42963</v>
      </c>
      <c r="C382" s="45"/>
      <c r="D382" s="35" t="s">
        <v>7</v>
      </c>
      <c r="E382" s="35" t="s">
        <v>5</v>
      </c>
      <c r="F382" s="35"/>
      <c r="G382" s="44">
        <v>2</v>
      </c>
      <c r="H382" s="44">
        <v>1</v>
      </c>
      <c r="I382" s="44">
        <v>1</v>
      </c>
      <c r="J382" s="44">
        <v>0</v>
      </c>
      <c r="K382" s="44">
        <v>0</v>
      </c>
      <c r="L382" s="43">
        <v>0.625</v>
      </c>
      <c r="M382" s="43">
        <v>0.64583333333333337</v>
      </c>
      <c r="N382" s="43">
        <f>1+18/24/60</f>
        <v>1.0125</v>
      </c>
      <c r="O382" s="43">
        <f>1+48/24/60</f>
        <v>1.0333333333333334</v>
      </c>
      <c r="P382" s="39"/>
      <c r="Q382" s="42"/>
      <c r="R382" s="29">
        <f>MIP_4[[#This Row],[PT-1]]+MIP_4[[#This Row],[PT-2]]*2+MIP_4[[#This Row],[PT-3]]*3+MIP_4[[#This Row],[PT &gt; 3 Pontos]]</f>
        <v>3</v>
      </c>
      <c r="S38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38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382" s="41">
        <f ca="1">MIP_4[[#This Row],[Eficiência]]</f>
        <v>0.21210652019075937</v>
      </c>
      <c r="V38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82" s="39">
        <f>IF(MIP_4[[#This Row],[P.S]]-MIP_4[[#This Row],[P.E]]&lt;0,1+MIP_4[[#This Row],[P.S]]-MIP_4[[#This Row],[P.E]]-1/24,MIP_4[[#This Row],[P.S]]-MIP_4[[#This Row],[P.E]]-1/24)</f>
        <v>0.36666666666666675</v>
      </c>
      <c r="X382" s="39">
        <f ca="1">MIP_4[[#This Row],[PT-1]]*$S$3+MIP_4[[#This Row],[PT-2]]*$T$3+MIP_4[[#This Row],[PT-3]]*$U$3+MIP_4[[#This Row],[PT &gt; 3 Pontos]]*$V$3</f>
        <v>6.8934619061996771E-2</v>
      </c>
      <c r="Y382" s="39">
        <f>MIP_4[[#This Row],[HH disponível]]-MIP_4[[#This Row],[HH AC TOT]]</f>
        <v>0.3249999999999999</v>
      </c>
      <c r="Z382" s="38">
        <f ca="1">MIP_4[[#This Row],[HH Produtivo
Total]]/MIP_4[[#This Row],[HH Trabalhado]]</f>
        <v>0.21210652019075937</v>
      </c>
      <c r="AA382" s="38">
        <f ca="1">MIP_4[[#This Row],[HH Produtivo
Total]]/MIP_4[[#This Row],[HH disponível]]</f>
        <v>0.18800350653271841</v>
      </c>
      <c r="AB382" s="38">
        <f>MIP_4[[#This Row],[HH Trabalhado]]/MIP_4[[#This Row],[HH disponível]]</f>
        <v>0.88636363636363591</v>
      </c>
      <c r="AC382" s="37" t="str">
        <f>LEFT(MIP_4[[#This Row],[Equipe]], SEARCH("/",MIP_4[[#This Row],[Equipe]],1)-1)</f>
        <v xml:space="preserve">ANDERSON </v>
      </c>
      <c r="AD382" s="37" t="str">
        <f>RIGHT(MIP_4[[#This Row],[Equipe]], LEN(MIP_4[[#This Row],[Equipe]])-SEARCH("/",MIP_4[[#This Row],[Equipe]],1))</f>
        <v xml:space="preserve"> MARCO</v>
      </c>
      <c r="AE382" s="44">
        <f>COUNTIFS('[1]Tempo parado'!G:G,"&gt;="&amp;MIP_4[[#This Row],[S.B Sitrack]],'[1]Tempo parado'!H:H,"&lt;="&amp;MIP_4[[#This Row],[C.B Sitrack]],'[1]Tempo parado'!A:A,MIP_4[[#This Row],[Placa]])</f>
        <v>0</v>
      </c>
      <c r="AF382" s="36"/>
      <c r="AG382" s="35"/>
      <c r="AH382" s="34"/>
      <c r="AI382" s="34"/>
      <c r="AJ38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8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8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82" s="32" t="str">
        <f>IFERROR(MIP_4[[#This Row],[Tempo parado]]/(MIP_4[[#This Row],[C.B Sitrack]]-MIP_4[[#This Row],[S.B Sitrack]]),"")</f>
        <v/>
      </c>
      <c r="AN382" s="30"/>
      <c r="AO382" s="44">
        <f>IF(AND(MIP_4[Exc]=0,MIP_4[Previsto / Realizado]="Realizado"),MIP_4[Sem],0)</f>
        <v>0</v>
      </c>
      <c r="AP382" s="29">
        <f>IF(AND(MIP_4[Exc]=0,MIP_4[Previsto / Realizado]="Realizado",ISBLANK(MIP_4[[#This Row],[S.B Sitrack]])=FALSE,ISBLANK(MIP_4[[#This Row],[C.B Sitrack]])=FALSE),MIP_4[Sem],0)</f>
        <v>0</v>
      </c>
    </row>
    <row r="383" spans="1:42" ht="15.75" x14ac:dyDescent="0.25">
      <c r="A383" s="44">
        <f>WEEKNUM(MIP_4[[#This Row],[Data]])</f>
        <v>33</v>
      </c>
      <c r="B383" s="45">
        <v>42963</v>
      </c>
      <c r="C383" s="45"/>
      <c r="D383" s="35" t="s">
        <v>7</v>
      </c>
      <c r="E383" s="35" t="s">
        <v>2</v>
      </c>
      <c r="F383" s="35"/>
      <c r="G383" s="44">
        <v>2</v>
      </c>
      <c r="H383" s="44">
        <v>0</v>
      </c>
      <c r="I383" s="44">
        <v>0</v>
      </c>
      <c r="J383" s="44">
        <v>0</v>
      </c>
      <c r="K383" s="44">
        <v>3</v>
      </c>
      <c r="L383" s="43">
        <v>0.625</v>
      </c>
      <c r="M383" s="43">
        <v>0.66180555555555554</v>
      </c>
      <c r="N383" s="43">
        <v>0.98611111111111116</v>
      </c>
      <c r="O383" s="43">
        <f>1+49/24/60</f>
        <v>1.0340277777777778</v>
      </c>
      <c r="P383" s="39">
        <v>0.14583333333333334</v>
      </c>
      <c r="Q383" s="42"/>
      <c r="R383" s="29">
        <f>MIP_4[[#This Row],[PT-1]]+MIP_4[[#This Row],[PT-2]]*2+MIP_4[[#This Row],[PT-3]]*3+MIP_4[[#This Row],[PT &gt; 3 Pontos]]</f>
        <v>3</v>
      </c>
      <c r="S38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0.23055555555555549</v>
      </c>
      <c r="T38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8.4722222222222143E-2</v>
      </c>
      <c r="U383" s="41">
        <f ca="1">MIP_4[[#This Row],[Eficiência]]</f>
        <v>0.44401729444076621</v>
      </c>
      <c r="V38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83" s="39">
        <f>IF(MIP_4[[#This Row],[P.S]]-MIP_4[[#This Row],[P.E]]&lt;0,1+MIP_4[[#This Row],[P.S]]-MIP_4[[#This Row],[P.E]]-1/24,MIP_4[[#This Row],[P.S]]-MIP_4[[#This Row],[P.E]]-1/24)</f>
        <v>0.36736111111111108</v>
      </c>
      <c r="X383" s="39">
        <f ca="1">MIP_4[[#This Row],[PT-1]]*$S$3+MIP_4[[#This Row],[PT-2]]*$T$3+MIP_4[[#This Row],[PT-3]]*$U$3+MIP_4[[#This Row],[PT &gt; 3 Pontos]]*$V$3</f>
        <v>6.0744032642243727E-2</v>
      </c>
      <c r="Y383" s="39">
        <f>MIP_4[[#This Row],[HH disponível]]-MIP_4[[#This Row],[HH AC TOT]]</f>
        <v>0.1368055555555556</v>
      </c>
      <c r="Z383" s="38">
        <f ca="1">MIP_4[[#This Row],[HH Produtivo
Total]]/MIP_4[[#This Row],[HH Trabalhado]]</f>
        <v>0.44401729444076621</v>
      </c>
      <c r="AA383" s="38">
        <f ca="1">MIP_4[[#This Row],[HH Produtivo
Total]]/MIP_4[[#This Row],[HH disponível]]</f>
        <v>0.16535237619060675</v>
      </c>
      <c r="AB383" s="38">
        <f>MIP_4[[#This Row],[HH Trabalhado]]/MIP_4[[#This Row],[HH disponível]]</f>
        <v>0.37240075614366741</v>
      </c>
      <c r="AC383" s="37" t="str">
        <f>LEFT(MIP_4[[#This Row],[Equipe]], SEARCH("/",MIP_4[[#This Row],[Equipe]],1)-1)</f>
        <v xml:space="preserve">ANDERSON </v>
      </c>
      <c r="AD383" s="37" t="str">
        <f>RIGHT(MIP_4[[#This Row],[Equipe]], LEN(MIP_4[[#This Row],[Equipe]])-SEARCH("/",MIP_4[[#This Row],[Equipe]],1))</f>
        <v xml:space="preserve"> MARCO</v>
      </c>
      <c r="AE383" s="44">
        <f>COUNTIFS('[1]Tempo parado'!G:G,"&gt;="&amp;MIP_4[[#This Row],[S.B Sitrack]],'[1]Tempo parado'!H:H,"&lt;="&amp;MIP_4[[#This Row],[C.B Sitrack]],'[1]Tempo parado'!A:A,MIP_4[[#This Row],[Placa]])</f>
        <v>0</v>
      </c>
      <c r="AF383" s="36"/>
      <c r="AG383" s="35"/>
      <c r="AH383" s="34"/>
      <c r="AI383" s="34"/>
      <c r="AJ38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8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8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83" s="32" t="str">
        <f>IFERROR(MIP_4[[#This Row],[Tempo parado]]/(MIP_4[[#This Row],[C.B Sitrack]]-MIP_4[[#This Row],[S.B Sitrack]]),"")</f>
        <v/>
      </c>
      <c r="AN383" s="30"/>
      <c r="AO383" s="44">
        <f>IF(AND(MIP_4[Exc]=0,MIP_4[Previsto / Realizado]="Realizado"),MIP_4[Sem],0)</f>
        <v>33</v>
      </c>
      <c r="AP383" s="29">
        <f>IF(AND(MIP_4[Exc]=0,MIP_4[Previsto / Realizado]="Realizado",ISBLANK(MIP_4[[#This Row],[S.B Sitrack]])=FALSE,ISBLANK(MIP_4[[#This Row],[C.B Sitrack]])=FALSE),MIP_4[Sem],0)</f>
        <v>0</v>
      </c>
    </row>
    <row r="384" spans="1:42" ht="15.75" x14ac:dyDescent="0.25">
      <c r="A384" s="44">
        <f>WEEKNUM(MIP_4[[#This Row],[Data]])</f>
        <v>33</v>
      </c>
      <c r="B384" s="45">
        <v>42964</v>
      </c>
      <c r="C384" s="45"/>
      <c r="D384" s="35" t="s">
        <v>10</v>
      </c>
      <c r="E384" s="35" t="s">
        <v>5</v>
      </c>
      <c r="F384" s="35"/>
      <c r="G384" s="44">
        <v>2</v>
      </c>
      <c r="H384" s="44">
        <v>2</v>
      </c>
      <c r="I384" s="44">
        <v>2</v>
      </c>
      <c r="J384" s="44">
        <v>0</v>
      </c>
      <c r="K384" s="44">
        <v>0</v>
      </c>
      <c r="L384" s="43">
        <v>0.25</v>
      </c>
      <c r="M384" s="43">
        <v>0.27083333333333331</v>
      </c>
      <c r="N384" s="43">
        <v>0.63750000000000007</v>
      </c>
      <c r="O384" s="43">
        <v>0.65833333333333333</v>
      </c>
      <c r="P384" s="39"/>
      <c r="Q384" s="42" t="s">
        <v>320</v>
      </c>
      <c r="R384" s="29">
        <f>MIP_4[[#This Row],[PT-1]]+MIP_4[[#This Row],[PT-2]]*2+MIP_4[[#This Row],[PT-3]]*3+MIP_4[[#This Row],[PT &gt; 3 Pontos]]</f>
        <v>6</v>
      </c>
      <c r="S38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38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384" s="41">
        <f ca="1">MIP_4[[#This Row],[Eficiência]]</f>
        <v>0.42421304038151852</v>
      </c>
      <c r="V38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84" s="39">
        <f>IF(MIP_4[[#This Row],[P.S]]-MIP_4[[#This Row],[P.E]]&lt;0,1+MIP_4[[#This Row],[P.S]]-MIP_4[[#This Row],[P.E]]-1/24,MIP_4[[#This Row],[P.S]]-MIP_4[[#This Row],[P.E]]-1/24)</f>
        <v>0.36666666666666664</v>
      </c>
      <c r="X384" s="39">
        <f ca="1">MIP_4[[#This Row],[PT-1]]*$S$3+MIP_4[[#This Row],[PT-2]]*$T$3+MIP_4[[#This Row],[PT-3]]*$U$3+MIP_4[[#This Row],[PT &gt; 3 Pontos]]*$V$3</f>
        <v>0.13786923812399354</v>
      </c>
      <c r="Y384" s="39">
        <f>MIP_4[[#This Row],[HH disponível]]-MIP_4[[#This Row],[HH AC TOT]]</f>
        <v>0.32500000000000007</v>
      </c>
      <c r="Z384" s="38">
        <f ca="1">MIP_4[[#This Row],[HH Produtivo
Total]]/MIP_4[[#This Row],[HH Trabalhado]]</f>
        <v>0.42421304038151852</v>
      </c>
      <c r="AA384" s="38">
        <f ca="1">MIP_4[[#This Row],[HH Produtivo
Total]]/MIP_4[[#This Row],[HH disponível]]</f>
        <v>0.37600701306543693</v>
      </c>
      <c r="AB384" s="38">
        <f>MIP_4[[#This Row],[HH Trabalhado]]/MIP_4[[#This Row],[HH disponível]]</f>
        <v>0.88636363636363658</v>
      </c>
      <c r="AC384" s="37" t="str">
        <f>LEFT(MIP_4[[#This Row],[Equipe]], SEARCH("/",MIP_4[[#This Row],[Equipe]],1)-1)</f>
        <v xml:space="preserve">JOILSON </v>
      </c>
      <c r="AD384" s="37" t="str">
        <f>RIGHT(MIP_4[[#This Row],[Equipe]], LEN(MIP_4[[#This Row],[Equipe]])-SEARCH("/",MIP_4[[#This Row],[Equipe]],1))</f>
        <v xml:space="preserve"> VALDEI</v>
      </c>
      <c r="AE384" s="44">
        <f>COUNTIFS('[1]Tempo parado'!G:G,"&gt;="&amp;MIP_4[[#This Row],[S.B Sitrack]],'[1]Tempo parado'!H:H,"&lt;="&amp;MIP_4[[#This Row],[C.B Sitrack]],'[1]Tempo parado'!A:A,MIP_4[[#This Row],[Placa]])</f>
        <v>0</v>
      </c>
      <c r="AF384" s="36"/>
      <c r="AG384" s="35"/>
      <c r="AH384" s="34"/>
      <c r="AI384" s="34"/>
      <c r="AJ38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8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8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84" s="32" t="str">
        <f>IFERROR(MIP_4[[#This Row],[Tempo parado]]/(MIP_4[[#This Row],[C.B Sitrack]]-MIP_4[[#This Row],[S.B Sitrack]]),"")</f>
        <v/>
      </c>
      <c r="AN384" s="30"/>
      <c r="AO384" s="44">
        <f>IF(AND(MIP_4[Exc]=0,MIP_4[Previsto / Realizado]="Realizado"),MIP_4[Sem],0)</f>
        <v>0</v>
      </c>
      <c r="AP384" s="29">
        <f>IF(AND(MIP_4[Exc]=0,MIP_4[Previsto / Realizado]="Realizado",ISBLANK(MIP_4[[#This Row],[S.B Sitrack]])=FALSE,ISBLANK(MIP_4[[#This Row],[C.B Sitrack]])=FALSE),MIP_4[Sem],0)</f>
        <v>0</v>
      </c>
    </row>
    <row r="385" spans="1:42" ht="15.75" x14ac:dyDescent="0.25">
      <c r="A385" s="44">
        <f>WEEKNUM(MIP_4[[#This Row],[Data]])</f>
        <v>33</v>
      </c>
      <c r="B385" s="45">
        <v>42964</v>
      </c>
      <c r="C385" s="45"/>
      <c r="D385" s="35" t="s">
        <v>10</v>
      </c>
      <c r="E385" s="35" t="s">
        <v>2</v>
      </c>
      <c r="F385" s="35"/>
      <c r="G385" s="44">
        <v>2</v>
      </c>
      <c r="H385" s="44">
        <v>2</v>
      </c>
      <c r="I385" s="44">
        <v>1</v>
      </c>
      <c r="J385" s="44">
        <v>1</v>
      </c>
      <c r="K385" s="44">
        <v>9</v>
      </c>
      <c r="L385" s="43">
        <v>0.25138888888888888</v>
      </c>
      <c r="M385" s="43">
        <v>0.28472222222222221</v>
      </c>
      <c r="N385" s="43">
        <v>0.61319444444444449</v>
      </c>
      <c r="O385" s="43">
        <v>0.6645833333333333</v>
      </c>
      <c r="P385" s="39"/>
      <c r="Q385" s="42" t="s">
        <v>319</v>
      </c>
      <c r="R385" s="29">
        <f>MIP_4[[#This Row],[PT-1]]+MIP_4[[#This Row],[PT-2]]*2+MIP_4[[#This Row],[PT-3]]*3+MIP_4[[#This Row],[PT &gt; 3 Pontos]]</f>
        <v>16</v>
      </c>
      <c r="S38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8.4722222222222143E-2</v>
      </c>
      <c r="T38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8.4722222222222143E-2</v>
      </c>
      <c r="U385" s="41">
        <f ca="1">MIP_4[[#This Row],[Eficiência]]</f>
        <v>1.1819305540934135</v>
      </c>
      <c r="V38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85" s="39">
        <f>IF(MIP_4[[#This Row],[P.S]]-MIP_4[[#This Row],[P.E]]&lt;0,1+MIP_4[[#This Row],[P.S]]-MIP_4[[#This Row],[P.E]]-1/24,MIP_4[[#This Row],[P.S]]-MIP_4[[#This Row],[P.E]]-1/24)</f>
        <v>0.37152777777777773</v>
      </c>
      <c r="X385" s="39">
        <f ca="1">MIP_4[[#This Row],[PT-1]]*$S$3+MIP_4[[#This Row],[PT-2]]*$T$3+MIP_4[[#This Row],[PT-3]]*$U$3+MIP_4[[#This Row],[PT &gt; 3 Pontos]]*$V$3</f>
        <v>0.3389842491948471</v>
      </c>
      <c r="Y385" s="39">
        <f>MIP_4[[#This Row],[HH disponível]]-MIP_4[[#This Row],[HH AC TOT]]</f>
        <v>0.28680555555555559</v>
      </c>
      <c r="Z385" s="38">
        <f ca="1">MIP_4[[#This Row],[HH Produtivo
Total]]/MIP_4[[#This Row],[HH Trabalhado]]</f>
        <v>1.1819305540934135</v>
      </c>
      <c r="AA385" s="38">
        <f ca="1">MIP_4[[#This Row],[HH Produtivo
Total]]/MIP_4[[#This Row],[HH disponível]]</f>
        <v>0.91240620344033618</v>
      </c>
      <c r="AB385" s="38">
        <f>MIP_4[[#This Row],[HH Trabalhado]]/MIP_4[[#This Row],[HH disponível]]</f>
        <v>0.77196261682243006</v>
      </c>
      <c r="AC385" s="37" t="str">
        <f>LEFT(MIP_4[[#This Row],[Equipe]], SEARCH("/",MIP_4[[#This Row],[Equipe]],1)-1)</f>
        <v xml:space="preserve">JOILSON </v>
      </c>
      <c r="AD385" s="37" t="str">
        <f>RIGHT(MIP_4[[#This Row],[Equipe]], LEN(MIP_4[[#This Row],[Equipe]])-SEARCH("/",MIP_4[[#This Row],[Equipe]],1))</f>
        <v xml:space="preserve"> VALDEI</v>
      </c>
      <c r="AE385" s="44">
        <f>COUNTIFS('[1]Tempo parado'!G:G,"&gt;="&amp;MIP_4[[#This Row],[S.B Sitrack]],'[1]Tempo parado'!H:H,"&lt;="&amp;MIP_4[[#This Row],[C.B Sitrack]],'[1]Tempo parado'!A:A,MIP_4[[#This Row],[Placa]])</f>
        <v>0</v>
      </c>
      <c r="AF385" s="36"/>
      <c r="AG385" s="35"/>
      <c r="AH385" s="34"/>
      <c r="AI385" s="34"/>
      <c r="AJ38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8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8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85" s="32" t="str">
        <f>IFERROR(MIP_4[[#This Row],[Tempo parado]]/(MIP_4[[#This Row],[C.B Sitrack]]-MIP_4[[#This Row],[S.B Sitrack]]),"")</f>
        <v/>
      </c>
      <c r="AN385" s="30"/>
      <c r="AO385" s="44">
        <f>IF(AND(MIP_4[Exc]=0,MIP_4[Previsto / Realizado]="Realizado"),MIP_4[Sem],0)</f>
        <v>33</v>
      </c>
      <c r="AP385" s="29">
        <f>IF(AND(MIP_4[Exc]=0,MIP_4[Previsto / Realizado]="Realizado",ISBLANK(MIP_4[[#This Row],[S.B Sitrack]])=FALSE,ISBLANK(MIP_4[[#This Row],[C.B Sitrack]])=FALSE),MIP_4[Sem],0)</f>
        <v>0</v>
      </c>
    </row>
    <row r="386" spans="1:42" ht="15.75" x14ac:dyDescent="0.25">
      <c r="A386" s="44">
        <f>WEEKNUM(MIP_4[[#This Row],[Data]])</f>
        <v>33</v>
      </c>
      <c r="B386" s="45">
        <v>42964</v>
      </c>
      <c r="C386" s="45"/>
      <c r="D386" s="35" t="s">
        <v>7</v>
      </c>
      <c r="E386" s="35" t="s">
        <v>5</v>
      </c>
      <c r="F386" s="35"/>
      <c r="G386" s="44">
        <v>2</v>
      </c>
      <c r="H386" s="44">
        <v>0</v>
      </c>
      <c r="I386" s="44">
        <v>0</v>
      </c>
      <c r="J386" s="44">
        <v>0</v>
      </c>
      <c r="K386" s="44">
        <v>0</v>
      </c>
      <c r="L386" s="43">
        <v>0.625</v>
      </c>
      <c r="M386" s="43">
        <v>0.64583333333333337</v>
      </c>
      <c r="N386" s="43">
        <f>1+18/24/60</f>
        <v>1.0125</v>
      </c>
      <c r="O386" s="43">
        <f>1+48/24/60</f>
        <v>1.0333333333333334</v>
      </c>
      <c r="P386" s="39"/>
      <c r="Q386" s="42" t="s">
        <v>318</v>
      </c>
      <c r="R386" s="29">
        <f>MIP_4[[#This Row],[PT-1]]+MIP_4[[#This Row],[PT-2]]*2+MIP_4[[#This Row],[PT-3]]*3+MIP_4[[#This Row],[PT &gt; 3 Pontos]]</f>
        <v>0</v>
      </c>
      <c r="S38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38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386" s="41">
        <f ca="1">MIP_4[[#This Row],[Eficiência]]</f>
        <v>0</v>
      </c>
      <c r="V38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86" s="39">
        <f>IF(MIP_4[[#This Row],[P.S]]-MIP_4[[#This Row],[P.E]]&lt;0,1+MIP_4[[#This Row],[P.S]]-MIP_4[[#This Row],[P.E]]-1/24,MIP_4[[#This Row],[P.S]]-MIP_4[[#This Row],[P.E]]-1/24)</f>
        <v>0.36666666666666675</v>
      </c>
      <c r="X386" s="39">
        <f ca="1">MIP_4[[#This Row],[PT-1]]*$S$3+MIP_4[[#This Row],[PT-2]]*$T$3+MIP_4[[#This Row],[PT-3]]*$U$3+MIP_4[[#This Row],[PT &gt; 3 Pontos]]*$V$3</f>
        <v>0</v>
      </c>
      <c r="Y386" s="39">
        <f>MIP_4[[#This Row],[HH disponível]]-MIP_4[[#This Row],[HH AC TOT]]</f>
        <v>0.3249999999999999</v>
      </c>
      <c r="Z386" s="38">
        <f ca="1">MIP_4[[#This Row],[HH Produtivo
Total]]/MIP_4[[#This Row],[HH Trabalhado]]</f>
        <v>0</v>
      </c>
      <c r="AA386" s="38">
        <f ca="1">MIP_4[[#This Row],[HH Produtivo
Total]]/MIP_4[[#This Row],[HH disponível]]</f>
        <v>0</v>
      </c>
      <c r="AB386" s="38">
        <f>MIP_4[[#This Row],[HH Trabalhado]]/MIP_4[[#This Row],[HH disponível]]</f>
        <v>0.88636363636363591</v>
      </c>
      <c r="AC386" s="37" t="str">
        <f>LEFT(MIP_4[[#This Row],[Equipe]], SEARCH("/",MIP_4[[#This Row],[Equipe]],1)-1)</f>
        <v xml:space="preserve">ANDERSON </v>
      </c>
      <c r="AD386" s="37" t="str">
        <f>RIGHT(MIP_4[[#This Row],[Equipe]], LEN(MIP_4[[#This Row],[Equipe]])-SEARCH("/",MIP_4[[#This Row],[Equipe]],1))</f>
        <v xml:space="preserve"> MARCO</v>
      </c>
      <c r="AE386" s="44">
        <f>COUNTIFS('[1]Tempo parado'!G:G,"&gt;="&amp;MIP_4[[#This Row],[S.B Sitrack]],'[1]Tempo parado'!H:H,"&lt;="&amp;MIP_4[[#This Row],[C.B Sitrack]],'[1]Tempo parado'!A:A,MIP_4[[#This Row],[Placa]])</f>
        <v>0</v>
      </c>
      <c r="AF386" s="36"/>
      <c r="AG386" s="35"/>
      <c r="AH386" s="34"/>
      <c r="AI386" s="34"/>
      <c r="AJ38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8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8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86" s="32" t="str">
        <f>IFERROR(MIP_4[[#This Row],[Tempo parado]]/(MIP_4[[#This Row],[C.B Sitrack]]-MIP_4[[#This Row],[S.B Sitrack]]),"")</f>
        <v/>
      </c>
      <c r="AN386" s="30"/>
      <c r="AO386" s="44">
        <f>IF(AND(MIP_4[Exc]=0,MIP_4[Previsto / Realizado]="Realizado"),MIP_4[Sem],0)</f>
        <v>0</v>
      </c>
      <c r="AP386" s="29">
        <f>IF(AND(MIP_4[Exc]=0,MIP_4[Previsto / Realizado]="Realizado",ISBLANK(MIP_4[[#This Row],[S.B Sitrack]])=FALSE,ISBLANK(MIP_4[[#This Row],[C.B Sitrack]])=FALSE),MIP_4[Sem],0)</f>
        <v>0</v>
      </c>
    </row>
    <row r="387" spans="1:42" ht="15.75" x14ac:dyDescent="0.25">
      <c r="A387" s="44">
        <f>WEEKNUM(MIP_4[[#This Row],[Data]])</f>
        <v>33</v>
      </c>
      <c r="B387" s="45">
        <v>42964</v>
      </c>
      <c r="C387" s="45"/>
      <c r="D387" s="35" t="s">
        <v>7</v>
      </c>
      <c r="E387" s="35" t="s">
        <v>2</v>
      </c>
      <c r="F387" s="35"/>
      <c r="G387" s="44">
        <v>2</v>
      </c>
      <c r="H387" s="44">
        <v>0</v>
      </c>
      <c r="I387" s="44">
        <v>1</v>
      </c>
      <c r="J387" s="44">
        <v>0</v>
      </c>
      <c r="K387" s="44">
        <v>5</v>
      </c>
      <c r="L387" s="43">
        <v>0.63055555555555554</v>
      </c>
      <c r="M387" s="43">
        <v>0.67361111111111116</v>
      </c>
      <c r="N387" s="43">
        <f>1+24/24/60</f>
        <v>1.0166666666666666</v>
      </c>
      <c r="O387" s="43">
        <f>1+48/24/60</f>
        <v>1.0333333333333334</v>
      </c>
      <c r="P387" s="39">
        <v>0.22777777777777777</v>
      </c>
      <c r="Q387" s="42" t="s">
        <v>317</v>
      </c>
      <c r="R387" s="29">
        <f>MIP_4[[#This Row],[PT-1]]+MIP_4[[#This Row],[PT-2]]*2+MIP_4[[#This Row],[PT-3]]*3+MIP_4[[#This Row],[PT &gt; 3 Pontos]]</f>
        <v>7</v>
      </c>
      <c r="S38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0.2875000000000002</v>
      </c>
      <c r="T38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5.9722222222222454E-2</v>
      </c>
      <c r="U387" s="41">
        <f ca="1">MIP_4[[#This Row],[Eficiência]]</f>
        <v>1.971833033299915</v>
      </c>
      <c r="V38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87" s="39">
        <f>IF(MIP_4[[#This Row],[P.S]]-MIP_4[[#This Row],[P.E]]&lt;0,1+MIP_4[[#This Row],[P.S]]-MIP_4[[#This Row],[P.E]]-1/24,MIP_4[[#This Row],[P.S]]-MIP_4[[#This Row],[P.E]]-1/24)</f>
        <v>0.36111111111111122</v>
      </c>
      <c r="X387" s="39">
        <f ca="1">MIP_4[[#This Row],[PT-1]]*$S$3+MIP_4[[#This Row],[PT-2]]*$T$3+MIP_4[[#This Row],[PT-3]]*$U$3+MIP_4[[#This Row],[PT &gt; 3 Pontos]]*$V$3</f>
        <v>0.14514882050679911</v>
      </c>
      <c r="Y387" s="39">
        <f>MIP_4[[#This Row],[HH disponível]]-MIP_4[[#This Row],[HH AC TOT]]</f>
        <v>7.3611111111111016E-2</v>
      </c>
      <c r="Z387" s="38">
        <f ca="1">MIP_4[[#This Row],[HH Produtivo
Total]]/MIP_4[[#This Row],[HH Trabalhado]]</f>
        <v>1.971833033299915</v>
      </c>
      <c r="AA387" s="38">
        <f ca="1">MIP_4[[#This Row],[HH Produtivo
Total]]/MIP_4[[#This Row],[HH disponível]]</f>
        <v>0.40195057986498206</v>
      </c>
      <c r="AB387" s="38">
        <f>MIP_4[[#This Row],[HH Trabalhado]]/MIP_4[[#This Row],[HH disponível]]</f>
        <v>0.20384615384615351</v>
      </c>
      <c r="AC387" s="37" t="str">
        <f>LEFT(MIP_4[[#This Row],[Equipe]], SEARCH("/",MIP_4[[#This Row],[Equipe]],1)-1)</f>
        <v xml:space="preserve">ANDERSON </v>
      </c>
      <c r="AD387" s="37" t="str">
        <f>RIGHT(MIP_4[[#This Row],[Equipe]], LEN(MIP_4[[#This Row],[Equipe]])-SEARCH("/",MIP_4[[#This Row],[Equipe]],1))</f>
        <v xml:space="preserve"> MARCO</v>
      </c>
      <c r="AE387" s="44">
        <f>COUNTIFS('[1]Tempo parado'!G:G,"&gt;="&amp;MIP_4[[#This Row],[S.B Sitrack]],'[1]Tempo parado'!H:H,"&lt;="&amp;MIP_4[[#This Row],[C.B Sitrack]],'[1]Tempo parado'!A:A,MIP_4[[#This Row],[Placa]])</f>
        <v>0</v>
      </c>
      <c r="AF387" s="36"/>
      <c r="AG387" s="35"/>
      <c r="AH387" s="34"/>
      <c r="AI387" s="34"/>
      <c r="AJ38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8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8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87" s="32" t="str">
        <f>IFERROR(MIP_4[[#This Row],[Tempo parado]]/(MIP_4[[#This Row],[C.B Sitrack]]-MIP_4[[#This Row],[S.B Sitrack]]),"")</f>
        <v/>
      </c>
      <c r="AN387" s="30"/>
      <c r="AO387" s="44">
        <f>IF(AND(MIP_4[Exc]=0,MIP_4[Previsto / Realizado]="Realizado"),MIP_4[Sem],0)</f>
        <v>33</v>
      </c>
      <c r="AP387" s="29">
        <f>IF(AND(MIP_4[Exc]=0,MIP_4[Previsto / Realizado]="Realizado",ISBLANK(MIP_4[[#This Row],[S.B Sitrack]])=FALSE,ISBLANK(MIP_4[[#This Row],[C.B Sitrack]])=FALSE),MIP_4[Sem],0)</f>
        <v>0</v>
      </c>
    </row>
    <row r="388" spans="1:42" ht="15.75" x14ac:dyDescent="0.25">
      <c r="A388" s="44">
        <f>WEEKNUM(MIP_4[[#This Row],[Data]])</f>
        <v>33</v>
      </c>
      <c r="B388" s="45">
        <v>42964</v>
      </c>
      <c r="C388" s="45"/>
      <c r="D388" s="35" t="s">
        <v>3</v>
      </c>
      <c r="E388" s="35" t="s">
        <v>5</v>
      </c>
      <c r="F388" s="35"/>
      <c r="G388" s="44">
        <v>2</v>
      </c>
      <c r="H388" s="44">
        <v>3</v>
      </c>
      <c r="I388" s="44">
        <v>1</v>
      </c>
      <c r="J388" s="44">
        <v>1</v>
      </c>
      <c r="K388" s="44">
        <v>0</v>
      </c>
      <c r="L388" s="43">
        <v>0.625</v>
      </c>
      <c r="M388" s="43">
        <v>0.64583333333333337</v>
      </c>
      <c r="N388" s="43">
        <f>1+18/24/60</f>
        <v>1.0125</v>
      </c>
      <c r="O388" s="43">
        <f>1+48/24/60</f>
        <v>1.0333333333333334</v>
      </c>
      <c r="P388" s="39"/>
      <c r="Q388" s="42" t="s">
        <v>316</v>
      </c>
      <c r="R388" s="29">
        <f>MIP_4[[#This Row],[PT-1]]+MIP_4[[#This Row],[PT-2]]*2+MIP_4[[#This Row],[PT-3]]*3+MIP_4[[#This Row],[PT &gt; 3 Pontos]]</f>
        <v>8</v>
      </c>
      <c r="S38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38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388" s="41">
        <f ca="1">MIP_4[[#This Row],[Eficiência]]</f>
        <v>0.55931693608324051</v>
      </c>
      <c r="V38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88" s="39">
        <f>IF(MIP_4[[#This Row],[P.S]]-MIP_4[[#This Row],[P.E]]&lt;0,1+MIP_4[[#This Row],[P.S]]-MIP_4[[#This Row],[P.E]]-1/24,MIP_4[[#This Row],[P.S]]-MIP_4[[#This Row],[P.E]]-1/24)</f>
        <v>0.36666666666666675</v>
      </c>
      <c r="X388" s="39">
        <f ca="1">MIP_4[[#This Row],[PT-1]]*$S$3+MIP_4[[#This Row],[PT-2]]*$T$3+MIP_4[[#This Row],[PT-3]]*$U$3+MIP_4[[#This Row],[PT &gt; 3 Pontos]]*$V$3</f>
        <v>0.18177800422705312</v>
      </c>
      <c r="Y388" s="39">
        <f>MIP_4[[#This Row],[HH disponível]]-MIP_4[[#This Row],[HH AC TOT]]</f>
        <v>0.3249999999999999</v>
      </c>
      <c r="Z388" s="38">
        <f ca="1">MIP_4[[#This Row],[HH Produtivo
Total]]/MIP_4[[#This Row],[HH Trabalhado]]</f>
        <v>0.55931693608324051</v>
      </c>
      <c r="AA388" s="38">
        <f ca="1">MIP_4[[#This Row],[HH Produtivo
Total]]/MIP_4[[#This Row],[HH disponível]]</f>
        <v>0.49575819334650839</v>
      </c>
      <c r="AB388" s="38">
        <f>MIP_4[[#This Row],[HH Trabalhado]]/MIP_4[[#This Row],[HH disponível]]</f>
        <v>0.88636363636363591</v>
      </c>
      <c r="AC388" s="37" t="str">
        <f>LEFT(MIP_4[[#This Row],[Equipe]], SEARCH("/",MIP_4[[#This Row],[Equipe]],1)-1)</f>
        <v xml:space="preserve">EDILTON </v>
      </c>
      <c r="AD388" s="37" t="str">
        <f>RIGHT(MIP_4[[#This Row],[Equipe]], LEN(MIP_4[[#This Row],[Equipe]])-SEARCH("/",MIP_4[[#This Row],[Equipe]],1))</f>
        <v xml:space="preserve"> GECIVALDO</v>
      </c>
      <c r="AE388" s="44">
        <f>COUNTIFS('[1]Tempo parado'!G:G,"&gt;="&amp;MIP_4[[#This Row],[S.B Sitrack]],'[1]Tempo parado'!H:H,"&lt;="&amp;MIP_4[[#This Row],[C.B Sitrack]],'[1]Tempo parado'!A:A,MIP_4[[#This Row],[Placa]])</f>
        <v>0</v>
      </c>
      <c r="AF388" s="36"/>
      <c r="AG388" s="35"/>
      <c r="AH388" s="34"/>
      <c r="AI388" s="34"/>
      <c r="AJ38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8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8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88" s="32" t="str">
        <f>IFERROR(MIP_4[[#This Row],[Tempo parado]]/(MIP_4[[#This Row],[C.B Sitrack]]-MIP_4[[#This Row],[S.B Sitrack]]),"")</f>
        <v/>
      </c>
      <c r="AN388" s="30"/>
      <c r="AO388" s="44">
        <f>IF(AND(MIP_4[Exc]=0,MIP_4[Previsto / Realizado]="Realizado"),MIP_4[Sem],0)</f>
        <v>0</v>
      </c>
      <c r="AP388" s="29">
        <f>IF(AND(MIP_4[Exc]=0,MIP_4[Previsto / Realizado]="Realizado",ISBLANK(MIP_4[[#This Row],[S.B Sitrack]])=FALSE,ISBLANK(MIP_4[[#This Row],[C.B Sitrack]])=FALSE),MIP_4[Sem],0)</f>
        <v>0</v>
      </c>
    </row>
    <row r="389" spans="1:42" ht="15.75" x14ac:dyDescent="0.25">
      <c r="A389" s="44">
        <f>WEEKNUM(MIP_4[[#This Row],[Data]])</f>
        <v>33</v>
      </c>
      <c r="B389" s="45">
        <v>42964</v>
      </c>
      <c r="C389" s="45"/>
      <c r="D389" s="35" t="s">
        <v>3</v>
      </c>
      <c r="E389" s="35" t="s">
        <v>2</v>
      </c>
      <c r="F389" s="35"/>
      <c r="G389" s="44">
        <v>2</v>
      </c>
      <c r="H389" s="44">
        <v>3</v>
      </c>
      <c r="I389" s="44">
        <v>2</v>
      </c>
      <c r="J389" s="44">
        <v>1</v>
      </c>
      <c r="K389" s="44">
        <v>5</v>
      </c>
      <c r="L389" s="43">
        <v>0.62777777777777777</v>
      </c>
      <c r="M389" s="43">
        <v>0.6694444444444444</v>
      </c>
      <c r="N389" s="43">
        <v>0.9916666666666667</v>
      </c>
      <c r="O389" s="43">
        <f>1+63/24/60</f>
        <v>1.04375</v>
      </c>
      <c r="P389" s="39"/>
      <c r="Q389" s="42" t="s">
        <v>88</v>
      </c>
      <c r="R389" s="29">
        <f>MIP_4[[#This Row],[PT-1]]+MIP_4[[#This Row],[PT-2]]*2+MIP_4[[#This Row],[PT-3]]*3+MIP_4[[#This Row],[PT &gt; 3 Pontos]]</f>
        <v>15</v>
      </c>
      <c r="S38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9.3749999999999889E-2</v>
      </c>
      <c r="T38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9.3749999999999889E-2</v>
      </c>
      <c r="U389" s="41">
        <f ca="1">MIP_4[[#This Row],[Eficiência]]</f>
        <v>1.1652837317246216</v>
      </c>
      <c r="V38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89" s="39">
        <f>IF(MIP_4[[#This Row],[P.S]]-MIP_4[[#This Row],[P.E]]&lt;0,1+MIP_4[[#This Row],[P.S]]-MIP_4[[#This Row],[P.E]]-1/24,MIP_4[[#This Row],[P.S]]-MIP_4[[#This Row],[P.E]]-1/24)</f>
        <v>0.3743055555555555</v>
      </c>
      <c r="X389" s="39">
        <f ca="1">MIP_4[[#This Row],[PT-1]]*$S$3+MIP_4[[#This Row],[PT-2]]*$T$3+MIP_4[[#This Row],[PT-3]]*$U$3+MIP_4[[#This Row],[PT &gt; 3 Pontos]]*$V$3</f>
        <v>0.32692682473385226</v>
      </c>
      <c r="Y389" s="39">
        <f>MIP_4[[#This Row],[HH disponível]]-MIP_4[[#This Row],[HH AC TOT]]</f>
        <v>0.28055555555555561</v>
      </c>
      <c r="Z389" s="38">
        <f ca="1">MIP_4[[#This Row],[HH Produtivo
Total]]/MIP_4[[#This Row],[HH Trabalhado]]</f>
        <v>1.1652837317246216</v>
      </c>
      <c r="AA389" s="38">
        <f ca="1">MIP_4[[#This Row],[HH Produtivo
Total]]/MIP_4[[#This Row],[HH disponível]]</f>
        <v>0.87342231468784293</v>
      </c>
      <c r="AB389" s="38">
        <f>MIP_4[[#This Row],[HH Trabalhado]]/MIP_4[[#This Row],[HH disponível]]</f>
        <v>0.74953617810760698</v>
      </c>
      <c r="AC389" s="37" t="str">
        <f>LEFT(MIP_4[[#This Row],[Equipe]], SEARCH("/",MIP_4[[#This Row],[Equipe]],1)-1)</f>
        <v xml:space="preserve">EDILTON </v>
      </c>
      <c r="AD389" s="37" t="str">
        <f>RIGHT(MIP_4[[#This Row],[Equipe]], LEN(MIP_4[[#This Row],[Equipe]])-SEARCH("/",MIP_4[[#This Row],[Equipe]],1))</f>
        <v xml:space="preserve"> GECIVALDO</v>
      </c>
      <c r="AE389" s="44">
        <f>COUNTIFS('[1]Tempo parado'!G:G,"&gt;="&amp;MIP_4[[#This Row],[S.B Sitrack]],'[1]Tempo parado'!H:H,"&lt;="&amp;MIP_4[[#This Row],[C.B Sitrack]],'[1]Tempo parado'!A:A,MIP_4[[#This Row],[Placa]])</f>
        <v>0</v>
      </c>
      <c r="AF389" s="36"/>
      <c r="AG389" s="35"/>
      <c r="AH389" s="34"/>
      <c r="AI389" s="34"/>
      <c r="AJ38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8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8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89" s="32" t="str">
        <f>IFERROR(MIP_4[[#This Row],[Tempo parado]]/(MIP_4[[#This Row],[C.B Sitrack]]-MIP_4[[#This Row],[S.B Sitrack]]),"")</f>
        <v/>
      </c>
      <c r="AN389" s="30"/>
      <c r="AO389" s="44">
        <f>IF(AND(MIP_4[Exc]=0,MIP_4[Previsto / Realizado]="Realizado"),MIP_4[Sem],0)</f>
        <v>33</v>
      </c>
      <c r="AP389" s="29">
        <f>IF(AND(MIP_4[Exc]=0,MIP_4[Previsto / Realizado]="Realizado",ISBLANK(MIP_4[[#This Row],[S.B Sitrack]])=FALSE,ISBLANK(MIP_4[[#This Row],[C.B Sitrack]])=FALSE),MIP_4[Sem],0)</f>
        <v>0</v>
      </c>
    </row>
    <row r="390" spans="1:42" ht="15.75" x14ac:dyDescent="0.25">
      <c r="A390" s="44">
        <f>WEEKNUM(MIP_4[[#This Row],[Data]])</f>
        <v>33</v>
      </c>
      <c r="B390" s="45">
        <v>42965</v>
      </c>
      <c r="C390" s="45"/>
      <c r="D390" s="35" t="s">
        <v>10</v>
      </c>
      <c r="E390" s="35" t="s">
        <v>5</v>
      </c>
      <c r="F390" s="35"/>
      <c r="G390" s="44">
        <v>2</v>
      </c>
      <c r="H390" s="44">
        <v>5</v>
      </c>
      <c r="I390" s="44">
        <v>2</v>
      </c>
      <c r="J390" s="44">
        <v>0</v>
      </c>
      <c r="K390" s="44">
        <v>0</v>
      </c>
      <c r="L390" s="43">
        <v>0.25</v>
      </c>
      <c r="M390" s="43">
        <v>0.27083333333333331</v>
      </c>
      <c r="N390" s="43">
        <v>0.63750000000000007</v>
      </c>
      <c r="O390" s="43">
        <v>0.65833333333333333</v>
      </c>
      <c r="P390" s="39"/>
      <c r="Q390" s="42"/>
      <c r="R390" s="29">
        <f>MIP_4[[#This Row],[PT-1]]+MIP_4[[#This Row],[PT-2]]*2+MIP_4[[#This Row],[PT-3]]*3+MIP_4[[#This Row],[PT &gt; 3 Pontos]]</f>
        <v>9</v>
      </c>
      <c r="S39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39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390" s="41">
        <f ca="1">MIP_4[[#This Row],[Eficiência]]</f>
        <v>0.65522091384863079</v>
      </c>
      <c r="V39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90" s="39">
        <f>IF(MIP_4[[#This Row],[P.S]]-MIP_4[[#This Row],[P.E]]&lt;0,1+MIP_4[[#This Row],[P.S]]-MIP_4[[#This Row],[P.E]]-1/24,MIP_4[[#This Row],[P.S]]-MIP_4[[#This Row],[P.E]]-1/24)</f>
        <v>0.36666666666666664</v>
      </c>
      <c r="X390" s="39">
        <f ca="1">MIP_4[[#This Row],[PT-1]]*$S$3+MIP_4[[#This Row],[PT-2]]*$T$3+MIP_4[[#This Row],[PT-3]]*$U$3+MIP_4[[#This Row],[PT &gt; 3 Pontos]]*$V$3</f>
        <v>0.21294679700080504</v>
      </c>
      <c r="Y390" s="39">
        <f>MIP_4[[#This Row],[HH disponível]]-MIP_4[[#This Row],[HH AC TOT]]</f>
        <v>0.32500000000000007</v>
      </c>
      <c r="Z390" s="38">
        <f ca="1">MIP_4[[#This Row],[HH Produtivo
Total]]/MIP_4[[#This Row],[HH Trabalhado]]</f>
        <v>0.65522091384863079</v>
      </c>
      <c r="AA390" s="38">
        <f ca="1">MIP_4[[#This Row],[HH Produtivo
Total]]/MIP_4[[#This Row],[HH disponível]]</f>
        <v>0.58076399182037741</v>
      </c>
      <c r="AB390" s="38">
        <f>MIP_4[[#This Row],[HH Trabalhado]]/MIP_4[[#This Row],[HH disponível]]</f>
        <v>0.88636363636363658</v>
      </c>
      <c r="AC390" s="37" t="str">
        <f>LEFT(MIP_4[[#This Row],[Equipe]], SEARCH("/",MIP_4[[#This Row],[Equipe]],1)-1)</f>
        <v xml:space="preserve">JOILSON </v>
      </c>
      <c r="AD390" s="37" t="str">
        <f>RIGHT(MIP_4[[#This Row],[Equipe]], LEN(MIP_4[[#This Row],[Equipe]])-SEARCH("/",MIP_4[[#This Row],[Equipe]],1))</f>
        <v xml:space="preserve"> VALDEI</v>
      </c>
      <c r="AE390" s="44">
        <f>COUNTIFS('[1]Tempo parado'!G:G,"&gt;="&amp;MIP_4[[#This Row],[S.B Sitrack]],'[1]Tempo parado'!H:H,"&lt;="&amp;MIP_4[[#This Row],[C.B Sitrack]],'[1]Tempo parado'!A:A,MIP_4[[#This Row],[Placa]])</f>
        <v>0</v>
      </c>
      <c r="AF390" s="36"/>
      <c r="AG390" s="35"/>
      <c r="AH390" s="34"/>
      <c r="AI390" s="34"/>
      <c r="AJ39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9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9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90" s="32" t="str">
        <f>IFERROR(MIP_4[[#This Row],[Tempo parado]]/(MIP_4[[#This Row],[C.B Sitrack]]-MIP_4[[#This Row],[S.B Sitrack]]),"")</f>
        <v/>
      </c>
      <c r="AN390" s="30"/>
      <c r="AO390" s="44">
        <f>IF(AND(MIP_4[Exc]=0,MIP_4[Previsto / Realizado]="Realizado"),MIP_4[Sem],0)</f>
        <v>0</v>
      </c>
      <c r="AP390" s="29">
        <f>IF(AND(MIP_4[Exc]=0,MIP_4[Previsto / Realizado]="Realizado",ISBLANK(MIP_4[[#This Row],[S.B Sitrack]])=FALSE,ISBLANK(MIP_4[[#This Row],[C.B Sitrack]])=FALSE),MIP_4[Sem],0)</f>
        <v>0</v>
      </c>
    </row>
    <row r="391" spans="1:42" ht="15.75" x14ac:dyDescent="0.25">
      <c r="A391" s="44">
        <f>WEEKNUM(MIP_4[[#This Row],[Data]])</f>
        <v>33</v>
      </c>
      <c r="B391" s="45">
        <v>42965</v>
      </c>
      <c r="C391" s="45"/>
      <c r="D391" s="35" t="s">
        <v>10</v>
      </c>
      <c r="E391" s="35" t="s">
        <v>2</v>
      </c>
      <c r="F391" s="35"/>
      <c r="G391" s="44">
        <v>2</v>
      </c>
      <c r="H391" s="44">
        <v>5</v>
      </c>
      <c r="I391" s="44">
        <v>2</v>
      </c>
      <c r="J391" s="44">
        <v>0</v>
      </c>
      <c r="K391" s="44">
        <v>3</v>
      </c>
      <c r="L391" s="43">
        <v>0.25763888888888892</v>
      </c>
      <c r="M391" s="43">
        <v>0.29166666666666669</v>
      </c>
      <c r="N391" s="43">
        <v>0.63124999999999998</v>
      </c>
      <c r="O391" s="43">
        <v>0.66319444444444442</v>
      </c>
      <c r="P391" s="39"/>
      <c r="Q391" s="42" t="s">
        <v>315</v>
      </c>
      <c r="R391" s="29">
        <f>MIP_4[[#This Row],[PT-1]]+MIP_4[[#This Row],[PT-2]]*2+MIP_4[[#This Row],[PT-3]]*3+MIP_4[[#This Row],[PT &gt; 3 Pontos]]</f>
        <v>12</v>
      </c>
      <c r="S39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6.597222222222221E-2</v>
      </c>
      <c r="T39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6.597222222222221E-2</v>
      </c>
      <c r="U391" s="41">
        <f ca="1">MIP_4[[#This Row],[Eficiência]]</f>
        <v>0.91868250509554839</v>
      </c>
      <c r="V39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91" s="39">
        <f>IF(MIP_4[[#This Row],[P.S]]-MIP_4[[#This Row],[P.E]]&lt;0,1+MIP_4[[#This Row],[P.S]]-MIP_4[[#This Row],[P.E]]-1/24,MIP_4[[#This Row],[P.S]]-MIP_4[[#This Row],[P.E]]-1/24)</f>
        <v>0.36388888888888882</v>
      </c>
      <c r="X391" s="39">
        <f ca="1">MIP_4[[#This Row],[PT-1]]*$S$3+MIP_4[[#This Row],[PT-2]]*$T$3+MIP_4[[#This Row],[PT-3]]*$U$3+MIP_4[[#This Row],[PT &gt; 3 Pontos]]*$V$3</f>
        <v>0.27369082964304875</v>
      </c>
      <c r="Y391" s="39">
        <f>MIP_4[[#This Row],[HH disponível]]-MIP_4[[#This Row],[HH AC TOT]]</f>
        <v>0.29791666666666661</v>
      </c>
      <c r="Z391" s="38">
        <f ca="1">MIP_4[[#This Row],[HH Produtivo
Total]]/MIP_4[[#This Row],[HH Trabalhado]]</f>
        <v>0.91868250509554839</v>
      </c>
      <c r="AA391" s="38">
        <f ca="1">MIP_4[[#This Row],[HH Produtivo
Total]]/MIP_4[[#This Row],[HH disponível]]</f>
        <v>0.75212747077479059</v>
      </c>
      <c r="AB391" s="38">
        <f>MIP_4[[#This Row],[HH Trabalhado]]/MIP_4[[#This Row],[HH disponível]]</f>
        <v>0.81870229007633588</v>
      </c>
      <c r="AC391" s="37" t="str">
        <f>LEFT(MIP_4[[#This Row],[Equipe]], SEARCH("/",MIP_4[[#This Row],[Equipe]],1)-1)</f>
        <v xml:space="preserve">JOILSON </v>
      </c>
      <c r="AD391" s="37" t="str">
        <f>RIGHT(MIP_4[[#This Row],[Equipe]], LEN(MIP_4[[#This Row],[Equipe]])-SEARCH("/",MIP_4[[#This Row],[Equipe]],1))</f>
        <v xml:space="preserve"> VALDEI</v>
      </c>
      <c r="AE391" s="44">
        <f>COUNTIFS('[1]Tempo parado'!G:G,"&gt;="&amp;MIP_4[[#This Row],[S.B Sitrack]],'[1]Tempo parado'!H:H,"&lt;="&amp;MIP_4[[#This Row],[C.B Sitrack]],'[1]Tempo parado'!A:A,MIP_4[[#This Row],[Placa]])</f>
        <v>0</v>
      </c>
      <c r="AF391" s="36"/>
      <c r="AG391" s="35"/>
      <c r="AH391" s="34"/>
      <c r="AI391" s="34"/>
      <c r="AJ39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9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9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91" s="32" t="str">
        <f>IFERROR(MIP_4[[#This Row],[Tempo parado]]/(MIP_4[[#This Row],[C.B Sitrack]]-MIP_4[[#This Row],[S.B Sitrack]]),"")</f>
        <v/>
      </c>
      <c r="AN391" s="30"/>
      <c r="AO391" s="44">
        <f>IF(AND(MIP_4[Exc]=0,MIP_4[Previsto / Realizado]="Realizado"),MIP_4[Sem],0)</f>
        <v>33</v>
      </c>
      <c r="AP391" s="29">
        <f>IF(AND(MIP_4[Exc]=0,MIP_4[Previsto / Realizado]="Realizado",ISBLANK(MIP_4[[#This Row],[S.B Sitrack]])=FALSE,ISBLANK(MIP_4[[#This Row],[C.B Sitrack]])=FALSE),MIP_4[Sem],0)</f>
        <v>0</v>
      </c>
    </row>
    <row r="392" spans="1:42" ht="15.75" x14ac:dyDescent="0.25">
      <c r="A392" s="44">
        <f>WEEKNUM(MIP_4[[#This Row],[Data]])</f>
        <v>33</v>
      </c>
      <c r="B392" s="45">
        <v>42965</v>
      </c>
      <c r="C392" s="45"/>
      <c r="D392" s="35" t="s">
        <v>19</v>
      </c>
      <c r="E392" s="35" t="s">
        <v>5</v>
      </c>
      <c r="F392" s="35"/>
      <c r="G392" s="44">
        <v>2</v>
      </c>
      <c r="H392" s="44">
        <v>2</v>
      </c>
      <c r="I392" s="44">
        <v>0</v>
      </c>
      <c r="J392" s="44">
        <v>0</v>
      </c>
      <c r="K392" s="44">
        <v>14</v>
      </c>
      <c r="L392" s="43">
        <v>0.625</v>
      </c>
      <c r="M392" s="43">
        <v>0.64583333333333337</v>
      </c>
      <c r="N392" s="43">
        <f>1+18/24/60</f>
        <v>1.0125</v>
      </c>
      <c r="O392" s="43">
        <f>1+48/24/60</f>
        <v>1.0333333333333334</v>
      </c>
      <c r="P392" s="39"/>
      <c r="Q392" s="42"/>
      <c r="R392" s="29">
        <f>MIP_4[[#This Row],[PT-1]]+MIP_4[[#This Row],[PT-2]]*2+MIP_4[[#This Row],[PT-3]]*3+MIP_4[[#This Row],[PT &gt; 3 Pontos]]</f>
        <v>16</v>
      </c>
      <c r="S39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39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392" s="41">
        <f ca="1">MIP_4[[#This Row],[Eficiência]]</f>
        <v>1.0262272561487544</v>
      </c>
      <c r="V39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92" s="39">
        <f>IF(MIP_4[[#This Row],[P.S]]-MIP_4[[#This Row],[P.E]]&lt;0,1+MIP_4[[#This Row],[P.S]]-MIP_4[[#This Row],[P.E]]-1/24,MIP_4[[#This Row],[P.S]]-MIP_4[[#This Row],[P.E]]-1/24)</f>
        <v>0.36666666666666675</v>
      </c>
      <c r="X392" s="39">
        <f ca="1">MIP_4[[#This Row],[PT-1]]*$S$3+MIP_4[[#This Row],[PT-2]]*$T$3+MIP_4[[#This Row],[PT-3]]*$U$3+MIP_4[[#This Row],[PT &gt; 3 Pontos]]*$V$3</f>
        <v>0.33352385824834507</v>
      </c>
      <c r="Y392" s="39">
        <f>MIP_4[[#This Row],[HH disponível]]-MIP_4[[#This Row],[HH AC TOT]]</f>
        <v>0.3249999999999999</v>
      </c>
      <c r="Z392" s="38">
        <f ca="1">MIP_4[[#This Row],[HH Produtivo
Total]]/MIP_4[[#This Row],[HH Trabalhado]]</f>
        <v>1.0262272561487544</v>
      </c>
      <c r="AA392" s="38">
        <f ca="1">MIP_4[[#This Row],[HH Produtivo
Total]]/MIP_4[[#This Row],[HH disponível]]</f>
        <v>0.90961052249548635</v>
      </c>
      <c r="AB392" s="38">
        <f>MIP_4[[#This Row],[HH Trabalhado]]/MIP_4[[#This Row],[HH disponível]]</f>
        <v>0.88636363636363591</v>
      </c>
      <c r="AC392" s="37" t="str">
        <f>LEFT(MIP_4[[#This Row],[Equipe]], SEARCH("/",MIP_4[[#This Row],[Equipe]],1)-1)</f>
        <v xml:space="preserve">ADEMÁRIO </v>
      </c>
      <c r="AD392" s="37" t="str">
        <f>RIGHT(MIP_4[[#This Row],[Equipe]], LEN(MIP_4[[#This Row],[Equipe]])-SEARCH("/",MIP_4[[#This Row],[Equipe]],1))</f>
        <v xml:space="preserve"> RONALDO</v>
      </c>
      <c r="AE392" s="44">
        <f>COUNTIFS('[1]Tempo parado'!G:G,"&gt;="&amp;MIP_4[[#This Row],[S.B Sitrack]],'[1]Tempo parado'!H:H,"&lt;="&amp;MIP_4[[#This Row],[C.B Sitrack]],'[1]Tempo parado'!A:A,MIP_4[[#This Row],[Placa]])</f>
        <v>0</v>
      </c>
      <c r="AF392" s="36"/>
      <c r="AG392" s="35"/>
      <c r="AH392" s="34"/>
      <c r="AI392" s="34"/>
      <c r="AJ39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9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9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92" s="32" t="str">
        <f>IFERROR(MIP_4[[#This Row],[Tempo parado]]/(MIP_4[[#This Row],[C.B Sitrack]]-MIP_4[[#This Row],[S.B Sitrack]]),"")</f>
        <v/>
      </c>
      <c r="AN392" s="30"/>
      <c r="AO392" s="44">
        <f>IF(AND(MIP_4[Exc]=0,MIP_4[Previsto / Realizado]="Realizado"),MIP_4[Sem],0)</f>
        <v>0</v>
      </c>
      <c r="AP392" s="29">
        <f>IF(AND(MIP_4[Exc]=0,MIP_4[Previsto / Realizado]="Realizado",ISBLANK(MIP_4[[#This Row],[S.B Sitrack]])=FALSE,ISBLANK(MIP_4[[#This Row],[C.B Sitrack]])=FALSE),MIP_4[Sem],0)</f>
        <v>0</v>
      </c>
    </row>
    <row r="393" spans="1:42" ht="15.75" x14ac:dyDescent="0.25">
      <c r="A393" s="44">
        <f>WEEKNUM(MIP_4[[#This Row],[Data]])</f>
        <v>33</v>
      </c>
      <c r="B393" s="45">
        <v>42965</v>
      </c>
      <c r="C393" s="45"/>
      <c r="D393" s="35" t="s">
        <v>19</v>
      </c>
      <c r="E393" s="35" t="s">
        <v>2</v>
      </c>
      <c r="F393" s="35"/>
      <c r="G393" s="44">
        <v>2</v>
      </c>
      <c r="H393" s="44">
        <v>2</v>
      </c>
      <c r="I393" s="44">
        <v>0</v>
      </c>
      <c r="J393" s="44">
        <v>0</v>
      </c>
      <c r="K393" s="44">
        <v>14</v>
      </c>
      <c r="L393" s="43">
        <v>0.62777777777777777</v>
      </c>
      <c r="M393" s="43">
        <v>0.6645833333333333</v>
      </c>
      <c r="N393" s="43">
        <v>0.92499999999999993</v>
      </c>
      <c r="O393" s="43">
        <f>1+63/24/60</f>
        <v>1.04375</v>
      </c>
      <c r="P393" s="39"/>
      <c r="Q393" s="42"/>
      <c r="R393" s="29">
        <f>MIP_4[[#This Row],[PT-1]]+MIP_4[[#This Row],[PT-2]]*2+MIP_4[[#This Row],[PT-3]]*3+MIP_4[[#This Row],[PT &gt; 3 Pontos]]</f>
        <v>16</v>
      </c>
      <c r="S39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0.15555555555555556</v>
      </c>
      <c r="T39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0.15555555555555556</v>
      </c>
      <c r="U393" s="41">
        <f ca="1">MIP_4[[#This Row],[Eficiência]]</f>
        <v>1.5246804948495778</v>
      </c>
      <c r="V39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93" s="39">
        <f>IF(MIP_4[[#This Row],[P.S]]-MIP_4[[#This Row],[P.E]]&lt;0,1+MIP_4[[#This Row],[P.S]]-MIP_4[[#This Row],[P.E]]-1/24,MIP_4[[#This Row],[P.S]]-MIP_4[[#This Row],[P.E]]-1/24)</f>
        <v>0.3743055555555555</v>
      </c>
      <c r="X393" s="39">
        <f ca="1">MIP_4[[#This Row],[PT-1]]*$S$3+MIP_4[[#This Row],[PT-2]]*$T$3+MIP_4[[#This Row],[PT-3]]*$U$3+MIP_4[[#This Row],[PT &gt; 3 Pontos]]*$V$3</f>
        <v>0.33352385824834507</v>
      </c>
      <c r="Y393" s="39">
        <f>MIP_4[[#This Row],[HH disponível]]-MIP_4[[#This Row],[HH AC TOT]]</f>
        <v>0.21874999999999994</v>
      </c>
      <c r="Z393" s="38">
        <f ca="1">MIP_4[[#This Row],[HH Produtivo
Total]]/MIP_4[[#This Row],[HH Trabalhado]]</f>
        <v>1.5246804948495778</v>
      </c>
      <c r="AA393" s="38">
        <f ca="1">MIP_4[[#This Row],[HH Produtivo
Total]]/MIP_4[[#This Row],[HH disponível]]</f>
        <v>0.89104704244455835</v>
      </c>
      <c r="AB393" s="38">
        <f>MIP_4[[#This Row],[HH Trabalhado]]/MIP_4[[#This Row],[HH disponível]]</f>
        <v>0.58441558441558439</v>
      </c>
      <c r="AC393" s="37" t="str">
        <f>LEFT(MIP_4[[#This Row],[Equipe]], SEARCH("/",MIP_4[[#This Row],[Equipe]],1)-1)</f>
        <v xml:space="preserve">ADEMÁRIO </v>
      </c>
      <c r="AD393" s="37" t="str">
        <f>RIGHT(MIP_4[[#This Row],[Equipe]], LEN(MIP_4[[#This Row],[Equipe]])-SEARCH("/",MIP_4[[#This Row],[Equipe]],1))</f>
        <v xml:space="preserve"> RONALDO</v>
      </c>
      <c r="AE393" s="44">
        <f>COUNTIFS('[1]Tempo parado'!G:G,"&gt;="&amp;MIP_4[[#This Row],[S.B Sitrack]],'[1]Tempo parado'!H:H,"&lt;="&amp;MIP_4[[#This Row],[C.B Sitrack]],'[1]Tempo parado'!A:A,MIP_4[[#This Row],[Placa]])</f>
        <v>0</v>
      </c>
      <c r="AF393" s="36"/>
      <c r="AG393" s="35"/>
      <c r="AH393" s="34"/>
      <c r="AI393" s="34"/>
      <c r="AJ39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9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9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93" s="32" t="str">
        <f>IFERROR(MIP_4[[#This Row],[Tempo parado]]/(MIP_4[[#This Row],[C.B Sitrack]]-MIP_4[[#This Row],[S.B Sitrack]]),"")</f>
        <v/>
      </c>
      <c r="AN393" s="30"/>
      <c r="AO393" s="44">
        <f>IF(AND(MIP_4[Exc]=0,MIP_4[Previsto / Realizado]="Realizado"),MIP_4[Sem],0)</f>
        <v>33</v>
      </c>
      <c r="AP393" s="29">
        <f>IF(AND(MIP_4[Exc]=0,MIP_4[Previsto / Realizado]="Realizado",ISBLANK(MIP_4[[#This Row],[S.B Sitrack]])=FALSE,ISBLANK(MIP_4[[#This Row],[C.B Sitrack]])=FALSE),MIP_4[Sem],0)</f>
        <v>0</v>
      </c>
    </row>
    <row r="394" spans="1:42" ht="15.75" x14ac:dyDescent="0.25">
      <c r="A394" s="44">
        <f>WEEKNUM(MIP_4[[#This Row],[Data]])</f>
        <v>33</v>
      </c>
      <c r="B394" s="45">
        <v>42965</v>
      </c>
      <c r="C394" s="45"/>
      <c r="D394" s="35" t="s">
        <v>7</v>
      </c>
      <c r="E394" s="35" t="s">
        <v>5</v>
      </c>
      <c r="F394" s="35"/>
      <c r="G394" s="44">
        <v>2</v>
      </c>
      <c r="H394" s="44">
        <v>3</v>
      </c>
      <c r="I394" s="44">
        <v>1</v>
      </c>
      <c r="J394" s="44">
        <v>0</v>
      </c>
      <c r="K394" s="44">
        <v>11</v>
      </c>
      <c r="L394" s="43">
        <v>0.625</v>
      </c>
      <c r="M394" s="43">
        <v>0.64583333333333337</v>
      </c>
      <c r="N394" s="43">
        <f>1+18/24/60</f>
        <v>1.0125</v>
      </c>
      <c r="O394" s="43">
        <f>1+48/24/60</f>
        <v>1.0333333333333334</v>
      </c>
      <c r="P394" s="39"/>
      <c r="Q394" s="42" t="s">
        <v>314</v>
      </c>
      <c r="R394" s="29">
        <f>MIP_4[[#This Row],[PT-1]]+MIP_4[[#This Row],[PT-2]]*2+MIP_4[[#This Row],[PT-3]]*3+MIP_4[[#This Row],[PT &gt; 3 Pontos]]</f>
        <v>16</v>
      </c>
      <c r="S39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39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394" s="41">
        <f ca="1">MIP_4[[#This Row],[Eficiência]]</f>
        <v>1.0514290605172254</v>
      </c>
      <c r="V39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94" s="39">
        <f>IF(MIP_4[[#This Row],[P.S]]-MIP_4[[#This Row],[P.E]]&lt;0,1+MIP_4[[#This Row],[P.S]]-MIP_4[[#This Row],[P.E]]-1/24,MIP_4[[#This Row],[P.S]]-MIP_4[[#This Row],[P.E]]-1/24)</f>
        <v>0.36666666666666675</v>
      </c>
      <c r="X394" s="39">
        <f ca="1">MIP_4[[#This Row],[PT-1]]*$S$3+MIP_4[[#This Row],[PT-2]]*$T$3+MIP_4[[#This Row],[PT-3]]*$U$3+MIP_4[[#This Row],[PT &gt; 3 Pontos]]*$V$3</f>
        <v>0.34171444466809814</v>
      </c>
      <c r="Y394" s="39">
        <f>MIP_4[[#This Row],[HH disponível]]-MIP_4[[#This Row],[HH AC TOT]]</f>
        <v>0.3249999999999999</v>
      </c>
      <c r="Z394" s="38">
        <f ca="1">MIP_4[[#This Row],[HH Produtivo
Total]]/MIP_4[[#This Row],[HH Trabalhado]]</f>
        <v>1.0514290605172254</v>
      </c>
      <c r="AA394" s="38">
        <f ca="1">MIP_4[[#This Row],[HH Produtivo
Total]]/MIP_4[[#This Row],[HH disponível]]</f>
        <v>0.93194848545844922</v>
      </c>
      <c r="AB394" s="38">
        <f>MIP_4[[#This Row],[HH Trabalhado]]/MIP_4[[#This Row],[HH disponível]]</f>
        <v>0.88636363636363591</v>
      </c>
      <c r="AC394" s="37" t="str">
        <f>LEFT(MIP_4[[#This Row],[Equipe]], SEARCH("/",MIP_4[[#This Row],[Equipe]],1)-1)</f>
        <v xml:space="preserve">ANDERSON </v>
      </c>
      <c r="AD394" s="37" t="str">
        <f>RIGHT(MIP_4[[#This Row],[Equipe]], LEN(MIP_4[[#This Row],[Equipe]])-SEARCH("/",MIP_4[[#This Row],[Equipe]],1))</f>
        <v xml:space="preserve"> MARCO</v>
      </c>
      <c r="AE394" s="44">
        <f>COUNTIFS('[1]Tempo parado'!G:G,"&gt;="&amp;MIP_4[[#This Row],[S.B Sitrack]],'[1]Tempo parado'!H:H,"&lt;="&amp;MIP_4[[#This Row],[C.B Sitrack]],'[1]Tempo parado'!A:A,MIP_4[[#This Row],[Placa]])</f>
        <v>0</v>
      </c>
      <c r="AF394" s="36"/>
      <c r="AG394" s="35"/>
      <c r="AH394" s="34"/>
      <c r="AI394" s="34"/>
      <c r="AJ39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9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9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94" s="32" t="str">
        <f>IFERROR(MIP_4[[#This Row],[Tempo parado]]/(MIP_4[[#This Row],[C.B Sitrack]]-MIP_4[[#This Row],[S.B Sitrack]]),"")</f>
        <v/>
      </c>
      <c r="AN394" s="30"/>
      <c r="AO394" s="44">
        <f>IF(AND(MIP_4[Exc]=0,MIP_4[Previsto / Realizado]="Realizado"),MIP_4[Sem],0)</f>
        <v>0</v>
      </c>
      <c r="AP394" s="29">
        <f>IF(AND(MIP_4[Exc]=0,MIP_4[Previsto / Realizado]="Realizado",ISBLANK(MIP_4[[#This Row],[S.B Sitrack]])=FALSE,ISBLANK(MIP_4[[#This Row],[C.B Sitrack]])=FALSE),MIP_4[Sem],0)</f>
        <v>0</v>
      </c>
    </row>
    <row r="395" spans="1:42" ht="15.75" x14ac:dyDescent="0.25">
      <c r="A395" s="44">
        <f>WEEKNUM(MIP_4[[#This Row],[Data]])</f>
        <v>33</v>
      </c>
      <c r="B395" s="45">
        <v>42965</v>
      </c>
      <c r="C395" s="45"/>
      <c r="D395" s="35" t="s">
        <v>7</v>
      </c>
      <c r="E395" s="35" t="s">
        <v>2</v>
      </c>
      <c r="F395" s="35"/>
      <c r="G395" s="44">
        <v>2</v>
      </c>
      <c r="H395" s="44">
        <v>3</v>
      </c>
      <c r="I395" s="44">
        <v>1</v>
      </c>
      <c r="J395" s="44">
        <v>0</v>
      </c>
      <c r="K395" s="44">
        <v>7</v>
      </c>
      <c r="L395" s="43">
        <v>0.62222222222222223</v>
      </c>
      <c r="M395" s="43">
        <v>0.66319444444444442</v>
      </c>
      <c r="N395" s="43">
        <f>1+15/24/60</f>
        <v>1.0104166666666667</v>
      </c>
      <c r="O395" s="43">
        <f>1+48/24/60</f>
        <v>1.0333333333333334</v>
      </c>
      <c r="P395" s="39"/>
      <c r="Q395" s="42" t="s">
        <v>313</v>
      </c>
      <c r="R395" s="29">
        <f>MIP_4[[#This Row],[PT-1]]+MIP_4[[#This Row],[PT-2]]*2+MIP_4[[#This Row],[PT-3]]*3+MIP_4[[#This Row],[PT &gt; 3 Pontos]]</f>
        <v>12</v>
      </c>
      <c r="S39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6.3888888888888884E-2</v>
      </c>
      <c r="T39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6.3888888888888884E-2</v>
      </c>
      <c r="U395" s="41">
        <f ca="1">MIP_4[[#This Row],[Eficiência]]</f>
        <v>0.85327331283853003</v>
      </c>
      <c r="V39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95" s="39">
        <f>IF(MIP_4[[#This Row],[P.S]]-MIP_4[[#This Row],[P.E]]&lt;0,1+MIP_4[[#This Row],[P.S]]-MIP_4[[#This Row],[P.E]]-1/24,MIP_4[[#This Row],[P.S]]-MIP_4[[#This Row],[P.E]]-1/24)</f>
        <v>0.36944444444444452</v>
      </c>
      <c r="X395" s="39">
        <f ca="1">MIP_4[[#This Row],[PT-1]]*$S$3+MIP_4[[#This Row],[PT-2]]*$T$3+MIP_4[[#This Row],[PT-3]]*$U$3+MIP_4[[#This Row],[PT &gt; 3 Pontos]]*$V$3</f>
        <v>0.26072240114510647</v>
      </c>
      <c r="Y395" s="39">
        <f>MIP_4[[#This Row],[HH disponível]]-MIP_4[[#This Row],[HH AC TOT]]</f>
        <v>0.30555555555555564</v>
      </c>
      <c r="Z395" s="38">
        <f ca="1">MIP_4[[#This Row],[HH Produtivo
Total]]/MIP_4[[#This Row],[HH Trabalhado]]</f>
        <v>0.85327331283853003</v>
      </c>
      <c r="AA395" s="38">
        <f ca="1">MIP_4[[#This Row],[HH Produtivo
Total]]/MIP_4[[#This Row],[HH disponível]]</f>
        <v>0.70571477001682936</v>
      </c>
      <c r="AB395" s="38">
        <f>MIP_4[[#This Row],[HH Trabalhado]]/MIP_4[[#This Row],[HH disponível]]</f>
        <v>0.8270676691729324</v>
      </c>
      <c r="AC395" s="37" t="str">
        <f>LEFT(MIP_4[[#This Row],[Equipe]], SEARCH("/",MIP_4[[#This Row],[Equipe]],1)-1)</f>
        <v xml:space="preserve">ANDERSON </v>
      </c>
      <c r="AD395" s="37" t="str">
        <f>RIGHT(MIP_4[[#This Row],[Equipe]], LEN(MIP_4[[#This Row],[Equipe]])-SEARCH("/",MIP_4[[#This Row],[Equipe]],1))</f>
        <v xml:space="preserve"> MARCO</v>
      </c>
      <c r="AE395" s="44">
        <f>COUNTIFS('[1]Tempo parado'!G:G,"&gt;="&amp;MIP_4[[#This Row],[S.B Sitrack]],'[1]Tempo parado'!H:H,"&lt;="&amp;MIP_4[[#This Row],[C.B Sitrack]],'[1]Tempo parado'!A:A,MIP_4[[#This Row],[Placa]])</f>
        <v>0</v>
      </c>
      <c r="AF395" s="36"/>
      <c r="AG395" s="35"/>
      <c r="AH395" s="34"/>
      <c r="AI395" s="34"/>
      <c r="AJ39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9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9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95" s="32" t="str">
        <f>IFERROR(MIP_4[[#This Row],[Tempo parado]]/(MIP_4[[#This Row],[C.B Sitrack]]-MIP_4[[#This Row],[S.B Sitrack]]),"")</f>
        <v/>
      </c>
      <c r="AN395" s="30"/>
      <c r="AO395" s="44">
        <f>IF(AND(MIP_4[Exc]=0,MIP_4[Previsto / Realizado]="Realizado"),MIP_4[Sem],0)</f>
        <v>33</v>
      </c>
      <c r="AP395" s="29">
        <f>IF(AND(MIP_4[Exc]=0,MIP_4[Previsto / Realizado]="Realizado",ISBLANK(MIP_4[[#This Row],[S.B Sitrack]])=FALSE,ISBLANK(MIP_4[[#This Row],[C.B Sitrack]])=FALSE),MIP_4[Sem],0)</f>
        <v>0</v>
      </c>
    </row>
    <row r="396" spans="1:42" ht="15.75" x14ac:dyDescent="0.25">
      <c r="A396" s="44">
        <f>WEEKNUM(MIP_4[[#This Row],[Data]])</f>
        <v>33</v>
      </c>
      <c r="B396" s="45">
        <v>42965</v>
      </c>
      <c r="C396" s="45"/>
      <c r="D396" s="35" t="s">
        <v>3</v>
      </c>
      <c r="E396" s="35" t="s">
        <v>5</v>
      </c>
      <c r="F396" s="35"/>
      <c r="G396" s="44">
        <v>2</v>
      </c>
      <c r="H396" s="44">
        <v>2</v>
      </c>
      <c r="I396" s="44">
        <v>0</v>
      </c>
      <c r="J396" s="44">
        <v>2</v>
      </c>
      <c r="K396" s="44">
        <v>8</v>
      </c>
      <c r="L396" s="43">
        <v>0.625</v>
      </c>
      <c r="M396" s="43">
        <v>0.64583333333333337</v>
      </c>
      <c r="N396" s="43">
        <f>1+18/24/60</f>
        <v>1.0125</v>
      </c>
      <c r="O396" s="43">
        <f>1+48/24/60</f>
        <v>1.0333333333333334</v>
      </c>
      <c r="P396" s="39"/>
      <c r="Q396" s="42" t="s">
        <v>312</v>
      </c>
      <c r="R396" s="29">
        <f>MIP_4[[#This Row],[PT-1]]+MIP_4[[#This Row],[PT-2]]*2+MIP_4[[#This Row],[PT-3]]*3+MIP_4[[#This Row],[PT &gt; 3 Pontos]]</f>
        <v>16</v>
      </c>
      <c r="S39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39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396" s="41">
        <f ca="1">MIP_4[[#This Row],[Eficiência]]</f>
        <v>1.0388281583329899</v>
      </c>
      <c r="V39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96" s="39">
        <f>IF(MIP_4[[#This Row],[P.S]]-MIP_4[[#This Row],[P.E]]&lt;0,1+MIP_4[[#This Row],[P.S]]-MIP_4[[#This Row],[P.E]]-1/24,MIP_4[[#This Row],[P.S]]-MIP_4[[#This Row],[P.E]]-1/24)</f>
        <v>0.36666666666666675</v>
      </c>
      <c r="X396" s="39">
        <f ca="1">MIP_4[[#This Row],[PT-1]]*$S$3+MIP_4[[#This Row],[PT-2]]*$T$3+MIP_4[[#This Row],[PT-3]]*$U$3+MIP_4[[#This Row],[PT &gt; 3 Pontos]]*$V$3</f>
        <v>0.33761915145822163</v>
      </c>
      <c r="Y396" s="39">
        <f>MIP_4[[#This Row],[HH disponível]]-MIP_4[[#This Row],[HH AC TOT]]</f>
        <v>0.3249999999999999</v>
      </c>
      <c r="Z396" s="38">
        <f ca="1">MIP_4[[#This Row],[HH Produtivo
Total]]/MIP_4[[#This Row],[HH Trabalhado]]</f>
        <v>1.0388281583329899</v>
      </c>
      <c r="AA396" s="38">
        <f ca="1">MIP_4[[#This Row],[HH Produtivo
Total]]/MIP_4[[#This Row],[HH disponível]]</f>
        <v>0.92077950397696784</v>
      </c>
      <c r="AB396" s="38">
        <f>MIP_4[[#This Row],[HH Trabalhado]]/MIP_4[[#This Row],[HH disponível]]</f>
        <v>0.88636363636363591</v>
      </c>
      <c r="AC396" s="37" t="str">
        <f>LEFT(MIP_4[[#This Row],[Equipe]], SEARCH("/",MIP_4[[#This Row],[Equipe]],1)-1)</f>
        <v xml:space="preserve">EDILTON </v>
      </c>
      <c r="AD396" s="37" t="str">
        <f>RIGHT(MIP_4[[#This Row],[Equipe]], LEN(MIP_4[[#This Row],[Equipe]])-SEARCH("/",MIP_4[[#This Row],[Equipe]],1))</f>
        <v xml:space="preserve"> GECIVALDO</v>
      </c>
      <c r="AE396" s="44">
        <f>COUNTIFS('[1]Tempo parado'!G:G,"&gt;="&amp;MIP_4[[#This Row],[S.B Sitrack]],'[1]Tempo parado'!H:H,"&lt;="&amp;MIP_4[[#This Row],[C.B Sitrack]],'[1]Tempo parado'!A:A,MIP_4[[#This Row],[Placa]])</f>
        <v>0</v>
      </c>
      <c r="AF396" s="36"/>
      <c r="AG396" s="35"/>
      <c r="AH396" s="34"/>
      <c r="AI396" s="34"/>
      <c r="AJ39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9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9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96" s="32" t="str">
        <f>IFERROR(MIP_4[[#This Row],[Tempo parado]]/(MIP_4[[#This Row],[C.B Sitrack]]-MIP_4[[#This Row],[S.B Sitrack]]),"")</f>
        <v/>
      </c>
      <c r="AN396" s="30"/>
      <c r="AO396" s="44">
        <f>IF(AND(MIP_4[Exc]=0,MIP_4[Previsto / Realizado]="Realizado"),MIP_4[Sem],0)</f>
        <v>0</v>
      </c>
      <c r="AP396" s="29">
        <f>IF(AND(MIP_4[Exc]=0,MIP_4[Previsto / Realizado]="Realizado",ISBLANK(MIP_4[[#This Row],[S.B Sitrack]])=FALSE,ISBLANK(MIP_4[[#This Row],[C.B Sitrack]])=FALSE),MIP_4[Sem],0)</f>
        <v>0</v>
      </c>
    </row>
    <row r="397" spans="1:42" ht="15.75" x14ac:dyDescent="0.25">
      <c r="A397" s="44">
        <f>WEEKNUM(MIP_4[[#This Row],[Data]])</f>
        <v>33</v>
      </c>
      <c r="B397" s="45">
        <v>42965</v>
      </c>
      <c r="C397" s="45"/>
      <c r="D397" s="35" t="s">
        <v>3</v>
      </c>
      <c r="E397" s="35" t="s">
        <v>2</v>
      </c>
      <c r="F397" s="35"/>
      <c r="G397" s="44">
        <v>2</v>
      </c>
      <c r="H397" s="44">
        <v>2</v>
      </c>
      <c r="I397" s="44">
        <v>0</v>
      </c>
      <c r="J397" s="44">
        <v>1</v>
      </c>
      <c r="K397" s="44">
        <v>12</v>
      </c>
      <c r="L397" s="43">
        <v>0.6333333333333333</v>
      </c>
      <c r="M397" s="43">
        <v>0.65972222222222221</v>
      </c>
      <c r="N397" s="43">
        <v>0.97638888888888886</v>
      </c>
      <c r="O397" s="43">
        <f>1+53/24/60</f>
        <v>1.0368055555555555</v>
      </c>
      <c r="P397" s="39"/>
      <c r="Q397" s="42"/>
      <c r="R397" s="29">
        <f>MIP_4[[#This Row],[PT-1]]+MIP_4[[#This Row],[PT-2]]*2+MIP_4[[#This Row],[PT-3]]*3+MIP_4[[#This Row],[PT &gt; 3 Pontos]]</f>
        <v>17</v>
      </c>
      <c r="S39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8.680555555555558E-2</v>
      </c>
      <c r="T39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8.680555555555558E-2</v>
      </c>
      <c r="U397" s="41">
        <f ca="1">MIP_4[[#This Row],[Eficiência]]</f>
        <v>1.2938891481237502</v>
      </c>
      <c r="V39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97" s="39">
        <f>IF(MIP_4[[#This Row],[P.S]]-MIP_4[[#This Row],[P.E]]&lt;0,1+MIP_4[[#This Row],[P.S]]-MIP_4[[#This Row],[P.E]]-1/24,MIP_4[[#This Row],[P.S]]-MIP_4[[#This Row],[P.E]]-1/24)</f>
        <v>0.36180555555555555</v>
      </c>
      <c r="X397" s="39">
        <f ca="1">MIP_4[[#This Row],[PT-1]]*$S$3+MIP_4[[#This Row],[PT-2]]*$T$3+MIP_4[[#This Row],[PT-3]]*$U$3+MIP_4[[#This Row],[PT &gt; 3 Pontos]]*$V$3</f>
        <v>0.35581951573403126</v>
      </c>
      <c r="Y397" s="39">
        <f>MIP_4[[#This Row],[HH disponível]]-MIP_4[[#This Row],[HH AC TOT]]</f>
        <v>0.27499999999999997</v>
      </c>
      <c r="Z397" s="38">
        <f ca="1">MIP_4[[#This Row],[HH Produtivo
Total]]/MIP_4[[#This Row],[HH Trabalhado]]</f>
        <v>1.2938891481237502</v>
      </c>
      <c r="AA397" s="38">
        <f ca="1">MIP_4[[#This Row],[HH Produtivo
Total]]/MIP_4[[#This Row],[HH disponível]]</f>
        <v>0.98345509147217858</v>
      </c>
      <c r="AB397" s="38">
        <f>MIP_4[[#This Row],[HH Trabalhado]]/MIP_4[[#This Row],[HH disponível]]</f>
        <v>0.7600767754318617</v>
      </c>
      <c r="AC397" s="37" t="str">
        <f>LEFT(MIP_4[[#This Row],[Equipe]], SEARCH("/",MIP_4[[#This Row],[Equipe]],1)-1)</f>
        <v xml:space="preserve">EDILTON </v>
      </c>
      <c r="AD397" s="37" t="str">
        <f>RIGHT(MIP_4[[#This Row],[Equipe]], LEN(MIP_4[[#This Row],[Equipe]])-SEARCH("/",MIP_4[[#This Row],[Equipe]],1))</f>
        <v xml:space="preserve"> GECIVALDO</v>
      </c>
      <c r="AE397" s="44">
        <f>COUNTIFS('[1]Tempo parado'!G:G,"&gt;="&amp;MIP_4[[#This Row],[S.B Sitrack]],'[1]Tempo parado'!H:H,"&lt;="&amp;MIP_4[[#This Row],[C.B Sitrack]],'[1]Tempo parado'!A:A,MIP_4[[#This Row],[Placa]])</f>
        <v>0</v>
      </c>
      <c r="AF397" s="36"/>
      <c r="AG397" s="35"/>
      <c r="AH397" s="34"/>
      <c r="AI397" s="34"/>
      <c r="AJ39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9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9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97" s="32" t="str">
        <f>IFERROR(MIP_4[[#This Row],[Tempo parado]]/(MIP_4[[#This Row],[C.B Sitrack]]-MIP_4[[#This Row],[S.B Sitrack]]),"")</f>
        <v/>
      </c>
      <c r="AN397" s="30"/>
      <c r="AO397" s="44">
        <f>IF(AND(MIP_4[Exc]=0,MIP_4[Previsto / Realizado]="Realizado"),MIP_4[Sem],0)</f>
        <v>33</v>
      </c>
      <c r="AP397" s="29">
        <f>IF(AND(MIP_4[Exc]=0,MIP_4[Previsto / Realizado]="Realizado",ISBLANK(MIP_4[[#This Row],[S.B Sitrack]])=FALSE,ISBLANK(MIP_4[[#This Row],[C.B Sitrack]])=FALSE),MIP_4[Sem],0)</f>
        <v>0</v>
      </c>
    </row>
    <row r="398" spans="1:42" ht="15.75" x14ac:dyDescent="0.25">
      <c r="A398" s="44">
        <f>WEEKNUM(MIP_4[[#This Row],[Data]])</f>
        <v>33</v>
      </c>
      <c r="B398" s="45">
        <v>42966</v>
      </c>
      <c r="C398" s="45"/>
      <c r="D398" s="35" t="s">
        <v>10</v>
      </c>
      <c r="E398" s="35" t="s">
        <v>5</v>
      </c>
      <c r="F398" s="35"/>
      <c r="G398" s="44">
        <v>2</v>
      </c>
      <c r="H398" s="44">
        <v>1</v>
      </c>
      <c r="I398" s="44">
        <v>0</v>
      </c>
      <c r="J398" s="44">
        <v>0</v>
      </c>
      <c r="K398" s="44">
        <v>0</v>
      </c>
      <c r="L398" s="43">
        <v>0.25</v>
      </c>
      <c r="M398" s="43">
        <v>0.27083333333333331</v>
      </c>
      <c r="N398" s="43">
        <v>0.63750000000000007</v>
      </c>
      <c r="O398" s="43">
        <v>0.65833333333333333</v>
      </c>
      <c r="P398" s="39"/>
      <c r="Q398" s="42" t="s">
        <v>311</v>
      </c>
      <c r="R398" s="29">
        <f>MIP_4[[#This Row],[PT-1]]+MIP_4[[#This Row],[PT-2]]*2+MIP_4[[#This Row],[PT-3]]*3+MIP_4[[#This Row],[PT &gt; 3 Pontos]]</f>
        <v>1</v>
      </c>
      <c r="S39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39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398" s="41">
        <f ca="1">MIP_4[[#This Row],[Eficiência]]</f>
        <v>7.7002624489037469E-2</v>
      </c>
      <c r="V39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98" s="39">
        <f>IF(MIP_4[[#This Row],[P.S]]-MIP_4[[#This Row],[P.E]]&lt;0,1+MIP_4[[#This Row],[P.S]]-MIP_4[[#This Row],[P.E]]-1/24,MIP_4[[#This Row],[P.S]]-MIP_4[[#This Row],[P.E]]-1/24)</f>
        <v>0.36666666666666664</v>
      </c>
      <c r="X398" s="39">
        <f ca="1">MIP_4[[#This Row],[PT-1]]*$S$3+MIP_4[[#This Row],[PT-2]]*$T$3+MIP_4[[#This Row],[PT-3]]*$U$3+MIP_4[[#This Row],[PT &gt; 3 Pontos]]*$V$3</f>
        <v>2.5025852958937181E-2</v>
      </c>
      <c r="Y398" s="39">
        <f>MIP_4[[#This Row],[HH disponível]]-MIP_4[[#This Row],[HH AC TOT]]</f>
        <v>0.32500000000000007</v>
      </c>
      <c r="Z398" s="38">
        <f ca="1">MIP_4[[#This Row],[HH Produtivo
Total]]/MIP_4[[#This Row],[HH Trabalhado]]</f>
        <v>7.7002624489037469E-2</v>
      </c>
      <c r="AA398" s="38">
        <f ca="1">MIP_4[[#This Row],[HH Produtivo
Total]]/MIP_4[[#This Row],[HH disponível]]</f>
        <v>6.8252326251646858E-2</v>
      </c>
      <c r="AB398" s="38">
        <f>MIP_4[[#This Row],[HH Trabalhado]]/MIP_4[[#This Row],[HH disponível]]</f>
        <v>0.88636363636363658</v>
      </c>
      <c r="AC398" s="37" t="str">
        <f>LEFT(MIP_4[[#This Row],[Equipe]], SEARCH("/",MIP_4[[#This Row],[Equipe]],1)-1)</f>
        <v xml:space="preserve">JOILSON </v>
      </c>
      <c r="AD398" s="37" t="str">
        <f>RIGHT(MIP_4[[#This Row],[Equipe]], LEN(MIP_4[[#This Row],[Equipe]])-SEARCH("/",MIP_4[[#This Row],[Equipe]],1))</f>
        <v xml:space="preserve"> VALDEI</v>
      </c>
      <c r="AE398" s="44">
        <f>COUNTIFS('[1]Tempo parado'!G:G,"&gt;="&amp;MIP_4[[#This Row],[S.B Sitrack]],'[1]Tempo parado'!H:H,"&lt;="&amp;MIP_4[[#This Row],[C.B Sitrack]],'[1]Tempo parado'!A:A,MIP_4[[#This Row],[Placa]])</f>
        <v>0</v>
      </c>
      <c r="AF398" s="36"/>
      <c r="AG398" s="35"/>
      <c r="AH398" s="34"/>
      <c r="AI398" s="34"/>
      <c r="AJ39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9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9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98" s="32" t="str">
        <f>IFERROR(MIP_4[[#This Row],[Tempo parado]]/(MIP_4[[#This Row],[C.B Sitrack]]-MIP_4[[#This Row],[S.B Sitrack]]),"")</f>
        <v/>
      </c>
      <c r="AN398" s="30"/>
      <c r="AO398" s="44">
        <f>IF(AND(MIP_4[Exc]=0,MIP_4[Previsto / Realizado]="Realizado"),MIP_4[Sem],0)</f>
        <v>0</v>
      </c>
      <c r="AP398" s="29">
        <f>IF(AND(MIP_4[Exc]=0,MIP_4[Previsto / Realizado]="Realizado",ISBLANK(MIP_4[[#This Row],[S.B Sitrack]])=FALSE,ISBLANK(MIP_4[[#This Row],[C.B Sitrack]])=FALSE),MIP_4[Sem],0)</f>
        <v>0</v>
      </c>
    </row>
    <row r="399" spans="1:42" ht="15.75" x14ac:dyDescent="0.25">
      <c r="A399" s="44">
        <f>WEEKNUM(MIP_4[[#This Row],[Data]])</f>
        <v>33</v>
      </c>
      <c r="B399" s="45">
        <v>42966</v>
      </c>
      <c r="C399" s="45"/>
      <c r="D399" s="35" t="s">
        <v>10</v>
      </c>
      <c r="E399" s="35" t="s">
        <v>2</v>
      </c>
      <c r="F399" s="35"/>
      <c r="G399" s="44">
        <v>2</v>
      </c>
      <c r="H399" s="44">
        <v>3</v>
      </c>
      <c r="I399" s="44">
        <v>3</v>
      </c>
      <c r="J399" s="44">
        <v>1</v>
      </c>
      <c r="K399" s="44">
        <v>0</v>
      </c>
      <c r="L399" s="43">
        <v>0.25277777777777777</v>
      </c>
      <c r="M399" s="43">
        <v>0.27777777777777779</v>
      </c>
      <c r="N399" s="43">
        <v>0.57430555555555551</v>
      </c>
      <c r="O399" s="43">
        <v>0.65902777777777777</v>
      </c>
      <c r="P399" s="39"/>
      <c r="Q399" s="42" t="s">
        <v>310</v>
      </c>
      <c r="R399" s="29">
        <f>MIP_4[[#This Row],[PT-1]]+MIP_4[[#This Row],[PT-2]]*2+MIP_4[[#This Row],[PT-3]]*3+MIP_4[[#This Row],[PT &gt; 3 Pontos]]</f>
        <v>12</v>
      </c>
      <c r="S39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0.10972222222222228</v>
      </c>
      <c r="T39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0.10972222222222228</v>
      </c>
      <c r="U399" s="41">
        <f ca="1">MIP_4[[#This Row],[Eficiência]]</f>
        <v>1.0578135489475973</v>
      </c>
      <c r="V39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399" s="39">
        <f>IF(MIP_4[[#This Row],[P.S]]-MIP_4[[#This Row],[P.E]]&lt;0,1+MIP_4[[#This Row],[P.S]]-MIP_4[[#This Row],[P.E]]-1/24,MIP_4[[#This Row],[P.S]]-MIP_4[[#This Row],[P.E]]-1/24)</f>
        <v>0.36458333333333331</v>
      </c>
      <c r="X399" s="39">
        <f ca="1">MIP_4[[#This Row],[PT-1]]*$S$3+MIP_4[[#This Row],[PT-2]]*$T$3+MIP_4[[#This Row],[PT-3]]*$U$3+MIP_4[[#This Row],[PT &gt; 3 Pontos]]*$V$3</f>
        <v>0.2695955364331723</v>
      </c>
      <c r="Y399" s="39">
        <f>MIP_4[[#This Row],[HH disponível]]-MIP_4[[#This Row],[HH AC TOT]]</f>
        <v>0.25486111111111104</v>
      </c>
      <c r="Z399" s="38">
        <f ca="1">MIP_4[[#This Row],[HH Produtivo
Total]]/MIP_4[[#This Row],[HH Trabalhado]]</f>
        <v>1.0578135489475973</v>
      </c>
      <c r="AA399" s="38">
        <f ca="1">MIP_4[[#This Row],[HH Produtivo
Total]]/MIP_4[[#This Row],[HH disponível]]</f>
        <v>0.73946204278812977</v>
      </c>
      <c r="AB399" s="38">
        <f>MIP_4[[#This Row],[HH Trabalhado]]/MIP_4[[#This Row],[HH disponível]]</f>
        <v>0.69904761904761892</v>
      </c>
      <c r="AC399" s="37" t="str">
        <f>LEFT(MIP_4[[#This Row],[Equipe]], SEARCH("/",MIP_4[[#This Row],[Equipe]],1)-1)</f>
        <v xml:space="preserve">JOILSON </v>
      </c>
      <c r="AD399" s="37" t="str">
        <f>RIGHT(MIP_4[[#This Row],[Equipe]], LEN(MIP_4[[#This Row],[Equipe]])-SEARCH("/",MIP_4[[#This Row],[Equipe]],1))</f>
        <v xml:space="preserve"> VALDEI</v>
      </c>
      <c r="AE399" s="44">
        <f>COUNTIFS('[1]Tempo parado'!G:G,"&gt;="&amp;MIP_4[[#This Row],[S.B Sitrack]],'[1]Tempo parado'!H:H,"&lt;="&amp;MIP_4[[#This Row],[C.B Sitrack]],'[1]Tempo parado'!A:A,MIP_4[[#This Row],[Placa]])</f>
        <v>0</v>
      </c>
      <c r="AF399" s="36"/>
      <c r="AG399" s="35"/>
      <c r="AH399" s="34"/>
      <c r="AI399" s="34"/>
      <c r="AJ39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39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39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399" s="32" t="str">
        <f>IFERROR(MIP_4[[#This Row],[Tempo parado]]/(MIP_4[[#This Row],[C.B Sitrack]]-MIP_4[[#This Row],[S.B Sitrack]]),"")</f>
        <v/>
      </c>
      <c r="AN399" s="30"/>
      <c r="AO399" s="44">
        <f>IF(AND(MIP_4[Exc]=0,MIP_4[Previsto / Realizado]="Realizado"),MIP_4[Sem],0)</f>
        <v>33</v>
      </c>
      <c r="AP399" s="29">
        <f>IF(AND(MIP_4[Exc]=0,MIP_4[Previsto / Realizado]="Realizado",ISBLANK(MIP_4[[#This Row],[S.B Sitrack]])=FALSE,ISBLANK(MIP_4[[#This Row],[C.B Sitrack]])=FALSE),MIP_4[Sem],0)</f>
        <v>0</v>
      </c>
    </row>
    <row r="400" spans="1:42" ht="15.75" x14ac:dyDescent="0.25">
      <c r="A400" s="44">
        <f>WEEKNUM(MIP_4[[#This Row],[Data]])</f>
        <v>33</v>
      </c>
      <c r="B400" s="45">
        <v>42966</v>
      </c>
      <c r="C400" s="45"/>
      <c r="D400" s="35" t="s">
        <v>19</v>
      </c>
      <c r="E400" s="35" t="s">
        <v>5</v>
      </c>
      <c r="F400" s="35"/>
      <c r="G400" s="44">
        <v>2</v>
      </c>
      <c r="H400" s="44">
        <v>0</v>
      </c>
      <c r="I400" s="44">
        <v>0</v>
      </c>
      <c r="J400" s="44">
        <v>0</v>
      </c>
      <c r="K400" s="44">
        <v>0</v>
      </c>
      <c r="L400" s="43">
        <v>0.625</v>
      </c>
      <c r="M400" s="43">
        <v>0.64583333333333337</v>
      </c>
      <c r="N400" s="43">
        <f>1+18/24/60</f>
        <v>1.0125</v>
      </c>
      <c r="O400" s="43">
        <f>1+48/24/60</f>
        <v>1.0333333333333334</v>
      </c>
      <c r="P400" s="39"/>
      <c r="Q400" s="42" t="s">
        <v>309</v>
      </c>
      <c r="R400" s="29">
        <f>MIP_4[[#This Row],[PT-1]]+MIP_4[[#This Row],[PT-2]]*2+MIP_4[[#This Row],[PT-3]]*3+MIP_4[[#This Row],[PT &gt; 3 Pontos]]</f>
        <v>0</v>
      </c>
      <c r="S40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40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400" s="41">
        <f ca="1">MIP_4[[#This Row],[Eficiência]]</f>
        <v>0</v>
      </c>
      <c r="V40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00" s="39">
        <f>IF(MIP_4[[#This Row],[P.S]]-MIP_4[[#This Row],[P.E]]&lt;0,1+MIP_4[[#This Row],[P.S]]-MIP_4[[#This Row],[P.E]]-1/24,MIP_4[[#This Row],[P.S]]-MIP_4[[#This Row],[P.E]]-1/24)</f>
        <v>0.36666666666666675</v>
      </c>
      <c r="X400" s="39">
        <f ca="1">MIP_4[[#This Row],[PT-1]]*$S$3+MIP_4[[#This Row],[PT-2]]*$T$3+MIP_4[[#This Row],[PT-3]]*$U$3+MIP_4[[#This Row],[PT &gt; 3 Pontos]]*$V$3</f>
        <v>0</v>
      </c>
      <c r="Y400" s="39">
        <f>MIP_4[[#This Row],[HH disponível]]-MIP_4[[#This Row],[HH AC TOT]]</f>
        <v>0.3249999999999999</v>
      </c>
      <c r="Z400" s="38">
        <f ca="1">MIP_4[[#This Row],[HH Produtivo
Total]]/MIP_4[[#This Row],[HH Trabalhado]]</f>
        <v>0</v>
      </c>
      <c r="AA400" s="38">
        <f ca="1">MIP_4[[#This Row],[HH Produtivo
Total]]/MIP_4[[#This Row],[HH disponível]]</f>
        <v>0</v>
      </c>
      <c r="AB400" s="38">
        <f>MIP_4[[#This Row],[HH Trabalhado]]/MIP_4[[#This Row],[HH disponível]]</f>
        <v>0.88636363636363591</v>
      </c>
      <c r="AC400" s="37" t="str">
        <f>LEFT(MIP_4[[#This Row],[Equipe]], SEARCH("/",MIP_4[[#This Row],[Equipe]],1)-1)</f>
        <v xml:space="preserve">ADEMÁRIO </v>
      </c>
      <c r="AD400" s="37" t="str">
        <f>RIGHT(MIP_4[[#This Row],[Equipe]], LEN(MIP_4[[#This Row],[Equipe]])-SEARCH("/",MIP_4[[#This Row],[Equipe]],1))</f>
        <v xml:space="preserve"> RONALDO</v>
      </c>
      <c r="AE400" s="44">
        <f>COUNTIFS('[1]Tempo parado'!G:G,"&gt;="&amp;MIP_4[[#This Row],[S.B Sitrack]],'[1]Tempo parado'!H:H,"&lt;="&amp;MIP_4[[#This Row],[C.B Sitrack]],'[1]Tempo parado'!A:A,MIP_4[[#This Row],[Placa]])</f>
        <v>0</v>
      </c>
      <c r="AF400" s="36"/>
      <c r="AG400" s="35"/>
      <c r="AH400" s="34"/>
      <c r="AI400" s="34"/>
      <c r="AJ40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0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0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00" s="32" t="str">
        <f>IFERROR(MIP_4[[#This Row],[Tempo parado]]/(MIP_4[[#This Row],[C.B Sitrack]]-MIP_4[[#This Row],[S.B Sitrack]]),"")</f>
        <v/>
      </c>
      <c r="AN400" s="30"/>
      <c r="AO400" s="44">
        <f>IF(AND(MIP_4[Exc]=0,MIP_4[Previsto / Realizado]="Realizado"),MIP_4[Sem],0)</f>
        <v>0</v>
      </c>
      <c r="AP400" s="29">
        <f>IF(AND(MIP_4[Exc]=0,MIP_4[Previsto / Realizado]="Realizado",ISBLANK(MIP_4[[#This Row],[S.B Sitrack]])=FALSE,ISBLANK(MIP_4[[#This Row],[C.B Sitrack]])=FALSE),MIP_4[Sem],0)</f>
        <v>0</v>
      </c>
    </row>
    <row r="401" spans="1:42" ht="15.75" x14ac:dyDescent="0.25">
      <c r="A401" s="44">
        <f>WEEKNUM(MIP_4[[#This Row],[Data]])</f>
        <v>33</v>
      </c>
      <c r="B401" s="45">
        <v>42966</v>
      </c>
      <c r="C401" s="45"/>
      <c r="D401" s="35" t="s">
        <v>19</v>
      </c>
      <c r="E401" s="35" t="s">
        <v>2</v>
      </c>
      <c r="F401" s="35"/>
      <c r="G401" s="44">
        <v>2</v>
      </c>
      <c r="H401" s="44">
        <v>2</v>
      </c>
      <c r="I401" s="44">
        <v>0</v>
      </c>
      <c r="J401" s="44">
        <v>1</v>
      </c>
      <c r="K401" s="44">
        <v>0</v>
      </c>
      <c r="L401" s="43">
        <v>0.66180555555555554</v>
      </c>
      <c r="M401" s="43">
        <v>0.67361111111111116</v>
      </c>
      <c r="N401" s="43">
        <v>0.85416666666666663</v>
      </c>
      <c r="O401" s="43">
        <f>1+58/24/60</f>
        <v>1.0402777777777779</v>
      </c>
      <c r="P401" s="39"/>
      <c r="Q401" s="42" t="s">
        <v>308</v>
      </c>
      <c r="R401" s="29">
        <f>MIP_4[[#This Row],[PT-1]]+MIP_4[[#This Row],[PT-2]]*2+MIP_4[[#This Row],[PT-3]]*3+MIP_4[[#This Row],[PT &gt; 3 Pontos]]</f>
        <v>5</v>
      </c>
      <c r="S40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0.19791666666666685</v>
      </c>
      <c r="T40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0.19791666666666685</v>
      </c>
      <c r="U401" s="41">
        <f ca="1">MIP_4[[#This Row],[Eficiência]]</f>
        <v>0.81247237318840637</v>
      </c>
      <c r="V40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01" s="39">
        <f>IF(MIP_4[[#This Row],[P.S]]-MIP_4[[#This Row],[P.E]]&lt;0,1+MIP_4[[#This Row],[P.S]]-MIP_4[[#This Row],[P.E]]-1/24,MIP_4[[#This Row],[P.S]]-MIP_4[[#This Row],[P.E]]-1/24)</f>
        <v>0.33680555555555564</v>
      </c>
      <c r="X401" s="39">
        <f ca="1">MIP_4[[#This Row],[PT-1]]*$S$3+MIP_4[[#This Row],[PT-2]]*$T$3+MIP_4[[#This Row],[PT-3]]*$U$3+MIP_4[[#This Row],[PT &gt; 3 Pontos]]*$V$3</f>
        <v>0.11284338516505635</v>
      </c>
      <c r="Y401" s="39">
        <f>MIP_4[[#This Row],[HH disponível]]-MIP_4[[#This Row],[HH AC TOT]]</f>
        <v>0.13888888888888878</v>
      </c>
      <c r="Z401" s="38">
        <f ca="1">MIP_4[[#This Row],[HH Produtivo
Total]]/MIP_4[[#This Row],[HH Trabalhado]]</f>
        <v>0.81247237318840637</v>
      </c>
      <c r="AA401" s="38">
        <f ca="1">MIP_4[[#This Row],[HH Produtivo
Total]]/MIP_4[[#This Row],[HH disponível]]</f>
        <v>0.33504015389212599</v>
      </c>
      <c r="AB401" s="38">
        <f>MIP_4[[#This Row],[HH Trabalhado]]/MIP_4[[#This Row],[HH disponível]]</f>
        <v>0.41237113402061815</v>
      </c>
      <c r="AC401" s="37" t="str">
        <f>LEFT(MIP_4[[#This Row],[Equipe]], SEARCH("/",MIP_4[[#This Row],[Equipe]],1)-1)</f>
        <v xml:space="preserve">ADEMÁRIO </v>
      </c>
      <c r="AD401" s="37" t="str">
        <f>RIGHT(MIP_4[[#This Row],[Equipe]], LEN(MIP_4[[#This Row],[Equipe]])-SEARCH("/",MIP_4[[#This Row],[Equipe]],1))</f>
        <v xml:space="preserve"> RONALDO</v>
      </c>
      <c r="AE401" s="44">
        <f>COUNTIFS('[1]Tempo parado'!G:G,"&gt;="&amp;MIP_4[[#This Row],[S.B Sitrack]],'[1]Tempo parado'!H:H,"&lt;="&amp;MIP_4[[#This Row],[C.B Sitrack]],'[1]Tempo parado'!A:A,MIP_4[[#This Row],[Placa]])</f>
        <v>0</v>
      </c>
      <c r="AF401" s="36"/>
      <c r="AG401" s="35"/>
      <c r="AH401" s="34"/>
      <c r="AI401" s="34"/>
      <c r="AJ40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0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0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01" s="32" t="str">
        <f>IFERROR(MIP_4[[#This Row],[Tempo parado]]/(MIP_4[[#This Row],[C.B Sitrack]]-MIP_4[[#This Row],[S.B Sitrack]]),"")</f>
        <v/>
      </c>
      <c r="AN401" s="30"/>
      <c r="AO401" s="44">
        <f>IF(AND(MIP_4[Exc]=0,MIP_4[Previsto / Realizado]="Realizado"),MIP_4[Sem],0)</f>
        <v>33</v>
      </c>
      <c r="AP401" s="29">
        <f>IF(AND(MIP_4[Exc]=0,MIP_4[Previsto / Realizado]="Realizado",ISBLANK(MIP_4[[#This Row],[S.B Sitrack]])=FALSE,ISBLANK(MIP_4[[#This Row],[C.B Sitrack]])=FALSE),MIP_4[Sem],0)</f>
        <v>0</v>
      </c>
    </row>
    <row r="402" spans="1:42" ht="15.75" x14ac:dyDescent="0.25">
      <c r="A402" s="44">
        <f>WEEKNUM(MIP_4[[#This Row],[Data]])</f>
        <v>34</v>
      </c>
      <c r="B402" s="45">
        <v>42967</v>
      </c>
      <c r="C402" s="45"/>
      <c r="D402" s="35" t="s">
        <v>19</v>
      </c>
      <c r="E402" s="35" t="s">
        <v>5</v>
      </c>
      <c r="F402" s="35"/>
      <c r="G402" s="44">
        <v>2</v>
      </c>
      <c r="H402" s="44">
        <v>0</v>
      </c>
      <c r="I402" s="44">
        <v>0</v>
      </c>
      <c r="J402" s="44">
        <v>0</v>
      </c>
      <c r="K402" s="44">
        <v>0</v>
      </c>
      <c r="L402" s="43">
        <v>0.625</v>
      </c>
      <c r="M402" s="43">
        <v>0.64583333333333337</v>
      </c>
      <c r="N402" s="43">
        <f>1+18/24/60</f>
        <v>1.0125</v>
      </c>
      <c r="O402" s="43">
        <f>1+48/24/60</f>
        <v>1.0333333333333334</v>
      </c>
      <c r="P402" s="39"/>
      <c r="Q402" s="42" t="s">
        <v>303</v>
      </c>
      <c r="R402" s="29">
        <f>MIP_4[[#This Row],[PT-1]]+MIP_4[[#This Row],[PT-2]]*2+MIP_4[[#This Row],[PT-3]]*3+MIP_4[[#This Row],[PT &gt; 3 Pontos]]</f>
        <v>0</v>
      </c>
      <c r="S40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40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402" s="41">
        <f ca="1">MIP_4[[#This Row],[Eficiência]]</f>
        <v>0</v>
      </c>
      <c r="V40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02" s="39">
        <f>IF(MIP_4[[#This Row],[P.S]]-MIP_4[[#This Row],[P.E]]&lt;0,1+MIP_4[[#This Row],[P.S]]-MIP_4[[#This Row],[P.E]]-1/24,MIP_4[[#This Row],[P.S]]-MIP_4[[#This Row],[P.E]]-1/24)</f>
        <v>0.36666666666666675</v>
      </c>
      <c r="X402" s="39">
        <f ca="1">MIP_4[[#This Row],[PT-1]]*$S$3+MIP_4[[#This Row],[PT-2]]*$T$3+MIP_4[[#This Row],[PT-3]]*$U$3+MIP_4[[#This Row],[PT &gt; 3 Pontos]]*$V$3</f>
        <v>0</v>
      </c>
      <c r="Y402" s="39">
        <f>MIP_4[[#This Row],[HH disponível]]-MIP_4[[#This Row],[HH AC TOT]]</f>
        <v>0.3249999999999999</v>
      </c>
      <c r="Z402" s="38">
        <f ca="1">MIP_4[[#This Row],[HH Produtivo
Total]]/MIP_4[[#This Row],[HH Trabalhado]]</f>
        <v>0</v>
      </c>
      <c r="AA402" s="38">
        <f ca="1">MIP_4[[#This Row],[HH Produtivo
Total]]/MIP_4[[#This Row],[HH disponível]]</f>
        <v>0</v>
      </c>
      <c r="AB402" s="38">
        <f>MIP_4[[#This Row],[HH Trabalhado]]/MIP_4[[#This Row],[HH disponível]]</f>
        <v>0.88636363636363591</v>
      </c>
      <c r="AC402" s="37" t="str">
        <f>LEFT(MIP_4[[#This Row],[Equipe]], SEARCH("/",MIP_4[[#This Row],[Equipe]],1)-1)</f>
        <v xml:space="preserve">ADEMÁRIO </v>
      </c>
      <c r="AD402" s="37" t="str">
        <f>RIGHT(MIP_4[[#This Row],[Equipe]], LEN(MIP_4[[#This Row],[Equipe]])-SEARCH("/",MIP_4[[#This Row],[Equipe]],1))</f>
        <v xml:space="preserve"> RONALDO</v>
      </c>
      <c r="AE402" s="44">
        <f>COUNTIFS('[1]Tempo parado'!G:G,"&gt;="&amp;MIP_4[[#This Row],[S.B Sitrack]],'[1]Tempo parado'!H:H,"&lt;="&amp;MIP_4[[#This Row],[C.B Sitrack]],'[1]Tempo parado'!A:A,MIP_4[[#This Row],[Placa]])</f>
        <v>0</v>
      </c>
      <c r="AF402" s="36"/>
      <c r="AG402" s="35"/>
      <c r="AH402" s="34"/>
      <c r="AI402" s="34"/>
      <c r="AJ40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0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0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02" s="32" t="str">
        <f>IFERROR(MIP_4[[#This Row],[Tempo parado]]/(MIP_4[[#This Row],[C.B Sitrack]]-MIP_4[[#This Row],[S.B Sitrack]]),"")</f>
        <v/>
      </c>
      <c r="AN402" s="30"/>
      <c r="AO402" s="44">
        <f>IF(AND(MIP_4[Exc]=0,MIP_4[Previsto / Realizado]="Realizado"),MIP_4[Sem],0)</f>
        <v>0</v>
      </c>
      <c r="AP402" s="29">
        <f>IF(AND(MIP_4[Exc]=0,MIP_4[Previsto / Realizado]="Realizado",ISBLANK(MIP_4[[#This Row],[S.B Sitrack]])=FALSE,ISBLANK(MIP_4[[#This Row],[C.B Sitrack]])=FALSE),MIP_4[Sem],0)</f>
        <v>0</v>
      </c>
    </row>
    <row r="403" spans="1:42" ht="15.75" x14ac:dyDescent="0.25">
      <c r="A403" s="44">
        <f>WEEKNUM(MIP_4[[#This Row],[Data]])</f>
        <v>34</v>
      </c>
      <c r="B403" s="45">
        <v>42967</v>
      </c>
      <c r="C403" s="45"/>
      <c r="D403" s="35" t="s">
        <v>19</v>
      </c>
      <c r="E403" s="35" t="s">
        <v>2</v>
      </c>
      <c r="F403" s="35"/>
      <c r="G403" s="44">
        <v>2</v>
      </c>
      <c r="H403" s="44">
        <v>2</v>
      </c>
      <c r="I403" s="44">
        <v>0</v>
      </c>
      <c r="J403" s="44">
        <v>0</v>
      </c>
      <c r="K403" s="44">
        <v>0</v>
      </c>
      <c r="L403" s="43">
        <v>0.63888888888888895</v>
      </c>
      <c r="M403" s="43">
        <v>0.65625</v>
      </c>
      <c r="N403" s="43">
        <v>0.77083333333333337</v>
      </c>
      <c r="O403" s="43">
        <f>1+68/24/60</f>
        <v>1.0472222222222223</v>
      </c>
      <c r="P403" s="39">
        <v>6.3194444444444442E-2</v>
      </c>
      <c r="Q403" s="42" t="s">
        <v>307</v>
      </c>
      <c r="R403" s="29">
        <f>MIP_4[[#This Row],[PT-1]]+MIP_4[[#This Row],[PT-2]]*2+MIP_4[[#This Row],[PT-3]]*3+MIP_4[[#This Row],[PT &gt; 3 Pontos]]</f>
        <v>2</v>
      </c>
      <c r="S40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0.3569444444444444</v>
      </c>
      <c r="T40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0.29374999999999996</v>
      </c>
      <c r="U403" s="41">
        <f ca="1">MIP_4[[#This Row],[Eficiência]]</f>
        <v>5.1481754658384951</v>
      </c>
      <c r="V40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1</v>
      </c>
      <c r="W403" s="39">
        <f>IF(MIP_4[[#This Row],[P.S]]-MIP_4[[#This Row],[P.E]]&lt;0,1+MIP_4[[#This Row],[P.S]]-MIP_4[[#This Row],[P.E]]-1/24,MIP_4[[#This Row],[P.S]]-MIP_4[[#This Row],[P.E]]-1/24)</f>
        <v>0.36666666666666664</v>
      </c>
      <c r="X403" s="39">
        <f ca="1">MIP_4[[#This Row],[PT-1]]*$S$3+MIP_4[[#This Row],[PT-2]]*$T$3+MIP_4[[#This Row],[PT-3]]*$U$3+MIP_4[[#This Row],[PT &gt; 3 Pontos]]*$V$3</f>
        <v>5.0051705917874362E-2</v>
      </c>
      <c r="Y403" s="39">
        <f>MIP_4[[#This Row],[HH disponível]]-MIP_4[[#This Row],[HH AC TOT]]</f>
        <v>9.7222222222222432E-3</v>
      </c>
      <c r="Z403" s="38">
        <f ca="1">MIP_4[[#This Row],[HH Produtivo
Total]]/MIP_4[[#This Row],[HH Trabalhado]]</f>
        <v>5.1481754658384951</v>
      </c>
      <c r="AA403" s="38">
        <f ca="1">MIP_4[[#This Row],[HH Produtivo
Total]]/MIP_4[[#This Row],[HH disponível]]</f>
        <v>0.13650465250329372</v>
      </c>
      <c r="AB403" s="38">
        <f>MIP_4[[#This Row],[HH Trabalhado]]/MIP_4[[#This Row],[HH disponível]]</f>
        <v>2.6515151515151575E-2</v>
      </c>
      <c r="AC403" s="37" t="str">
        <f>LEFT(MIP_4[[#This Row],[Equipe]], SEARCH("/",MIP_4[[#This Row],[Equipe]],1)-1)</f>
        <v xml:space="preserve">ADEMÁRIO </v>
      </c>
      <c r="AD403" s="37" t="str">
        <f>RIGHT(MIP_4[[#This Row],[Equipe]], LEN(MIP_4[[#This Row],[Equipe]])-SEARCH("/",MIP_4[[#This Row],[Equipe]],1))</f>
        <v xml:space="preserve"> RONALDO</v>
      </c>
      <c r="AE403" s="44">
        <f>COUNTIFS('[1]Tempo parado'!G:G,"&gt;="&amp;MIP_4[[#This Row],[S.B Sitrack]],'[1]Tempo parado'!H:H,"&lt;="&amp;MIP_4[[#This Row],[C.B Sitrack]],'[1]Tempo parado'!A:A,MIP_4[[#This Row],[Placa]])</f>
        <v>0</v>
      </c>
      <c r="AF403" s="36"/>
      <c r="AG403" s="35"/>
      <c r="AH403" s="34"/>
      <c r="AI403" s="34"/>
      <c r="AJ40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0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0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03" s="32" t="str">
        <f>IFERROR(MIP_4[[#This Row],[Tempo parado]]/(MIP_4[[#This Row],[C.B Sitrack]]-MIP_4[[#This Row],[S.B Sitrack]]),"")</f>
        <v/>
      </c>
      <c r="AN403" s="30"/>
      <c r="AO403" s="44">
        <f>IF(AND(MIP_4[Exc]=0,MIP_4[Previsto / Realizado]="Realizado"),MIP_4[Sem],0)</f>
        <v>0</v>
      </c>
      <c r="AP403" s="29">
        <f>IF(AND(MIP_4[Exc]=0,MIP_4[Previsto / Realizado]="Realizado",ISBLANK(MIP_4[[#This Row],[S.B Sitrack]])=FALSE,ISBLANK(MIP_4[[#This Row],[C.B Sitrack]])=FALSE),MIP_4[Sem],0)</f>
        <v>0</v>
      </c>
    </row>
    <row r="404" spans="1:42" ht="15.75" x14ac:dyDescent="0.25">
      <c r="A404" s="44">
        <f>WEEKNUM(MIP_4[[#This Row],[Data]])</f>
        <v>34</v>
      </c>
      <c r="B404" s="45">
        <v>42967</v>
      </c>
      <c r="C404" s="45"/>
      <c r="D404" s="35" t="s">
        <v>10</v>
      </c>
      <c r="E404" s="35" t="s">
        <v>5</v>
      </c>
      <c r="F404" s="35"/>
      <c r="G404" s="44">
        <v>2</v>
      </c>
      <c r="H404" s="44">
        <v>0</v>
      </c>
      <c r="I404" s="44">
        <v>0</v>
      </c>
      <c r="J404" s="44">
        <v>0</v>
      </c>
      <c r="K404" s="44">
        <v>0</v>
      </c>
      <c r="L404" s="43">
        <v>0.25</v>
      </c>
      <c r="M404" s="43">
        <v>0.27083333333333331</v>
      </c>
      <c r="N404" s="43">
        <v>0.63750000000000007</v>
      </c>
      <c r="O404" s="43">
        <v>0.65833333333333333</v>
      </c>
      <c r="P404" s="39"/>
      <c r="Q404" s="42" t="s">
        <v>303</v>
      </c>
      <c r="R404" s="29">
        <f>MIP_4[[#This Row],[PT-1]]+MIP_4[[#This Row],[PT-2]]*2+MIP_4[[#This Row],[PT-3]]*3+MIP_4[[#This Row],[PT &gt; 3 Pontos]]</f>
        <v>0</v>
      </c>
      <c r="S40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40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404" s="41">
        <f ca="1">MIP_4[[#This Row],[Eficiência]]</f>
        <v>0</v>
      </c>
      <c r="V40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04" s="39">
        <f>IF(MIP_4[[#This Row],[P.S]]-MIP_4[[#This Row],[P.E]]&lt;0,1+MIP_4[[#This Row],[P.S]]-MIP_4[[#This Row],[P.E]]-1/24,MIP_4[[#This Row],[P.S]]-MIP_4[[#This Row],[P.E]]-1/24)</f>
        <v>0.36666666666666664</v>
      </c>
      <c r="X404" s="39">
        <f ca="1">MIP_4[[#This Row],[PT-1]]*$S$3+MIP_4[[#This Row],[PT-2]]*$T$3+MIP_4[[#This Row],[PT-3]]*$U$3+MIP_4[[#This Row],[PT &gt; 3 Pontos]]*$V$3</f>
        <v>0</v>
      </c>
      <c r="Y404" s="39">
        <f>MIP_4[[#This Row],[HH disponível]]-MIP_4[[#This Row],[HH AC TOT]]</f>
        <v>0.32500000000000007</v>
      </c>
      <c r="Z404" s="38">
        <f ca="1">MIP_4[[#This Row],[HH Produtivo
Total]]/MIP_4[[#This Row],[HH Trabalhado]]</f>
        <v>0</v>
      </c>
      <c r="AA404" s="38">
        <f ca="1">MIP_4[[#This Row],[HH Produtivo
Total]]/MIP_4[[#This Row],[HH disponível]]</f>
        <v>0</v>
      </c>
      <c r="AB404" s="38">
        <f>MIP_4[[#This Row],[HH Trabalhado]]/MIP_4[[#This Row],[HH disponível]]</f>
        <v>0.88636363636363658</v>
      </c>
      <c r="AC404" s="37" t="str">
        <f>LEFT(MIP_4[[#This Row],[Equipe]], SEARCH("/",MIP_4[[#This Row],[Equipe]],1)-1)</f>
        <v xml:space="preserve">JOILSON </v>
      </c>
      <c r="AD404" s="37" t="str">
        <f>RIGHT(MIP_4[[#This Row],[Equipe]], LEN(MIP_4[[#This Row],[Equipe]])-SEARCH("/",MIP_4[[#This Row],[Equipe]],1))</f>
        <v xml:space="preserve"> VALDEI</v>
      </c>
      <c r="AE404" s="44">
        <f>COUNTIFS('[1]Tempo parado'!G:G,"&gt;="&amp;MIP_4[[#This Row],[S.B Sitrack]],'[1]Tempo parado'!H:H,"&lt;="&amp;MIP_4[[#This Row],[C.B Sitrack]],'[1]Tempo parado'!A:A,MIP_4[[#This Row],[Placa]])</f>
        <v>0</v>
      </c>
      <c r="AF404" s="36"/>
      <c r="AG404" s="35"/>
      <c r="AH404" s="34"/>
      <c r="AI404" s="34"/>
      <c r="AJ40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0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0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04" s="32" t="str">
        <f>IFERROR(MIP_4[[#This Row],[Tempo parado]]/(MIP_4[[#This Row],[C.B Sitrack]]-MIP_4[[#This Row],[S.B Sitrack]]),"")</f>
        <v/>
      </c>
      <c r="AN404" s="30"/>
      <c r="AO404" s="44">
        <f>IF(AND(MIP_4[Exc]=0,MIP_4[Previsto / Realizado]="Realizado"),MIP_4[Sem],0)</f>
        <v>0</v>
      </c>
      <c r="AP404" s="29">
        <f>IF(AND(MIP_4[Exc]=0,MIP_4[Previsto / Realizado]="Realizado",ISBLANK(MIP_4[[#This Row],[S.B Sitrack]])=FALSE,ISBLANK(MIP_4[[#This Row],[C.B Sitrack]])=FALSE),MIP_4[Sem],0)</f>
        <v>0</v>
      </c>
    </row>
    <row r="405" spans="1:42" ht="15.75" x14ac:dyDescent="0.25">
      <c r="A405" s="44">
        <f>WEEKNUM(MIP_4[[#This Row],[Data]])</f>
        <v>34</v>
      </c>
      <c r="B405" s="45">
        <v>42967</v>
      </c>
      <c r="C405" s="45"/>
      <c r="D405" s="35" t="s">
        <v>10</v>
      </c>
      <c r="E405" s="35" t="s">
        <v>2</v>
      </c>
      <c r="F405" s="35"/>
      <c r="G405" s="44">
        <v>2</v>
      </c>
      <c r="H405" s="44">
        <v>3</v>
      </c>
      <c r="I405" s="44">
        <v>1</v>
      </c>
      <c r="J405" s="44">
        <v>2</v>
      </c>
      <c r="K405" s="44">
        <v>0</v>
      </c>
      <c r="L405" s="43">
        <v>0.25277777777777777</v>
      </c>
      <c r="M405" s="43">
        <v>0.27777777777777779</v>
      </c>
      <c r="N405" s="43">
        <v>0.4916666666666667</v>
      </c>
      <c r="O405" s="43">
        <v>0.65833333333333333</v>
      </c>
      <c r="P405" s="39">
        <v>5.6944444444444443E-2</v>
      </c>
      <c r="Q405" s="42" t="s">
        <v>306</v>
      </c>
      <c r="R405" s="29">
        <f>MIP_4[[#This Row],[PT-1]]+MIP_4[[#This Row],[PT-2]]*2+MIP_4[[#This Row],[PT-3]]*3+MIP_4[[#This Row],[PT &gt; 3 Pontos]]</f>
        <v>11</v>
      </c>
      <c r="S40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0.24861111111111109</v>
      </c>
      <c r="T40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0.19166666666666665</v>
      </c>
      <c r="U405" s="41">
        <f ca="1">MIP_4[[#This Row],[Eficiência]]</f>
        <v>2.1215683385716777</v>
      </c>
      <c r="V40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05" s="39">
        <f>IF(MIP_4[[#This Row],[P.S]]-MIP_4[[#This Row],[P.E]]&lt;0,1+MIP_4[[#This Row],[P.S]]-MIP_4[[#This Row],[P.E]]-1/24,MIP_4[[#This Row],[P.S]]-MIP_4[[#This Row],[P.E]]-1/24)</f>
        <v>0.36388888888888887</v>
      </c>
      <c r="X405" s="39">
        <f ca="1">MIP_4[[#This Row],[PT-1]]*$S$3+MIP_4[[#This Row],[PT-2]]*$T$3+MIP_4[[#This Row],[PT-3]]*$U$3+MIP_4[[#This Row],[PT &gt; 3 Pontos]]*$V$3</f>
        <v>0.24456968347423511</v>
      </c>
      <c r="Y405" s="39">
        <f>MIP_4[[#This Row],[HH disponível]]-MIP_4[[#This Row],[HH AC TOT]]</f>
        <v>0.11527777777777778</v>
      </c>
      <c r="Z405" s="38">
        <f ca="1">MIP_4[[#This Row],[HH Produtivo
Total]]/MIP_4[[#This Row],[HH Trabalhado]]</f>
        <v>2.1215683385716777</v>
      </c>
      <c r="AA405" s="38">
        <f ca="1">MIP_4[[#This Row],[HH Produtivo
Total]]/MIP_4[[#This Row],[HH disponível]]</f>
        <v>0.67209989351698196</v>
      </c>
      <c r="AB405" s="38">
        <f>MIP_4[[#This Row],[HH Trabalhado]]/MIP_4[[#This Row],[HH disponível]]</f>
        <v>0.31679389312977102</v>
      </c>
      <c r="AC405" s="37" t="str">
        <f>LEFT(MIP_4[[#This Row],[Equipe]], SEARCH("/",MIP_4[[#This Row],[Equipe]],1)-1)</f>
        <v xml:space="preserve">JOILSON </v>
      </c>
      <c r="AD405" s="37" t="str">
        <f>RIGHT(MIP_4[[#This Row],[Equipe]], LEN(MIP_4[[#This Row],[Equipe]])-SEARCH("/",MIP_4[[#This Row],[Equipe]],1))</f>
        <v xml:space="preserve"> VALDEI</v>
      </c>
      <c r="AE405" s="44">
        <f>COUNTIFS('[1]Tempo parado'!G:G,"&gt;="&amp;MIP_4[[#This Row],[S.B Sitrack]],'[1]Tempo parado'!H:H,"&lt;="&amp;MIP_4[[#This Row],[C.B Sitrack]],'[1]Tempo parado'!A:A,MIP_4[[#This Row],[Placa]])</f>
        <v>0</v>
      </c>
      <c r="AF405" s="36"/>
      <c r="AG405" s="35"/>
      <c r="AH405" s="34"/>
      <c r="AI405" s="34"/>
      <c r="AJ40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0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0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05" s="32" t="str">
        <f>IFERROR(MIP_4[[#This Row],[Tempo parado]]/(MIP_4[[#This Row],[C.B Sitrack]]-MIP_4[[#This Row],[S.B Sitrack]]),"")</f>
        <v/>
      </c>
      <c r="AN405" s="30"/>
      <c r="AO405" s="44">
        <f>IF(AND(MIP_4[Exc]=0,MIP_4[Previsto / Realizado]="Realizado"),MIP_4[Sem],0)</f>
        <v>34</v>
      </c>
      <c r="AP405" s="29">
        <f>IF(AND(MIP_4[Exc]=0,MIP_4[Previsto / Realizado]="Realizado",ISBLANK(MIP_4[[#This Row],[S.B Sitrack]])=FALSE,ISBLANK(MIP_4[[#This Row],[C.B Sitrack]])=FALSE),MIP_4[Sem],0)</f>
        <v>0</v>
      </c>
    </row>
    <row r="406" spans="1:42" ht="15.75" x14ac:dyDescent="0.25">
      <c r="A406" s="44">
        <f>WEEKNUM(MIP_4[[#This Row],[Data]])</f>
        <v>34</v>
      </c>
      <c r="B406" s="45">
        <v>42968</v>
      </c>
      <c r="C406" s="45"/>
      <c r="D406" s="35" t="s">
        <v>19</v>
      </c>
      <c r="E406" s="35" t="s">
        <v>5</v>
      </c>
      <c r="F406" s="35"/>
      <c r="G406" s="44">
        <v>2</v>
      </c>
      <c r="H406" s="44">
        <v>0</v>
      </c>
      <c r="I406" s="44">
        <v>0</v>
      </c>
      <c r="J406" s="44">
        <v>0</v>
      </c>
      <c r="K406" s="44">
        <v>20</v>
      </c>
      <c r="L406" s="43">
        <v>0.625</v>
      </c>
      <c r="M406" s="43">
        <v>0.64583333333333337</v>
      </c>
      <c r="N406" s="43">
        <f>1+18/24/60</f>
        <v>1.0125</v>
      </c>
      <c r="O406" s="43">
        <f>1+48/24/60</f>
        <v>1.0333333333333334</v>
      </c>
      <c r="P406" s="39"/>
      <c r="Q406" s="42" t="s">
        <v>305</v>
      </c>
      <c r="R406" s="29">
        <f>MIP_4[[#This Row],[PT-1]]+MIP_4[[#This Row],[PT-2]]*2+MIP_4[[#This Row],[PT-3]]*3+MIP_4[[#This Row],[PT &gt; 3 Pontos]]</f>
        <v>20</v>
      </c>
      <c r="S40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40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406" s="41">
        <f ca="1">MIP_4[[#This Row],[Eficiência]]</f>
        <v>1.2460314388152562</v>
      </c>
      <c r="V40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06" s="39">
        <f>IF(MIP_4[[#This Row],[P.S]]-MIP_4[[#This Row],[P.E]]&lt;0,1+MIP_4[[#This Row],[P.S]]-MIP_4[[#This Row],[P.E]]-1/24,MIP_4[[#This Row],[P.S]]-MIP_4[[#This Row],[P.E]]-1/24)</f>
        <v>0.36666666666666675</v>
      </c>
      <c r="X406" s="39">
        <f ca="1">MIP_4[[#This Row],[PT-1]]*$S$3+MIP_4[[#This Row],[PT-2]]*$T$3+MIP_4[[#This Row],[PT-3]]*$U$3+MIP_4[[#This Row],[PT &gt; 3 Pontos]]*$V$3</f>
        <v>0.40496021761495815</v>
      </c>
      <c r="Y406" s="39">
        <f>MIP_4[[#This Row],[HH disponível]]-MIP_4[[#This Row],[HH AC TOT]]</f>
        <v>0.3249999999999999</v>
      </c>
      <c r="Z406" s="38">
        <f ca="1">MIP_4[[#This Row],[HH Produtivo
Total]]/MIP_4[[#This Row],[HH Trabalhado]]</f>
        <v>1.2460314388152562</v>
      </c>
      <c r="AA406" s="38">
        <f ca="1">MIP_4[[#This Row],[HH Produtivo
Total]]/MIP_4[[#This Row],[HH disponível]]</f>
        <v>1.1044369571317039</v>
      </c>
      <c r="AB406" s="38">
        <f>MIP_4[[#This Row],[HH Trabalhado]]/MIP_4[[#This Row],[HH disponível]]</f>
        <v>0.88636363636363591</v>
      </c>
      <c r="AC406" s="37" t="str">
        <f>LEFT(MIP_4[[#This Row],[Equipe]], SEARCH("/",MIP_4[[#This Row],[Equipe]],1)-1)</f>
        <v xml:space="preserve">ADEMÁRIO </v>
      </c>
      <c r="AD406" s="37" t="str">
        <f>RIGHT(MIP_4[[#This Row],[Equipe]], LEN(MIP_4[[#This Row],[Equipe]])-SEARCH("/",MIP_4[[#This Row],[Equipe]],1))</f>
        <v xml:space="preserve"> RONALDO</v>
      </c>
      <c r="AE406" s="44">
        <f>COUNTIFS('[1]Tempo parado'!G:G,"&gt;="&amp;MIP_4[[#This Row],[S.B Sitrack]],'[1]Tempo parado'!H:H,"&lt;="&amp;MIP_4[[#This Row],[C.B Sitrack]],'[1]Tempo parado'!A:A,MIP_4[[#This Row],[Placa]])</f>
        <v>0</v>
      </c>
      <c r="AF406" s="36"/>
      <c r="AG406" s="35"/>
      <c r="AH406" s="34"/>
      <c r="AI406" s="34"/>
      <c r="AJ40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0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0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06" s="32" t="str">
        <f>IFERROR(MIP_4[[#This Row],[Tempo parado]]/(MIP_4[[#This Row],[C.B Sitrack]]-MIP_4[[#This Row],[S.B Sitrack]]),"")</f>
        <v/>
      </c>
      <c r="AN406" s="30"/>
      <c r="AO406" s="44">
        <f>IF(AND(MIP_4[Exc]=0,MIP_4[Previsto / Realizado]="Realizado"),MIP_4[Sem],0)</f>
        <v>0</v>
      </c>
      <c r="AP406" s="29">
        <f>IF(AND(MIP_4[Exc]=0,MIP_4[Previsto / Realizado]="Realizado",ISBLANK(MIP_4[[#This Row],[S.B Sitrack]])=FALSE,ISBLANK(MIP_4[[#This Row],[C.B Sitrack]])=FALSE),MIP_4[Sem],0)</f>
        <v>0</v>
      </c>
    </row>
    <row r="407" spans="1:42" ht="15.75" x14ac:dyDescent="0.25">
      <c r="A407" s="44">
        <f>WEEKNUM(MIP_4[[#This Row],[Data]])</f>
        <v>34</v>
      </c>
      <c r="B407" s="45">
        <v>42968</v>
      </c>
      <c r="C407" s="45"/>
      <c r="D407" s="35" t="s">
        <v>19</v>
      </c>
      <c r="E407" s="35" t="s">
        <v>2</v>
      </c>
      <c r="F407" s="35"/>
      <c r="G407" s="44">
        <v>2</v>
      </c>
      <c r="H407" s="44">
        <v>0</v>
      </c>
      <c r="I407" s="44">
        <v>0</v>
      </c>
      <c r="J407" s="44">
        <v>0</v>
      </c>
      <c r="K407" s="44">
        <v>9</v>
      </c>
      <c r="L407" s="43">
        <v>0.62638888888888888</v>
      </c>
      <c r="M407" s="43">
        <v>0.66666666666666663</v>
      </c>
      <c r="N407" s="43">
        <v>0.95833333333333337</v>
      </c>
      <c r="O407" s="43">
        <f>1+54/24/60</f>
        <v>1.0375000000000001</v>
      </c>
      <c r="P407" s="39"/>
      <c r="Q407" s="42" t="s">
        <v>304</v>
      </c>
      <c r="R407" s="29">
        <f>MIP_4[[#This Row],[PT-1]]+MIP_4[[#This Row],[PT-2]]*2+MIP_4[[#This Row],[PT-3]]*3+MIP_4[[#This Row],[PT &gt; 3 Pontos]]</f>
        <v>9</v>
      </c>
      <c r="S40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0.11944444444444446</v>
      </c>
      <c r="T40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0.11944444444444446</v>
      </c>
      <c r="U407" s="41">
        <f ca="1">MIP_4[[#This Row],[Eficiência]]</f>
        <v>0.72892839170692458</v>
      </c>
      <c r="V40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07" s="39">
        <f>IF(MIP_4[[#This Row],[P.S]]-MIP_4[[#This Row],[P.E]]&lt;0,1+MIP_4[[#This Row],[P.S]]-MIP_4[[#This Row],[P.E]]-1/24,MIP_4[[#This Row],[P.S]]-MIP_4[[#This Row],[P.E]]-1/24)</f>
        <v>0.36944444444444452</v>
      </c>
      <c r="X407" s="39">
        <f ca="1">MIP_4[[#This Row],[PT-1]]*$S$3+MIP_4[[#This Row],[PT-2]]*$T$3+MIP_4[[#This Row],[PT-3]]*$U$3+MIP_4[[#This Row],[PT &gt; 3 Pontos]]*$V$3</f>
        <v>0.18223209792673117</v>
      </c>
      <c r="Y407" s="39">
        <f>MIP_4[[#This Row],[HH disponível]]-MIP_4[[#This Row],[HH AC TOT]]</f>
        <v>0.25000000000000006</v>
      </c>
      <c r="Z407" s="38">
        <f ca="1">MIP_4[[#This Row],[HH Produtivo
Total]]/MIP_4[[#This Row],[HH Trabalhado]]</f>
        <v>0.72892839170692458</v>
      </c>
      <c r="AA407" s="38">
        <f ca="1">MIP_4[[#This Row],[HH Produtivo
Total]]/MIP_4[[#This Row],[HH disponível]]</f>
        <v>0.49325981393701662</v>
      </c>
      <c r="AB407" s="38">
        <f>MIP_4[[#This Row],[HH Trabalhado]]/MIP_4[[#This Row],[HH disponível]]</f>
        <v>0.67669172932330823</v>
      </c>
      <c r="AC407" s="37" t="str">
        <f>LEFT(MIP_4[[#This Row],[Equipe]], SEARCH("/",MIP_4[[#This Row],[Equipe]],1)-1)</f>
        <v xml:space="preserve">ADEMÁRIO </v>
      </c>
      <c r="AD407" s="37" t="str">
        <f>RIGHT(MIP_4[[#This Row],[Equipe]], LEN(MIP_4[[#This Row],[Equipe]])-SEARCH("/",MIP_4[[#This Row],[Equipe]],1))</f>
        <v xml:space="preserve"> RONALDO</v>
      </c>
      <c r="AE407" s="44">
        <f>COUNTIFS('[1]Tempo parado'!G:G,"&gt;="&amp;MIP_4[[#This Row],[S.B Sitrack]],'[1]Tempo parado'!H:H,"&lt;="&amp;MIP_4[[#This Row],[C.B Sitrack]],'[1]Tempo parado'!A:A,MIP_4[[#This Row],[Placa]])</f>
        <v>0</v>
      </c>
      <c r="AF407" s="36"/>
      <c r="AG407" s="35"/>
      <c r="AH407" s="34"/>
      <c r="AI407" s="34"/>
      <c r="AJ40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0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0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07" s="32" t="str">
        <f>IFERROR(MIP_4[[#This Row],[Tempo parado]]/(MIP_4[[#This Row],[C.B Sitrack]]-MIP_4[[#This Row],[S.B Sitrack]]),"")</f>
        <v/>
      </c>
      <c r="AN407" s="30"/>
      <c r="AO407" s="44">
        <f>IF(AND(MIP_4[Exc]=0,MIP_4[Previsto / Realizado]="Realizado"),MIP_4[Sem],0)</f>
        <v>34</v>
      </c>
      <c r="AP407" s="29">
        <f>IF(AND(MIP_4[Exc]=0,MIP_4[Previsto / Realizado]="Realizado",ISBLANK(MIP_4[[#This Row],[S.B Sitrack]])=FALSE,ISBLANK(MIP_4[[#This Row],[C.B Sitrack]])=FALSE),MIP_4[Sem],0)</f>
        <v>0</v>
      </c>
    </row>
    <row r="408" spans="1:42" ht="15.75" x14ac:dyDescent="0.25">
      <c r="A408" s="44">
        <f>WEEKNUM(MIP_4[[#This Row],[Data]])</f>
        <v>34</v>
      </c>
      <c r="B408" s="45">
        <v>42968</v>
      </c>
      <c r="C408" s="45"/>
      <c r="D408" s="35" t="s">
        <v>7</v>
      </c>
      <c r="E408" s="35" t="s">
        <v>5</v>
      </c>
      <c r="F408" s="35"/>
      <c r="G408" s="44">
        <v>2</v>
      </c>
      <c r="H408" s="44">
        <v>4</v>
      </c>
      <c r="I408" s="44">
        <v>0</v>
      </c>
      <c r="J408" s="44">
        <v>0</v>
      </c>
      <c r="K408" s="44">
        <v>0</v>
      </c>
      <c r="L408" s="43">
        <v>0.625</v>
      </c>
      <c r="M408" s="43">
        <v>0.64583333333333337</v>
      </c>
      <c r="N408" s="43">
        <f>1+18/24/60</f>
        <v>1.0125</v>
      </c>
      <c r="O408" s="43">
        <f>1+48/24/60</f>
        <v>1.0333333333333334</v>
      </c>
      <c r="P408" s="39"/>
      <c r="Q408" s="42" t="s">
        <v>303</v>
      </c>
      <c r="R408" s="29">
        <f>MIP_4[[#This Row],[PT-1]]+MIP_4[[#This Row],[PT-2]]*2+MIP_4[[#This Row],[PT-3]]*3+MIP_4[[#This Row],[PT &gt; 3 Pontos]]</f>
        <v>4</v>
      </c>
      <c r="S40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40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408" s="41">
        <f ca="1">MIP_4[[#This Row],[Eficiência]]</f>
        <v>0.30801049795614999</v>
      </c>
      <c r="V40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08" s="39">
        <f>IF(MIP_4[[#This Row],[P.S]]-MIP_4[[#This Row],[P.E]]&lt;0,1+MIP_4[[#This Row],[P.S]]-MIP_4[[#This Row],[P.E]]-1/24,MIP_4[[#This Row],[P.S]]-MIP_4[[#This Row],[P.E]]-1/24)</f>
        <v>0.36666666666666675</v>
      </c>
      <c r="X408" s="39">
        <f ca="1">MIP_4[[#This Row],[PT-1]]*$S$3+MIP_4[[#This Row],[PT-2]]*$T$3+MIP_4[[#This Row],[PT-3]]*$U$3+MIP_4[[#This Row],[PT &gt; 3 Pontos]]*$V$3</f>
        <v>0.10010341183574872</v>
      </c>
      <c r="Y408" s="39">
        <f>MIP_4[[#This Row],[HH disponível]]-MIP_4[[#This Row],[HH AC TOT]]</f>
        <v>0.3249999999999999</v>
      </c>
      <c r="Z408" s="38">
        <f ca="1">MIP_4[[#This Row],[HH Produtivo
Total]]/MIP_4[[#This Row],[HH Trabalhado]]</f>
        <v>0.30801049795614999</v>
      </c>
      <c r="AA408" s="38">
        <f ca="1">MIP_4[[#This Row],[HH Produtivo
Total]]/MIP_4[[#This Row],[HH disponível]]</f>
        <v>0.27300930500658738</v>
      </c>
      <c r="AB408" s="38">
        <f>MIP_4[[#This Row],[HH Trabalhado]]/MIP_4[[#This Row],[HH disponível]]</f>
        <v>0.88636363636363591</v>
      </c>
      <c r="AC408" s="37" t="str">
        <f>LEFT(MIP_4[[#This Row],[Equipe]], SEARCH("/",MIP_4[[#This Row],[Equipe]],1)-1)</f>
        <v xml:space="preserve">ANDERSON </v>
      </c>
      <c r="AD408" s="37" t="str">
        <f>RIGHT(MIP_4[[#This Row],[Equipe]], LEN(MIP_4[[#This Row],[Equipe]])-SEARCH("/",MIP_4[[#This Row],[Equipe]],1))</f>
        <v xml:space="preserve"> MARCO</v>
      </c>
      <c r="AE408" s="44">
        <f>COUNTIFS('[1]Tempo parado'!G:G,"&gt;="&amp;MIP_4[[#This Row],[S.B Sitrack]],'[1]Tempo parado'!H:H,"&lt;="&amp;MIP_4[[#This Row],[C.B Sitrack]],'[1]Tempo parado'!A:A,MIP_4[[#This Row],[Placa]])</f>
        <v>0</v>
      </c>
      <c r="AF408" s="36"/>
      <c r="AG408" s="35"/>
      <c r="AH408" s="34"/>
      <c r="AI408" s="34"/>
      <c r="AJ40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0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0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08" s="32" t="str">
        <f>IFERROR(MIP_4[[#This Row],[Tempo parado]]/(MIP_4[[#This Row],[C.B Sitrack]]-MIP_4[[#This Row],[S.B Sitrack]]),"")</f>
        <v/>
      </c>
      <c r="AN408" s="30"/>
      <c r="AO408" s="44">
        <f>IF(AND(MIP_4[Exc]=0,MIP_4[Previsto / Realizado]="Realizado"),MIP_4[Sem],0)</f>
        <v>0</v>
      </c>
      <c r="AP408" s="29">
        <f>IF(AND(MIP_4[Exc]=0,MIP_4[Previsto / Realizado]="Realizado",ISBLANK(MIP_4[[#This Row],[S.B Sitrack]])=FALSE,ISBLANK(MIP_4[[#This Row],[C.B Sitrack]])=FALSE),MIP_4[Sem],0)</f>
        <v>0</v>
      </c>
    </row>
    <row r="409" spans="1:42" ht="15.75" x14ac:dyDescent="0.25">
      <c r="A409" s="44">
        <f>WEEKNUM(MIP_4[[#This Row],[Data]])</f>
        <v>34</v>
      </c>
      <c r="B409" s="45">
        <v>42968</v>
      </c>
      <c r="C409" s="45"/>
      <c r="D409" s="35" t="s">
        <v>7</v>
      </c>
      <c r="E409" s="35" t="s">
        <v>2</v>
      </c>
      <c r="F409" s="35"/>
      <c r="G409" s="44">
        <v>2</v>
      </c>
      <c r="H409" s="44">
        <v>4</v>
      </c>
      <c r="I409" s="44">
        <v>3</v>
      </c>
      <c r="J409" s="44">
        <v>0</v>
      </c>
      <c r="K409" s="44">
        <v>0</v>
      </c>
      <c r="L409" s="43">
        <v>0.62847222222222221</v>
      </c>
      <c r="M409" s="43">
        <v>0.65763888888888888</v>
      </c>
      <c r="N409" s="43">
        <f>1+25/24/60</f>
        <v>1.0173611111111112</v>
      </c>
      <c r="O409" s="43">
        <f>1+48/24/60</f>
        <v>1.0333333333333334</v>
      </c>
      <c r="P409" s="39">
        <v>6.6666666666666666E-2</v>
      </c>
      <c r="Q409" s="42" t="s">
        <v>302</v>
      </c>
      <c r="R409" s="29">
        <f>MIP_4[[#This Row],[PT-1]]+MIP_4[[#This Row],[PT-2]]*2+MIP_4[[#This Row],[PT-3]]*3+MIP_4[[#This Row],[PT &gt; 3 Pontos]]</f>
        <v>10</v>
      </c>
      <c r="S40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0.11180555555555562</v>
      </c>
      <c r="T40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4.5138888888888951E-2</v>
      </c>
      <c r="U409" s="41">
        <f ca="1">MIP_4[[#This Row],[Eficiência]]</f>
        <v>0.92219553206821958</v>
      </c>
      <c r="V40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09" s="39">
        <f>IF(MIP_4[[#This Row],[P.S]]-MIP_4[[#This Row],[P.E]]&lt;0,1+MIP_4[[#This Row],[P.S]]-MIP_4[[#This Row],[P.E]]-1/24,MIP_4[[#This Row],[P.S]]-MIP_4[[#This Row],[P.E]]-1/24)</f>
        <v>0.36319444444444454</v>
      </c>
      <c r="X409" s="39">
        <f ca="1">MIP_4[[#This Row],[PT-1]]*$S$3+MIP_4[[#This Row],[PT-2]]*$T$3+MIP_4[[#This Row],[PT-3]]*$U$3+MIP_4[[#This Row],[PT &gt; 3 Pontos]]*$V$3</f>
        <v>0.23182971014492748</v>
      </c>
      <c r="Y409" s="39">
        <f>MIP_4[[#This Row],[HH disponível]]-MIP_4[[#This Row],[HH AC TOT]]</f>
        <v>0.25138888888888894</v>
      </c>
      <c r="Z409" s="38">
        <f ca="1">MIP_4[[#This Row],[HH Produtivo
Total]]/MIP_4[[#This Row],[HH Trabalhado]]</f>
        <v>0.92219553206821958</v>
      </c>
      <c r="AA409" s="38">
        <f ca="1">MIP_4[[#This Row],[HH Produtivo
Total]]/MIP_4[[#This Row],[HH disponível]]</f>
        <v>0.63830742372599514</v>
      </c>
      <c r="AB409" s="38">
        <f>MIP_4[[#This Row],[HH Trabalhado]]/MIP_4[[#This Row],[HH disponível]]</f>
        <v>0.69216061185468447</v>
      </c>
      <c r="AC409" s="37" t="str">
        <f>LEFT(MIP_4[[#This Row],[Equipe]], SEARCH("/",MIP_4[[#This Row],[Equipe]],1)-1)</f>
        <v xml:space="preserve">ANDERSON </v>
      </c>
      <c r="AD409" s="37" t="str">
        <f>RIGHT(MIP_4[[#This Row],[Equipe]], LEN(MIP_4[[#This Row],[Equipe]])-SEARCH("/",MIP_4[[#This Row],[Equipe]],1))</f>
        <v xml:space="preserve"> MARCO</v>
      </c>
      <c r="AE409" s="44">
        <f>COUNTIFS('[1]Tempo parado'!G:G,"&gt;="&amp;MIP_4[[#This Row],[S.B Sitrack]],'[1]Tempo parado'!H:H,"&lt;="&amp;MIP_4[[#This Row],[C.B Sitrack]],'[1]Tempo parado'!A:A,MIP_4[[#This Row],[Placa]])</f>
        <v>0</v>
      </c>
      <c r="AF409" s="36"/>
      <c r="AG409" s="35"/>
      <c r="AH409" s="34"/>
      <c r="AI409" s="34"/>
      <c r="AJ40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0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0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09" s="32" t="str">
        <f>IFERROR(MIP_4[[#This Row],[Tempo parado]]/(MIP_4[[#This Row],[C.B Sitrack]]-MIP_4[[#This Row],[S.B Sitrack]]),"")</f>
        <v/>
      </c>
      <c r="AN409" s="30"/>
      <c r="AO409" s="44">
        <f>IF(AND(MIP_4[Exc]=0,MIP_4[Previsto / Realizado]="Realizado"),MIP_4[Sem],0)</f>
        <v>34</v>
      </c>
      <c r="AP409" s="29">
        <f>IF(AND(MIP_4[Exc]=0,MIP_4[Previsto / Realizado]="Realizado",ISBLANK(MIP_4[[#This Row],[S.B Sitrack]])=FALSE,ISBLANK(MIP_4[[#This Row],[C.B Sitrack]])=FALSE),MIP_4[Sem],0)</f>
        <v>0</v>
      </c>
    </row>
    <row r="410" spans="1:42" ht="15.75" x14ac:dyDescent="0.25">
      <c r="A410" s="44">
        <f>WEEKNUM(MIP_4[[#This Row],[Data]])</f>
        <v>34</v>
      </c>
      <c r="B410" s="45">
        <v>42968</v>
      </c>
      <c r="C410" s="45"/>
      <c r="D410" s="35" t="s">
        <v>3</v>
      </c>
      <c r="E410" s="35" t="s">
        <v>5</v>
      </c>
      <c r="F410" s="35"/>
      <c r="G410" s="44">
        <v>2</v>
      </c>
      <c r="H410" s="44">
        <v>2</v>
      </c>
      <c r="I410" s="44">
        <v>1</v>
      </c>
      <c r="J410" s="44">
        <v>0</v>
      </c>
      <c r="K410" s="44">
        <v>0</v>
      </c>
      <c r="L410" s="43">
        <v>0.625</v>
      </c>
      <c r="M410" s="43">
        <v>0.64583333333333337</v>
      </c>
      <c r="N410" s="43">
        <f>1+18/24/60</f>
        <v>1.0125</v>
      </c>
      <c r="O410" s="43">
        <f>1+48/24/60</f>
        <v>1.0333333333333334</v>
      </c>
      <c r="P410" s="39"/>
      <c r="Q410" s="42" t="s">
        <v>188</v>
      </c>
      <c r="R410" s="29">
        <f>MIP_4[[#This Row],[PT-1]]+MIP_4[[#This Row],[PT-2]]*2+MIP_4[[#This Row],[PT-3]]*3+MIP_4[[#This Row],[PT &gt; 3 Pontos]]</f>
        <v>4</v>
      </c>
      <c r="S41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41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410" s="41">
        <f ca="1">MIP_4[[#This Row],[Eficiência]]</f>
        <v>0.28910914467979681</v>
      </c>
      <c r="V41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10" s="39">
        <f>IF(MIP_4[[#This Row],[P.S]]-MIP_4[[#This Row],[P.E]]&lt;0,1+MIP_4[[#This Row],[P.S]]-MIP_4[[#This Row],[P.E]]-1/24,MIP_4[[#This Row],[P.S]]-MIP_4[[#This Row],[P.E]]-1/24)</f>
        <v>0.36666666666666675</v>
      </c>
      <c r="X410" s="39">
        <f ca="1">MIP_4[[#This Row],[PT-1]]*$S$3+MIP_4[[#This Row],[PT-2]]*$T$3+MIP_4[[#This Row],[PT-3]]*$U$3+MIP_4[[#This Row],[PT &gt; 3 Pontos]]*$V$3</f>
        <v>9.3960472020933938E-2</v>
      </c>
      <c r="Y410" s="39">
        <f>MIP_4[[#This Row],[HH disponível]]-MIP_4[[#This Row],[HH AC TOT]]</f>
        <v>0.3249999999999999</v>
      </c>
      <c r="Z410" s="38">
        <f ca="1">MIP_4[[#This Row],[HH Produtivo
Total]]/MIP_4[[#This Row],[HH Trabalhado]]</f>
        <v>0.28910914467979681</v>
      </c>
      <c r="AA410" s="38">
        <f ca="1">MIP_4[[#This Row],[HH Produtivo
Total]]/MIP_4[[#This Row],[HH disponível]]</f>
        <v>0.2562558327843652</v>
      </c>
      <c r="AB410" s="38">
        <f>MIP_4[[#This Row],[HH Trabalhado]]/MIP_4[[#This Row],[HH disponível]]</f>
        <v>0.88636363636363591</v>
      </c>
      <c r="AC410" s="37" t="str">
        <f>LEFT(MIP_4[[#This Row],[Equipe]], SEARCH("/",MIP_4[[#This Row],[Equipe]],1)-1)</f>
        <v xml:space="preserve">EDILTON </v>
      </c>
      <c r="AD410" s="37" t="str">
        <f>RIGHT(MIP_4[[#This Row],[Equipe]], LEN(MIP_4[[#This Row],[Equipe]])-SEARCH("/",MIP_4[[#This Row],[Equipe]],1))</f>
        <v xml:space="preserve"> GECIVALDO</v>
      </c>
      <c r="AE410" s="44">
        <f>COUNTIFS('[1]Tempo parado'!G:G,"&gt;="&amp;MIP_4[[#This Row],[S.B Sitrack]],'[1]Tempo parado'!H:H,"&lt;="&amp;MIP_4[[#This Row],[C.B Sitrack]],'[1]Tempo parado'!A:A,MIP_4[[#This Row],[Placa]])</f>
        <v>0</v>
      </c>
      <c r="AF410" s="36"/>
      <c r="AG410" s="35"/>
      <c r="AH410" s="34"/>
      <c r="AI410" s="34"/>
      <c r="AJ41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1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1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10" s="32" t="str">
        <f>IFERROR(MIP_4[[#This Row],[Tempo parado]]/(MIP_4[[#This Row],[C.B Sitrack]]-MIP_4[[#This Row],[S.B Sitrack]]),"")</f>
        <v/>
      </c>
      <c r="AN410" s="30"/>
      <c r="AO410" s="44">
        <f>IF(AND(MIP_4[Exc]=0,MIP_4[Previsto / Realizado]="Realizado"),MIP_4[Sem],0)</f>
        <v>0</v>
      </c>
      <c r="AP410" s="29">
        <f>IF(AND(MIP_4[Exc]=0,MIP_4[Previsto / Realizado]="Realizado",ISBLANK(MIP_4[[#This Row],[S.B Sitrack]])=FALSE,ISBLANK(MIP_4[[#This Row],[C.B Sitrack]])=FALSE),MIP_4[Sem],0)</f>
        <v>0</v>
      </c>
    </row>
    <row r="411" spans="1:42" ht="15.75" x14ac:dyDescent="0.25">
      <c r="A411" s="44">
        <f>WEEKNUM(MIP_4[[#This Row],[Data]])</f>
        <v>34</v>
      </c>
      <c r="B411" s="45">
        <v>42968</v>
      </c>
      <c r="C411" s="45"/>
      <c r="D411" s="35" t="s">
        <v>3</v>
      </c>
      <c r="E411" s="35" t="s">
        <v>2</v>
      </c>
      <c r="F411" s="35"/>
      <c r="G411" s="44">
        <v>2</v>
      </c>
      <c r="H411" s="44">
        <v>7</v>
      </c>
      <c r="I411" s="44">
        <v>3</v>
      </c>
      <c r="J411" s="44">
        <v>0</v>
      </c>
      <c r="K411" s="44">
        <v>0</v>
      </c>
      <c r="L411" s="43">
        <v>0.62083333333333335</v>
      </c>
      <c r="M411" s="43">
        <v>0.65625</v>
      </c>
      <c r="N411" s="43">
        <v>0.9277777777777777</v>
      </c>
      <c r="O411" s="43">
        <f>1+51/24/60</f>
        <v>1.0354166666666667</v>
      </c>
      <c r="P411" s="39"/>
      <c r="Q411" s="42" t="s">
        <v>301</v>
      </c>
      <c r="R411" s="29">
        <f>MIP_4[[#This Row],[PT-1]]+MIP_4[[#This Row],[PT-2]]*2+MIP_4[[#This Row],[PT-3]]*3+MIP_4[[#This Row],[PT &gt; 3 Pontos]]</f>
        <v>13</v>
      </c>
      <c r="S41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0.1430555555555556</v>
      </c>
      <c r="T41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0.1430555555555556</v>
      </c>
      <c r="U411" s="41">
        <f ca="1">MIP_4[[#This Row],[Eficiência]]</f>
        <v>1.3351857020885329</v>
      </c>
      <c r="V41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11" s="39">
        <f>IF(MIP_4[[#This Row],[P.S]]-MIP_4[[#This Row],[P.E]]&lt;0,1+MIP_4[[#This Row],[P.S]]-MIP_4[[#This Row],[P.E]]-1/24,MIP_4[[#This Row],[P.S]]-MIP_4[[#This Row],[P.E]]-1/24)</f>
        <v>0.37291666666666662</v>
      </c>
      <c r="X411" s="39">
        <f ca="1">MIP_4[[#This Row],[PT-1]]*$S$3+MIP_4[[#This Row],[PT-2]]*$T$3+MIP_4[[#This Row],[PT-3]]*$U$3+MIP_4[[#This Row],[PT &gt; 3 Pontos]]*$V$3</f>
        <v>0.30690726902173904</v>
      </c>
      <c r="Y411" s="39">
        <f>MIP_4[[#This Row],[HH disponível]]-MIP_4[[#This Row],[HH AC TOT]]</f>
        <v>0.22986111111111102</v>
      </c>
      <c r="Z411" s="38">
        <f ca="1">MIP_4[[#This Row],[HH Produtivo
Total]]/MIP_4[[#This Row],[HH Trabalhado]]</f>
        <v>1.3351857020885329</v>
      </c>
      <c r="AA411" s="38">
        <f ca="1">MIP_4[[#This Row],[HH Produtivo
Total]]/MIP_4[[#This Row],[HH disponível]]</f>
        <v>0.82299155938790369</v>
      </c>
      <c r="AB411" s="38">
        <f>MIP_4[[#This Row],[HH Trabalhado]]/MIP_4[[#This Row],[HH disponível]]</f>
        <v>0.61638733705772797</v>
      </c>
      <c r="AC411" s="37" t="str">
        <f>LEFT(MIP_4[[#This Row],[Equipe]], SEARCH("/",MIP_4[[#This Row],[Equipe]],1)-1)</f>
        <v xml:space="preserve">EDILTON </v>
      </c>
      <c r="AD411" s="37" t="str">
        <f>RIGHT(MIP_4[[#This Row],[Equipe]], LEN(MIP_4[[#This Row],[Equipe]])-SEARCH("/",MIP_4[[#This Row],[Equipe]],1))</f>
        <v xml:space="preserve"> GECIVALDO</v>
      </c>
      <c r="AE411" s="44">
        <f>COUNTIFS('[1]Tempo parado'!G:G,"&gt;="&amp;MIP_4[[#This Row],[S.B Sitrack]],'[1]Tempo parado'!H:H,"&lt;="&amp;MIP_4[[#This Row],[C.B Sitrack]],'[1]Tempo parado'!A:A,MIP_4[[#This Row],[Placa]])</f>
        <v>0</v>
      </c>
      <c r="AF411" s="36"/>
      <c r="AG411" s="35"/>
      <c r="AH411" s="34"/>
      <c r="AI411" s="34"/>
      <c r="AJ41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1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1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11" s="32" t="str">
        <f>IFERROR(MIP_4[[#This Row],[Tempo parado]]/(MIP_4[[#This Row],[C.B Sitrack]]-MIP_4[[#This Row],[S.B Sitrack]]),"")</f>
        <v/>
      </c>
      <c r="AN411" s="30"/>
      <c r="AO411" s="44">
        <f>IF(AND(MIP_4[Exc]=0,MIP_4[Previsto / Realizado]="Realizado"),MIP_4[Sem],0)</f>
        <v>34</v>
      </c>
      <c r="AP411" s="29">
        <f>IF(AND(MIP_4[Exc]=0,MIP_4[Previsto / Realizado]="Realizado",ISBLANK(MIP_4[[#This Row],[S.B Sitrack]])=FALSE,ISBLANK(MIP_4[[#This Row],[C.B Sitrack]])=FALSE),MIP_4[Sem],0)</f>
        <v>0</v>
      </c>
    </row>
    <row r="412" spans="1:42" ht="15.75" x14ac:dyDescent="0.25">
      <c r="A412" s="44">
        <f>WEEKNUM(MIP_4[[#This Row],[Data]])</f>
        <v>34</v>
      </c>
      <c r="B412" s="45">
        <v>42969</v>
      </c>
      <c r="C412" s="45"/>
      <c r="D412" s="35" t="s">
        <v>10</v>
      </c>
      <c r="E412" s="35" t="s">
        <v>5</v>
      </c>
      <c r="F412" s="35"/>
      <c r="G412" s="44">
        <v>2</v>
      </c>
      <c r="H412" s="44">
        <v>4</v>
      </c>
      <c r="I412" s="44">
        <v>0</v>
      </c>
      <c r="J412" s="44">
        <v>0</v>
      </c>
      <c r="K412" s="44">
        <v>0</v>
      </c>
      <c r="L412" s="43">
        <v>0.25</v>
      </c>
      <c r="M412" s="43">
        <v>0.27083333333333331</v>
      </c>
      <c r="N412" s="43">
        <v>0.63750000000000007</v>
      </c>
      <c r="O412" s="43">
        <v>0.65833333333333333</v>
      </c>
      <c r="P412" s="39"/>
      <c r="Q412" s="42" t="s">
        <v>300</v>
      </c>
      <c r="R412" s="29">
        <f>MIP_4[[#This Row],[PT-1]]+MIP_4[[#This Row],[PT-2]]*2+MIP_4[[#This Row],[PT-3]]*3+MIP_4[[#This Row],[PT &gt; 3 Pontos]]</f>
        <v>4</v>
      </c>
      <c r="S41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41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412" s="41">
        <f ca="1">MIP_4[[#This Row],[Eficiência]]</f>
        <v>0.30801049795614988</v>
      </c>
      <c r="V41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12" s="39">
        <f>IF(MIP_4[[#This Row],[P.S]]-MIP_4[[#This Row],[P.E]]&lt;0,1+MIP_4[[#This Row],[P.S]]-MIP_4[[#This Row],[P.E]]-1/24,MIP_4[[#This Row],[P.S]]-MIP_4[[#This Row],[P.E]]-1/24)</f>
        <v>0.36666666666666664</v>
      </c>
      <c r="X412" s="39">
        <f ca="1">MIP_4[[#This Row],[PT-1]]*$S$3+MIP_4[[#This Row],[PT-2]]*$T$3+MIP_4[[#This Row],[PT-3]]*$U$3+MIP_4[[#This Row],[PT &gt; 3 Pontos]]*$V$3</f>
        <v>0.10010341183574872</v>
      </c>
      <c r="Y412" s="39">
        <f>MIP_4[[#This Row],[HH disponível]]-MIP_4[[#This Row],[HH AC TOT]]</f>
        <v>0.32500000000000007</v>
      </c>
      <c r="Z412" s="38">
        <f ca="1">MIP_4[[#This Row],[HH Produtivo
Total]]/MIP_4[[#This Row],[HH Trabalhado]]</f>
        <v>0.30801049795614988</v>
      </c>
      <c r="AA412" s="38">
        <f ca="1">MIP_4[[#This Row],[HH Produtivo
Total]]/MIP_4[[#This Row],[HH disponível]]</f>
        <v>0.27300930500658743</v>
      </c>
      <c r="AB412" s="38">
        <f>MIP_4[[#This Row],[HH Trabalhado]]/MIP_4[[#This Row],[HH disponível]]</f>
        <v>0.88636363636363658</v>
      </c>
      <c r="AC412" s="37" t="str">
        <f>LEFT(MIP_4[[#This Row],[Equipe]], SEARCH("/",MIP_4[[#This Row],[Equipe]],1)-1)</f>
        <v xml:space="preserve">JOILSON </v>
      </c>
      <c r="AD412" s="37" t="str">
        <f>RIGHT(MIP_4[[#This Row],[Equipe]], LEN(MIP_4[[#This Row],[Equipe]])-SEARCH("/",MIP_4[[#This Row],[Equipe]],1))</f>
        <v xml:space="preserve"> VALDEI</v>
      </c>
      <c r="AE412" s="44">
        <f>COUNTIFS('[1]Tempo parado'!G:G,"&gt;="&amp;MIP_4[[#This Row],[S.B Sitrack]],'[1]Tempo parado'!H:H,"&lt;="&amp;MIP_4[[#This Row],[C.B Sitrack]],'[1]Tempo parado'!A:A,MIP_4[[#This Row],[Placa]])</f>
        <v>0</v>
      </c>
      <c r="AF412" s="36"/>
      <c r="AG412" s="35"/>
      <c r="AH412" s="34"/>
      <c r="AI412" s="34"/>
      <c r="AJ41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1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1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12" s="32" t="str">
        <f>IFERROR(MIP_4[[#This Row],[Tempo parado]]/(MIP_4[[#This Row],[C.B Sitrack]]-MIP_4[[#This Row],[S.B Sitrack]]),"")</f>
        <v/>
      </c>
      <c r="AN412" s="30"/>
      <c r="AO412" s="44">
        <f>IF(AND(MIP_4[Exc]=0,MIP_4[Previsto / Realizado]="Realizado"),MIP_4[Sem],0)</f>
        <v>0</v>
      </c>
      <c r="AP412" s="29">
        <f>IF(AND(MIP_4[Exc]=0,MIP_4[Previsto / Realizado]="Realizado",ISBLANK(MIP_4[[#This Row],[S.B Sitrack]])=FALSE,ISBLANK(MIP_4[[#This Row],[C.B Sitrack]])=FALSE),MIP_4[Sem],0)</f>
        <v>0</v>
      </c>
    </row>
    <row r="413" spans="1:42" ht="15.75" x14ac:dyDescent="0.25">
      <c r="A413" s="44">
        <f>WEEKNUM(MIP_4[[#This Row],[Data]])</f>
        <v>34</v>
      </c>
      <c r="B413" s="45">
        <v>42969</v>
      </c>
      <c r="C413" s="45"/>
      <c r="D413" s="35" t="s">
        <v>10</v>
      </c>
      <c r="E413" s="35" t="s">
        <v>2</v>
      </c>
      <c r="F413" s="35"/>
      <c r="G413" s="44">
        <v>2</v>
      </c>
      <c r="H413" s="44">
        <v>5</v>
      </c>
      <c r="I413" s="44">
        <v>0</v>
      </c>
      <c r="J413" s="44">
        <v>0</v>
      </c>
      <c r="K413" s="44">
        <v>9</v>
      </c>
      <c r="L413" s="43">
        <v>0.25277777777777777</v>
      </c>
      <c r="M413" s="43">
        <v>0.28472222222222221</v>
      </c>
      <c r="N413" s="43">
        <v>0.60069444444444442</v>
      </c>
      <c r="O413" s="43">
        <v>0.66527777777777775</v>
      </c>
      <c r="P413" s="39"/>
      <c r="Q413" s="42" t="s">
        <v>191</v>
      </c>
      <c r="R413" s="29">
        <f>MIP_4[[#This Row],[PT-1]]+MIP_4[[#This Row],[PT-2]]*2+MIP_4[[#This Row],[PT-3]]*3+MIP_4[[#This Row],[PT &gt; 3 Pontos]]</f>
        <v>14</v>
      </c>
      <c r="S41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9.6527777777777768E-2</v>
      </c>
      <c r="T41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9.6527777777777768E-2</v>
      </c>
      <c r="U413" s="41">
        <f ca="1">MIP_4[[#This Row],[Eficiência]]</f>
        <v>1.1205072463768118</v>
      </c>
      <c r="V41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13" s="39">
        <f>IF(MIP_4[[#This Row],[P.S]]-MIP_4[[#This Row],[P.E]]&lt;0,1+MIP_4[[#This Row],[P.S]]-MIP_4[[#This Row],[P.E]]-1/24,MIP_4[[#This Row],[P.S]]-MIP_4[[#This Row],[P.E]]-1/24)</f>
        <v>0.37083333333333329</v>
      </c>
      <c r="X413" s="39">
        <f ca="1">MIP_4[[#This Row],[PT-1]]*$S$3+MIP_4[[#This Row],[PT-2]]*$T$3+MIP_4[[#This Row],[PT-3]]*$U$3+MIP_4[[#This Row],[PT &gt; 3 Pontos]]*$V$3</f>
        <v>0.30736136272141706</v>
      </c>
      <c r="Y413" s="39">
        <f>MIP_4[[#This Row],[HH disponível]]-MIP_4[[#This Row],[HH AC TOT]]</f>
        <v>0.27430555555555552</v>
      </c>
      <c r="Z413" s="38">
        <f ca="1">MIP_4[[#This Row],[HH Produtivo
Total]]/MIP_4[[#This Row],[HH Trabalhado]]</f>
        <v>1.1205072463768118</v>
      </c>
      <c r="AA413" s="38">
        <f ca="1">MIP_4[[#This Row],[HH Produtivo
Total]]/MIP_4[[#This Row],[HH disponível]]</f>
        <v>0.82883962981056292</v>
      </c>
      <c r="AB413" s="38">
        <f>MIP_4[[#This Row],[HH Trabalhado]]/MIP_4[[#This Row],[HH disponível]]</f>
        <v>0.73970037453183524</v>
      </c>
      <c r="AC413" s="37" t="str">
        <f>LEFT(MIP_4[[#This Row],[Equipe]], SEARCH("/",MIP_4[[#This Row],[Equipe]],1)-1)</f>
        <v xml:space="preserve">JOILSON </v>
      </c>
      <c r="AD413" s="37" t="str">
        <f>RIGHT(MIP_4[[#This Row],[Equipe]], LEN(MIP_4[[#This Row],[Equipe]])-SEARCH("/",MIP_4[[#This Row],[Equipe]],1))</f>
        <v xml:space="preserve"> VALDEI</v>
      </c>
      <c r="AE413" s="44">
        <f>COUNTIFS('[1]Tempo parado'!G:G,"&gt;="&amp;MIP_4[[#This Row],[S.B Sitrack]],'[1]Tempo parado'!H:H,"&lt;="&amp;MIP_4[[#This Row],[C.B Sitrack]],'[1]Tempo parado'!A:A,MIP_4[[#This Row],[Placa]])</f>
        <v>0</v>
      </c>
      <c r="AF413" s="36"/>
      <c r="AG413" s="35"/>
      <c r="AH413" s="34"/>
      <c r="AI413" s="34"/>
      <c r="AJ41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1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1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13" s="32" t="str">
        <f>IFERROR(MIP_4[[#This Row],[Tempo parado]]/(MIP_4[[#This Row],[C.B Sitrack]]-MIP_4[[#This Row],[S.B Sitrack]]),"")</f>
        <v/>
      </c>
      <c r="AN413" s="30"/>
      <c r="AO413" s="44">
        <f>IF(AND(MIP_4[Exc]=0,MIP_4[Previsto / Realizado]="Realizado"),MIP_4[Sem],0)</f>
        <v>34</v>
      </c>
      <c r="AP413" s="29">
        <f>IF(AND(MIP_4[Exc]=0,MIP_4[Previsto / Realizado]="Realizado",ISBLANK(MIP_4[[#This Row],[S.B Sitrack]])=FALSE,ISBLANK(MIP_4[[#This Row],[C.B Sitrack]])=FALSE),MIP_4[Sem],0)</f>
        <v>0</v>
      </c>
    </row>
    <row r="414" spans="1:42" ht="15.75" x14ac:dyDescent="0.25">
      <c r="A414" s="44">
        <f>WEEKNUM(MIP_4[[#This Row],[Data]])</f>
        <v>34</v>
      </c>
      <c r="B414" s="45">
        <v>42969</v>
      </c>
      <c r="C414" s="45"/>
      <c r="D414" s="35" t="s">
        <v>7</v>
      </c>
      <c r="E414" s="35" t="s">
        <v>5</v>
      </c>
      <c r="F414" s="35"/>
      <c r="G414" s="44">
        <v>2</v>
      </c>
      <c r="H414" s="44">
        <v>2</v>
      </c>
      <c r="I414" s="44">
        <v>2</v>
      </c>
      <c r="J414" s="44">
        <v>1</v>
      </c>
      <c r="K414" s="44">
        <v>0</v>
      </c>
      <c r="L414" s="43">
        <v>0.625</v>
      </c>
      <c r="M414" s="43">
        <v>0.64583333333333337</v>
      </c>
      <c r="N414" s="43">
        <f>1+18/24/60</f>
        <v>1.0125</v>
      </c>
      <c r="O414" s="43">
        <f>1+48/24/60</f>
        <v>1.0333333333333334</v>
      </c>
      <c r="P414" s="39"/>
      <c r="Q414" s="42" t="s">
        <v>299</v>
      </c>
      <c r="R414" s="29">
        <f>MIP_4[[#This Row],[PT-1]]+MIP_4[[#This Row],[PT-2]]*2+MIP_4[[#This Row],[PT-3]]*3+MIP_4[[#This Row],[PT &gt; 3 Pontos]]</f>
        <v>9</v>
      </c>
      <c r="S41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41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414" s="41">
        <f ca="1">MIP_4[[#This Row],[Eficiência]]</f>
        <v>0.61741820729592489</v>
      </c>
      <c r="V41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14" s="39">
        <f>IF(MIP_4[[#This Row],[P.S]]-MIP_4[[#This Row],[P.E]]&lt;0,1+MIP_4[[#This Row],[P.S]]-MIP_4[[#This Row],[P.E]]-1/24,MIP_4[[#This Row],[P.S]]-MIP_4[[#This Row],[P.E]]-1/24)</f>
        <v>0.36666666666666675</v>
      </c>
      <c r="X414" s="39">
        <f ca="1">MIP_4[[#This Row],[PT-1]]*$S$3+MIP_4[[#This Row],[PT-2]]*$T$3+MIP_4[[#This Row],[PT-3]]*$U$3+MIP_4[[#This Row],[PT &gt; 3 Pontos]]*$V$3</f>
        <v>0.20066091737117553</v>
      </c>
      <c r="Y414" s="39">
        <f>MIP_4[[#This Row],[HH disponível]]-MIP_4[[#This Row],[HH AC TOT]]</f>
        <v>0.3249999999999999</v>
      </c>
      <c r="Z414" s="38">
        <f ca="1">MIP_4[[#This Row],[HH Produtivo
Total]]/MIP_4[[#This Row],[HH Trabalhado]]</f>
        <v>0.61741820729592489</v>
      </c>
      <c r="AA414" s="38">
        <f ca="1">MIP_4[[#This Row],[HH Produtivo
Total]]/MIP_4[[#This Row],[HH disponível]]</f>
        <v>0.54725704737593317</v>
      </c>
      <c r="AB414" s="38">
        <f>MIP_4[[#This Row],[HH Trabalhado]]/MIP_4[[#This Row],[HH disponível]]</f>
        <v>0.88636363636363591</v>
      </c>
      <c r="AC414" s="37" t="str">
        <f>LEFT(MIP_4[[#This Row],[Equipe]], SEARCH("/",MIP_4[[#This Row],[Equipe]],1)-1)</f>
        <v xml:space="preserve">ANDERSON </v>
      </c>
      <c r="AD414" s="37" t="str">
        <f>RIGHT(MIP_4[[#This Row],[Equipe]], LEN(MIP_4[[#This Row],[Equipe]])-SEARCH("/",MIP_4[[#This Row],[Equipe]],1))</f>
        <v xml:space="preserve"> MARCO</v>
      </c>
      <c r="AE414" s="44">
        <f>COUNTIFS('[1]Tempo parado'!G:G,"&gt;="&amp;MIP_4[[#This Row],[S.B Sitrack]],'[1]Tempo parado'!H:H,"&lt;="&amp;MIP_4[[#This Row],[C.B Sitrack]],'[1]Tempo parado'!A:A,MIP_4[[#This Row],[Placa]])</f>
        <v>0</v>
      </c>
      <c r="AF414" s="36"/>
      <c r="AG414" s="35"/>
      <c r="AH414" s="34"/>
      <c r="AI414" s="34"/>
      <c r="AJ41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1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1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14" s="32" t="str">
        <f>IFERROR(MIP_4[[#This Row],[Tempo parado]]/(MIP_4[[#This Row],[C.B Sitrack]]-MIP_4[[#This Row],[S.B Sitrack]]),"")</f>
        <v/>
      </c>
      <c r="AN414" s="30"/>
      <c r="AO414" s="44">
        <f>IF(AND(MIP_4[Exc]=0,MIP_4[Previsto / Realizado]="Realizado"),MIP_4[Sem],0)</f>
        <v>0</v>
      </c>
      <c r="AP414" s="29">
        <f>IF(AND(MIP_4[Exc]=0,MIP_4[Previsto / Realizado]="Realizado",ISBLANK(MIP_4[[#This Row],[S.B Sitrack]])=FALSE,ISBLANK(MIP_4[[#This Row],[C.B Sitrack]])=FALSE),MIP_4[Sem],0)</f>
        <v>0</v>
      </c>
    </row>
    <row r="415" spans="1:42" ht="15.75" x14ac:dyDescent="0.25">
      <c r="A415" s="44">
        <f>WEEKNUM(MIP_4[[#This Row],[Data]])</f>
        <v>34</v>
      </c>
      <c r="B415" s="45">
        <v>42969</v>
      </c>
      <c r="C415" s="45"/>
      <c r="D415" s="35" t="s">
        <v>7</v>
      </c>
      <c r="E415" s="35" t="s">
        <v>2</v>
      </c>
      <c r="F415" s="35"/>
      <c r="G415" s="44">
        <v>2</v>
      </c>
      <c r="H415" s="44">
        <v>4</v>
      </c>
      <c r="I415" s="44">
        <v>1</v>
      </c>
      <c r="J415" s="44">
        <v>2</v>
      </c>
      <c r="K415" s="44">
        <v>0</v>
      </c>
      <c r="L415" s="43">
        <v>0.63263888888888886</v>
      </c>
      <c r="M415" s="43">
        <v>0.68055555555555547</v>
      </c>
      <c r="N415" s="43">
        <f>1+12/24/60</f>
        <v>1.0083333333333333</v>
      </c>
      <c r="O415" s="43">
        <f>1+48/24/60</f>
        <v>1.0333333333333334</v>
      </c>
      <c r="P415" s="39">
        <v>8.3333333333333329E-2</v>
      </c>
      <c r="Q415" s="42" t="s">
        <v>298</v>
      </c>
      <c r="R415" s="29">
        <f>MIP_4[[#This Row],[PT-1]]+MIP_4[[#This Row],[PT-2]]*2+MIP_4[[#This Row],[PT-3]]*3+MIP_4[[#This Row],[PT &gt; 3 Pontos]]</f>
        <v>12</v>
      </c>
      <c r="S41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0.15625000000000006</v>
      </c>
      <c r="T41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7.2916666666666741E-2</v>
      </c>
      <c r="U415" s="41">
        <f ca="1">MIP_4[[#This Row],[Eficiência]]</f>
        <v>1.3295122344649586</v>
      </c>
      <c r="V41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15" s="39">
        <f>IF(MIP_4[[#This Row],[P.S]]-MIP_4[[#This Row],[P.E]]&lt;0,1+MIP_4[[#This Row],[P.S]]-MIP_4[[#This Row],[P.E]]-1/24,MIP_4[[#This Row],[P.S]]-MIP_4[[#This Row],[P.E]]-1/24)</f>
        <v>0.35902777777777789</v>
      </c>
      <c r="X415" s="39">
        <f ca="1">MIP_4[[#This Row],[PT-1]]*$S$3+MIP_4[[#This Row],[PT-2]]*$T$3+MIP_4[[#This Row],[PT-3]]*$U$3+MIP_4[[#This Row],[PT &gt; 3 Pontos]]*$V$3</f>
        <v>0.26959553643317224</v>
      </c>
      <c r="Y415" s="39">
        <f>MIP_4[[#This Row],[HH disponível]]-MIP_4[[#This Row],[HH AC TOT]]</f>
        <v>0.20277777777777783</v>
      </c>
      <c r="Z415" s="38">
        <f ca="1">MIP_4[[#This Row],[HH Produtivo
Total]]/MIP_4[[#This Row],[HH Trabalhado]]</f>
        <v>1.3295122344649586</v>
      </c>
      <c r="AA415" s="38">
        <f ca="1">MIP_4[[#This Row],[HH Produtivo
Total]]/MIP_4[[#This Row],[HH disponível]]</f>
        <v>0.75090439548117582</v>
      </c>
      <c r="AB415" s="38">
        <f>MIP_4[[#This Row],[HH Trabalhado]]/MIP_4[[#This Row],[HH disponível]]</f>
        <v>0.56479690522243708</v>
      </c>
      <c r="AC415" s="37" t="str">
        <f>LEFT(MIP_4[[#This Row],[Equipe]], SEARCH("/",MIP_4[[#This Row],[Equipe]],1)-1)</f>
        <v xml:space="preserve">ANDERSON </v>
      </c>
      <c r="AD415" s="37" t="str">
        <f>RIGHT(MIP_4[[#This Row],[Equipe]], LEN(MIP_4[[#This Row],[Equipe]])-SEARCH("/",MIP_4[[#This Row],[Equipe]],1))</f>
        <v xml:space="preserve"> MARCO</v>
      </c>
      <c r="AE415" s="44">
        <f>COUNTIFS('[1]Tempo parado'!G:G,"&gt;="&amp;MIP_4[[#This Row],[S.B Sitrack]],'[1]Tempo parado'!H:H,"&lt;="&amp;MIP_4[[#This Row],[C.B Sitrack]],'[1]Tempo parado'!A:A,MIP_4[[#This Row],[Placa]])</f>
        <v>0</v>
      </c>
      <c r="AF415" s="36"/>
      <c r="AG415" s="35"/>
      <c r="AH415" s="34"/>
      <c r="AI415" s="34"/>
      <c r="AJ41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1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1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15" s="32" t="str">
        <f>IFERROR(MIP_4[[#This Row],[Tempo parado]]/(MIP_4[[#This Row],[C.B Sitrack]]-MIP_4[[#This Row],[S.B Sitrack]]),"")</f>
        <v/>
      </c>
      <c r="AN415" s="30"/>
      <c r="AO415" s="44">
        <f>IF(AND(MIP_4[Exc]=0,MIP_4[Previsto / Realizado]="Realizado"),MIP_4[Sem],0)</f>
        <v>34</v>
      </c>
      <c r="AP415" s="29">
        <f>IF(AND(MIP_4[Exc]=0,MIP_4[Previsto / Realizado]="Realizado",ISBLANK(MIP_4[[#This Row],[S.B Sitrack]])=FALSE,ISBLANK(MIP_4[[#This Row],[C.B Sitrack]])=FALSE),MIP_4[Sem],0)</f>
        <v>0</v>
      </c>
    </row>
    <row r="416" spans="1:42" ht="15.75" x14ac:dyDescent="0.25">
      <c r="A416" s="44">
        <f>WEEKNUM(MIP_4[[#This Row],[Data]])</f>
        <v>34</v>
      </c>
      <c r="B416" s="45">
        <v>42970</v>
      </c>
      <c r="C416" s="45"/>
      <c r="D416" s="35" t="s">
        <v>10</v>
      </c>
      <c r="E416" s="35" t="s">
        <v>5</v>
      </c>
      <c r="F416" s="35"/>
      <c r="G416" s="44">
        <v>2</v>
      </c>
      <c r="H416" s="44">
        <v>7</v>
      </c>
      <c r="I416" s="44">
        <v>1</v>
      </c>
      <c r="J416" s="44">
        <v>1</v>
      </c>
      <c r="K416" s="44">
        <v>0</v>
      </c>
      <c r="L416" s="43">
        <v>0.25</v>
      </c>
      <c r="M416" s="43">
        <v>0.27083333333333331</v>
      </c>
      <c r="N416" s="43">
        <v>0.63750000000000007</v>
      </c>
      <c r="O416" s="43">
        <v>0.65833333333333333</v>
      </c>
      <c r="P416" s="39"/>
      <c r="Q416" s="42"/>
      <c r="R416" s="29">
        <f>MIP_4[[#This Row],[PT-1]]+MIP_4[[#This Row],[PT-2]]*2+MIP_4[[#This Row],[PT-3]]*3+MIP_4[[#This Row],[PT &gt; 3 Pontos]]</f>
        <v>12</v>
      </c>
      <c r="S41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41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416" s="41">
        <f ca="1">MIP_4[[#This Row],[Eficiência]]</f>
        <v>0.86732743403939005</v>
      </c>
      <c r="V41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16" s="39">
        <f>IF(MIP_4[[#This Row],[P.S]]-MIP_4[[#This Row],[P.E]]&lt;0,1+MIP_4[[#This Row],[P.S]]-MIP_4[[#This Row],[P.E]]-1/24,MIP_4[[#This Row],[P.S]]-MIP_4[[#This Row],[P.E]]-1/24)</f>
        <v>0.36666666666666664</v>
      </c>
      <c r="X416" s="39">
        <f ca="1">MIP_4[[#This Row],[PT-1]]*$S$3+MIP_4[[#This Row],[PT-2]]*$T$3+MIP_4[[#This Row],[PT-3]]*$U$3+MIP_4[[#This Row],[PT &gt; 3 Pontos]]*$V$3</f>
        <v>0.28188141606280182</v>
      </c>
      <c r="Y416" s="39">
        <f>MIP_4[[#This Row],[HH disponível]]-MIP_4[[#This Row],[HH AC TOT]]</f>
        <v>0.32500000000000007</v>
      </c>
      <c r="Z416" s="38">
        <f ca="1">MIP_4[[#This Row],[HH Produtivo
Total]]/MIP_4[[#This Row],[HH Trabalhado]]</f>
        <v>0.86732743403939005</v>
      </c>
      <c r="AA416" s="38">
        <f ca="1">MIP_4[[#This Row],[HH Produtivo
Total]]/MIP_4[[#This Row],[HH disponível]]</f>
        <v>0.76876749835309588</v>
      </c>
      <c r="AB416" s="38">
        <f>MIP_4[[#This Row],[HH Trabalhado]]/MIP_4[[#This Row],[HH disponível]]</f>
        <v>0.88636363636363658</v>
      </c>
      <c r="AC416" s="37" t="str">
        <f>LEFT(MIP_4[[#This Row],[Equipe]], SEARCH("/",MIP_4[[#This Row],[Equipe]],1)-1)</f>
        <v xml:space="preserve">JOILSON </v>
      </c>
      <c r="AD416" s="37" t="str">
        <f>RIGHT(MIP_4[[#This Row],[Equipe]], LEN(MIP_4[[#This Row],[Equipe]])-SEARCH("/",MIP_4[[#This Row],[Equipe]],1))</f>
        <v xml:space="preserve"> VALDEI</v>
      </c>
      <c r="AE416" s="44">
        <f>COUNTIFS('[1]Tempo parado'!G:G,"&gt;="&amp;MIP_4[[#This Row],[S.B Sitrack]],'[1]Tempo parado'!H:H,"&lt;="&amp;MIP_4[[#This Row],[C.B Sitrack]],'[1]Tempo parado'!A:A,MIP_4[[#This Row],[Placa]])</f>
        <v>0</v>
      </c>
      <c r="AF416" s="36"/>
      <c r="AG416" s="35"/>
      <c r="AH416" s="34"/>
      <c r="AI416" s="34"/>
      <c r="AJ41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1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1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16" s="32" t="str">
        <f>IFERROR(MIP_4[[#This Row],[Tempo parado]]/(MIP_4[[#This Row],[C.B Sitrack]]-MIP_4[[#This Row],[S.B Sitrack]]),"")</f>
        <v/>
      </c>
      <c r="AN416" s="30"/>
      <c r="AO416" s="44">
        <f>IF(AND(MIP_4[Exc]=0,MIP_4[Previsto / Realizado]="Realizado"),MIP_4[Sem],0)</f>
        <v>0</v>
      </c>
      <c r="AP416" s="29">
        <f>IF(AND(MIP_4[Exc]=0,MIP_4[Previsto / Realizado]="Realizado",ISBLANK(MIP_4[[#This Row],[S.B Sitrack]])=FALSE,ISBLANK(MIP_4[[#This Row],[C.B Sitrack]])=FALSE),MIP_4[Sem],0)</f>
        <v>0</v>
      </c>
    </row>
    <row r="417" spans="1:42" ht="15.75" x14ac:dyDescent="0.25">
      <c r="A417" s="44">
        <f>WEEKNUM(MIP_4[[#This Row],[Data]])</f>
        <v>34</v>
      </c>
      <c r="B417" s="45">
        <v>42970</v>
      </c>
      <c r="C417" s="45"/>
      <c r="D417" s="35" t="s">
        <v>10</v>
      </c>
      <c r="E417" s="35" t="s">
        <v>2</v>
      </c>
      <c r="F417" s="35"/>
      <c r="G417" s="44">
        <v>2</v>
      </c>
      <c r="H417" s="44">
        <v>6</v>
      </c>
      <c r="I417" s="44">
        <v>0</v>
      </c>
      <c r="J417" s="44">
        <v>1</v>
      </c>
      <c r="K417" s="44">
        <v>0</v>
      </c>
      <c r="L417" s="43">
        <v>0.25</v>
      </c>
      <c r="M417" s="43">
        <v>0.29236111111111113</v>
      </c>
      <c r="N417" s="43">
        <v>0.61805555555555558</v>
      </c>
      <c r="O417" s="43">
        <v>0.65833333333333333</v>
      </c>
      <c r="P417" s="39">
        <v>3.8194444444444441E-2</v>
      </c>
      <c r="Q417" s="42" t="s">
        <v>297</v>
      </c>
      <c r="R417" s="29">
        <f>MIP_4[[#This Row],[PT-1]]+MIP_4[[#This Row],[PT-2]]*2+MIP_4[[#This Row],[PT-3]]*3+MIP_4[[#This Row],[PT &gt; 3 Pontos]]</f>
        <v>9</v>
      </c>
      <c r="S41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0.12083333333333332</v>
      </c>
      <c r="T41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8.2638888888888873E-2</v>
      </c>
      <c r="U417" s="41">
        <f ca="1">MIP_4[[#This Row],[Eficiência]]</f>
        <v>0.86622425898632571</v>
      </c>
      <c r="V41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17" s="39">
        <f>IF(MIP_4[[#This Row],[P.S]]-MIP_4[[#This Row],[P.E]]&lt;0,1+MIP_4[[#This Row],[P.S]]-MIP_4[[#This Row],[P.E]]-1/24,MIP_4[[#This Row],[P.S]]-MIP_4[[#This Row],[P.E]]-1/24)</f>
        <v>0.36666666666666664</v>
      </c>
      <c r="X417" s="39">
        <f ca="1">MIP_4[[#This Row],[PT-1]]*$S$3+MIP_4[[#This Row],[PT-2]]*$T$3+MIP_4[[#This Row],[PT-3]]*$U$3+MIP_4[[#This Row],[PT &gt; 3 Pontos]]*$V$3</f>
        <v>0.21294679700080507</v>
      </c>
      <c r="Y417" s="39">
        <f>MIP_4[[#This Row],[HH disponível]]-MIP_4[[#This Row],[HH AC TOT]]</f>
        <v>0.24583333333333332</v>
      </c>
      <c r="Z417" s="38">
        <f ca="1">MIP_4[[#This Row],[HH Produtivo
Total]]/MIP_4[[#This Row],[HH Trabalhado]]</f>
        <v>0.86622425898632571</v>
      </c>
      <c r="AA417" s="38">
        <f ca="1">MIP_4[[#This Row],[HH Produtivo
Total]]/MIP_4[[#This Row],[HH disponível]]</f>
        <v>0.58076399182037752</v>
      </c>
      <c r="AB417" s="38">
        <f>MIP_4[[#This Row],[HH Trabalhado]]/MIP_4[[#This Row],[HH disponível]]</f>
        <v>0.67045454545454541</v>
      </c>
      <c r="AC417" s="37" t="str">
        <f>LEFT(MIP_4[[#This Row],[Equipe]], SEARCH("/",MIP_4[[#This Row],[Equipe]],1)-1)</f>
        <v xml:space="preserve">JOILSON </v>
      </c>
      <c r="AD417" s="37" t="str">
        <f>RIGHT(MIP_4[[#This Row],[Equipe]], LEN(MIP_4[[#This Row],[Equipe]])-SEARCH("/",MIP_4[[#This Row],[Equipe]],1))</f>
        <v xml:space="preserve"> VALDEI</v>
      </c>
      <c r="AE417" s="44">
        <f>COUNTIFS('[1]Tempo parado'!G:G,"&gt;="&amp;MIP_4[[#This Row],[S.B Sitrack]],'[1]Tempo parado'!H:H,"&lt;="&amp;MIP_4[[#This Row],[C.B Sitrack]],'[1]Tempo parado'!A:A,MIP_4[[#This Row],[Placa]])</f>
        <v>0</v>
      </c>
      <c r="AF417" s="36"/>
      <c r="AG417" s="35"/>
      <c r="AH417" s="34"/>
      <c r="AI417" s="34"/>
      <c r="AJ41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1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1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17" s="32" t="str">
        <f>IFERROR(MIP_4[[#This Row],[Tempo parado]]/(MIP_4[[#This Row],[C.B Sitrack]]-MIP_4[[#This Row],[S.B Sitrack]]),"")</f>
        <v/>
      </c>
      <c r="AN417" s="30"/>
      <c r="AO417" s="44">
        <f>IF(AND(MIP_4[Exc]=0,MIP_4[Previsto / Realizado]="Realizado"),MIP_4[Sem],0)</f>
        <v>34</v>
      </c>
      <c r="AP417" s="29">
        <f>IF(AND(MIP_4[Exc]=0,MIP_4[Previsto / Realizado]="Realizado",ISBLANK(MIP_4[[#This Row],[S.B Sitrack]])=FALSE,ISBLANK(MIP_4[[#This Row],[C.B Sitrack]])=FALSE),MIP_4[Sem],0)</f>
        <v>0</v>
      </c>
    </row>
    <row r="418" spans="1:42" ht="15.75" x14ac:dyDescent="0.25">
      <c r="A418" s="44">
        <f>WEEKNUM(MIP_4[[#This Row],[Data]])</f>
        <v>34</v>
      </c>
      <c r="B418" s="45">
        <v>42970</v>
      </c>
      <c r="C418" s="45"/>
      <c r="D418" s="35" t="s">
        <v>19</v>
      </c>
      <c r="E418" s="35" t="s">
        <v>5</v>
      </c>
      <c r="F418" s="35"/>
      <c r="G418" s="44">
        <v>2</v>
      </c>
      <c r="H418" s="44">
        <v>2</v>
      </c>
      <c r="I418" s="44">
        <v>0</v>
      </c>
      <c r="J418" s="44">
        <v>0</v>
      </c>
      <c r="K418" s="44">
        <v>4</v>
      </c>
      <c r="L418" s="43">
        <v>0.625</v>
      </c>
      <c r="M418" s="43">
        <v>0.64583333333333337</v>
      </c>
      <c r="N418" s="43">
        <f>1+18/24/60</f>
        <v>1.0125</v>
      </c>
      <c r="O418" s="43">
        <f>1+48/24/60</f>
        <v>1.0333333333333334</v>
      </c>
      <c r="P418" s="39"/>
      <c r="Q418" s="42" t="s">
        <v>296</v>
      </c>
      <c r="R418" s="29">
        <f>MIP_4[[#This Row],[PT-1]]+MIP_4[[#This Row],[PT-2]]*2+MIP_4[[#This Row],[PT-3]]*3+MIP_4[[#This Row],[PT &gt; 3 Pontos]]</f>
        <v>6</v>
      </c>
      <c r="S41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41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418" s="41">
        <f ca="1">MIP_4[[#This Row],[Eficiência]]</f>
        <v>0.40321153674112625</v>
      </c>
      <c r="V41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18" s="39">
        <f>IF(MIP_4[[#This Row],[P.S]]-MIP_4[[#This Row],[P.E]]&lt;0,1+MIP_4[[#This Row],[P.S]]-MIP_4[[#This Row],[P.E]]-1/24,MIP_4[[#This Row],[P.S]]-MIP_4[[#This Row],[P.E]]-1/24)</f>
        <v>0.36666666666666675</v>
      </c>
      <c r="X418" s="39">
        <f ca="1">MIP_4[[#This Row],[PT-1]]*$S$3+MIP_4[[#This Row],[PT-2]]*$T$3+MIP_4[[#This Row],[PT-3]]*$U$3+MIP_4[[#This Row],[PT &gt; 3 Pontos]]*$V$3</f>
        <v>0.131043749440866</v>
      </c>
      <c r="Y418" s="39">
        <f>MIP_4[[#This Row],[HH disponível]]-MIP_4[[#This Row],[HH AC TOT]]</f>
        <v>0.3249999999999999</v>
      </c>
      <c r="Z418" s="38">
        <f ca="1">MIP_4[[#This Row],[HH Produtivo
Total]]/MIP_4[[#This Row],[HH Trabalhado]]</f>
        <v>0.40321153674112625</v>
      </c>
      <c r="AA418" s="38">
        <f ca="1">MIP_4[[#This Row],[HH Produtivo
Total]]/MIP_4[[#This Row],[HH disponível]]</f>
        <v>0.35739204392963447</v>
      </c>
      <c r="AB418" s="38">
        <f>MIP_4[[#This Row],[HH Trabalhado]]/MIP_4[[#This Row],[HH disponível]]</f>
        <v>0.88636363636363591</v>
      </c>
      <c r="AC418" s="37" t="str">
        <f>LEFT(MIP_4[[#This Row],[Equipe]], SEARCH("/",MIP_4[[#This Row],[Equipe]],1)-1)</f>
        <v xml:space="preserve">ADEMÁRIO </v>
      </c>
      <c r="AD418" s="37" t="str">
        <f>RIGHT(MIP_4[[#This Row],[Equipe]], LEN(MIP_4[[#This Row],[Equipe]])-SEARCH("/",MIP_4[[#This Row],[Equipe]],1))</f>
        <v xml:space="preserve"> RONALDO</v>
      </c>
      <c r="AE418" s="44">
        <f>COUNTIFS('[1]Tempo parado'!G:G,"&gt;="&amp;MIP_4[[#This Row],[S.B Sitrack]],'[1]Tempo parado'!H:H,"&lt;="&amp;MIP_4[[#This Row],[C.B Sitrack]],'[1]Tempo parado'!A:A,MIP_4[[#This Row],[Placa]])</f>
        <v>0</v>
      </c>
      <c r="AF418" s="36"/>
      <c r="AG418" s="35"/>
      <c r="AH418" s="34"/>
      <c r="AI418" s="34"/>
      <c r="AJ41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1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1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18" s="32" t="str">
        <f>IFERROR(MIP_4[[#This Row],[Tempo parado]]/(MIP_4[[#This Row],[C.B Sitrack]]-MIP_4[[#This Row],[S.B Sitrack]]),"")</f>
        <v/>
      </c>
      <c r="AN418" s="30"/>
      <c r="AO418" s="44">
        <f>IF(AND(MIP_4[Exc]=0,MIP_4[Previsto / Realizado]="Realizado"),MIP_4[Sem],0)</f>
        <v>0</v>
      </c>
      <c r="AP418" s="29">
        <f>IF(AND(MIP_4[Exc]=0,MIP_4[Previsto / Realizado]="Realizado",ISBLANK(MIP_4[[#This Row],[S.B Sitrack]])=FALSE,ISBLANK(MIP_4[[#This Row],[C.B Sitrack]])=FALSE),MIP_4[Sem],0)</f>
        <v>0</v>
      </c>
    </row>
    <row r="419" spans="1:42" ht="15.75" x14ac:dyDescent="0.25">
      <c r="A419" s="44">
        <f>WEEKNUM(MIP_4[[#This Row],[Data]])</f>
        <v>34</v>
      </c>
      <c r="B419" s="45">
        <v>42970</v>
      </c>
      <c r="C419" s="45"/>
      <c r="D419" s="35" t="s">
        <v>19</v>
      </c>
      <c r="E419" s="35" t="s">
        <v>2</v>
      </c>
      <c r="F419" s="35"/>
      <c r="G419" s="44">
        <v>2</v>
      </c>
      <c r="H419" s="44">
        <v>2</v>
      </c>
      <c r="I419" s="44">
        <v>0</v>
      </c>
      <c r="J419" s="44">
        <v>0</v>
      </c>
      <c r="K419" s="44">
        <v>4</v>
      </c>
      <c r="L419" s="43">
        <v>0.62013888888888891</v>
      </c>
      <c r="M419" s="43">
        <v>0.67152777777777783</v>
      </c>
      <c r="N419" s="43">
        <f>1+35/24/60</f>
        <v>1.0243055555555556</v>
      </c>
      <c r="O419" s="43">
        <f>1+60/24/60</f>
        <v>1.0416666666666667</v>
      </c>
      <c r="P419" s="39">
        <v>0.22222222222222221</v>
      </c>
      <c r="Q419" s="42" t="s">
        <v>295</v>
      </c>
      <c r="R419" s="29">
        <f>MIP_4[[#This Row],[PT-1]]+MIP_4[[#This Row],[PT-2]]*2+MIP_4[[#This Row],[PT-3]]*3+MIP_4[[#This Row],[PT &gt; 3 Pontos]]</f>
        <v>6</v>
      </c>
      <c r="S41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0.2909722222222223</v>
      </c>
      <c r="T41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6.8750000000000089E-2</v>
      </c>
      <c r="U419" s="41">
        <f ca="1">MIP_4[[#This Row],[Eficiência]]</f>
        <v>1.474242181209743</v>
      </c>
      <c r="V41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19" s="39">
        <f>IF(MIP_4[[#This Row],[P.S]]-MIP_4[[#This Row],[P.E]]&lt;0,1+MIP_4[[#This Row],[P.S]]-MIP_4[[#This Row],[P.E]]-1/24,MIP_4[[#This Row],[P.S]]-MIP_4[[#This Row],[P.E]]-1/24)</f>
        <v>0.37986111111111115</v>
      </c>
      <c r="X419" s="39">
        <f ca="1">MIP_4[[#This Row],[PT-1]]*$S$3+MIP_4[[#This Row],[PT-2]]*$T$3+MIP_4[[#This Row],[PT-3]]*$U$3+MIP_4[[#This Row],[PT &gt; 3 Pontos]]*$V$3</f>
        <v>0.131043749440866</v>
      </c>
      <c r="Y419" s="39">
        <f>MIP_4[[#This Row],[HH disponível]]-MIP_4[[#This Row],[HH AC TOT]]</f>
        <v>8.8888888888888851E-2</v>
      </c>
      <c r="Z419" s="38">
        <f ca="1">MIP_4[[#This Row],[HH Produtivo
Total]]/MIP_4[[#This Row],[HH Trabalhado]]</f>
        <v>1.474242181209743</v>
      </c>
      <c r="AA419" s="38">
        <f ca="1">MIP_4[[#This Row],[HH Produtivo
Total]]/MIP_4[[#This Row],[HH disponível]]</f>
        <v>0.34497806068527792</v>
      </c>
      <c r="AB419" s="38">
        <f>MIP_4[[#This Row],[HH Trabalhado]]/MIP_4[[#This Row],[HH disponível]]</f>
        <v>0.23400365630712969</v>
      </c>
      <c r="AC419" s="37" t="str">
        <f>LEFT(MIP_4[[#This Row],[Equipe]], SEARCH("/",MIP_4[[#This Row],[Equipe]],1)-1)</f>
        <v xml:space="preserve">ADEMÁRIO </v>
      </c>
      <c r="AD419" s="37" t="str">
        <f>RIGHT(MIP_4[[#This Row],[Equipe]], LEN(MIP_4[[#This Row],[Equipe]])-SEARCH("/",MIP_4[[#This Row],[Equipe]],1))</f>
        <v xml:space="preserve"> RONALDO</v>
      </c>
      <c r="AE419" s="44">
        <f>COUNTIFS('[1]Tempo parado'!G:G,"&gt;="&amp;MIP_4[[#This Row],[S.B Sitrack]],'[1]Tempo parado'!H:H,"&lt;="&amp;MIP_4[[#This Row],[C.B Sitrack]],'[1]Tempo parado'!A:A,MIP_4[[#This Row],[Placa]])</f>
        <v>0</v>
      </c>
      <c r="AF419" s="36"/>
      <c r="AG419" s="35"/>
      <c r="AH419" s="34"/>
      <c r="AI419" s="34"/>
      <c r="AJ41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1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1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19" s="32" t="str">
        <f>IFERROR(MIP_4[[#This Row],[Tempo parado]]/(MIP_4[[#This Row],[C.B Sitrack]]-MIP_4[[#This Row],[S.B Sitrack]]),"")</f>
        <v/>
      </c>
      <c r="AN419" s="30"/>
      <c r="AO419" s="44">
        <f>IF(AND(MIP_4[Exc]=0,MIP_4[Previsto / Realizado]="Realizado"),MIP_4[Sem],0)</f>
        <v>34</v>
      </c>
      <c r="AP419" s="29">
        <f>IF(AND(MIP_4[Exc]=0,MIP_4[Previsto / Realizado]="Realizado",ISBLANK(MIP_4[[#This Row],[S.B Sitrack]])=FALSE,ISBLANK(MIP_4[[#This Row],[C.B Sitrack]])=FALSE),MIP_4[Sem],0)</f>
        <v>0</v>
      </c>
    </row>
    <row r="420" spans="1:42" ht="15.75" x14ac:dyDescent="0.25">
      <c r="A420" s="44">
        <f>WEEKNUM(MIP_4[[#This Row],[Data]])</f>
        <v>34</v>
      </c>
      <c r="B420" s="45">
        <v>42971</v>
      </c>
      <c r="C420" s="45"/>
      <c r="D420" s="35" t="s">
        <v>10</v>
      </c>
      <c r="E420" s="35" t="s">
        <v>5</v>
      </c>
      <c r="F420" s="35"/>
      <c r="G420" s="44">
        <v>2</v>
      </c>
      <c r="H420" s="44">
        <v>8</v>
      </c>
      <c r="I420" s="44">
        <v>2</v>
      </c>
      <c r="J420" s="44">
        <v>0</v>
      </c>
      <c r="K420" s="44">
        <v>0</v>
      </c>
      <c r="L420" s="43">
        <v>0.25</v>
      </c>
      <c r="M420" s="43">
        <v>0.27083333333333331</v>
      </c>
      <c r="N420" s="43">
        <v>0.63750000000000007</v>
      </c>
      <c r="O420" s="43">
        <v>0.65833333333333333</v>
      </c>
      <c r="P420" s="39"/>
      <c r="Q420" s="42"/>
      <c r="R420" s="29">
        <f>MIP_4[[#This Row],[PT-1]]+MIP_4[[#This Row],[PT-2]]*2+MIP_4[[#This Row],[PT-3]]*3+MIP_4[[#This Row],[PT &gt; 3 Pontos]]</f>
        <v>12</v>
      </c>
      <c r="S42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42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420" s="41">
        <f ca="1">MIP_4[[#This Row],[Eficiência]]</f>
        <v>0.88622878731574317</v>
      </c>
      <c r="V42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20" s="39">
        <f>IF(MIP_4[[#This Row],[P.S]]-MIP_4[[#This Row],[P.E]]&lt;0,1+MIP_4[[#This Row],[P.S]]-MIP_4[[#This Row],[P.E]]-1/24,MIP_4[[#This Row],[P.S]]-MIP_4[[#This Row],[P.E]]-1/24)</f>
        <v>0.36666666666666664</v>
      </c>
      <c r="X420" s="39">
        <f ca="1">MIP_4[[#This Row],[PT-1]]*$S$3+MIP_4[[#This Row],[PT-2]]*$T$3+MIP_4[[#This Row],[PT-3]]*$U$3+MIP_4[[#This Row],[PT &gt; 3 Pontos]]*$V$3</f>
        <v>0.2880243558776166</v>
      </c>
      <c r="Y420" s="39">
        <f>MIP_4[[#This Row],[HH disponível]]-MIP_4[[#This Row],[HH AC TOT]]</f>
        <v>0.32500000000000007</v>
      </c>
      <c r="Z420" s="38">
        <f ca="1">MIP_4[[#This Row],[HH Produtivo
Total]]/MIP_4[[#This Row],[HH Trabalhado]]</f>
        <v>0.88622878731574317</v>
      </c>
      <c r="AA420" s="38">
        <f ca="1">MIP_4[[#This Row],[HH Produtivo
Total]]/MIP_4[[#This Row],[HH disponível]]</f>
        <v>0.785520970575318</v>
      </c>
      <c r="AB420" s="38">
        <f>MIP_4[[#This Row],[HH Trabalhado]]/MIP_4[[#This Row],[HH disponível]]</f>
        <v>0.88636363636363658</v>
      </c>
      <c r="AC420" s="37" t="str">
        <f>LEFT(MIP_4[[#This Row],[Equipe]], SEARCH("/",MIP_4[[#This Row],[Equipe]],1)-1)</f>
        <v xml:space="preserve">JOILSON </v>
      </c>
      <c r="AD420" s="37" t="str">
        <f>RIGHT(MIP_4[[#This Row],[Equipe]], LEN(MIP_4[[#This Row],[Equipe]])-SEARCH("/",MIP_4[[#This Row],[Equipe]],1))</f>
        <v xml:space="preserve"> VALDEI</v>
      </c>
      <c r="AE420" s="44">
        <f>COUNTIFS('[1]Tempo parado'!G:G,"&gt;="&amp;MIP_4[[#This Row],[S.B Sitrack]],'[1]Tempo parado'!H:H,"&lt;="&amp;MIP_4[[#This Row],[C.B Sitrack]],'[1]Tempo parado'!A:A,MIP_4[[#This Row],[Placa]])</f>
        <v>0</v>
      </c>
      <c r="AF420" s="36"/>
      <c r="AG420" s="35"/>
      <c r="AH420" s="34"/>
      <c r="AI420" s="34"/>
      <c r="AJ42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2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2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20" s="32" t="str">
        <f>IFERROR(MIP_4[[#This Row],[Tempo parado]]/(MIP_4[[#This Row],[C.B Sitrack]]-MIP_4[[#This Row],[S.B Sitrack]]),"")</f>
        <v/>
      </c>
      <c r="AN420" s="30"/>
      <c r="AO420" s="44">
        <f>IF(AND(MIP_4[Exc]=0,MIP_4[Previsto / Realizado]="Realizado"),MIP_4[Sem],0)</f>
        <v>0</v>
      </c>
      <c r="AP420" s="29">
        <f>IF(AND(MIP_4[Exc]=0,MIP_4[Previsto / Realizado]="Realizado",ISBLANK(MIP_4[[#This Row],[S.B Sitrack]])=FALSE,ISBLANK(MIP_4[[#This Row],[C.B Sitrack]])=FALSE),MIP_4[Sem],0)</f>
        <v>0</v>
      </c>
    </row>
    <row r="421" spans="1:42" ht="15.75" x14ac:dyDescent="0.25">
      <c r="A421" s="44">
        <f>WEEKNUM(MIP_4[[#This Row],[Data]])</f>
        <v>34</v>
      </c>
      <c r="B421" s="45">
        <v>42971</v>
      </c>
      <c r="C421" s="45"/>
      <c r="D421" s="35" t="s">
        <v>293</v>
      </c>
      <c r="E421" s="35" t="s">
        <v>2</v>
      </c>
      <c r="F421" s="35"/>
      <c r="G421" s="44">
        <v>2</v>
      </c>
      <c r="H421" s="44">
        <v>6</v>
      </c>
      <c r="I421" s="44">
        <v>1</v>
      </c>
      <c r="J421" s="44">
        <v>0</v>
      </c>
      <c r="K421" s="44">
        <v>0</v>
      </c>
      <c r="L421" s="43">
        <v>0.26111111111111113</v>
      </c>
      <c r="M421" s="43">
        <v>0.28680555555555554</v>
      </c>
      <c r="N421" s="43">
        <v>0.625</v>
      </c>
      <c r="O421" s="43">
        <v>0.65833333333333333</v>
      </c>
      <c r="P421" s="39">
        <v>6.9444444444444434E-2</v>
      </c>
      <c r="Q421" s="42" t="s">
        <v>294</v>
      </c>
      <c r="R421" s="29">
        <f>MIP_4[[#This Row],[PT-1]]+MIP_4[[#This Row],[PT-2]]*2+MIP_4[[#This Row],[PT-3]]*3+MIP_4[[#This Row],[PT &gt; 3 Pontos]]</f>
        <v>8</v>
      </c>
      <c r="S42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0.12847222222222215</v>
      </c>
      <c r="T42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5.9027777777777735E-2</v>
      </c>
      <c r="U421" s="41">
        <f ca="1">MIP_4[[#This Row],[Eficiência]]</f>
        <v>0.85459325001107955</v>
      </c>
      <c r="V42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21" s="39">
        <f>IF(MIP_4[[#This Row],[P.S]]-MIP_4[[#This Row],[P.E]]&lt;0,1+MIP_4[[#This Row],[P.S]]-MIP_4[[#This Row],[P.E]]-1/24,MIP_4[[#This Row],[P.S]]-MIP_4[[#This Row],[P.E]]-1/24)</f>
        <v>0.35555555555555551</v>
      </c>
      <c r="X421" s="39">
        <f ca="1">MIP_4[[#This Row],[PT-1]]*$S$3+MIP_4[[#This Row],[PT-2]]*$T$3+MIP_4[[#This Row],[PT-3]]*$U$3+MIP_4[[#This Row],[PT &gt; 3 Pontos]]*$V$3</f>
        <v>0.19406388385668266</v>
      </c>
      <c r="Y421" s="39">
        <f>MIP_4[[#This Row],[HH disponível]]-MIP_4[[#This Row],[HH AC TOT]]</f>
        <v>0.22708333333333336</v>
      </c>
      <c r="Z421" s="38">
        <f ca="1">MIP_4[[#This Row],[HH Produtivo
Total]]/MIP_4[[#This Row],[HH Trabalhado]]</f>
        <v>0.85459325001107955</v>
      </c>
      <c r="AA421" s="38">
        <f ca="1">MIP_4[[#This Row],[HH Produtivo
Total]]/MIP_4[[#This Row],[HH disponível]]</f>
        <v>0.54580467334692007</v>
      </c>
      <c r="AB421" s="38">
        <f>MIP_4[[#This Row],[HH Trabalhado]]/MIP_4[[#This Row],[HH disponível]]</f>
        <v>0.63867187500000011</v>
      </c>
      <c r="AC421" s="37" t="str">
        <f>LEFT(MIP_4[[#This Row],[Equipe]], SEARCH("/",MIP_4[[#This Row],[Equipe]],1)-1)</f>
        <v xml:space="preserve">HERVAL </v>
      </c>
      <c r="AD421" s="37" t="str">
        <f>RIGHT(MIP_4[[#This Row],[Equipe]], LEN(MIP_4[[#This Row],[Equipe]])-SEARCH("/",MIP_4[[#This Row],[Equipe]],1))</f>
        <v xml:space="preserve"> JOILSON / VALDEI</v>
      </c>
      <c r="AE421" s="44">
        <f>COUNTIFS('[1]Tempo parado'!G:G,"&gt;="&amp;MIP_4[[#This Row],[S.B Sitrack]],'[1]Tempo parado'!H:H,"&lt;="&amp;MIP_4[[#This Row],[C.B Sitrack]],'[1]Tempo parado'!A:A,MIP_4[[#This Row],[Placa]])</f>
        <v>0</v>
      </c>
      <c r="AF421" s="36"/>
      <c r="AG421" s="35"/>
      <c r="AH421" s="34"/>
      <c r="AI421" s="34"/>
      <c r="AJ42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2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2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21" s="32" t="str">
        <f>IFERROR(MIP_4[[#This Row],[Tempo parado]]/(MIP_4[[#This Row],[C.B Sitrack]]-MIP_4[[#This Row],[S.B Sitrack]]),"")</f>
        <v/>
      </c>
      <c r="AN421" s="30"/>
      <c r="AO421" s="44">
        <f>IF(AND(MIP_4[Exc]=0,MIP_4[Previsto / Realizado]="Realizado"),MIP_4[Sem],0)</f>
        <v>34</v>
      </c>
      <c r="AP421" s="29">
        <f>IF(AND(MIP_4[Exc]=0,MIP_4[Previsto / Realizado]="Realizado",ISBLANK(MIP_4[[#This Row],[S.B Sitrack]])=FALSE,ISBLANK(MIP_4[[#This Row],[C.B Sitrack]])=FALSE),MIP_4[Sem],0)</f>
        <v>0</v>
      </c>
    </row>
    <row r="422" spans="1:42" ht="15.75" x14ac:dyDescent="0.25">
      <c r="A422" s="44">
        <f>WEEKNUM(MIP_4[[#This Row],[Data]])</f>
        <v>34</v>
      </c>
      <c r="B422" s="45">
        <v>42971</v>
      </c>
      <c r="C422" s="45"/>
      <c r="D422" s="35" t="s">
        <v>293</v>
      </c>
      <c r="E422" s="35" t="s">
        <v>5</v>
      </c>
      <c r="F422" s="35"/>
      <c r="G422" s="44">
        <v>2</v>
      </c>
      <c r="H422" s="29">
        <v>3</v>
      </c>
      <c r="I422" s="29">
        <v>1</v>
      </c>
      <c r="J422" s="29">
        <v>2</v>
      </c>
      <c r="K422" s="29">
        <v>0</v>
      </c>
      <c r="L422" s="43">
        <v>0.625</v>
      </c>
      <c r="M422" s="43">
        <v>0.64583333333333337</v>
      </c>
      <c r="N422" s="43">
        <f>1+18/24/60</f>
        <v>1.0125</v>
      </c>
      <c r="O422" s="43">
        <f>1+48/24/60</f>
        <v>1.0333333333333334</v>
      </c>
      <c r="P422" s="39"/>
      <c r="Q422" s="42"/>
      <c r="R422" s="29">
        <f>MIP_4[[#This Row],[PT-1]]+MIP_4[[#This Row],[PT-2]]*2+MIP_4[[#This Row],[PT-3]]*3+MIP_4[[#This Row],[PT &gt; 3 Pontos]]</f>
        <v>11</v>
      </c>
      <c r="S42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42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422" s="41">
        <f ca="1">MIP_4[[#This Row],[Eficiência]]</f>
        <v>0.75252210299764666</v>
      </c>
      <c r="V42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22" s="39">
        <f>IF(MIP_4[[#This Row],[P.S]]-MIP_4[[#This Row],[P.E]]&lt;0,1+MIP_4[[#This Row],[P.S]]-MIP_4[[#This Row],[P.E]]-1/24,MIP_4[[#This Row],[P.S]]-MIP_4[[#This Row],[P.E]]-1/24)</f>
        <v>0.36666666666666675</v>
      </c>
      <c r="X422" s="39">
        <f ca="1">MIP_4[[#This Row],[PT-1]]*$S$3+MIP_4[[#This Row],[PT-2]]*$T$3+MIP_4[[#This Row],[PT-3]]*$U$3+MIP_4[[#This Row],[PT &gt; 3 Pontos]]*$V$3</f>
        <v>0.24456968347423511</v>
      </c>
      <c r="Y422" s="39">
        <f>MIP_4[[#This Row],[HH disponível]]-MIP_4[[#This Row],[HH AC TOT]]</f>
        <v>0.3249999999999999</v>
      </c>
      <c r="Z422" s="38">
        <f ca="1">MIP_4[[#This Row],[HH Produtivo
Total]]/MIP_4[[#This Row],[HH Trabalhado]]</f>
        <v>0.75252210299764666</v>
      </c>
      <c r="AA422" s="38">
        <f ca="1">MIP_4[[#This Row],[HH Produtivo
Total]]/MIP_4[[#This Row],[HH disponível]]</f>
        <v>0.66700822765700463</v>
      </c>
      <c r="AB422" s="38">
        <f>MIP_4[[#This Row],[HH Trabalhado]]/MIP_4[[#This Row],[HH disponível]]</f>
        <v>0.88636363636363591</v>
      </c>
      <c r="AC422" s="37" t="str">
        <f>LEFT(MIP_4[[#This Row],[Equipe]], SEARCH("/",MIP_4[[#This Row],[Equipe]],1)-1)</f>
        <v xml:space="preserve">HERVAL </v>
      </c>
      <c r="AD422" s="37" t="str">
        <f>RIGHT(MIP_4[[#This Row],[Equipe]], LEN(MIP_4[[#This Row],[Equipe]])-SEARCH("/",MIP_4[[#This Row],[Equipe]],1))</f>
        <v xml:space="preserve"> JOILSON / VALDEI</v>
      </c>
      <c r="AE422" s="44">
        <f>COUNTIFS('[1]Tempo parado'!G:G,"&gt;="&amp;MIP_4[[#This Row],[S.B Sitrack]],'[1]Tempo parado'!H:H,"&lt;="&amp;MIP_4[[#This Row],[C.B Sitrack]],'[1]Tempo parado'!A:A,MIP_4[[#This Row],[Placa]])</f>
        <v>0</v>
      </c>
      <c r="AF422" s="36"/>
      <c r="AG422" s="35"/>
      <c r="AH422" s="34"/>
      <c r="AI422" s="34"/>
      <c r="AJ42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2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2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22" s="32" t="str">
        <f>IFERROR(MIP_4[[#This Row],[Tempo parado]]/(MIP_4[[#This Row],[C.B Sitrack]]-MIP_4[[#This Row],[S.B Sitrack]]),"")</f>
        <v/>
      </c>
      <c r="AN422" s="30"/>
      <c r="AO422" s="44">
        <f>IF(AND(MIP_4[Exc]=0,MIP_4[Previsto / Realizado]="Realizado"),MIP_4[Sem],0)</f>
        <v>0</v>
      </c>
      <c r="AP422" s="29">
        <f>IF(AND(MIP_4[Exc]=0,MIP_4[Previsto / Realizado]="Realizado",ISBLANK(MIP_4[[#This Row],[S.B Sitrack]])=FALSE,ISBLANK(MIP_4[[#This Row],[C.B Sitrack]])=FALSE),MIP_4[Sem],0)</f>
        <v>0</v>
      </c>
    </row>
    <row r="423" spans="1:42" ht="15.75" x14ac:dyDescent="0.25">
      <c r="A423" s="44">
        <f>WEEKNUM(MIP_4[[#This Row],[Data]])</f>
        <v>34</v>
      </c>
      <c r="B423" s="45">
        <v>42971</v>
      </c>
      <c r="C423" s="45"/>
      <c r="D423" s="35" t="s">
        <v>19</v>
      </c>
      <c r="E423" s="35" t="s">
        <v>2</v>
      </c>
      <c r="F423" s="35"/>
      <c r="G423" s="44">
        <v>2</v>
      </c>
      <c r="H423" s="29">
        <v>3</v>
      </c>
      <c r="I423" s="29">
        <v>1</v>
      </c>
      <c r="J423" s="29">
        <v>2</v>
      </c>
      <c r="K423" s="29">
        <v>0</v>
      </c>
      <c r="L423" s="43">
        <v>0.63750000000000007</v>
      </c>
      <c r="M423" s="43">
        <v>0.67361111111111116</v>
      </c>
      <c r="N423" s="43">
        <v>0.99861111111111101</v>
      </c>
      <c r="O423" s="43">
        <f>1+64/24/60</f>
        <v>1.0444444444444445</v>
      </c>
      <c r="P423" s="39"/>
      <c r="Q423" s="42" t="s">
        <v>292</v>
      </c>
      <c r="R423" s="29">
        <f>MIP_4[[#This Row],[PT-1]]+MIP_4[[#This Row],[PT-2]]*2+MIP_4[[#This Row],[PT-3]]*3+MIP_4[[#This Row],[PT &gt; 3 Pontos]]</f>
        <v>11</v>
      </c>
      <c r="S42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8.1944444444444597E-2</v>
      </c>
      <c r="T42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8.1944444444444597E-2</v>
      </c>
      <c r="U423" s="41">
        <f ca="1">MIP_4[[#This Row],[Eficiência]]</f>
        <v>0.86318711814435978</v>
      </c>
      <c r="V42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23" s="39">
        <f>IF(MIP_4[[#This Row],[P.S]]-MIP_4[[#This Row],[P.E]]&lt;0,1+MIP_4[[#This Row],[P.S]]-MIP_4[[#This Row],[P.E]]-1/24,MIP_4[[#This Row],[P.S]]-MIP_4[[#This Row],[P.E]]-1/24)</f>
        <v>0.36527777777777776</v>
      </c>
      <c r="X423" s="39">
        <f ca="1">MIP_4[[#This Row],[PT-1]]*$S$3+MIP_4[[#This Row],[PT-2]]*$T$3+MIP_4[[#This Row],[PT-3]]*$U$3+MIP_4[[#This Row],[PT &gt; 3 Pontos]]*$V$3</f>
        <v>0.24456968347423511</v>
      </c>
      <c r="Y423" s="39">
        <f>MIP_4[[#This Row],[HH disponível]]-MIP_4[[#This Row],[HH AC TOT]]</f>
        <v>0.28333333333333316</v>
      </c>
      <c r="Z423" s="38">
        <f ca="1">MIP_4[[#This Row],[HH Produtivo
Total]]/MIP_4[[#This Row],[HH Trabalhado]]</f>
        <v>0.86318711814435978</v>
      </c>
      <c r="AA423" s="38">
        <f ca="1">MIP_4[[#This Row],[HH Produtivo
Total]]/MIP_4[[#This Row],[HH disponível]]</f>
        <v>0.66954438061387567</v>
      </c>
      <c r="AB423" s="38">
        <f>MIP_4[[#This Row],[HH Trabalhado]]/MIP_4[[#This Row],[HH disponível]]</f>
        <v>0.77566539923954325</v>
      </c>
      <c r="AC423" s="37" t="str">
        <f>LEFT(MIP_4[[#This Row],[Equipe]], SEARCH("/",MIP_4[[#This Row],[Equipe]],1)-1)</f>
        <v xml:space="preserve">ADEMÁRIO </v>
      </c>
      <c r="AD423" s="37" t="str">
        <f>RIGHT(MIP_4[[#This Row],[Equipe]], LEN(MIP_4[[#This Row],[Equipe]])-SEARCH("/",MIP_4[[#This Row],[Equipe]],1))</f>
        <v xml:space="preserve"> RONALDO</v>
      </c>
      <c r="AE423" s="44">
        <f>COUNTIFS('[1]Tempo parado'!G:G,"&gt;="&amp;MIP_4[[#This Row],[S.B Sitrack]],'[1]Tempo parado'!H:H,"&lt;="&amp;MIP_4[[#This Row],[C.B Sitrack]],'[1]Tempo parado'!A:A,MIP_4[[#This Row],[Placa]])</f>
        <v>0</v>
      </c>
      <c r="AF423" s="36"/>
      <c r="AG423" s="35"/>
      <c r="AH423" s="34"/>
      <c r="AI423" s="34"/>
      <c r="AJ42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2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2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23" s="32" t="str">
        <f>IFERROR(MIP_4[[#This Row],[Tempo parado]]/(MIP_4[[#This Row],[C.B Sitrack]]-MIP_4[[#This Row],[S.B Sitrack]]),"")</f>
        <v/>
      </c>
      <c r="AN423" s="30"/>
      <c r="AO423" s="44">
        <f>IF(AND(MIP_4[Exc]=0,MIP_4[Previsto / Realizado]="Realizado"),MIP_4[Sem],0)</f>
        <v>34</v>
      </c>
      <c r="AP423" s="29">
        <f>IF(AND(MIP_4[Exc]=0,MIP_4[Previsto / Realizado]="Realizado",ISBLANK(MIP_4[[#This Row],[S.B Sitrack]])=FALSE,ISBLANK(MIP_4[[#This Row],[C.B Sitrack]])=FALSE),MIP_4[Sem],0)</f>
        <v>0</v>
      </c>
    </row>
    <row r="424" spans="1:42" ht="15.75" x14ac:dyDescent="0.25">
      <c r="A424" s="44">
        <f>WEEKNUM(MIP_4[[#This Row],[Data]])</f>
        <v>34</v>
      </c>
      <c r="B424" s="45">
        <v>42971</v>
      </c>
      <c r="C424" s="45"/>
      <c r="D424" s="35" t="s">
        <v>7</v>
      </c>
      <c r="E424" s="35" t="s">
        <v>5</v>
      </c>
      <c r="F424" s="35"/>
      <c r="G424" s="44">
        <v>2</v>
      </c>
      <c r="H424" s="29">
        <v>2</v>
      </c>
      <c r="I424" s="29">
        <v>1</v>
      </c>
      <c r="J424" s="29">
        <v>0</v>
      </c>
      <c r="K424" s="29">
        <v>0</v>
      </c>
      <c r="L424" s="43">
        <v>0.625</v>
      </c>
      <c r="M424" s="43">
        <v>0.64583333333333337</v>
      </c>
      <c r="N424" s="43">
        <f>1+18/24/60</f>
        <v>1.0125</v>
      </c>
      <c r="O424" s="43">
        <f>1+48/24/60</f>
        <v>1.0333333333333334</v>
      </c>
      <c r="P424" s="39"/>
      <c r="Q424" s="42" t="s">
        <v>291</v>
      </c>
      <c r="R424" s="29">
        <f>MIP_4[[#This Row],[PT-1]]+MIP_4[[#This Row],[PT-2]]*2+MIP_4[[#This Row],[PT-3]]*3+MIP_4[[#This Row],[PT &gt; 3 Pontos]]</f>
        <v>4</v>
      </c>
      <c r="S42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42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424" s="41">
        <f ca="1">MIP_4[[#This Row],[Eficiência]]</f>
        <v>0.28910914467979681</v>
      </c>
      <c r="V42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24" s="39">
        <f>IF(MIP_4[[#This Row],[P.S]]-MIP_4[[#This Row],[P.E]]&lt;0,1+MIP_4[[#This Row],[P.S]]-MIP_4[[#This Row],[P.E]]-1/24,MIP_4[[#This Row],[P.S]]-MIP_4[[#This Row],[P.E]]-1/24)</f>
        <v>0.36666666666666675</v>
      </c>
      <c r="X424" s="39">
        <f ca="1">MIP_4[[#This Row],[PT-1]]*$S$3+MIP_4[[#This Row],[PT-2]]*$T$3+MIP_4[[#This Row],[PT-3]]*$U$3+MIP_4[[#This Row],[PT &gt; 3 Pontos]]*$V$3</f>
        <v>9.3960472020933938E-2</v>
      </c>
      <c r="Y424" s="39">
        <f>MIP_4[[#This Row],[HH disponível]]-MIP_4[[#This Row],[HH AC TOT]]</f>
        <v>0.3249999999999999</v>
      </c>
      <c r="Z424" s="38">
        <f ca="1">MIP_4[[#This Row],[HH Produtivo
Total]]/MIP_4[[#This Row],[HH Trabalhado]]</f>
        <v>0.28910914467979681</v>
      </c>
      <c r="AA424" s="38">
        <f ca="1">MIP_4[[#This Row],[HH Produtivo
Total]]/MIP_4[[#This Row],[HH disponível]]</f>
        <v>0.2562558327843652</v>
      </c>
      <c r="AB424" s="38">
        <f>MIP_4[[#This Row],[HH Trabalhado]]/MIP_4[[#This Row],[HH disponível]]</f>
        <v>0.88636363636363591</v>
      </c>
      <c r="AC424" s="37" t="str">
        <f>LEFT(MIP_4[[#This Row],[Equipe]], SEARCH("/",MIP_4[[#This Row],[Equipe]],1)-1)</f>
        <v xml:space="preserve">ANDERSON </v>
      </c>
      <c r="AD424" s="37" t="str">
        <f>RIGHT(MIP_4[[#This Row],[Equipe]], LEN(MIP_4[[#This Row],[Equipe]])-SEARCH("/",MIP_4[[#This Row],[Equipe]],1))</f>
        <v xml:space="preserve"> MARCO</v>
      </c>
      <c r="AE424" s="44">
        <f>COUNTIFS('[1]Tempo parado'!G:G,"&gt;="&amp;MIP_4[[#This Row],[S.B Sitrack]],'[1]Tempo parado'!H:H,"&lt;="&amp;MIP_4[[#This Row],[C.B Sitrack]],'[1]Tempo parado'!A:A,MIP_4[[#This Row],[Placa]])</f>
        <v>0</v>
      </c>
      <c r="AF424" s="36"/>
      <c r="AG424" s="35"/>
      <c r="AH424" s="34"/>
      <c r="AI424" s="34"/>
      <c r="AJ42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2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2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24" s="32" t="str">
        <f>IFERROR(MIP_4[[#This Row],[Tempo parado]]/(MIP_4[[#This Row],[C.B Sitrack]]-MIP_4[[#This Row],[S.B Sitrack]]),"")</f>
        <v/>
      </c>
      <c r="AN424" s="30"/>
      <c r="AO424" s="44">
        <f>IF(AND(MIP_4[Exc]=0,MIP_4[Previsto / Realizado]="Realizado"),MIP_4[Sem],0)</f>
        <v>0</v>
      </c>
      <c r="AP424" s="29">
        <f>IF(AND(MIP_4[Exc]=0,MIP_4[Previsto / Realizado]="Realizado",ISBLANK(MIP_4[[#This Row],[S.B Sitrack]])=FALSE,ISBLANK(MIP_4[[#This Row],[C.B Sitrack]])=FALSE),MIP_4[Sem],0)</f>
        <v>0</v>
      </c>
    </row>
    <row r="425" spans="1:42" ht="15.75" x14ac:dyDescent="0.25">
      <c r="A425" s="44">
        <f>WEEKNUM(MIP_4[[#This Row],[Data]])</f>
        <v>34</v>
      </c>
      <c r="B425" s="45">
        <v>42971</v>
      </c>
      <c r="C425" s="45"/>
      <c r="D425" s="35" t="s">
        <v>7</v>
      </c>
      <c r="E425" s="35" t="s">
        <v>2</v>
      </c>
      <c r="F425" s="35"/>
      <c r="G425" s="44">
        <v>2</v>
      </c>
      <c r="H425" s="29">
        <v>10</v>
      </c>
      <c r="I425" s="29">
        <v>1</v>
      </c>
      <c r="J425" s="29">
        <v>0</v>
      </c>
      <c r="K425" s="29">
        <v>0</v>
      </c>
      <c r="L425" s="43">
        <v>0.62638888888888888</v>
      </c>
      <c r="M425" s="43">
        <v>0.66666666666666663</v>
      </c>
      <c r="N425" s="43">
        <f>1+5/24/60</f>
        <v>1.0034722222222223</v>
      </c>
      <c r="O425" s="43">
        <f>1+48/24/60</f>
        <v>1.0333333333333334</v>
      </c>
      <c r="P425" s="39">
        <v>4.027777777777778E-2</v>
      </c>
      <c r="Q425" s="42" t="s">
        <v>290</v>
      </c>
      <c r="R425" s="29">
        <f>MIP_4[[#This Row],[PT-1]]+MIP_4[[#This Row],[PT-2]]*2+MIP_4[[#This Row],[PT-3]]*3+MIP_4[[#This Row],[PT &gt; 3 Pontos]]</f>
        <v>12</v>
      </c>
      <c r="S42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0.11041666666666664</v>
      </c>
      <c r="T42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7.0138888888888862E-2</v>
      </c>
      <c r="U425" s="41">
        <f ca="1">MIP_4[[#This Row],[Eficiência]]</f>
        <v>1.1542259013544987</v>
      </c>
      <c r="V42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25" s="39">
        <f>IF(MIP_4[[#This Row],[P.S]]-MIP_4[[#This Row],[P.E]]&lt;0,1+MIP_4[[#This Row],[P.S]]-MIP_4[[#This Row],[P.E]]-1/24,MIP_4[[#This Row],[P.S]]-MIP_4[[#This Row],[P.E]]-1/24)</f>
        <v>0.36527777777777787</v>
      </c>
      <c r="X425" s="39">
        <f ca="1">MIP_4[[#This Row],[PT-1]]*$S$3+MIP_4[[#This Row],[PT-2]]*$T$3+MIP_4[[#This Row],[PT-3]]*$U$3+MIP_4[[#This Row],[PT &gt; 3 Pontos]]*$V$3</f>
        <v>0.29416729569243139</v>
      </c>
      <c r="Y425" s="39">
        <f>MIP_4[[#This Row],[HH disponível]]-MIP_4[[#This Row],[HH AC TOT]]</f>
        <v>0.2548611111111112</v>
      </c>
      <c r="Z425" s="38">
        <f ca="1">MIP_4[[#This Row],[HH Produtivo
Total]]/MIP_4[[#This Row],[HH Trabalhado]]</f>
        <v>1.1542259013544987</v>
      </c>
      <c r="AA425" s="38">
        <f ca="1">MIP_4[[#This Row],[HH Produtivo
Total]]/MIP_4[[#This Row],[HH disponível]]</f>
        <v>0.80532491596407052</v>
      </c>
      <c r="AB425" s="38">
        <f>MIP_4[[#This Row],[HH Trabalhado]]/MIP_4[[#This Row],[HH disponível]]</f>
        <v>0.69771863117870736</v>
      </c>
      <c r="AC425" s="37" t="str">
        <f>LEFT(MIP_4[[#This Row],[Equipe]], SEARCH("/",MIP_4[[#This Row],[Equipe]],1)-1)</f>
        <v xml:space="preserve">ANDERSON </v>
      </c>
      <c r="AD425" s="37" t="str">
        <f>RIGHT(MIP_4[[#This Row],[Equipe]], LEN(MIP_4[[#This Row],[Equipe]])-SEARCH("/",MIP_4[[#This Row],[Equipe]],1))</f>
        <v xml:space="preserve"> MARCO</v>
      </c>
      <c r="AE425" s="44">
        <f>COUNTIFS('[1]Tempo parado'!G:G,"&gt;="&amp;MIP_4[[#This Row],[S.B Sitrack]],'[1]Tempo parado'!H:H,"&lt;="&amp;MIP_4[[#This Row],[C.B Sitrack]],'[1]Tempo parado'!A:A,MIP_4[[#This Row],[Placa]])</f>
        <v>0</v>
      </c>
      <c r="AF425" s="36"/>
      <c r="AG425" s="35"/>
      <c r="AH425" s="34"/>
      <c r="AI425" s="34"/>
      <c r="AJ42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2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2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25" s="32" t="str">
        <f>IFERROR(MIP_4[[#This Row],[Tempo parado]]/(MIP_4[[#This Row],[C.B Sitrack]]-MIP_4[[#This Row],[S.B Sitrack]]),"")</f>
        <v/>
      </c>
      <c r="AN425" s="30"/>
      <c r="AO425" s="44">
        <f>IF(AND(MIP_4[Exc]=0,MIP_4[Previsto / Realizado]="Realizado"),MIP_4[Sem],0)</f>
        <v>34</v>
      </c>
      <c r="AP425" s="29">
        <f>IF(AND(MIP_4[Exc]=0,MIP_4[Previsto / Realizado]="Realizado",ISBLANK(MIP_4[[#This Row],[S.B Sitrack]])=FALSE,ISBLANK(MIP_4[[#This Row],[C.B Sitrack]])=FALSE),MIP_4[Sem],0)</f>
        <v>0</v>
      </c>
    </row>
    <row r="426" spans="1:42" ht="15.75" x14ac:dyDescent="0.25">
      <c r="A426" s="44">
        <f>WEEKNUM(MIP_4[[#This Row],[Data]])</f>
        <v>34</v>
      </c>
      <c r="B426" s="45">
        <v>42972</v>
      </c>
      <c r="C426" s="45"/>
      <c r="D426" s="35" t="s">
        <v>10</v>
      </c>
      <c r="E426" s="35" t="s">
        <v>5</v>
      </c>
      <c r="F426" s="35"/>
      <c r="G426" s="44">
        <v>2</v>
      </c>
      <c r="H426" s="44">
        <v>7</v>
      </c>
      <c r="I426" s="44">
        <v>2</v>
      </c>
      <c r="J426" s="44">
        <v>0</v>
      </c>
      <c r="K426" s="44">
        <v>0</v>
      </c>
      <c r="L426" s="43">
        <v>0.25</v>
      </c>
      <c r="M426" s="43">
        <v>0.27083333333333331</v>
      </c>
      <c r="N426" s="43">
        <v>0.63750000000000007</v>
      </c>
      <c r="O426" s="43">
        <v>0.65833333333333333</v>
      </c>
      <c r="P426" s="39"/>
      <c r="Q426" s="42" t="s">
        <v>289</v>
      </c>
      <c r="R426" s="29">
        <f>MIP_4[[#This Row],[PT-1]]+MIP_4[[#This Row],[PT-2]]*2+MIP_4[[#This Row],[PT-3]]*3+MIP_4[[#This Row],[PT &gt; 3 Pontos]]</f>
        <v>11</v>
      </c>
      <c r="S42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42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426" s="41">
        <f ca="1">MIP_4[[#This Row],[Eficiência]]</f>
        <v>0.80922616282670579</v>
      </c>
      <c r="V42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26" s="39">
        <f>IF(MIP_4[[#This Row],[P.S]]-MIP_4[[#This Row],[P.E]]&lt;0,1+MIP_4[[#This Row],[P.S]]-MIP_4[[#This Row],[P.E]]-1/24,MIP_4[[#This Row],[P.S]]-MIP_4[[#This Row],[P.E]]-1/24)</f>
        <v>0.36666666666666664</v>
      </c>
      <c r="X426" s="39">
        <f ca="1">MIP_4[[#This Row],[PT-1]]*$S$3+MIP_4[[#This Row],[PT-2]]*$T$3+MIP_4[[#This Row],[PT-3]]*$U$3+MIP_4[[#This Row],[PT &gt; 3 Pontos]]*$V$3</f>
        <v>0.26299850291867943</v>
      </c>
      <c r="Y426" s="39">
        <f>MIP_4[[#This Row],[HH disponível]]-MIP_4[[#This Row],[HH AC TOT]]</f>
        <v>0.32500000000000007</v>
      </c>
      <c r="Z426" s="38">
        <f ca="1">MIP_4[[#This Row],[HH Produtivo
Total]]/MIP_4[[#This Row],[HH Trabalhado]]</f>
        <v>0.80922616282670579</v>
      </c>
      <c r="AA426" s="38">
        <f ca="1">MIP_4[[#This Row],[HH Produtivo
Total]]/MIP_4[[#This Row],[HH disponível]]</f>
        <v>0.71726864432367121</v>
      </c>
      <c r="AB426" s="38">
        <f>MIP_4[[#This Row],[HH Trabalhado]]/MIP_4[[#This Row],[HH disponível]]</f>
        <v>0.88636363636363658</v>
      </c>
      <c r="AC426" s="37" t="str">
        <f>LEFT(MIP_4[[#This Row],[Equipe]], SEARCH("/",MIP_4[[#This Row],[Equipe]],1)-1)</f>
        <v xml:space="preserve">JOILSON </v>
      </c>
      <c r="AD426" s="37" t="str">
        <f>RIGHT(MIP_4[[#This Row],[Equipe]], LEN(MIP_4[[#This Row],[Equipe]])-SEARCH("/",MIP_4[[#This Row],[Equipe]],1))</f>
        <v xml:space="preserve"> VALDEI</v>
      </c>
      <c r="AE426" s="44">
        <f>COUNTIFS('[1]Tempo parado'!G:G,"&gt;="&amp;MIP_4[[#This Row],[S.B Sitrack]],'[1]Tempo parado'!H:H,"&lt;="&amp;MIP_4[[#This Row],[C.B Sitrack]],'[1]Tempo parado'!A:A,MIP_4[[#This Row],[Placa]])</f>
        <v>0</v>
      </c>
      <c r="AF426" s="36"/>
      <c r="AG426" s="35"/>
      <c r="AH426" s="34"/>
      <c r="AI426" s="34"/>
      <c r="AJ42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2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2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26" s="32" t="str">
        <f>IFERROR(MIP_4[[#This Row],[Tempo parado]]/(MIP_4[[#This Row],[C.B Sitrack]]-MIP_4[[#This Row],[S.B Sitrack]]),"")</f>
        <v/>
      </c>
      <c r="AN426" s="30"/>
      <c r="AO426" s="44">
        <f>IF(AND(MIP_4[Exc]=0,MIP_4[Previsto / Realizado]="Realizado"),MIP_4[Sem],0)</f>
        <v>0</v>
      </c>
      <c r="AP426" s="29">
        <f>IF(AND(MIP_4[Exc]=0,MIP_4[Previsto / Realizado]="Realizado",ISBLANK(MIP_4[[#This Row],[S.B Sitrack]])=FALSE,ISBLANK(MIP_4[[#This Row],[C.B Sitrack]])=FALSE),MIP_4[Sem],0)</f>
        <v>0</v>
      </c>
    </row>
    <row r="427" spans="1:42" ht="15.75" x14ac:dyDescent="0.25">
      <c r="A427" s="44">
        <f>WEEKNUM(MIP_4[[#This Row],[Data]])</f>
        <v>34</v>
      </c>
      <c r="B427" s="45">
        <v>42972</v>
      </c>
      <c r="C427" s="45"/>
      <c r="D427" s="35" t="s">
        <v>10</v>
      </c>
      <c r="E427" s="35" t="s">
        <v>2</v>
      </c>
      <c r="F427" s="35"/>
      <c r="G427" s="44">
        <v>2</v>
      </c>
      <c r="H427" s="44">
        <v>8</v>
      </c>
      <c r="I427" s="44">
        <v>0</v>
      </c>
      <c r="J427" s="44">
        <v>0</v>
      </c>
      <c r="K427" s="44">
        <v>0</v>
      </c>
      <c r="L427" s="43">
        <v>0.24722222222222223</v>
      </c>
      <c r="M427" s="43">
        <v>0.27777777777777779</v>
      </c>
      <c r="N427" s="43">
        <v>0.60069444444444442</v>
      </c>
      <c r="O427" s="43">
        <v>0.66111111111111109</v>
      </c>
      <c r="P427" s="39"/>
      <c r="Q427" s="42" t="s">
        <v>288</v>
      </c>
      <c r="R427" s="29">
        <f>MIP_4[[#This Row],[PT-1]]+MIP_4[[#This Row],[PT-2]]*2+MIP_4[[#This Row],[PT-3]]*3+MIP_4[[#This Row],[PT &gt; 3 Pontos]]</f>
        <v>8</v>
      </c>
      <c r="S42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9.0972222222222232E-2</v>
      </c>
      <c r="T42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9.0972222222222232E-2</v>
      </c>
      <c r="U427" s="41">
        <f ca="1">MIP_4[[#This Row],[Eficiência]]</f>
        <v>0.71184648416532437</v>
      </c>
      <c r="V42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27" s="39">
        <f>IF(MIP_4[[#This Row],[P.S]]-MIP_4[[#This Row],[P.E]]&lt;0,1+MIP_4[[#This Row],[P.S]]-MIP_4[[#This Row],[P.E]]-1/24,MIP_4[[#This Row],[P.S]]-MIP_4[[#This Row],[P.E]]-1/24)</f>
        <v>0.37222222222222218</v>
      </c>
      <c r="X427" s="39">
        <f ca="1">MIP_4[[#This Row],[PT-1]]*$S$3+MIP_4[[#This Row],[PT-2]]*$T$3+MIP_4[[#This Row],[PT-3]]*$U$3+MIP_4[[#This Row],[PT &gt; 3 Pontos]]*$V$3</f>
        <v>0.20020682367149745</v>
      </c>
      <c r="Y427" s="39">
        <f>MIP_4[[#This Row],[HH disponível]]-MIP_4[[#This Row],[HH AC TOT]]</f>
        <v>0.28124999999999994</v>
      </c>
      <c r="Z427" s="38">
        <f ca="1">MIP_4[[#This Row],[HH Produtivo
Total]]/MIP_4[[#This Row],[HH Trabalhado]]</f>
        <v>0.71184648416532437</v>
      </c>
      <c r="AA427" s="38">
        <f ca="1">MIP_4[[#This Row],[HH Produtivo
Total]]/MIP_4[[#This Row],[HH disponível]]</f>
        <v>0.53786907852044097</v>
      </c>
      <c r="AB427" s="38">
        <f>MIP_4[[#This Row],[HH Trabalhado]]/MIP_4[[#This Row],[HH disponível]]</f>
        <v>0.75559701492537312</v>
      </c>
      <c r="AC427" s="37" t="str">
        <f>LEFT(MIP_4[[#This Row],[Equipe]], SEARCH("/",MIP_4[[#This Row],[Equipe]],1)-1)</f>
        <v xml:space="preserve">JOILSON </v>
      </c>
      <c r="AD427" s="37" t="str">
        <f>RIGHT(MIP_4[[#This Row],[Equipe]], LEN(MIP_4[[#This Row],[Equipe]])-SEARCH("/",MIP_4[[#This Row],[Equipe]],1))</f>
        <v xml:space="preserve"> VALDEI</v>
      </c>
      <c r="AE427" s="44">
        <f>COUNTIFS('[1]Tempo parado'!G:G,"&gt;="&amp;MIP_4[[#This Row],[S.B Sitrack]],'[1]Tempo parado'!H:H,"&lt;="&amp;MIP_4[[#This Row],[C.B Sitrack]],'[1]Tempo parado'!A:A,MIP_4[[#This Row],[Placa]])</f>
        <v>0</v>
      </c>
      <c r="AF427" s="36"/>
      <c r="AG427" s="35"/>
      <c r="AH427" s="34"/>
      <c r="AI427" s="34"/>
      <c r="AJ42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2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2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27" s="32" t="str">
        <f>IFERROR(MIP_4[[#This Row],[Tempo parado]]/(MIP_4[[#This Row],[C.B Sitrack]]-MIP_4[[#This Row],[S.B Sitrack]]),"")</f>
        <v/>
      </c>
      <c r="AN427" s="30"/>
      <c r="AO427" s="44">
        <f>IF(AND(MIP_4[Exc]=0,MIP_4[Previsto / Realizado]="Realizado"),MIP_4[Sem],0)</f>
        <v>34</v>
      </c>
      <c r="AP427" s="29">
        <f>IF(AND(MIP_4[Exc]=0,MIP_4[Previsto / Realizado]="Realizado",ISBLANK(MIP_4[[#This Row],[S.B Sitrack]])=FALSE,ISBLANK(MIP_4[[#This Row],[C.B Sitrack]])=FALSE),MIP_4[Sem],0)</f>
        <v>0</v>
      </c>
    </row>
    <row r="428" spans="1:42" ht="15.75" x14ac:dyDescent="0.25">
      <c r="A428" s="44">
        <f>WEEKNUM(MIP_4[[#This Row],[Data]])</f>
        <v>34</v>
      </c>
      <c r="B428" s="45">
        <v>42972</v>
      </c>
      <c r="C428" s="45"/>
      <c r="D428" s="35" t="s">
        <v>3</v>
      </c>
      <c r="E428" s="35" t="s">
        <v>5</v>
      </c>
      <c r="F428" s="35"/>
      <c r="G428" s="44">
        <v>2</v>
      </c>
      <c r="H428" s="44">
        <v>8</v>
      </c>
      <c r="I428" s="44">
        <v>1</v>
      </c>
      <c r="J428" s="44">
        <v>0</v>
      </c>
      <c r="K428" s="44">
        <v>0</v>
      </c>
      <c r="L428" s="43">
        <v>0.625</v>
      </c>
      <c r="M428" s="43">
        <v>0.64583333333333337</v>
      </c>
      <c r="N428" s="43">
        <f>1+18/24/60</f>
        <v>1.0125</v>
      </c>
      <c r="O428" s="43">
        <f>1+48/24/60</f>
        <v>1.0333333333333334</v>
      </c>
      <c r="P428" s="39"/>
      <c r="Q428" s="42" t="s">
        <v>287</v>
      </c>
      <c r="R428" s="29">
        <f>MIP_4[[#This Row],[PT-1]]+MIP_4[[#This Row],[PT-2]]*2+MIP_4[[#This Row],[PT-3]]*3+MIP_4[[#This Row],[PT &gt; 3 Pontos]]</f>
        <v>10</v>
      </c>
      <c r="S42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42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428" s="41">
        <f ca="1">MIP_4[[#This Row],[Eficiência]]</f>
        <v>0.75112489161402185</v>
      </c>
      <c r="V42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28" s="39">
        <f>IF(MIP_4[[#This Row],[P.S]]-MIP_4[[#This Row],[P.E]]&lt;0,1+MIP_4[[#This Row],[P.S]]-MIP_4[[#This Row],[P.E]]-1/24,MIP_4[[#This Row],[P.S]]-MIP_4[[#This Row],[P.E]]-1/24)</f>
        <v>0.36666666666666675</v>
      </c>
      <c r="X428" s="39">
        <f ca="1">MIP_4[[#This Row],[PT-1]]*$S$3+MIP_4[[#This Row],[PT-2]]*$T$3+MIP_4[[#This Row],[PT-3]]*$U$3+MIP_4[[#This Row],[PT &gt; 3 Pontos]]*$V$3</f>
        <v>0.24411558977455702</v>
      </c>
      <c r="Y428" s="39">
        <f>MIP_4[[#This Row],[HH disponível]]-MIP_4[[#This Row],[HH AC TOT]]</f>
        <v>0.3249999999999999</v>
      </c>
      <c r="Z428" s="38">
        <f ca="1">MIP_4[[#This Row],[HH Produtivo
Total]]/MIP_4[[#This Row],[HH Trabalhado]]</f>
        <v>0.75112489161402185</v>
      </c>
      <c r="AA428" s="38">
        <f ca="1">MIP_4[[#This Row],[HH Produtivo
Total]]/MIP_4[[#This Row],[HH disponível]]</f>
        <v>0.66576979029424632</v>
      </c>
      <c r="AB428" s="38">
        <f>MIP_4[[#This Row],[HH Trabalhado]]/MIP_4[[#This Row],[HH disponível]]</f>
        <v>0.88636363636363591</v>
      </c>
      <c r="AC428" s="37" t="str">
        <f>LEFT(MIP_4[[#This Row],[Equipe]], SEARCH("/",MIP_4[[#This Row],[Equipe]],1)-1)</f>
        <v xml:space="preserve">EDILTON </v>
      </c>
      <c r="AD428" s="37" t="str">
        <f>RIGHT(MIP_4[[#This Row],[Equipe]], LEN(MIP_4[[#This Row],[Equipe]])-SEARCH("/",MIP_4[[#This Row],[Equipe]],1))</f>
        <v xml:space="preserve"> GECIVALDO</v>
      </c>
      <c r="AE428" s="44">
        <f>COUNTIFS('[1]Tempo parado'!G:G,"&gt;="&amp;MIP_4[[#This Row],[S.B Sitrack]],'[1]Tempo parado'!H:H,"&lt;="&amp;MIP_4[[#This Row],[C.B Sitrack]],'[1]Tempo parado'!A:A,MIP_4[[#This Row],[Placa]])</f>
        <v>0</v>
      </c>
      <c r="AF428" s="36"/>
      <c r="AG428" s="35"/>
      <c r="AH428" s="34"/>
      <c r="AI428" s="34"/>
      <c r="AJ42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2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2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28" s="32" t="str">
        <f>IFERROR(MIP_4[[#This Row],[Tempo parado]]/(MIP_4[[#This Row],[C.B Sitrack]]-MIP_4[[#This Row],[S.B Sitrack]]),"")</f>
        <v/>
      </c>
      <c r="AN428" s="30"/>
      <c r="AO428" s="44">
        <f>IF(AND(MIP_4[Exc]=0,MIP_4[Previsto / Realizado]="Realizado"),MIP_4[Sem],0)</f>
        <v>0</v>
      </c>
      <c r="AP428" s="29">
        <f>IF(AND(MIP_4[Exc]=0,MIP_4[Previsto / Realizado]="Realizado",ISBLANK(MIP_4[[#This Row],[S.B Sitrack]])=FALSE,ISBLANK(MIP_4[[#This Row],[C.B Sitrack]])=FALSE),MIP_4[Sem],0)</f>
        <v>0</v>
      </c>
    </row>
    <row r="429" spans="1:42" ht="15.75" x14ac:dyDescent="0.25">
      <c r="A429" s="44">
        <f>WEEKNUM(MIP_4[[#This Row],[Data]])</f>
        <v>34</v>
      </c>
      <c r="B429" s="45">
        <v>42972</v>
      </c>
      <c r="C429" s="45"/>
      <c r="D429" s="35" t="s">
        <v>3</v>
      </c>
      <c r="E429" s="35" t="s">
        <v>2</v>
      </c>
      <c r="F429" s="35"/>
      <c r="G429" s="44">
        <v>2</v>
      </c>
      <c r="H429" s="44">
        <v>8</v>
      </c>
      <c r="I429" s="44">
        <v>1</v>
      </c>
      <c r="J429" s="44">
        <v>0</v>
      </c>
      <c r="K429" s="44">
        <v>0</v>
      </c>
      <c r="L429" s="43">
        <v>0.61736111111111114</v>
      </c>
      <c r="M429" s="43">
        <v>0.67499999999999993</v>
      </c>
      <c r="N429" s="43">
        <v>0.92361111111111116</v>
      </c>
      <c r="O429" s="43">
        <f>1+48/24/60</f>
        <v>1.0333333333333334</v>
      </c>
      <c r="P429" s="39"/>
      <c r="Q429" s="42" t="s">
        <v>286</v>
      </c>
      <c r="R429" s="29">
        <f>MIP_4[[#This Row],[PT-1]]+MIP_4[[#This Row],[PT-2]]*2+MIP_4[[#This Row],[PT-3]]*3+MIP_4[[#This Row],[PT &gt; 3 Pontos]]</f>
        <v>10</v>
      </c>
      <c r="S42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0.16736111111111107</v>
      </c>
      <c r="T42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0.16736111111111107</v>
      </c>
      <c r="U429" s="41">
        <f ca="1">MIP_4[[#This Row],[Eficiência]]</f>
        <v>1.1796189572998723</v>
      </c>
      <c r="V42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29" s="39">
        <f>IF(MIP_4[[#This Row],[P.S]]-MIP_4[[#This Row],[P.E]]&lt;0,1+MIP_4[[#This Row],[P.S]]-MIP_4[[#This Row],[P.E]]-1/24,MIP_4[[#This Row],[P.S]]-MIP_4[[#This Row],[P.E]]-1/24)</f>
        <v>0.37430555555555561</v>
      </c>
      <c r="X429" s="39">
        <f ca="1">MIP_4[[#This Row],[PT-1]]*$S$3+MIP_4[[#This Row],[PT-2]]*$T$3+MIP_4[[#This Row],[PT-3]]*$U$3+MIP_4[[#This Row],[PT &gt; 3 Pontos]]*$V$3</f>
        <v>0.24411558977455702</v>
      </c>
      <c r="Y429" s="39">
        <f>MIP_4[[#This Row],[HH disponível]]-MIP_4[[#This Row],[HH AC TOT]]</f>
        <v>0.20694444444444454</v>
      </c>
      <c r="Z429" s="38">
        <f ca="1">MIP_4[[#This Row],[HH Produtivo
Total]]/MIP_4[[#This Row],[HH Trabalhado]]</f>
        <v>1.1796189572998723</v>
      </c>
      <c r="AA429" s="38">
        <f ca="1">MIP_4[[#This Row],[HH Produtivo
Total]]/MIP_4[[#This Row],[HH disponível]]</f>
        <v>0.65218265171681278</v>
      </c>
      <c r="AB429" s="38">
        <f>MIP_4[[#This Row],[HH Trabalhado]]/MIP_4[[#This Row],[HH disponível]]</f>
        <v>0.55287569573283879</v>
      </c>
      <c r="AC429" s="37" t="str">
        <f>LEFT(MIP_4[[#This Row],[Equipe]], SEARCH("/",MIP_4[[#This Row],[Equipe]],1)-1)</f>
        <v xml:space="preserve">EDILTON </v>
      </c>
      <c r="AD429" s="37" t="str">
        <f>RIGHT(MIP_4[[#This Row],[Equipe]], LEN(MIP_4[[#This Row],[Equipe]])-SEARCH("/",MIP_4[[#This Row],[Equipe]],1))</f>
        <v xml:space="preserve"> GECIVALDO</v>
      </c>
      <c r="AE429" s="44">
        <f>COUNTIFS('[1]Tempo parado'!G:G,"&gt;="&amp;MIP_4[[#This Row],[S.B Sitrack]],'[1]Tempo parado'!H:H,"&lt;="&amp;MIP_4[[#This Row],[C.B Sitrack]],'[1]Tempo parado'!A:A,MIP_4[[#This Row],[Placa]])</f>
        <v>0</v>
      </c>
      <c r="AF429" s="36"/>
      <c r="AG429" s="35"/>
      <c r="AH429" s="34"/>
      <c r="AI429" s="34"/>
      <c r="AJ42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2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2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29" s="32" t="str">
        <f>IFERROR(MIP_4[[#This Row],[Tempo parado]]/(MIP_4[[#This Row],[C.B Sitrack]]-MIP_4[[#This Row],[S.B Sitrack]]),"")</f>
        <v/>
      </c>
      <c r="AN429" s="30"/>
      <c r="AO429" s="44">
        <f>IF(AND(MIP_4[Exc]=0,MIP_4[Previsto / Realizado]="Realizado"),MIP_4[Sem],0)</f>
        <v>34</v>
      </c>
      <c r="AP429" s="29">
        <f>IF(AND(MIP_4[Exc]=0,MIP_4[Previsto / Realizado]="Realizado",ISBLANK(MIP_4[[#This Row],[S.B Sitrack]])=FALSE,ISBLANK(MIP_4[[#This Row],[C.B Sitrack]])=FALSE),MIP_4[Sem],0)</f>
        <v>0</v>
      </c>
    </row>
    <row r="430" spans="1:42" ht="15.75" x14ac:dyDescent="0.25">
      <c r="A430" s="44">
        <f>WEEKNUM(MIP_4[[#This Row],[Data]])</f>
        <v>34</v>
      </c>
      <c r="B430" s="45">
        <v>42972</v>
      </c>
      <c r="C430" s="45"/>
      <c r="D430" s="35" t="s">
        <v>7</v>
      </c>
      <c r="E430" s="35" t="s">
        <v>5</v>
      </c>
      <c r="F430" s="35"/>
      <c r="G430" s="44">
        <v>2</v>
      </c>
      <c r="H430" s="44">
        <v>0</v>
      </c>
      <c r="I430" s="44">
        <v>0</v>
      </c>
      <c r="J430" s="44">
        <v>0</v>
      </c>
      <c r="K430" s="44">
        <v>0</v>
      </c>
      <c r="L430" s="43">
        <v>0.625</v>
      </c>
      <c r="M430" s="43">
        <v>0.64583333333333337</v>
      </c>
      <c r="N430" s="43">
        <f>1+18/24/60</f>
        <v>1.0125</v>
      </c>
      <c r="O430" s="43">
        <f>1+48/24/60</f>
        <v>1.0333333333333334</v>
      </c>
      <c r="P430" s="39"/>
      <c r="Q430" s="42" t="s">
        <v>285</v>
      </c>
      <c r="R430" s="29">
        <f>MIP_4[[#This Row],[PT-1]]+MIP_4[[#This Row],[PT-2]]*2+MIP_4[[#This Row],[PT-3]]*3+MIP_4[[#This Row],[PT &gt; 3 Pontos]]</f>
        <v>0</v>
      </c>
      <c r="S43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43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430" s="41">
        <f ca="1">MIP_4[[#This Row],[Eficiência]]</f>
        <v>0</v>
      </c>
      <c r="V43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30" s="39">
        <f>IF(MIP_4[[#This Row],[P.S]]-MIP_4[[#This Row],[P.E]]&lt;0,1+MIP_4[[#This Row],[P.S]]-MIP_4[[#This Row],[P.E]]-1/24,MIP_4[[#This Row],[P.S]]-MIP_4[[#This Row],[P.E]]-1/24)</f>
        <v>0.36666666666666675</v>
      </c>
      <c r="X430" s="39">
        <f ca="1">MIP_4[[#This Row],[PT-1]]*$S$3+MIP_4[[#This Row],[PT-2]]*$T$3+MIP_4[[#This Row],[PT-3]]*$U$3+MIP_4[[#This Row],[PT &gt; 3 Pontos]]*$V$3</f>
        <v>0</v>
      </c>
      <c r="Y430" s="39">
        <f>MIP_4[[#This Row],[HH disponível]]-MIP_4[[#This Row],[HH AC TOT]]</f>
        <v>0.3249999999999999</v>
      </c>
      <c r="Z430" s="38">
        <f ca="1">MIP_4[[#This Row],[HH Produtivo
Total]]/MIP_4[[#This Row],[HH Trabalhado]]</f>
        <v>0</v>
      </c>
      <c r="AA430" s="38">
        <f ca="1">MIP_4[[#This Row],[HH Produtivo
Total]]/MIP_4[[#This Row],[HH disponível]]</f>
        <v>0</v>
      </c>
      <c r="AB430" s="38">
        <f>MIP_4[[#This Row],[HH Trabalhado]]/MIP_4[[#This Row],[HH disponível]]</f>
        <v>0.88636363636363591</v>
      </c>
      <c r="AC430" s="37" t="str">
        <f>LEFT(MIP_4[[#This Row],[Equipe]], SEARCH("/",MIP_4[[#This Row],[Equipe]],1)-1)</f>
        <v xml:space="preserve">ANDERSON </v>
      </c>
      <c r="AD430" s="37" t="str">
        <f>RIGHT(MIP_4[[#This Row],[Equipe]], LEN(MIP_4[[#This Row],[Equipe]])-SEARCH("/",MIP_4[[#This Row],[Equipe]],1))</f>
        <v xml:space="preserve"> MARCO</v>
      </c>
      <c r="AE430" s="44">
        <f>COUNTIFS('[1]Tempo parado'!G:G,"&gt;="&amp;MIP_4[[#This Row],[S.B Sitrack]],'[1]Tempo parado'!H:H,"&lt;="&amp;MIP_4[[#This Row],[C.B Sitrack]],'[1]Tempo parado'!A:A,MIP_4[[#This Row],[Placa]])</f>
        <v>0</v>
      </c>
      <c r="AF430" s="36"/>
      <c r="AG430" s="35"/>
      <c r="AH430" s="34"/>
      <c r="AI430" s="34"/>
      <c r="AJ43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3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3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30" s="32" t="str">
        <f>IFERROR(MIP_4[[#This Row],[Tempo parado]]/(MIP_4[[#This Row],[C.B Sitrack]]-MIP_4[[#This Row],[S.B Sitrack]]),"")</f>
        <v/>
      </c>
      <c r="AN430" s="30"/>
      <c r="AO430" s="44">
        <f>IF(AND(MIP_4[Exc]=0,MIP_4[Previsto / Realizado]="Realizado"),MIP_4[Sem],0)</f>
        <v>0</v>
      </c>
      <c r="AP430" s="29">
        <f>IF(AND(MIP_4[Exc]=0,MIP_4[Previsto / Realizado]="Realizado",ISBLANK(MIP_4[[#This Row],[S.B Sitrack]])=FALSE,ISBLANK(MIP_4[[#This Row],[C.B Sitrack]])=FALSE),MIP_4[Sem],0)</f>
        <v>0</v>
      </c>
    </row>
    <row r="431" spans="1:42" ht="15.75" x14ac:dyDescent="0.25">
      <c r="A431" s="44">
        <f>WEEKNUM(MIP_4[[#This Row],[Data]])</f>
        <v>34</v>
      </c>
      <c r="B431" s="45">
        <v>42972</v>
      </c>
      <c r="C431" s="45"/>
      <c r="D431" s="35" t="s">
        <v>7</v>
      </c>
      <c r="E431" s="35" t="s">
        <v>2</v>
      </c>
      <c r="F431" s="35"/>
      <c r="G431" s="44">
        <v>2</v>
      </c>
      <c r="H431" s="44">
        <v>4</v>
      </c>
      <c r="I431" s="44">
        <v>0</v>
      </c>
      <c r="J431" s="44">
        <v>0</v>
      </c>
      <c r="K431" s="44">
        <v>0</v>
      </c>
      <c r="L431" s="43">
        <v>0.62847222222222221</v>
      </c>
      <c r="M431" s="43">
        <v>0.68611111111111101</v>
      </c>
      <c r="N431" s="43">
        <f>1+15/24/60</f>
        <v>1.0104166666666667</v>
      </c>
      <c r="O431" s="43">
        <f>1+48/24/60</f>
        <v>1.0333333333333334</v>
      </c>
      <c r="P431" s="39"/>
      <c r="Q431" s="42" t="s">
        <v>284</v>
      </c>
      <c r="R431" s="29">
        <f>MIP_4[[#This Row],[PT-1]]+MIP_4[[#This Row],[PT-2]]*2+MIP_4[[#This Row],[PT-3]]*3+MIP_4[[#This Row],[PT &gt; 3 Pontos]]</f>
        <v>4</v>
      </c>
      <c r="S43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8.0555555555555491E-2</v>
      </c>
      <c r="T43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8.0555555555555491E-2</v>
      </c>
      <c r="U431" s="41">
        <f ca="1">MIP_4[[#This Row],[Eficiência]]</f>
        <v>0.35417423352205918</v>
      </c>
      <c r="V43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31" s="39">
        <f>IF(MIP_4[[#This Row],[P.S]]-MIP_4[[#This Row],[P.E]]&lt;0,1+MIP_4[[#This Row],[P.S]]-MIP_4[[#This Row],[P.E]]-1/24,MIP_4[[#This Row],[P.S]]-MIP_4[[#This Row],[P.E]]-1/24)</f>
        <v>0.36319444444444454</v>
      </c>
      <c r="X431" s="39">
        <f ca="1">MIP_4[[#This Row],[PT-1]]*$S$3+MIP_4[[#This Row],[PT-2]]*$T$3+MIP_4[[#This Row],[PT-3]]*$U$3+MIP_4[[#This Row],[PT &gt; 3 Pontos]]*$V$3</f>
        <v>0.10010341183574872</v>
      </c>
      <c r="Y431" s="39">
        <f>MIP_4[[#This Row],[HH disponível]]-MIP_4[[#This Row],[HH AC TOT]]</f>
        <v>0.28263888888888905</v>
      </c>
      <c r="Z431" s="38">
        <f ca="1">MIP_4[[#This Row],[HH Produtivo
Total]]/MIP_4[[#This Row],[HH Trabalhado]]</f>
        <v>0.35417423352205918</v>
      </c>
      <c r="AA431" s="38">
        <f ca="1">MIP_4[[#This Row],[HH Produtivo
Total]]/MIP_4[[#This Row],[HH disponível]]</f>
        <v>0.27561933660320864</v>
      </c>
      <c r="AB431" s="38">
        <f>MIP_4[[#This Row],[HH Trabalhado]]/MIP_4[[#This Row],[HH disponível]]</f>
        <v>0.77820267686424494</v>
      </c>
      <c r="AC431" s="37" t="str">
        <f>LEFT(MIP_4[[#This Row],[Equipe]], SEARCH("/",MIP_4[[#This Row],[Equipe]],1)-1)</f>
        <v xml:space="preserve">ANDERSON </v>
      </c>
      <c r="AD431" s="37" t="str">
        <f>RIGHT(MIP_4[[#This Row],[Equipe]], LEN(MIP_4[[#This Row],[Equipe]])-SEARCH("/",MIP_4[[#This Row],[Equipe]],1))</f>
        <v xml:space="preserve"> MARCO</v>
      </c>
      <c r="AE431" s="44">
        <f>COUNTIFS('[1]Tempo parado'!G:G,"&gt;="&amp;MIP_4[[#This Row],[S.B Sitrack]],'[1]Tempo parado'!H:H,"&lt;="&amp;MIP_4[[#This Row],[C.B Sitrack]],'[1]Tempo parado'!A:A,MIP_4[[#This Row],[Placa]])</f>
        <v>0</v>
      </c>
      <c r="AF431" s="36"/>
      <c r="AG431" s="35"/>
      <c r="AH431" s="34"/>
      <c r="AI431" s="34"/>
      <c r="AJ43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3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3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31" s="32" t="str">
        <f>IFERROR(MIP_4[[#This Row],[Tempo parado]]/(MIP_4[[#This Row],[C.B Sitrack]]-MIP_4[[#This Row],[S.B Sitrack]]),"")</f>
        <v/>
      </c>
      <c r="AN431" s="30"/>
      <c r="AO431" s="44">
        <f>IF(AND(MIP_4[Exc]=0,MIP_4[Previsto / Realizado]="Realizado"),MIP_4[Sem],0)</f>
        <v>34</v>
      </c>
      <c r="AP431" s="29">
        <f>IF(AND(MIP_4[Exc]=0,MIP_4[Previsto / Realizado]="Realizado",ISBLANK(MIP_4[[#This Row],[S.B Sitrack]])=FALSE,ISBLANK(MIP_4[[#This Row],[C.B Sitrack]])=FALSE),MIP_4[Sem],0)</f>
        <v>0</v>
      </c>
    </row>
    <row r="432" spans="1:42" ht="15.75" x14ac:dyDescent="0.25">
      <c r="A432" s="44">
        <f>WEEKNUM(MIP_4[[#This Row],[Data]])</f>
        <v>34</v>
      </c>
      <c r="B432" s="45">
        <v>42972</v>
      </c>
      <c r="C432" s="45"/>
      <c r="D432" s="35" t="s">
        <v>19</v>
      </c>
      <c r="E432" s="35" t="s">
        <v>5</v>
      </c>
      <c r="F432" s="35"/>
      <c r="G432" s="44">
        <v>2</v>
      </c>
      <c r="H432" s="44">
        <v>0</v>
      </c>
      <c r="I432" s="44">
        <v>0</v>
      </c>
      <c r="J432" s="44">
        <v>0</v>
      </c>
      <c r="K432" s="44">
        <v>0</v>
      </c>
      <c r="L432" s="43">
        <v>0.625</v>
      </c>
      <c r="M432" s="43">
        <v>0.64583333333333337</v>
      </c>
      <c r="N432" s="43">
        <f>1+18/24/60</f>
        <v>1.0125</v>
      </c>
      <c r="O432" s="43">
        <f>1+48/24/60</f>
        <v>1.0333333333333334</v>
      </c>
      <c r="P432" s="39"/>
      <c r="Q432" s="42" t="s">
        <v>283</v>
      </c>
      <c r="R432" s="29">
        <f>MIP_4[[#This Row],[PT-1]]+MIP_4[[#This Row],[PT-2]]*2+MIP_4[[#This Row],[PT-3]]*3+MIP_4[[#This Row],[PT &gt; 3 Pontos]]</f>
        <v>0</v>
      </c>
      <c r="S43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43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432" s="41">
        <f ca="1">MIP_4[[#This Row],[Eficiência]]</f>
        <v>0</v>
      </c>
      <c r="V43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32" s="39">
        <f>IF(MIP_4[[#This Row],[P.S]]-MIP_4[[#This Row],[P.E]]&lt;0,1+MIP_4[[#This Row],[P.S]]-MIP_4[[#This Row],[P.E]]-1/24,MIP_4[[#This Row],[P.S]]-MIP_4[[#This Row],[P.E]]-1/24)</f>
        <v>0.36666666666666675</v>
      </c>
      <c r="X432" s="39">
        <f ca="1">MIP_4[[#This Row],[PT-1]]*$S$3+MIP_4[[#This Row],[PT-2]]*$T$3+MIP_4[[#This Row],[PT-3]]*$U$3+MIP_4[[#This Row],[PT &gt; 3 Pontos]]*$V$3</f>
        <v>0</v>
      </c>
      <c r="Y432" s="39">
        <f>MIP_4[[#This Row],[HH disponível]]-MIP_4[[#This Row],[HH AC TOT]]</f>
        <v>0.3249999999999999</v>
      </c>
      <c r="Z432" s="38">
        <f ca="1">MIP_4[[#This Row],[HH Produtivo
Total]]/MIP_4[[#This Row],[HH Trabalhado]]</f>
        <v>0</v>
      </c>
      <c r="AA432" s="38">
        <f ca="1">MIP_4[[#This Row],[HH Produtivo
Total]]/MIP_4[[#This Row],[HH disponível]]</f>
        <v>0</v>
      </c>
      <c r="AB432" s="38">
        <f>MIP_4[[#This Row],[HH Trabalhado]]/MIP_4[[#This Row],[HH disponível]]</f>
        <v>0.88636363636363591</v>
      </c>
      <c r="AC432" s="37" t="str">
        <f>LEFT(MIP_4[[#This Row],[Equipe]], SEARCH("/",MIP_4[[#This Row],[Equipe]],1)-1)</f>
        <v xml:space="preserve">ADEMÁRIO </v>
      </c>
      <c r="AD432" s="37" t="str">
        <f>RIGHT(MIP_4[[#This Row],[Equipe]], LEN(MIP_4[[#This Row],[Equipe]])-SEARCH("/",MIP_4[[#This Row],[Equipe]],1))</f>
        <v xml:space="preserve"> RONALDO</v>
      </c>
      <c r="AE432" s="44">
        <f>COUNTIFS('[1]Tempo parado'!G:G,"&gt;="&amp;MIP_4[[#This Row],[S.B Sitrack]],'[1]Tempo parado'!H:H,"&lt;="&amp;MIP_4[[#This Row],[C.B Sitrack]],'[1]Tempo parado'!A:A,MIP_4[[#This Row],[Placa]])</f>
        <v>0</v>
      </c>
      <c r="AF432" s="36"/>
      <c r="AG432" s="35"/>
      <c r="AH432" s="34"/>
      <c r="AI432" s="34"/>
      <c r="AJ43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3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3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32" s="32" t="str">
        <f>IFERROR(MIP_4[[#This Row],[Tempo parado]]/(MIP_4[[#This Row],[C.B Sitrack]]-MIP_4[[#This Row],[S.B Sitrack]]),"")</f>
        <v/>
      </c>
      <c r="AN432" s="30"/>
      <c r="AO432" s="44">
        <f>IF(AND(MIP_4[Exc]=0,MIP_4[Previsto / Realizado]="Realizado"),MIP_4[Sem],0)</f>
        <v>0</v>
      </c>
      <c r="AP432" s="29">
        <f>IF(AND(MIP_4[Exc]=0,MIP_4[Previsto / Realizado]="Realizado",ISBLANK(MIP_4[[#This Row],[S.B Sitrack]])=FALSE,ISBLANK(MIP_4[[#This Row],[C.B Sitrack]])=FALSE),MIP_4[Sem],0)</f>
        <v>0</v>
      </c>
    </row>
    <row r="433" spans="1:42" ht="15.75" x14ac:dyDescent="0.25">
      <c r="A433" s="44">
        <f>WEEKNUM(MIP_4[[#This Row],[Data]])</f>
        <v>34</v>
      </c>
      <c r="B433" s="45">
        <v>42972</v>
      </c>
      <c r="C433" s="45"/>
      <c r="D433" s="35" t="s">
        <v>19</v>
      </c>
      <c r="E433" s="35" t="s">
        <v>2</v>
      </c>
      <c r="F433" s="35"/>
      <c r="G433" s="44">
        <v>2</v>
      </c>
      <c r="H433" s="44">
        <v>2</v>
      </c>
      <c r="I433" s="44">
        <v>0</v>
      </c>
      <c r="J433" s="44">
        <v>0</v>
      </c>
      <c r="K433" s="44">
        <v>0</v>
      </c>
      <c r="L433" s="43">
        <v>0.64722222222222225</v>
      </c>
      <c r="M433" s="43">
        <v>0.69930555555555562</v>
      </c>
      <c r="N433" s="43">
        <f>1+29/24/60</f>
        <v>1.0201388888888889</v>
      </c>
      <c r="O433" s="43">
        <f>1+53/24/60</f>
        <v>1.0368055555555555</v>
      </c>
      <c r="P433" s="39"/>
      <c r="Q433" s="42" t="s">
        <v>282</v>
      </c>
      <c r="R433" s="29">
        <f>MIP_4[[#This Row],[PT-1]]+MIP_4[[#This Row],[PT-2]]*2+MIP_4[[#This Row],[PT-3]]*3+MIP_4[[#This Row],[PT &gt; 3 Pontos]]</f>
        <v>2</v>
      </c>
      <c r="S43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6.8749999999999978E-2</v>
      </c>
      <c r="T43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6.8749999999999978E-2</v>
      </c>
      <c r="U433" s="41">
        <f ca="1">MIP_4[[#This Row],[Eficiência]]</f>
        <v>0.17928969284014701</v>
      </c>
      <c r="V43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33" s="39">
        <f>IF(MIP_4[[#This Row],[P.S]]-MIP_4[[#This Row],[P.E]]&lt;0,1+MIP_4[[#This Row],[P.S]]-MIP_4[[#This Row],[P.E]]-1/24,MIP_4[[#This Row],[P.S]]-MIP_4[[#This Row],[P.E]]-1/24)</f>
        <v>0.3479166666666666</v>
      </c>
      <c r="X433" s="39">
        <f ca="1">MIP_4[[#This Row],[PT-1]]*$S$3+MIP_4[[#This Row],[PT-2]]*$T$3+MIP_4[[#This Row],[PT-3]]*$U$3+MIP_4[[#This Row],[PT &gt; 3 Pontos]]*$V$3</f>
        <v>5.0051705917874362E-2</v>
      </c>
      <c r="Y433" s="39">
        <f>MIP_4[[#This Row],[HH disponível]]-MIP_4[[#This Row],[HH AC TOT]]</f>
        <v>0.27916666666666662</v>
      </c>
      <c r="Z433" s="38">
        <f ca="1">MIP_4[[#This Row],[HH Produtivo
Total]]/MIP_4[[#This Row],[HH Trabalhado]]</f>
        <v>0.17928969284014701</v>
      </c>
      <c r="AA433" s="38">
        <f ca="1">MIP_4[[#This Row],[HH Produtivo
Total]]/MIP_4[[#This Row],[HH disponível]]</f>
        <v>0.14386119066215389</v>
      </c>
      <c r="AB433" s="38">
        <f>MIP_4[[#This Row],[HH Trabalhado]]/MIP_4[[#This Row],[HH disponível]]</f>
        <v>0.80239520958083832</v>
      </c>
      <c r="AC433" s="37" t="str">
        <f>LEFT(MIP_4[[#This Row],[Equipe]], SEARCH("/",MIP_4[[#This Row],[Equipe]],1)-1)</f>
        <v xml:space="preserve">ADEMÁRIO </v>
      </c>
      <c r="AD433" s="37" t="str">
        <f>RIGHT(MIP_4[[#This Row],[Equipe]], LEN(MIP_4[[#This Row],[Equipe]])-SEARCH("/",MIP_4[[#This Row],[Equipe]],1))</f>
        <v xml:space="preserve"> RONALDO</v>
      </c>
      <c r="AE433" s="44">
        <f>COUNTIFS('[1]Tempo parado'!G:G,"&gt;="&amp;MIP_4[[#This Row],[S.B Sitrack]],'[1]Tempo parado'!H:H,"&lt;="&amp;MIP_4[[#This Row],[C.B Sitrack]],'[1]Tempo parado'!A:A,MIP_4[[#This Row],[Placa]])</f>
        <v>0</v>
      </c>
      <c r="AF433" s="36"/>
      <c r="AG433" s="35"/>
      <c r="AH433" s="34"/>
      <c r="AI433" s="34"/>
      <c r="AJ43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3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3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33" s="32" t="str">
        <f>IFERROR(MIP_4[[#This Row],[Tempo parado]]/(MIP_4[[#This Row],[C.B Sitrack]]-MIP_4[[#This Row],[S.B Sitrack]]),"")</f>
        <v/>
      </c>
      <c r="AN433" s="30"/>
      <c r="AO433" s="44">
        <f>IF(AND(MIP_4[Exc]=0,MIP_4[Previsto / Realizado]="Realizado"),MIP_4[Sem],0)</f>
        <v>34</v>
      </c>
      <c r="AP433" s="29">
        <f>IF(AND(MIP_4[Exc]=0,MIP_4[Previsto / Realizado]="Realizado",ISBLANK(MIP_4[[#This Row],[S.B Sitrack]])=FALSE,ISBLANK(MIP_4[[#This Row],[C.B Sitrack]])=FALSE),MIP_4[Sem],0)</f>
        <v>0</v>
      </c>
    </row>
    <row r="434" spans="1:42" ht="15.75" x14ac:dyDescent="0.25">
      <c r="A434" s="44">
        <f>WEEKNUM(MIP_4[[#This Row],[Data]])</f>
        <v>34</v>
      </c>
      <c r="B434" s="45">
        <v>42973</v>
      </c>
      <c r="C434" s="45"/>
      <c r="D434" s="35" t="s">
        <v>3</v>
      </c>
      <c r="E434" s="35" t="s">
        <v>5</v>
      </c>
      <c r="F434" s="35"/>
      <c r="G434" s="44">
        <v>2</v>
      </c>
      <c r="H434" s="44">
        <v>5</v>
      </c>
      <c r="I434" s="44">
        <v>0</v>
      </c>
      <c r="J434" s="44">
        <v>0</v>
      </c>
      <c r="K434" s="44">
        <v>0</v>
      </c>
      <c r="L434" s="43">
        <v>0.625</v>
      </c>
      <c r="M434" s="43">
        <v>0.64583333333333337</v>
      </c>
      <c r="N434" s="43">
        <f>1+18/24/60</f>
        <v>1.0125</v>
      </c>
      <c r="O434" s="43">
        <f>1+48/24/60</f>
        <v>1.0333333333333334</v>
      </c>
      <c r="P434" s="39"/>
      <c r="Q434" s="42" t="s">
        <v>281</v>
      </c>
      <c r="R434" s="29">
        <f>MIP_4[[#This Row],[PT-1]]+MIP_4[[#This Row],[PT-2]]*2+MIP_4[[#This Row],[PT-3]]*3+MIP_4[[#This Row],[PT &gt; 3 Pontos]]</f>
        <v>5</v>
      </c>
      <c r="S43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43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434" s="41">
        <f ca="1">MIP_4[[#This Row],[Eficiência]]</f>
        <v>0.38501312244518748</v>
      </c>
      <c r="V43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34" s="39">
        <f>IF(MIP_4[[#This Row],[P.S]]-MIP_4[[#This Row],[P.E]]&lt;0,1+MIP_4[[#This Row],[P.S]]-MIP_4[[#This Row],[P.E]]-1/24,MIP_4[[#This Row],[P.S]]-MIP_4[[#This Row],[P.E]]-1/24)</f>
        <v>0.36666666666666675</v>
      </c>
      <c r="X434" s="39">
        <f ca="1">MIP_4[[#This Row],[PT-1]]*$S$3+MIP_4[[#This Row],[PT-2]]*$T$3+MIP_4[[#This Row],[PT-3]]*$U$3+MIP_4[[#This Row],[PT &gt; 3 Pontos]]*$V$3</f>
        <v>0.12512926479468589</v>
      </c>
      <c r="Y434" s="39">
        <f>MIP_4[[#This Row],[HH disponível]]-MIP_4[[#This Row],[HH AC TOT]]</f>
        <v>0.3249999999999999</v>
      </c>
      <c r="Z434" s="38">
        <f ca="1">MIP_4[[#This Row],[HH Produtivo
Total]]/MIP_4[[#This Row],[HH Trabalhado]]</f>
        <v>0.38501312244518748</v>
      </c>
      <c r="AA434" s="38">
        <f ca="1">MIP_4[[#This Row],[HH Produtivo
Total]]/MIP_4[[#This Row],[HH disponível]]</f>
        <v>0.34126163125823417</v>
      </c>
      <c r="AB434" s="38">
        <f>MIP_4[[#This Row],[HH Trabalhado]]/MIP_4[[#This Row],[HH disponível]]</f>
        <v>0.88636363636363591</v>
      </c>
      <c r="AC434" s="37" t="str">
        <f>LEFT(MIP_4[[#This Row],[Equipe]], SEARCH("/",MIP_4[[#This Row],[Equipe]],1)-1)</f>
        <v xml:space="preserve">EDILTON </v>
      </c>
      <c r="AD434" s="37" t="str">
        <f>RIGHT(MIP_4[[#This Row],[Equipe]], LEN(MIP_4[[#This Row],[Equipe]])-SEARCH("/",MIP_4[[#This Row],[Equipe]],1))</f>
        <v xml:space="preserve"> GECIVALDO</v>
      </c>
      <c r="AE434" s="44">
        <f>COUNTIFS('[1]Tempo parado'!G:G,"&gt;="&amp;MIP_4[[#This Row],[S.B Sitrack]],'[1]Tempo parado'!H:H,"&lt;="&amp;MIP_4[[#This Row],[C.B Sitrack]],'[1]Tempo parado'!A:A,MIP_4[[#This Row],[Placa]])</f>
        <v>0</v>
      </c>
      <c r="AF434" s="36"/>
      <c r="AG434" s="35"/>
      <c r="AH434" s="34"/>
      <c r="AI434" s="34"/>
      <c r="AJ43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3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3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34" s="32" t="str">
        <f>IFERROR(MIP_4[[#This Row],[Tempo parado]]/(MIP_4[[#This Row],[C.B Sitrack]]-MIP_4[[#This Row],[S.B Sitrack]]),"")</f>
        <v/>
      </c>
      <c r="AN434" s="30"/>
      <c r="AO434" s="44">
        <f>IF(AND(MIP_4[Exc]=0,MIP_4[Previsto / Realizado]="Realizado"),MIP_4[Sem],0)</f>
        <v>0</v>
      </c>
      <c r="AP434" s="29">
        <f>IF(AND(MIP_4[Exc]=0,MIP_4[Previsto / Realizado]="Realizado",ISBLANK(MIP_4[[#This Row],[S.B Sitrack]])=FALSE,ISBLANK(MIP_4[[#This Row],[C.B Sitrack]])=FALSE),MIP_4[Sem],0)</f>
        <v>0</v>
      </c>
    </row>
    <row r="435" spans="1:42" ht="15.75" x14ac:dyDescent="0.25">
      <c r="A435" s="44">
        <f>WEEKNUM(MIP_4[[#This Row],[Data]])</f>
        <v>34</v>
      </c>
      <c r="B435" s="45">
        <v>42973</v>
      </c>
      <c r="C435" s="45"/>
      <c r="D435" s="35" t="s">
        <v>3</v>
      </c>
      <c r="E435" s="35" t="s">
        <v>2</v>
      </c>
      <c r="F435" s="35"/>
      <c r="G435" s="44">
        <v>2</v>
      </c>
      <c r="H435" s="44">
        <v>7</v>
      </c>
      <c r="I435" s="44">
        <v>0</v>
      </c>
      <c r="J435" s="44">
        <v>0</v>
      </c>
      <c r="K435" s="44">
        <v>0</v>
      </c>
      <c r="L435" s="43">
        <v>0.62430555555555556</v>
      </c>
      <c r="M435" s="43">
        <v>0.63680555555555551</v>
      </c>
      <c r="N435" s="43">
        <f>1+28/24/60</f>
        <v>1.0194444444444444</v>
      </c>
      <c r="O435" s="43">
        <f>1+53/24/60</f>
        <v>1.0368055555555555</v>
      </c>
      <c r="P435" s="39">
        <v>4.3750000000000004E-2</v>
      </c>
      <c r="Q435" s="42" t="s">
        <v>280</v>
      </c>
      <c r="R435" s="29">
        <f>MIP_4[[#This Row],[PT-1]]+MIP_4[[#This Row],[PT-2]]*2+MIP_4[[#This Row],[PT-3]]*3+MIP_4[[#This Row],[PT &gt; 3 Pontos]]</f>
        <v>7</v>
      </c>
      <c r="S43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7.3611111111111127E-2</v>
      </c>
      <c r="T43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2.9861111111111116E-2</v>
      </c>
      <c r="U435" s="41">
        <f ca="1">MIP_4[[#This Row],[Eficiência]]</f>
        <v>0.5893939201544085</v>
      </c>
      <c r="V43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35" s="39">
        <f>IF(MIP_4[[#This Row],[P.S]]-MIP_4[[#This Row],[P.E]]&lt;0,1+MIP_4[[#This Row],[P.S]]-MIP_4[[#This Row],[P.E]]-1/24,MIP_4[[#This Row],[P.S]]-MIP_4[[#This Row],[P.E]]-1/24)</f>
        <v>0.37083333333333329</v>
      </c>
      <c r="X435" s="39">
        <f ca="1">MIP_4[[#This Row],[PT-1]]*$S$3+MIP_4[[#This Row],[PT-2]]*$T$3+MIP_4[[#This Row],[PT-3]]*$U$3+MIP_4[[#This Row],[PT &gt; 3 Pontos]]*$V$3</f>
        <v>0.17518097071256028</v>
      </c>
      <c r="Y435" s="39">
        <f>MIP_4[[#This Row],[HH disponível]]-MIP_4[[#This Row],[HH AC TOT]]</f>
        <v>0.29722222222222217</v>
      </c>
      <c r="Z435" s="38">
        <f ca="1">MIP_4[[#This Row],[HH Produtivo
Total]]/MIP_4[[#This Row],[HH Trabalhado]]</f>
        <v>0.5893939201544085</v>
      </c>
      <c r="AA435" s="38">
        <f ca="1">MIP_4[[#This Row],[HH Produtivo
Total]]/MIP_4[[#This Row],[HH disponível]]</f>
        <v>0.4723981232698255</v>
      </c>
      <c r="AB435" s="38">
        <f>MIP_4[[#This Row],[HH Trabalhado]]/MIP_4[[#This Row],[HH disponível]]</f>
        <v>0.80149812734082393</v>
      </c>
      <c r="AC435" s="37" t="str">
        <f>LEFT(MIP_4[[#This Row],[Equipe]], SEARCH("/",MIP_4[[#This Row],[Equipe]],1)-1)</f>
        <v xml:space="preserve">EDILTON </v>
      </c>
      <c r="AD435" s="37" t="str">
        <f>RIGHT(MIP_4[[#This Row],[Equipe]], LEN(MIP_4[[#This Row],[Equipe]])-SEARCH("/",MIP_4[[#This Row],[Equipe]],1))</f>
        <v xml:space="preserve"> GECIVALDO</v>
      </c>
      <c r="AE435" s="44">
        <f>COUNTIFS('[1]Tempo parado'!G:G,"&gt;="&amp;MIP_4[[#This Row],[S.B Sitrack]],'[1]Tempo parado'!H:H,"&lt;="&amp;MIP_4[[#This Row],[C.B Sitrack]],'[1]Tempo parado'!A:A,MIP_4[[#This Row],[Placa]])</f>
        <v>0</v>
      </c>
      <c r="AF435" s="36"/>
      <c r="AG435" s="35"/>
      <c r="AH435" s="34"/>
      <c r="AI435" s="34"/>
      <c r="AJ43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3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3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35" s="32" t="str">
        <f>IFERROR(MIP_4[[#This Row],[Tempo parado]]/(MIP_4[[#This Row],[C.B Sitrack]]-MIP_4[[#This Row],[S.B Sitrack]]),"")</f>
        <v/>
      </c>
      <c r="AN435" s="30"/>
      <c r="AO435" s="44">
        <f>IF(AND(MIP_4[Exc]=0,MIP_4[Previsto / Realizado]="Realizado"),MIP_4[Sem],0)</f>
        <v>34</v>
      </c>
      <c r="AP435" s="29">
        <f>IF(AND(MIP_4[Exc]=0,MIP_4[Previsto / Realizado]="Realizado",ISBLANK(MIP_4[[#This Row],[S.B Sitrack]])=FALSE,ISBLANK(MIP_4[[#This Row],[C.B Sitrack]])=FALSE),MIP_4[Sem],0)</f>
        <v>0</v>
      </c>
    </row>
    <row r="436" spans="1:42" ht="15.75" x14ac:dyDescent="0.25">
      <c r="A436" s="44">
        <f>WEEKNUM(MIP_4[[#This Row],[Data]])</f>
        <v>34</v>
      </c>
      <c r="B436" s="45">
        <v>42973</v>
      </c>
      <c r="C436" s="45"/>
      <c r="D436" s="35" t="s">
        <v>7</v>
      </c>
      <c r="E436" s="35" t="s">
        <v>5</v>
      </c>
      <c r="F436" s="35"/>
      <c r="G436" s="44">
        <v>2</v>
      </c>
      <c r="H436" s="44">
        <v>0</v>
      </c>
      <c r="I436" s="44">
        <v>0</v>
      </c>
      <c r="J436" s="44">
        <v>0</v>
      </c>
      <c r="K436" s="44">
        <v>0</v>
      </c>
      <c r="L436" s="43">
        <v>0.625</v>
      </c>
      <c r="M436" s="43">
        <v>0.64583333333333337</v>
      </c>
      <c r="N436" s="43">
        <f>1+18/24/60</f>
        <v>1.0125</v>
      </c>
      <c r="O436" s="43">
        <f>1+48/24/60</f>
        <v>1.0333333333333334</v>
      </c>
      <c r="P436" s="39"/>
      <c r="Q436" s="42" t="s">
        <v>279</v>
      </c>
      <c r="R436" s="29">
        <f>MIP_4[[#This Row],[PT-1]]+MIP_4[[#This Row],[PT-2]]*2+MIP_4[[#This Row],[PT-3]]*3+MIP_4[[#This Row],[PT &gt; 3 Pontos]]</f>
        <v>0</v>
      </c>
      <c r="S43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43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436" s="41">
        <f ca="1">MIP_4[[#This Row],[Eficiência]]</f>
        <v>0</v>
      </c>
      <c r="V43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36" s="39">
        <f>IF(MIP_4[[#This Row],[P.S]]-MIP_4[[#This Row],[P.E]]&lt;0,1+MIP_4[[#This Row],[P.S]]-MIP_4[[#This Row],[P.E]]-1/24,MIP_4[[#This Row],[P.S]]-MIP_4[[#This Row],[P.E]]-1/24)</f>
        <v>0.36666666666666675</v>
      </c>
      <c r="X436" s="39">
        <f ca="1">MIP_4[[#This Row],[PT-1]]*$S$3+MIP_4[[#This Row],[PT-2]]*$T$3+MIP_4[[#This Row],[PT-3]]*$U$3+MIP_4[[#This Row],[PT &gt; 3 Pontos]]*$V$3</f>
        <v>0</v>
      </c>
      <c r="Y436" s="39">
        <f>MIP_4[[#This Row],[HH disponível]]-MIP_4[[#This Row],[HH AC TOT]]</f>
        <v>0.3249999999999999</v>
      </c>
      <c r="Z436" s="38">
        <f ca="1">MIP_4[[#This Row],[HH Produtivo
Total]]/MIP_4[[#This Row],[HH Trabalhado]]</f>
        <v>0</v>
      </c>
      <c r="AA436" s="38">
        <f ca="1">MIP_4[[#This Row],[HH Produtivo
Total]]/MIP_4[[#This Row],[HH disponível]]</f>
        <v>0</v>
      </c>
      <c r="AB436" s="38">
        <f>MIP_4[[#This Row],[HH Trabalhado]]/MIP_4[[#This Row],[HH disponível]]</f>
        <v>0.88636363636363591</v>
      </c>
      <c r="AC436" s="37" t="str">
        <f>LEFT(MIP_4[[#This Row],[Equipe]], SEARCH("/",MIP_4[[#This Row],[Equipe]],1)-1)</f>
        <v xml:space="preserve">ANDERSON </v>
      </c>
      <c r="AD436" s="37" t="str">
        <f>RIGHT(MIP_4[[#This Row],[Equipe]], LEN(MIP_4[[#This Row],[Equipe]])-SEARCH("/",MIP_4[[#This Row],[Equipe]],1))</f>
        <v xml:space="preserve"> MARCO</v>
      </c>
      <c r="AE436" s="44">
        <f>COUNTIFS('[1]Tempo parado'!G:G,"&gt;="&amp;MIP_4[[#This Row],[S.B Sitrack]],'[1]Tempo parado'!H:H,"&lt;="&amp;MIP_4[[#This Row],[C.B Sitrack]],'[1]Tempo parado'!A:A,MIP_4[[#This Row],[Placa]])</f>
        <v>0</v>
      </c>
      <c r="AF436" s="36"/>
      <c r="AG436" s="35"/>
      <c r="AH436" s="34"/>
      <c r="AI436" s="34"/>
      <c r="AJ43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3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3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36" s="32" t="str">
        <f>IFERROR(MIP_4[[#This Row],[Tempo parado]]/(MIP_4[[#This Row],[C.B Sitrack]]-MIP_4[[#This Row],[S.B Sitrack]]),"")</f>
        <v/>
      </c>
      <c r="AN436" s="30"/>
      <c r="AO436" s="44">
        <f>IF(AND(MIP_4[Exc]=0,MIP_4[Previsto / Realizado]="Realizado"),MIP_4[Sem],0)</f>
        <v>0</v>
      </c>
      <c r="AP436" s="29">
        <f>IF(AND(MIP_4[Exc]=0,MIP_4[Previsto / Realizado]="Realizado",ISBLANK(MIP_4[[#This Row],[S.B Sitrack]])=FALSE,ISBLANK(MIP_4[[#This Row],[C.B Sitrack]])=FALSE),MIP_4[Sem],0)</f>
        <v>0</v>
      </c>
    </row>
    <row r="437" spans="1:42" ht="15.75" x14ac:dyDescent="0.25">
      <c r="A437" s="44">
        <f>WEEKNUM(MIP_4[[#This Row],[Data]])</f>
        <v>34</v>
      </c>
      <c r="B437" s="45">
        <v>42973</v>
      </c>
      <c r="C437" s="45"/>
      <c r="D437" s="35" t="s">
        <v>7</v>
      </c>
      <c r="E437" s="35" t="s">
        <v>2</v>
      </c>
      <c r="F437" s="35"/>
      <c r="G437" s="44">
        <v>2</v>
      </c>
      <c r="H437" s="44">
        <v>4</v>
      </c>
      <c r="I437" s="44">
        <v>0</v>
      </c>
      <c r="J437" s="44">
        <v>0</v>
      </c>
      <c r="K437" s="44">
        <v>0</v>
      </c>
      <c r="L437" s="43">
        <v>0.64930555555555558</v>
      </c>
      <c r="M437" s="43">
        <v>0.69444444444444453</v>
      </c>
      <c r="N437" s="43">
        <f>1+135/24/60</f>
        <v>1.09375</v>
      </c>
      <c r="O437" s="43">
        <f>1+148/24/60</f>
        <v>1.1027777777777779</v>
      </c>
      <c r="P437" s="39">
        <v>0.19513888888888889</v>
      </c>
      <c r="Q437" s="42" t="s">
        <v>278</v>
      </c>
      <c r="R437" s="29">
        <f>MIP_4[[#This Row],[PT-1]]+MIP_4[[#This Row],[PT-2]]*2+MIP_4[[#This Row],[PT-3]]*3+MIP_4[[#This Row],[PT &gt; 3 Pontos]]</f>
        <v>4</v>
      </c>
      <c r="S43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0.2493055555555557</v>
      </c>
      <c r="T43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5.4166666666666807E-2</v>
      </c>
      <c r="U437" s="41">
        <f ca="1">MIP_4[[#This Row],[Eficiência]]</f>
        <v>0.6160209959123002</v>
      </c>
      <c r="V43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37" s="39">
        <f>IF(MIP_4[[#This Row],[P.S]]-MIP_4[[#This Row],[P.E]]&lt;0,1+MIP_4[[#This Row],[P.S]]-MIP_4[[#This Row],[P.E]]-1/24,MIP_4[[#This Row],[P.S]]-MIP_4[[#This Row],[P.E]]-1/24)</f>
        <v>0.41180555555555559</v>
      </c>
      <c r="X437" s="39">
        <f ca="1">MIP_4[[#This Row],[PT-1]]*$S$3+MIP_4[[#This Row],[PT-2]]*$T$3+MIP_4[[#This Row],[PT-3]]*$U$3+MIP_4[[#This Row],[PT &gt; 3 Pontos]]*$V$3</f>
        <v>0.10010341183574872</v>
      </c>
      <c r="Y437" s="39">
        <f>MIP_4[[#This Row],[HH disponível]]-MIP_4[[#This Row],[HH AC TOT]]</f>
        <v>0.16249999999999989</v>
      </c>
      <c r="Z437" s="38">
        <f ca="1">MIP_4[[#This Row],[HH Produtivo
Total]]/MIP_4[[#This Row],[HH Trabalhado]]</f>
        <v>0.6160209959123002</v>
      </c>
      <c r="AA437" s="38">
        <f ca="1">MIP_4[[#This Row],[HH Produtivo
Total]]/MIP_4[[#This Row],[HH disponível]]</f>
        <v>0.24308417039372368</v>
      </c>
      <c r="AB437" s="38">
        <f>MIP_4[[#This Row],[HH Trabalhado]]/MIP_4[[#This Row],[HH disponível]]</f>
        <v>0.39460370994940946</v>
      </c>
      <c r="AC437" s="37" t="str">
        <f>LEFT(MIP_4[[#This Row],[Equipe]], SEARCH("/",MIP_4[[#This Row],[Equipe]],1)-1)</f>
        <v xml:space="preserve">ANDERSON </v>
      </c>
      <c r="AD437" s="37" t="str">
        <f>RIGHT(MIP_4[[#This Row],[Equipe]], LEN(MIP_4[[#This Row],[Equipe]])-SEARCH("/",MIP_4[[#This Row],[Equipe]],1))</f>
        <v xml:space="preserve"> MARCO</v>
      </c>
      <c r="AE437" s="44">
        <f>COUNTIFS('[1]Tempo parado'!G:G,"&gt;="&amp;MIP_4[[#This Row],[S.B Sitrack]],'[1]Tempo parado'!H:H,"&lt;="&amp;MIP_4[[#This Row],[C.B Sitrack]],'[1]Tempo parado'!A:A,MIP_4[[#This Row],[Placa]])</f>
        <v>0</v>
      </c>
      <c r="AF437" s="36"/>
      <c r="AG437" s="35"/>
      <c r="AH437" s="34"/>
      <c r="AI437" s="34"/>
      <c r="AJ43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3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3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37" s="32" t="str">
        <f>IFERROR(MIP_4[[#This Row],[Tempo parado]]/(MIP_4[[#This Row],[C.B Sitrack]]-MIP_4[[#This Row],[S.B Sitrack]]),"")</f>
        <v/>
      </c>
      <c r="AN437" s="30"/>
      <c r="AO437" s="44">
        <f>IF(AND(MIP_4[Exc]=0,MIP_4[Previsto / Realizado]="Realizado"),MIP_4[Sem],0)</f>
        <v>34</v>
      </c>
      <c r="AP437" s="29">
        <f>IF(AND(MIP_4[Exc]=0,MIP_4[Previsto / Realizado]="Realizado",ISBLANK(MIP_4[[#This Row],[S.B Sitrack]])=FALSE,ISBLANK(MIP_4[[#This Row],[C.B Sitrack]])=FALSE),MIP_4[Sem],0)</f>
        <v>0</v>
      </c>
    </row>
    <row r="438" spans="1:42" ht="15.75" x14ac:dyDescent="0.25">
      <c r="A438" s="44">
        <f>WEEKNUM(MIP_4[[#This Row],[Data]])</f>
        <v>35</v>
      </c>
      <c r="B438" s="45">
        <v>42974</v>
      </c>
      <c r="C438" s="45"/>
      <c r="D438" s="35" t="s">
        <v>7</v>
      </c>
      <c r="E438" s="35" t="s">
        <v>5</v>
      </c>
      <c r="F438" s="35"/>
      <c r="G438" s="44">
        <v>2</v>
      </c>
      <c r="H438" s="44">
        <v>0</v>
      </c>
      <c r="I438" s="44">
        <v>0</v>
      </c>
      <c r="J438" s="44">
        <v>0</v>
      </c>
      <c r="K438" s="44">
        <v>0</v>
      </c>
      <c r="L438" s="43">
        <v>0.625</v>
      </c>
      <c r="M438" s="43">
        <v>0.64583333333333337</v>
      </c>
      <c r="N438" s="43">
        <f>1+18/24/60</f>
        <v>1.0125</v>
      </c>
      <c r="O438" s="43">
        <f>1+48/24/60</f>
        <v>1.0333333333333334</v>
      </c>
      <c r="P438" s="39"/>
      <c r="Q438" s="42" t="s">
        <v>188</v>
      </c>
      <c r="R438" s="29">
        <f>MIP_4[[#This Row],[PT-1]]+MIP_4[[#This Row],[PT-2]]*2+MIP_4[[#This Row],[PT-3]]*3+MIP_4[[#This Row],[PT &gt; 3 Pontos]]</f>
        <v>0</v>
      </c>
      <c r="S43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43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438" s="41">
        <f ca="1">MIP_4[[#This Row],[Eficiência]]</f>
        <v>0</v>
      </c>
      <c r="V43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38" s="39">
        <f>IF(MIP_4[[#This Row],[P.S]]-MIP_4[[#This Row],[P.E]]&lt;0,1+MIP_4[[#This Row],[P.S]]-MIP_4[[#This Row],[P.E]]-1/24,MIP_4[[#This Row],[P.S]]-MIP_4[[#This Row],[P.E]]-1/24)</f>
        <v>0.36666666666666675</v>
      </c>
      <c r="X438" s="39">
        <f ca="1">MIP_4[[#This Row],[PT-1]]*$S$3+MIP_4[[#This Row],[PT-2]]*$T$3+MIP_4[[#This Row],[PT-3]]*$U$3+MIP_4[[#This Row],[PT &gt; 3 Pontos]]*$V$3</f>
        <v>0</v>
      </c>
      <c r="Y438" s="39">
        <f>MIP_4[[#This Row],[HH disponível]]-MIP_4[[#This Row],[HH AC TOT]]</f>
        <v>0.3249999999999999</v>
      </c>
      <c r="Z438" s="38">
        <f ca="1">MIP_4[[#This Row],[HH Produtivo
Total]]/MIP_4[[#This Row],[HH Trabalhado]]</f>
        <v>0</v>
      </c>
      <c r="AA438" s="38">
        <f ca="1">MIP_4[[#This Row],[HH Produtivo
Total]]/MIP_4[[#This Row],[HH disponível]]</f>
        <v>0</v>
      </c>
      <c r="AB438" s="38">
        <f>MIP_4[[#This Row],[HH Trabalhado]]/MIP_4[[#This Row],[HH disponível]]</f>
        <v>0.88636363636363591</v>
      </c>
      <c r="AC438" s="37" t="str">
        <f>LEFT(MIP_4[[#This Row],[Equipe]], SEARCH("/",MIP_4[[#This Row],[Equipe]],1)-1)</f>
        <v xml:space="preserve">ANDERSON </v>
      </c>
      <c r="AD438" s="37" t="str">
        <f>RIGHT(MIP_4[[#This Row],[Equipe]], LEN(MIP_4[[#This Row],[Equipe]])-SEARCH("/",MIP_4[[#This Row],[Equipe]],1))</f>
        <v xml:space="preserve"> MARCO</v>
      </c>
      <c r="AE438" s="44">
        <f>COUNTIFS('[1]Tempo parado'!G:G,"&gt;="&amp;MIP_4[[#This Row],[S.B Sitrack]],'[1]Tempo parado'!H:H,"&lt;="&amp;MIP_4[[#This Row],[C.B Sitrack]],'[1]Tempo parado'!A:A,MIP_4[[#This Row],[Placa]])</f>
        <v>0</v>
      </c>
      <c r="AF438" s="36"/>
      <c r="AG438" s="35"/>
      <c r="AH438" s="34"/>
      <c r="AI438" s="34"/>
      <c r="AJ43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3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3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38" s="32" t="str">
        <f>IFERROR(MIP_4[[#This Row],[Tempo parado]]/(MIP_4[[#This Row],[C.B Sitrack]]-MIP_4[[#This Row],[S.B Sitrack]]),"")</f>
        <v/>
      </c>
      <c r="AN438" s="30"/>
      <c r="AO438" s="44">
        <f>IF(AND(MIP_4[Exc]=0,MIP_4[Previsto / Realizado]="Realizado"),MIP_4[Sem],0)</f>
        <v>0</v>
      </c>
      <c r="AP438" s="29">
        <f>IF(AND(MIP_4[Exc]=0,MIP_4[Previsto / Realizado]="Realizado",ISBLANK(MIP_4[[#This Row],[S.B Sitrack]])=FALSE,ISBLANK(MIP_4[[#This Row],[C.B Sitrack]])=FALSE),MIP_4[Sem],0)</f>
        <v>0</v>
      </c>
    </row>
    <row r="439" spans="1:42" ht="15.75" x14ac:dyDescent="0.25">
      <c r="A439" s="44">
        <f>WEEKNUM(MIP_4[[#This Row],[Data]])</f>
        <v>35</v>
      </c>
      <c r="B439" s="45">
        <v>42974</v>
      </c>
      <c r="C439" s="45"/>
      <c r="D439" s="35" t="s">
        <v>7</v>
      </c>
      <c r="E439" s="35" t="s">
        <v>2</v>
      </c>
      <c r="F439" s="35"/>
      <c r="G439" s="44">
        <v>2</v>
      </c>
      <c r="H439" s="44">
        <v>10</v>
      </c>
      <c r="I439" s="44">
        <v>2</v>
      </c>
      <c r="J439" s="44">
        <v>0</v>
      </c>
      <c r="K439" s="44">
        <v>0</v>
      </c>
      <c r="L439" s="43">
        <v>0.65138888888888891</v>
      </c>
      <c r="M439" s="43">
        <v>0.65277777777777779</v>
      </c>
      <c r="N439" s="43">
        <f>1+15/24/60</f>
        <v>1.0104166666666667</v>
      </c>
      <c r="O439" s="43">
        <f>1+48/24/60</f>
        <v>1.0333333333333334</v>
      </c>
      <c r="P439" s="39"/>
      <c r="Q439" s="42" t="s">
        <v>92</v>
      </c>
      <c r="R439" s="29">
        <f>MIP_4[[#This Row],[PT-1]]+MIP_4[[#This Row],[PT-2]]*2+MIP_4[[#This Row],[PT-3]]*3+MIP_4[[#This Row],[PT &gt; 3 Pontos]]</f>
        <v>14</v>
      </c>
      <c r="S43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2.430555555555558E-2</v>
      </c>
      <c r="T43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2.430555555555558E-2</v>
      </c>
      <c r="U439" s="41">
        <f ca="1">MIP_4[[#This Row],[Eficiência]]</f>
        <v>1.0699550087593557</v>
      </c>
      <c r="V43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39" s="39">
        <f>IF(MIP_4[[#This Row],[P.S]]-MIP_4[[#This Row],[P.E]]&lt;0,1+MIP_4[[#This Row],[P.S]]-MIP_4[[#This Row],[P.E]]-1/24,MIP_4[[#This Row],[P.S]]-MIP_4[[#This Row],[P.E]]-1/24)</f>
        <v>0.34027777777777785</v>
      </c>
      <c r="X439" s="39">
        <f ca="1">MIP_4[[#This Row],[PT-1]]*$S$3+MIP_4[[#This Row],[PT-2]]*$T$3+MIP_4[[#This Row],[PT-3]]*$U$3+MIP_4[[#This Row],[PT &gt; 3 Pontos]]*$V$3</f>
        <v>0.33807606179549093</v>
      </c>
      <c r="Y439" s="39">
        <f>MIP_4[[#This Row],[HH disponível]]-MIP_4[[#This Row],[HH AC TOT]]</f>
        <v>0.31597222222222227</v>
      </c>
      <c r="Z439" s="38">
        <f ca="1">MIP_4[[#This Row],[HH Produtivo
Total]]/MIP_4[[#This Row],[HH Trabalhado]]</f>
        <v>1.0699550087593557</v>
      </c>
      <c r="AA439" s="38">
        <f ca="1">MIP_4[[#This Row],[HH Produtivo
Total]]/MIP_4[[#This Row],[HH disponível]]</f>
        <v>0.99352965099083035</v>
      </c>
      <c r="AB439" s="38">
        <f>MIP_4[[#This Row],[HH Trabalhado]]/MIP_4[[#This Row],[HH disponível]]</f>
        <v>0.92857142857142849</v>
      </c>
      <c r="AC439" s="37" t="str">
        <f>LEFT(MIP_4[[#This Row],[Equipe]], SEARCH("/",MIP_4[[#This Row],[Equipe]],1)-1)</f>
        <v xml:space="preserve">ANDERSON </v>
      </c>
      <c r="AD439" s="37" t="str">
        <f>RIGHT(MIP_4[[#This Row],[Equipe]], LEN(MIP_4[[#This Row],[Equipe]])-SEARCH("/",MIP_4[[#This Row],[Equipe]],1))</f>
        <v xml:space="preserve"> MARCO</v>
      </c>
      <c r="AE439" s="44">
        <f>COUNTIFS('[1]Tempo parado'!G:G,"&gt;="&amp;MIP_4[[#This Row],[S.B Sitrack]],'[1]Tempo parado'!H:H,"&lt;="&amp;MIP_4[[#This Row],[C.B Sitrack]],'[1]Tempo parado'!A:A,MIP_4[[#This Row],[Placa]])</f>
        <v>0</v>
      </c>
      <c r="AF439" s="36"/>
      <c r="AG439" s="35"/>
      <c r="AH439" s="34"/>
      <c r="AI439" s="34"/>
      <c r="AJ43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3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3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39" s="32" t="str">
        <f>IFERROR(MIP_4[[#This Row],[Tempo parado]]/(MIP_4[[#This Row],[C.B Sitrack]]-MIP_4[[#This Row],[S.B Sitrack]]),"")</f>
        <v/>
      </c>
      <c r="AN439" s="30"/>
      <c r="AO439" s="44">
        <f>IF(AND(MIP_4[Exc]=0,MIP_4[Previsto / Realizado]="Realizado"),MIP_4[Sem],0)</f>
        <v>35</v>
      </c>
      <c r="AP439" s="29">
        <f>IF(AND(MIP_4[Exc]=0,MIP_4[Previsto / Realizado]="Realizado",ISBLANK(MIP_4[[#This Row],[S.B Sitrack]])=FALSE,ISBLANK(MIP_4[[#This Row],[C.B Sitrack]])=FALSE),MIP_4[Sem],0)</f>
        <v>0</v>
      </c>
    </row>
    <row r="440" spans="1:42" ht="15.75" x14ac:dyDescent="0.25">
      <c r="A440" s="44">
        <f>WEEKNUM(MIP_4[[#This Row],[Data]])</f>
        <v>35</v>
      </c>
      <c r="B440" s="45">
        <v>42974</v>
      </c>
      <c r="C440" s="45"/>
      <c r="D440" s="35" t="s">
        <v>3</v>
      </c>
      <c r="E440" s="35" t="s">
        <v>5</v>
      </c>
      <c r="F440" s="35"/>
      <c r="G440" s="44">
        <v>2</v>
      </c>
      <c r="H440" s="44">
        <v>0</v>
      </c>
      <c r="I440" s="44">
        <v>0</v>
      </c>
      <c r="J440" s="44">
        <v>0</v>
      </c>
      <c r="K440" s="44">
        <v>0</v>
      </c>
      <c r="L440" s="43">
        <v>0.625</v>
      </c>
      <c r="M440" s="43">
        <v>0.64583333333333337</v>
      </c>
      <c r="N440" s="43">
        <f>1+18/24/60</f>
        <v>1.0125</v>
      </c>
      <c r="O440" s="43">
        <f>1+48/24/60</f>
        <v>1.0333333333333334</v>
      </c>
      <c r="P440" s="39"/>
      <c r="Q440" s="42" t="s">
        <v>188</v>
      </c>
      <c r="R440" s="29">
        <f>MIP_4[[#This Row],[PT-1]]+MIP_4[[#This Row],[PT-2]]*2+MIP_4[[#This Row],[PT-3]]*3+MIP_4[[#This Row],[PT &gt; 3 Pontos]]</f>
        <v>0</v>
      </c>
      <c r="S44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44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440" s="41">
        <f ca="1">MIP_4[[#This Row],[Eficiência]]</f>
        <v>0</v>
      </c>
      <c r="V44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40" s="39">
        <f>IF(MIP_4[[#This Row],[P.S]]-MIP_4[[#This Row],[P.E]]&lt;0,1+MIP_4[[#This Row],[P.S]]-MIP_4[[#This Row],[P.E]]-1/24,MIP_4[[#This Row],[P.S]]-MIP_4[[#This Row],[P.E]]-1/24)</f>
        <v>0.36666666666666675</v>
      </c>
      <c r="X440" s="39">
        <f ca="1">MIP_4[[#This Row],[PT-1]]*$S$3+MIP_4[[#This Row],[PT-2]]*$T$3+MIP_4[[#This Row],[PT-3]]*$U$3+MIP_4[[#This Row],[PT &gt; 3 Pontos]]*$V$3</f>
        <v>0</v>
      </c>
      <c r="Y440" s="39">
        <f>MIP_4[[#This Row],[HH disponível]]-MIP_4[[#This Row],[HH AC TOT]]</f>
        <v>0.3249999999999999</v>
      </c>
      <c r="Z440" s="38">
        <f ca="1">MIP_4[[#This Row],[HH Produtivo
Total]]/MIP_4[[#This Row],[HH Trabalhado]]</f>
        <v>0</v>
      </c>
      <c r="AA440" s="38">
        <f ca="1">MIP_4[[#This Row],[HH Produtivo
Total]]/MIP_4[[#This Row],[HH disponível]]</f>
        <v>0</v>
      </c>
      <c r="AB440" s="38">
        <f>MIP_4[[#This Row],[HH Trabalhado]]/MIP_4[[#This Row],[HH disponível]]</f>
        <v>0.88636363636363591</v>
      </c>
      <c r="AC440" s="37" t="str">
        <f>LEFT(MIP_4[[#This Row],[Equipe]], SEARCH("/",MIP_4[[#This Row],[Equipe]],1)-1)</f>
        <v xml:space="preserve">EDILTON </v>
      </c>
      <c r="AD440" s="37" t="str">
        <f>RIGHT(MIP_4[[#This Row],[Equipe]], LEN(MIP_4[[#This Row],[Equipe]])-SEARCH("/",MIP_4[[#This Row],[Equipe]],1))</f>
        <v xml:space="preserve"> GECIVALDO</v>
      </c>
      <c r="AE440" s="44">
        <f>COUNTIFS('[1]Tempo parado'!G:G,"&gt;="&amp;MIP_4[[#This Row],[S.B Sitrack]],'[1]Tempo parado'!H:H,"&lt;="&amp;MIP_4[[#This Row],[C.B Sitrack]],'[1]Tempo parado'!A:A,MIP_4[[#This Row],[Placa]])</f>
        <v>0</v>
      </c>
      <c r="AF440" s="36"/>
      <c r="AG440" s="35"/>
      <c r="AH440" s="34"/>
      <c r="AI440" s="34"/>
      <c r="AJ44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4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4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40" s="32" t="str">
        <f>IFERROR(MIP_4[[#This Row],[Tempo parado]]/(MIP_4[[#This Row],[C.B Sitrack]]-MIP_4[[#This Row],[S.B Sitrack]]),"")</f>
        <v/>
      </c>
      <c r="AN440" s="30"/>
      <c r="AO440" s="44">
        <f>IF(AND(MIP_4[Exc]=0,MIP_4[Previsto / Realizado]="Realizado"),MIP_4[Sem],0)</f>
        <v>0</v>
      </c>
      <c r="AP440" s="29">
        <f>IF(AND(MIP_4[Exc]=0,MIP_4[Previsto / Realizado]="Realizado",ISBLANK(MIP_4[[#This Row],[S.B Sitrack]])=FALSE,ISBLANK(MIP_4[[#This Row],[C.B Sitrack]])=FALSE),MIP_4[Sem],0)</f>
        <v>0</v>
      </c>
    </row>
    <row r="441" spans="1:42" ht="15.75" x14ac:dyDescent="0.25">
      <c r="A441" s="44">
        <f>WEEKNUM(MIP_4[[#This Row],[Data]])</f>
        <v>35</v>
      </c>
      <c r="B441" s="45">
        <v>42974</v>
      </c>
      <c r="C441" s="45"/>
      <c r="D441" s="35" t="s">
        <v>3</v>
      </c>
      <c r="E441" s="35" t="s">
        <v>2</v>
      </c>
      <c r="F441" s="35"/>
      <c r="G441" s="44">
        <v>2</v>
      </c>
      <c r="H441" s="44">
        <v>8</v>
      </c>
      <c r="I441" s="44">
        <v>3</v>
      </c>
      <c r="J441" s="44">
        <v>0</v>
      </c>
      <c r="K441" s="44">
        <v>0</v>
      </c>
      <c r="L441" s="43">
        <v>0.62708333333333333</v>
      </c>
      <c r="M441" s="43">
        <v>0.65277777777777779</v>
      </c>
      <c r="N441" s="43">
        <v>0.9770833333333333</v>
      </c>
      <c r="O441" s="43">
        <f>1+48/24/60</f>
        <v>1.0333333333333334</v>
      </c>
      <c r="P441" s="39"/>
      <c r="Q441" s="42" t="s">
        <v>92</v>
      </c>
      <c r="R441" s="29">
        <f>MIP_4[[#This Row],[PT-1]]+MIP_4[[#This Row],[PT-2]]*2+MIP_4[[#This Row],[PT-3]]*3+MIP_4[[#This Row],[PT &gt; 3 Pontos]]</f>
        <v>14</v>
      </c>
      <c r="S44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8.1944444444444597E-2</v>
      </c>
      <c r="T44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8.1944444444444597E-2</v>
      </c>
      <c r="U441" s="41">
        <f ca="1">MIP_4[[#This Row],[Eficiência]]</f>
        <v>1.1744071146245056</v>
      </c>
      <c r="V44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41" s="39">
        <f>IF(MIP_4[[#This Row],[P.S]]-MIP_4[[#This Row],[P.E]]&lt;0,1+MIP_4[[#This Row],[P.S]]-MIP_4[[#This Row],[P.E]]-1/24,MIP_4[[#This Row],[P.S]]-MIP_4[[#This Row],[P.E]]-1/24)</f>
        <v>0.36458333333333343</v>
      </c>
      <c r="X441" s="39">
        <f ca="1">MIP_4[[#This Row],[PT-1]]*$S$3+MIP_4[[#This Row],[PT-2]]*$T$3+MIP_4[[#This Row],[PT-3]]*$U$3+MIP_4[[#This Row],[PT &gt; 3 Pontos]]*$V$3</f>
        <v>0.3319331219806762</v>
      </c>
      <c r="Y441" s="39">
        <f>MIP_4[[#This Row],[HH disponível]]-MIP_4[[#This Row],[HH AC TOT]]</f>
        <v>0.28263888888888883</v>
      </c>
      <c r="Z441" s="38">
        <f ca="1">MIP_4[[#This Row],[HH Produtivo
Total]]/MIP_4[[#This Row],[HH Trabalhado]]</f>
        <v>1.1744071146245056</v>
      </c>
      <c r="AA441" s="38">
        <f ca="1">MIP_4[[#This Row],[HH Produtivo
Total]]/MIP_4[[#This Row],[HH disponível]]</f>
        <v>0.91044513457556875</v>
      </c>
      <c r="AB441" s="38">
        <f>MIP_4[[#This Row],[HH Trabalhado]]/MIP_4[[#This Row],[HH disponível]]</f>
        <v>0.77523809523809484</v>
      </c>
      <c r="AC441" s="37" t="str">
        <f>LEFT(MIP_4[[#This Row],[Equipe]], SEARCH("/",MIP_4[[#This Row],[Equipe]],1)-1)</f>
        <v xml:space="preserve">EDILTON </v>
      </c>
      <c r="AD441" s="37" t="str">
        <f>RIGHT(MIP_4[[#This Row],[Equipe]], LEN(MIP_4[[#This Row],[Equipe]])-SEARCH("/",MIP_4[[#This Row],[Equipe]],1))</f>
        <v xml:space="preserve"> GECIVALDO</v>
      </c>
      <c r="AE441" s="44">
        <f>COUNTIFS('[1]Tempo parado'!G:G,"&gt;="&amp;MIP_4[[#This Row],[S.B Sitrack]],'[1]Tempo parado'!H:H,"&lt;="&amp;MIP_4[[#This Row],[C.B Sitrack]],'[1]Tempo parado'!A:A,MIP_4[[#This Row],[Placa]])</f>
        <v>0</v>
      </c>
      <c r="AF441" s="36"/>
      <c r="AG441" s="35"/>
      <c r="AH441" s="34"/>
      <c r="AI441" s="34"/>
      <c r="AJ44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4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4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41" s="32" t="str">
        <f>IFERROR(MIP_4[[#This Row],[Tempo parado]]/(MIP_4[[#This Row],[C.B Sitrack]]-MIP_4[[#This Row],[S.B Sitrack]]),"")</f>
        <v/>
      </c>
      <c r="AN441" s="30"/>
      <c r="AO441" s="44">
        <f>IF(AND(MIP_4[Exc]=0,MIP_4[Previsto / Realizado]="Realizado"),MIP_4[Sem],0)</f>
        <v>35</v>
      </c>
      <c r="AP441" s="29">
        <f>IF(AND(MIP_4[Exc]=0,MIP_4[Previsto / Realizado]="Realizado",ISBLANK(MIP_4[[#This Row],[S.B Sitrack]])=FALSE,ISBLANK(MIP_4[[#This Row],[C.B Sitrack]])=FALSE),MIP_4[Sem],0)</f>
        <v>0</v>
      </c>
    </row>
    <row r="442" spans="1:42" ht="15.75" x14ac:dyDescent="0.25">
      <c r="A442" s="44">
        <f>WEEKNUM(MIP_4[[#This Row],[Data]])</f>
        <v>35</v>
      </c>
      <c r="B442" s="45">
        <v>42975</v>
      </c>
      <c r="C442" s="45"/>
      <c r="D442" s="35" t="s">
        <v>19</v>
      </c>
      <c r="E442" s="35" t="s">
        <v>5</v>
      </c>
      <c r="F442" s="35"/>
      <c r="G442" s="44">
        <v>2</v>
      </c>
      <c r="H442" s="44">
        <v>5</v>
      </c>
      <c r="I442" s="44">
        <v>1</v>
      </c>
      <c r="J442" s="44">
        <v>0</v>
      </c>
      <c r="K442" s="44">
        <v>5</v>
      </c>
      <c r="L442" s="43">
        <v>0.625</v>
      </c>
      <c r="M442" s="43">
        <v>0.64583333333333337</v>
      </c>
      <c r="N442" s="43">
        <f>1+18/24/60</f>
        <v>1.0125</v>
      </c>
      <c r="O442" s="43">
        <f>1+48/24/60</f>
        <v>1.0333333333333334</v>
      </c>
      <c r="P442" s="39"/>
      <c r="Q442" s="42" t="s">
        <v>277</v>
      </c>
      <c r="R442" s="29">
        <f>MIP_4[[#This Row],[PT-1]]+MIP_4[[#This Row],[PT-2]]*2+MIP_4[[#This Row],[PT-3]]*3+MIP_4[[#This Row],[PT &gt; 3 Pontos]]</f>
        <v>12</v>
      </c>
      <c r="S44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44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442" s="41">
        <f ca="1">MIP_4[[#This Row],[Eficiência]]</f>
        <v>0.83162487785072337</v>
      </c>
      <c r="V44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42" s="39">
        <f>IF(MIP_4[[#This Row],[P.S]]-MIP_4[[#This Row],[P.E]]&lt;0,1+MIP_4[[#This Row],[P.S]]-MIP_4[[#This Row],[P.E]]-1/24,MIP_4[[#This Row],[P.S]]-MIP_4[[#This Row],[P.E]]-1/24)</f>
        <v>0.36666666666666675</v>
      </c>
      <c r="X442" s="39">
        <f ca="1">MIP_4[[#This Row],[PT-1]]*$S$3+MIP_4[[#This Row],[PT-2]]*$T$3+MIP_4[[#This Row],[PT-3]]*$U$3+MIP_4[[#This Row],[PT &gt; 3 Pontos]]*$V$3</f>
        <v>0.270278085301485</v>
      </c>
      <c r="Y442" s="39">
        <f>MIP_4[[#This Row],[HH disponível]]-MIP_4[[#This Row],[HH AC TOT]]</f>
        <v>0.3249999999999999</v>
      </c>
      <c r="Z442" s="38">
        <f ca="1">MIP_4[[#This Row],[HH Produtivo
Total]]/MIP_4[[#This Row],[HH Trabalhado]]</f>
        <v>0.83162487785072337</v>
      </c>
      <c r="AA442" s="38">
        <f ca="1">MIP_4[[#This Row],[HH Produtivo
Total]]/MIP_4[[#This Row],[HH disponível]]</f>
        <v>0.7371220508222317</v>
      </c>
      <c r="AB442" s="38">
        <f>MIP_4[[#This Row],[HH Trabalhado]]/MIP_4[[#This Row],[HH disponível]]</f>
        <v>0.88636363636363591</v>
      </c>
      <c r="AC442" s="37" t="str">
        <f>LEFT(MIP_4[[#This Row],[Equipe]], SEARCH("/",MIP_4[[#This Row],[Equipe]],1)-1)</f>
        <v xml:space="preserve">ADEMÁRIO </v>
      </c>
      <c r="AD442" s="37" t="str">
        <f>RIGHT(MIP_4[[#This Row],[Equipe]], LEN(MIP_4[[#This Row],[Equipe]])-SEARCH("/",MIP_4[[#This Row],[Equipe]],1))</f>
        <v xml:space="preserve"> RONALDO</v>
      </c>
      <c r="AE442" s="44">
        <f>COUNTIFS('[1]Tempo parado'!G:G,"&gt;="&amp;MIP_4[[#This Row],[S.B Sitrack]],'[1]Tempo parado'!H:H,"&lt;="&amp;MIP_4[[#This Row],[C.B Sitrack]],'[1]Tempo parado'!A:A,MIP_4[[#This Row],[Placa]])</f>
        <v>0</v>
      </c>
      <c r="AF442" s="36"/>
      <c r="AG442" s="35"/>
      <c r="AH442" s="34"/>
      <c r="AI442" s="34"/>
      <c r="AJ44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4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4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42" s="32" t="str">
        <f>IFERROR(MIP_4[[#This Row],[Tempo parado]]/(MIP_4[[#This Row],[C.B Sitrack]]-MIP_4[[#This Row],[S.B Sitrack]]),"")</f>
        <v/>
      </c>
      <c r="AN442" s="30"/>
      <c r="AO442" s="44">
        <f>IF(AND(MIP_4[Exc]=0,MIP_4[Previsto / Realizado]="Realizado"),MIP_4[Sem],0)</f>
        <v>0</v>
      </c>
      <c r="AP442" s="29">
        <f>IF(AND(MIP_4[Exc]=0,MIP_4[Previsto / Realizado]="Realizado",ISBLANK(MIP_4[[#This Row],[S.B Sitrack]])=FALSE,ISBLANK(MIP_4[[#This Row],[C.B Sitrack]])=FALSE),MIP_4[Sem],0)</f>
        <v>0</v>
      </c>
    </row>
    <row r="443" spans="1:42" ht="15.75" x14ac:dyDescent="0.25">
      <c r="A443" s="44">
        <f>WEEKNUM(MIP_4[[#This Row],[Data]])</f>
        <v>35</v>
      </c>
      <c r="B443" s="45">
        <v>42975</v>
      </c>
      <c r="C443" s="45"/>
      <c r="D443" s="35" t="s">
        <v>19</v>
      </c>
      <c r="E443" s="35" t="s">
        <v>2</v>
      </c>
      <c r="F443" s="35"/>
      <c r="G443" s="44">
        <v>2</v>
      </c>
      <c r="H443" s="44">
        <v>2</v>
      </c>
      <c r="I443" s="44">
        <v>1</v>
      </c>
      <c r="J443" s="44">
        <v>0</v>
      </c>
      <c r="K443" s="44">
        <v>5</v>
      </c>
      <c r="L443" s="43">
        <v>0.62638888888888888</v>
      </c>
      <c r="M443" s="43">
        <v>0.68055555555555547</v>
      </c>
      <c r="N443" s="43">
        <v>0.99305555555555547</v>
      </c>
      <c r="O443" s="43">
        <f>1+66/24/60</f>
        <v>1.0458333333333334</v>
      </c>
      <c r="P443" s="39"/>
      <c r="Q443" s="42" t="s">
        <v>276</v>
      </c>
      <c r="R443" s="29">
        <f>MIP_4[[#This Row],[PT-1]]+MIP_4[[#This Row],[PT-2]]*2+MIP_4[[#This Row],[PT-3]]*3+MIP_4[[#This Row],[PT &gt; 3 Pontos]]</f>
        <v>9</v>
      </c>
      <c r="S44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0.10694444444444451</v>
      </c>
      <c r="T44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0.10694444444444451</v>
      </c>
      <c r="U443" s="41">
        <f ca="1">MIP_4[[#This Row],[Eficiência]]</f>
        <v>0.72074040526033289</v>
      </c>
      <c r="V44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43" s="39">
        <f>IF(MIP_4[[#This Row],[P.S]]-MIP_4[[#This Row],[P.E]]&lt;0,1+MIP_4[[#This Row],[P.S]]-MIP_4[[#This Row],[P.E]]-1/24,MIP_4[[#This Row],[P.S]]-MIP_4[[#This Row],[P.E]]-1/24)</f>
        <v>0.37777777777777782</v>
      </c>
      <c r="X443" s="39">
        <f ca="1">MIP_4[[#This Row],[PT-1]]*$S$3+MIP_4[[#This Row],[PT-2]]*$T$3+MIP_4[[#This Row],[PT-3]]*$U$3+MIP_4[[#This Row],[PT &gt; 3 Pontos]]*$V$3</f>
        <v>0.19520052642467348</v>
      </c>
      <c r="Y443" s="39">
        <f>MIP_4[[#This Row],[HH disponível]]-MIP_4[[#This Row],[HH AC TOT]]</f>
        <v>0.27083333333333331</v>
      </c>
      <c r="Z443" s="38">
        <f ca="1">MIP_4[[#This Row],[HH Produtivo
Total]]/MIP_4[[#This Row],[HH Trabalhado]]</f>
        <v>0.72074040526033289</v>
      </c>
      <c r="AA443" s="38">
        <f ca="1">MIP_4[[#This Row],[HH Produtivo
Total]]/MIP_4[[#This Row],[HH disponível]]</f>
        <v>0.51670727583001796</v>
      </c>
      <c r="AB443" s="38">
        <f>MIP_4[[#This Row],[HH Trabalhado]]/MIP_4[[#This Row],[HH disponível]]</f>
        <v>0.71691176470588225</v>
      </c>
      <c r="AC443" s="37" t="str">
        <f>LEFT(MIP_4[[#This Row],[Equipe]], SEARCH("/",MIP_4[[#This Row],[Equipe]],1)-1)</f>
        <v xml:space="preserve">ADEMÁRIO </v>
      </c>
      <c r="AD443" s="37" t="str">
        <f>RIGHT(MIP_4[[#This Row],[Equipe]], LEN(MIP_4[[#This Row],[Equipe]])-SEARCH("/",MIP_4[[#This Row],[Equipe]],1))</f>
        <v xml:space="preserve"> RONALDO</v>
      </c>
      <c r="AE443" s="44">
        <f>COUNTIFS('[1]Tempo parado'!G:G,"&gt;="&amp;MIP_4[[#This Row],[S.B Sitrack]],'[1]Tempo parado'!H:H,"&lt;="&amp;MIP_4[[#This Row],[C.B Sitrack]],'[1]Tempo parado'!A:A,MIP_4[[#This Row],[Placa]])</f>
        <v>0</v>
      </c>
      <c r="AF443" s="36"/>
      <c r="AG443" s="35"/>
      <c r="AH443" s="34"/>
      <c r="AI443" s="34"/>
      <c r="AJ44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4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4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43" s="32" t="str">
        <f>IFERROR(MIP_4[[#This Row],[Tempo parado]]/(MIP_4[[#This Row],[C.B Sitrack]]-MIP_4[[#This Row],[S.B Sitrack]]),"")</f>
        <v/>
      </c>
      <c r="AN443" s="30"/>
      <c r="AO443" s="44">
        <f>IF(AND(MIP_4[Exc]=0,MIP_4[Previsto / Realizado]="Realizado"),MIP_4[Sem],0)</f>
        <v>35</v>
      </c>
      <c r="AP443" s="29">
        <f>IF(AND(MIP_4[Exc]=0,MIP_4[Previsto / Realizado]="Realizado",ISBLANK(MIP_4[[#This Row],[S.B Sitrack]])=FALSE,ISBLANK(MIP_4[[#This Row],[C.B Sitrack]])=FALSE),MIP_4[Sem],0)</f>
        <v>0</v>
      </c>
    </row>
    <row r="444" spans="1:42" ht="15.75" x14ac:dyDescent="0.25">
      <c r="A444" s="44">
        <f>WEEKNUM(MIP_4[[#This Row],[Data]])</f>
        <v>35</v>
      </c>
      <c r="B444" s="45">
        <v>42975</v>
      </c>
      <c r="C444" s="45"/>
      <c r="D444" s="35" t="s">
        <v>7</v>
      </c>
      <c r="E444" s="35" t="s">
        <v>5</v>
      </c>
      <c r="F444" s="35"/>
      <c r="G444" s="44">
        <v>2</v>
      </c>
      <c r="H444" s="44">
        <v>9</v>
      </c>
      <c r="I444" s="44">
        <v>0</v>
      </c>
      <c r="J444" s="44">
        <v>0</v>
      </c>
      <c r="K444" s="44">
        <v>5</v>
      </c>
      <c r="L444" s="43">
        <v>0.625</v>
      </c>
      <c r="M444" s="43">
        <v>0.64583333333333337</v>
      </c>
      <c r="N444" s="43">
        <f>1+18/24/60</f>
        <v>1.0125</v>
      </c>
      <c r="O444" s="43">
        <f>1+48/24/60</f>
        <v>1.0333333333333334</v>
      </c>
      <c r="P444" s="39"/>
      <c r="Q444" s="42"/>
      <c r="R444" s="29">
        <f>MIP_4[[#This Row],[PT-1]]+MIP_4[[#This Row],[PT-2]]*2+MIP_4[[#This Row],[PT-3]]*3+MIP_4[[#This Row],[PT &gt; 3 Pontos]]</f>
        <v>14</v>
      </c>
      <c r="S44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44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444" s="41">
        <f ca="1">MIP_4[[#This Row],[Eficiência]]</f>
        <v>1.0045314801051517</v>
      </c>
      <c r="V44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44" s="39">
        <f>IF(MIP_4[[#This Row],[P.S]]-MIP_4[[#This Row],[P.E]]&lt;0,1+MIP_4[[#This Row],[P.S]]-MIP_4[[#This Row],[P.E]]-1/24,MIP_4[[#This Row],[P.S]]-MIP_4[[#This Row],[P.E]]-1/24)</f>
        <v>0.36666666666666675</v>
      </c>
      <c r="X444" s="39">
        <f ca="1">MIP_4[[#This Row],[PT-1]]*$S$3+MIP_4[[#This Row],[PT-2]]*$T$3+MIP_4[[#This Row],[PT-3]]*$U$3+MIP_4[[#This Row],[PT &gt; 3 Pontos]]*$V$3</f>
        <v>0.32647273103417418</v>
      </c>
      <c r="Y444" s="39">
        <f>MIP_4[[#This Row],[HH disponível]]-MIP_4[[#This Row],[HH AC TOT]]</f>
        <v>0.3249999999999999</v>
      </c>
      <c r="Z444" s="38">
        <f ca="1">MIP_4[[#This Row],[HH Produtivo
Total]]/MIP_4[[#This Row],[HH Trabalhado]]</f>
        <v>1.0045314801051517</v>
      </c>
      <c r="AA444" s="38">
        <f ca="1">MIP_4[[#This Row],[HH Produtivo
Total]]/MIP_4[[#This Row],[HH disponível]]</f>
        <v>0.89038017554774751</v>
      </c>
      <c r="AB444" s="38">
        <f>MIP_4[[#This Row],[HH Trabalhado]]/MIP_4[[#This Row],[HH disponível]]</f>
        <v>0.88636363636363591</v>
      </c>
      <c r="AC444" s="37" t="str">
        <f>LEFT(MIP_4[[#This Row],[Equipe]], SEARCH("/",MIP_4[[#This Row],[Equipe]],1)-1)</f>
        <v xml:space="preserve">ANDERSON </v>
      </c>
      <c r="AD444" s="37" t="str">
        <f>RIGHT(MIP_4[[#This Row],[Equipe]], LEN(MIP_4[[#This Row],[Equipe]])-SEARCH("/",MIP_4[[#This Row],[Equipe]],1))</f>
        <v xml:space="preserve"> MARCO</v>
      </c>
      <c r="AE444" s="44">
        <f>COUNTIFS('[1]Tempo parado'!G:G,"&gt;="&amp;MIP_4[[#This Row],[S.B Sitrack]],'[1]Tempo parado'!H:H,"&lt;="&amp;MIP_4[[#This Row],[C.B Sitrack]],'[1]Tempo parado'!A:A,MIP_4[[#This Row],[Placa]])</f>
        <v>0</v>
      </c>
      <c r="AF444" s="36"/>
      <c r="AG444" s="35"/>
      <c r="AH444" s="34"/>
      <c r="AI444" s="34"/>
      <c r="AJ44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4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4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44" s="32" t="str">
        <f>IFERROR(MIP_4[[#This Row],[Tempo parado]]/(MIP_4[[#This Row],[C.B Sitrack]]-MIP_4[[#This Row],[S.B Sitrack]]),"")</f>
        <v/>
      </c>
      <c r="AN444" s="30"/>
      <c r="AO444" s="44">
        <f>IF(AND(MIP_4[Exc]=0,MIP_4[Previsto / Realizado]="Realizado"),MIP_4[Sem],0)</f>
        <v>0</v>
      </c>
      <c r="AP444" s="29">
        <f>IF(AND(MIP_4[Exc]=0,MIP_4[Previsto / Realizado]="Realizado",ISBLANK(MIP_4[[#This Row],[S.B Sitrack]])=FALSE,ISBLANK(MIP_4[[#This Row],[C.B Sitrack]])=FALSE),MIP_4[Sem],0)</f>
        <v>0</v>
      </c>
    </row>
    <row r="445" spans="1:42" ht="15.75" x14ac:dyDescent="0.25">
      <c r="A445" s="44">
        <f>WEEKNUM(MIP_4[[#This Row],[Data]])</f>
        <v>35</v>
      </c>
      <c r="B445" s="45">
        <v>42975</v>
      </c>
      <c r="C445" s="45"/>
      <c r="D445" s="35" t="s">
        <v>7</v>
      </c>
      <c r="E445" s="35" t="s">
        <v>2</v>
      </c>
      <c r="F445" s="35"/>
      <c r="G445" s="44">
        <v>2</v>
      </c>
      <c r="H445" s="44">
        <v>8</v>
      </c>
      <c r="I445" s="44">
        <v>2</v>
      </c>
      <c r="J445" s="44">
        <v>0</v>
      </c>
      <c r="K445" s="44">
        <v>0</v>
      </c>
      <c r="L445" s="43">
        <v>0.62986111111111109</v>
      </c>
      <c r="M445" s="43">
        <v>0.65972222222222221</v>
      </c>
      <c r="N445" s="43">
        <f>1+20/24/60</f>
        <v>1.0138888888888888</v>
      </c>
      <c r="O445" s="43">
        <f>1+48/24/60</f>
        <v>1.0333333333333334</v>
      </c>
      <c r="P445" s="39"/>
      <c r="Q445" s="42" t="s">
        <v>32</v>
      </c>
      <c r="R445" s="29">
        <f>MIP_4[[#This Row],[PT-1]]+MIP_4[[#This Row],[PT-2]]*2+MIP_4[[#This Row],[PT-3]]*3+MIP_4[[#This Row],[PT &gt; 3 Pontos]]</f>
        <v>12</v>
      </c>
      <c r="S44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4.9305555555555713E-2</v>
      </c>
      <c r="T44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4.9305555555555713E-2</v>
      </c>
      <c r="U445" s="41">
        <f ca="1">MIP_4[[#This Row],[Eficiência]]</f>
        <v>0.92167793880837323</v>
      </c>
      <c r="V44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45" s="39">
        <f>IF(MIP_4[[#This Row],[P.S]]-MIP_4[[#This Row],[P.E]]&lt;0,1+MIP_4[[#This Row],[P.S]]-MIP_4[[#This Row],[P.E]]-1/24,MIP_4[[#This Row],[P.S]]-MIP_4[[#This Row],[P.E]]-1/24)</f>
        <v>0.36180555555555566</v>
      </c>
      <c r="X445" s="39">
        <f ca="1">MIP_4[[#This Row],[PT-1]]*$S$3+MIP_4[[#This Row],[PT-2]]*$T$3+MIP_4[[#This Row],[PT-3]]*$U$3+MIP_4[[#This Row],[PT &gt; 3 Pontos]]*$V$3</f>
        <v>0.2880243558776166</v>
      </c>
      <c r="Y445" s="39">
        <f>MIP_4[[#This Row],[HH disponível]]-MIP_4[[#This Row],[HH AC TOT]]</f>
        <v>0.31249999999999994</v>
      </c>
      <c r="Z445" s="38">
        <f ca="1">MIP_4[[#This Row],[HH Produtivo
Total]]/MIP_4[[#This Row],[HH Trabalhado]]</f>
        <v>0.92167793880837323</v>
      </c>
      <c r="AA445" s="38">
        <f ca="1">MIP_4[[#This Row],[HH Produtivo
Total]]/MIP_4[[#This Row],[HH disponível]]</f>
        <v>0.79607499513199187</v>
      </c>
      <c r="AB445" s="38">
        <f>MIP_4[[#This Row],[HH Trabalhado]]/MIP_4[[#This Row],[HH disponível]]</f>
        <v>0.86372360844529705</v>
      </c>
      <c r="AC445" s="37" t="str">
        <f>LEFT(MIP_4[[#This Row],[Equipe]], SEARCH("/",MIP_4[[#This Row],[Equipe]],1)-1)</f>
        <v xml:space="preserve">ANDERSON </v>
      </c>
      <c r="AD445" s="37" t="str">
        <f>RIGHT(MIP_4[[#This Row],[Equipe]], LEN(MIP_4[[#This Row],[Equipe]])-SEARCH("/",MIP_4[[#This Row],[Equipe]],1))</f>
        <v xml:space="preserve"> MARCO</v>
      </c>
      <c r="AE445" s="44">
        <f>COUNTIFS('[1]Tempo parado'!G:G,"&gt;="&amp;MIP_4[[#This Row],[S.B Sitrack]],'[1]Tempo parado'!H:H,"&lt;="&amp;MIP_4[[#This Row],[C.B Sitrack]],'[1]Tempo parado'!A:A,MIP_4[[#This Row],[Placa]])</f>
        <v>0</v>
      </c>
      <c r="AF445" s="36"/>
      <c r="AG445" s="35"/>
      <c r="AH445" s="34"/>
      <c r="AI445" s="34"/>
      <c r="AJ44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4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4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45" s="32" t="str">
        <f>IFERROR(MIP_4[[#This Row],[Tempo parado]]/(MIP_4[[#This Row],[C.B Sitrack]]-MIP_4[[#This Row],[S.B Sitrack]]),"")</f>
        <v/>
      </c>
      <c r="AN445" s="30"/>
      <c r="AO445" s="44">
        <f>IF(AND(MIP_4[Exc]=0,MIP_4[Previsto / Realizado]="Realizado"),MIP_4[Sem],0)</f>
        <v>35</v>
      </c>
      <c r="AP445" s="29">
        <f>IF(AND(MIP_4[Exc]=0,MIP_4[Previsto / Realizado]="Realizado",ISBLANK(MIP_4[[#This Row],[S.B Sitrack]])=FALSE,ISBLANK(MIP_4[[#This Row],[C.B Sitrack]])=FALSE),MIP_4[Sem],0)</f>
        <v>0</v>
      </c>
    </row>
    <row r="446" spans="1:42" ht="15.75" x14ac:dyDescent="0.25">
      <c r="A446" s="44">
        <f>WEEKNUM(MIP_4[[#This Row],[Data]])</f>
        <v>35</v>
      </c>
      <c r="B446" s="45">
        <v>42976</v>
      </c>
      <c r="C446" s="45"/>
      <c r="D446" s="35" t="s">
        <v>10</v>
      </c>
      <c r="E446" s="35" t="s">
        <v>5</v>
      </c>
      <c r="F446" s="35"/>
      <c r="G446" s="44">
        <v>2</v>
      </c>
      <c r="H446" s="44">
        <v>6</v>
      </c>
      <c r="I446" s="44">
        <v>0</v>
      </c>
      <c r="J446" s="44">
        <v>0</v>
      </c>
      <c r="K446" s="44">
        <v>0</v>
      </c>
      <c r="L446" s="43">
        <v>0.25</v>
      </c>
      <c r="M446" s="43">
        <v>0.27083333333333331</v>
      </c>
      <c r="N446" s="43">
        <v>0.63750000000000007</v>
      </c>
      <c r="O446" s="43">
        <v>0.65833333333333333</v>
      </c>
      <c r="P446" s="39"/>
      <c r="Q446" s="42" t="s">
        <v>275</v>
      </c>
      <c r="R446" s="29">
        <f>MIP_4[[#This Row],[PT-1]]+MIP_4[[#This Row],[PT-2]]*2+MIP_4[[#This Row],[PT-3]]*3+MIP_4[[#This Row],[PT &gt; 3 Pontos]]</f>
        <v>6</v>
      </c>
      <c r="S44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44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446" s="41">
        <f ca="1">MIP_4[[#This Row],[Eficiência]]</f>
        <v>0.46201574693422476</v>
      </c>
      <c r="V44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46" s="39">
        <f>IF(MIP_4[[#This Row],[P.S]]-MIP_4[[#This Row],[P.E]]&lt;0,1+MIP_4[[#This Row],[P.S]]-MIP_4[[#This Row],[P.E]]-1/24,MIP_4[[#This Row],[P.S]]-MIP_4[[#This Row],[P.E]]-1/24)</f>
        <v>0.36666666666666664</v>
      </c>
      <c r="X446" s="39">
        <f ca="1">MIP_4[[#This Row],[PT-1]]*$S$3+MIP_4[[#This Row],[PT-2]]*$T$3+MIP_4[[#This Row],[PT-3]]*$U$3+MIP_4[[#This Row],[PT &gt; 3 Pontos]]*$V$3</f>
        <v>0.15015511775362309</v>
      </c>
      <c r="Y446" s="39">
        <f>MIP_4[[#This Row],[HH disponível]]-MIP_4[[#This Row],[HH AC TOT]]</f>
        <v>0.32500000000000007</v>
      </c>
      <c r="Z446" s="38">
        <f ca="1">MIP_4[[#This Row],[HH Produtivo
Total]]/MIP_4[[#This Row],[HH Trabalhado]]</f>
        <v>0.46201574693422476</v>
      </c>
      <c r="AA446" s="38">
        <f ca="1">MIP_4[[#This Row],[HH Produtivo
Total]]/MIP_4[[#This Row],[HH disponível]]</f>
        <v>0.40951395750988118</v>
      </c>
      <c r="AB446" s="38">
        <f>MIP_4[[#This Row],[HH Trabalhado]]/MIP_4[[#This Row],[HH disponível]]</f>
        <v>0.88636363636363658</v>
      </c>
      <c r="AC446" s="37" t="str">
        <f>LEFT(MIP_4[[#This Row],[Equipe]], SEARCH("/",MIP_4[[#This Row],[Equipe]],1)-1)</f>
        <v xml:space="preserve">JOILSON </v>
      </c>
      <c r="AD446" s="37" t="str">
        <f>RIGHT(MIP_4[[#This Row],[Equipe]], LEN(MIP_4[[#This Row],[Equipe]])-SEARCH("/",MIP_4[[#This Row],[Equipe]],1))</f>
        <v xml:space="preserve"> VALDEI</v>
      </c>
      <c r="AE446" s="44">
        <f>COUNTIFS('[1]Tempo parado'!G:G,"&gt;="&amp;MIP_4[[#This Row],[S.B Sitrack]],'[1]Tempo parado'!H:H,"&lt;="&amp;MIP_4[[#This Row],[C.B Sitrack]],'[1]Tempo parado'!A:A,MIP_4[[#This Row],[Placa]])</f>
        <v>0</v>
      </c>
      <c r="AF446" s="36"/>
      <c r="AG446" s="35"/>
      <c r="AH446" s="34"/>
      <c r="AI446" s="34"/>
      <c r="AJ44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4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4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46" s="32" t="str">
        <f>IFERROR(MIP_4[[#This Row],[Tempo parado]]/(MIP_4[[#This Row],[C.B Sitrack]]-MIP_4[[#This Row],[S.B Sitrack]]),"")</f>
        <v/>
      </c>
      <c r="AN446" s="30"/>
      <c r="AO446" s="44">
        <f>IF(AND(MIP_4[Exc]=0,MIP_4[Previsto / Realizado]="Realizado"),MIP_4[Sem],0)</f>
        <v>0</v>
      </c>
      <c r="AP446" s="29">
        <f>IF(AND(MIP_4[Exc]=0,MIP_4[Previsto / Realizado]="Realizado",ISBLANK(MIP_4[[#This Row],[S.B Sitrack]])=FALSE,ISBLANK(MIP_4[[#This Row],[C.B Sitrack]])=FALSE),MIP_4[Sem],0)</f>
        <v>0</v>
      </c>
    </row>
    <row r="447" spans="1:42" ht="15.75" x14ac:dyDescent="0.25">
      <c r="A447" s="44">
        <f>WEEKNUM(MIP_4[[#This Row],[Data]])</f>
        <v>35</v>
      </c>
      <c r="B447" s="45">
        <v>42976</v>
      </c>
      <c r="C447" s="45"/>
      <c r="D447" s="35" t="s">
        <v>10</v>
      </c>
      <c r="E447" s="35" t="s">
        <v>2</v>
      </c>
      <c r="F447" s="35"/>
      <c r="G447" s="44">
        <v>2</v>
      </c>
      <c r="H447" s="44">
        <v>9</v>
      </c>
      <c r="I447" s="44">
        <v>0</v>
      </c>
      <c r="J447" s="44">
        <v>0</v>
      </c>
      <c r="K447" s="44">
        <v>0</v>
      </c>
      <c r="L447" s="43">
        <v>0.24722222222222223</v>
      </c>
      <c r="M447" s="43">
        <v>0.27847222222222223</v>
      </c>
      <c r="N447" s="43">
        <v>0.62986111111111109</v>
      </c>
      <c r="O447" s="43">
        <v>0.66388888888888886</v>
      </c>
      <c r="P447" s="39">
        <v>4.1666666666666664E-2</v>
      </c>
      <c r="Q447" s="42" t="s">
        <v>274</v>
      </c>
      <c r="R447" s="29">
        <f>MIP_4[[#This Row],[PT-1]]+MIP_4[[#This Row],[PT-2]]*2+MIP_4[[#This Row],[PT-3]]*3+MIP_4[[#This Row],[PT &gt; 3 Pontos]]</f>
        <v>9</v>
      </c>
      <c r="S44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0.10694444444444443</v>
      </c>
      <c r="T44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6.5277777777777768E-2</v>
      </c>
      <c r="U447" s="41">
        <f ca="1">MIP_4[[#This Row],[Eficiência]]</f>
        <v>0.84024625478711379</v>
      </c>
      <c r="V44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47" s="39">
        <f>IF(MIP_4[[#This Row],[P.S]]-MIP_4[[#This Row],[P.E]]&lt;0,1+MIP_4[[#This Row],[P.S]]-MIP_4[[#This Row],[P.E]]-1/24,MIP_4[[#This Row],[P.S]]-MIP_4[[#This Row],[P.E]]-1/24)</f>
        <v>0.37499999999999994</v>
      </c>
      <c r="X447" s="39">
        <f ca="1">MIP_4[[#This Row],[PT-1]]*$S$3+MIP_4[[#This Row],[PT-2]]*$T$3+MIP_4[[#This Row],[PT-3]]*$U$3+MIP_4[[#This Row],[PT &gt; 3 Pontos]]*$V$3</f>
        <v>0.22523267663043461</v>
      </c>
      <c r="Y447" s="39">
        <f>MIP_4[[#This Row],[HH disponível]]-MIP_4[[#This Row],[HH AC TOT]]</f>
        <v>0.26805555555555549</v>
      </c>
      <c r="Z447" s="38">
        <f ca="1">MIP_4[[#This Row],[HH Produtivo
Total]]/MIP_4[[#This Row],[HH Trabalhado]]</f>
        <v>0.84024625478711379</v>
      </c>
      <c r="AA447" s="38">
        <f ca="1">MIP_4[[#This Row],[HH Produtivo
Total]]/MIP_4[[#This Row],[HH disponível]]</f>
        <v>0.60062047101449234</v>
      </c>
      <c r="AB447" s="38">
        <f>MIP_4[[#This Row],[HH Trabalhado]]/MIP_4[[#This Row],[HH disponível]]</f>
        <v>0.71481481481481479</v>
      </c>
      <c r="AC447" s="37" t="str">
        <f>LEFT(MIP_4[[#This Row],[Equipe]], SEARCH("/",MIP_4[[#This Row],[Equipe]],1)-1)</f>
        <v xml:space="preserve">JOILSON </v>
      </c>
      <c r="AD447" s="37" t="str">
        <f>RIGHT(MIP_4[[#This Row],[Equipe]], LEN(MIP_4[[#This Row],[Equipe]])-SEARCH("/",MIP_4[[#This Row],[Equipe]],1))</f>
        <v xml:space="preserve"> VALDEI</v>
      </c>
      <c r="AE447" s="44">
        <f>COUNTIFS('[1]Tempo parado'!G:G,"&gt;="&amp;MIP_4[[#This Row],[S.B Sitrack]],'[1]Tempo parado'!H:H,"&lt;="&amp;MIP_4[[#This Row],[C.B Sitrack]],'[1]Tempo parado'!A:A,MIP_4[[#This Row],[Placa]])</f>
        <v>0</v>
      </c>
      <c r="AF447" s="36"/>
      <c r="AG447" s="35"/>
      <c r="AH447" s="34"/>
      <c r="AI447" s="34"/>
      <c r="AJ44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4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4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47" s="32" t="str">
        <f>IFERROR(MIP_4[[#This Row],[Tempo parado]]/(MIP_4[[#This Row],[C.B Sitrack]]-MIP_4[[#This Row],[S.B Sitrack]]),"")</f>
        <v/>
      </c>
      <c r="AN447" s="30"/>
      <c r="AO447" s="44">
        <f>IF(AND(MIP_4[Exc]=0,MIP_4[Previsto / Realizado]="Realizado"),MIP_4[Sem],0)</f>
        <v>35</v>
      </c>
      <c r="AP447" s="29">
        <f>IF(AND(MIP_4[Exc]=0,MIP_4[Previsto / Realizado]="Realizado",ISBLANK(MIP_4[[#This Row],[S.B Sitrack]])=FALSE,ISBLANK(MIP_4[[#This Row],[C.B Sitrack]])=FALSE),MIP_4[Sem],0)</f>
        <v>0</v>
      </c>
    </row>
    <row r="448" spans="1:42" ht="15.75" x14ac:dyDescent="0.25">
      <c r="A448" s="44">
        <f>WEEKNUM(MIP_4[[#This Row],[Data]])</f>
        <v>35</v>
      </c>
      <c r="B448" s="45">
        <v>42976</v>
      </c>
      <c r="C448" s="45"/>
      <c r="D448" s="35" t="s">
        <v>3</v>
      </c>
      <c r="E448" s="35" t="s">
        <v>5</v>
      </c>
      <c r="F448" s="35"/>
      <c r="G448" s="44">
        <v>2</v>
      </c>
      <c r="H448" s="44">
        <v>3</v>
      </c>
      <c r="I448" s="44">
        <v>2</v>
      </c>
      <c r="J448" s="44">
        <v>0</v>
      </c>
      <c r="K448" s="44">
        <v>8</v>
      </c>
      <c r="L448" s="43">
        <v>0.625</v>
      </c>
      <c r="M448" s="43">
        <v>0.64583333333333337</v>
      </c>
      <c r="N448" s="43">
        <f>1+18/24/60</f>
        <v>1.0125</v>
      </c>
      <c r="O448" s="43">
        <f>1+48/24/60</f>
        <v>1.0333333333333334</v>
      </c>
      <c r="P448" s="39"/>
      <c r="Q448" s="42"/>
      <c r="R448" s="29">
        <f>MIP_4[[#This Row],[PT-1]]+MIP_4[[#This Row],[PT-2]]*2+MIP_4[[#This Row],[PT-3]]*3+MIP_4[[#This Row],[PT &gt; 3 Pontos]]</f>
        <v>15</v>
      </c>
      <c r="S44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44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448" s="41">
        <f ca="1">MIP_4[[#This Row],[Eficiência]]</f>
        <v>0.99962824039665876</v>
      </c>
      <c r="V44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48" s="39">
        <f>IF(MIP_4[[#This Row],[P.S]]-MIP_4[[#This Row],[P.E]]&lt;0,1+MIP_4[[#This Row],[P.S]]-MIP_4[[#This Row],[P.E]]-1/24,MIP_4[[#This Row],[P.S]]-MIP_4[[#This Row],[P.E]]-1/24)</f>
        <v>0.36666666666666675</v>
      </c>
      <c r="X448" s="39">
        <f ca="1">MIP_4[[#This Row],[PT-1]]*$S$3+MIP_4[[#This Row],[PT-2]]*$T$3+MIP_4[[#This Row],[PT-3]]*$U$3+MIP_4[[#This Row],[PT &gt; 3 Pontos]]*$V$3</f>
        <v>0.32487917812891398</v>
      </c>
      <c r="Y448" s="39">
        <f>MIP_4[[#This Row],[HH disponível]]-MIP_4[[#This Row],[HH AC TOT]]</f>
        <v>0.3249999999999999</v>
      </c>
      <c r="Z448" s="38">
        <f ca="1">MIP_4[[#This Row],[HH Produtivo
Total]]/MIP_4[[#This Row],[HH Trabalhado]]</f>
        <v>0.99962824039665876</v>
      </c>
      <c r="AA448" s="38">
        <f ca="1">MIP_4[[#This Row],[HH Produtivo
Total]]/MIP_4[[#This Row],[HH disponível]]</f>
        <v>0.88603412216976518</v>
      </c>
      <c r="AB448" s="38">
        <f>MIP_4[[#This Row],[HH Trabalhado]]/MIP_4[[#This Row],[HH disponível]]</f>
        <v>0.88636363636363591</v>
      </c>
      <c r="AC448" s="37" t="str">
        <f>LEFT(MIP_4[[#This Row],[Equipe]], SEARCH("/",MIP_4[[#This Row],[Equipe]],1)-1)</f>
        <v xml:space="preserve">EDILTON </v>
      </c>
      <c r="AD448" s="37" t="str">
        <f>RIGHT(MIP_4[[#This Row],[Equipe]], LEN(MIP_4[[#This Row],[Equipe]])-SEARCH("/",MIP_4[[#This Row],[Equipe]],1))</f>
        <v xml:space="preserve"> GECIVALDO</v>
      </c>
      <c r="AE448" s="44">
        <f>COUNTIFS('[1]Tempo parado'!G:G,"&gt;="&amp;MIP_4[[#This Row],[S.B Sitrack]],'[1]Tempo parado'!H:H,"&lt;="&amp;MIP_4[[#This Row],[C.B Sitrack]],'[1]Tempo parado'!A:A,MIP_4[[#This Row],[Placa]])</f>
        <v>0</v>
      </c>
      <c r="AF448" s="36"/>
      <c r="AG448" s="35"/>
      <c r="AH448" s="34"/>
      <c r="AI448" s="34"/>
      <c r="AJ44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4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4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48" s="32" t="str">
        <f>IFERROR(MIP_4[[#This Row],[Tempo parado]]/(MIP_4[[#This Row],[C.B Sitrack]]-MIP_4[[#This Row],[S.B Sitrack]]),"")</f>
        <v/>
      </c>
      <c r="AN448" s="30"/>
      <c r="AO448" s="44">
        <f>IF(AND(MIP_4[Exc]=0,MIP_4[Previsto / Realizado]="Realizado"),MIP_4[Sem],0)</f>
        <v>0</v>
      </c>
      <c r="AP448" s="29">
        <f>IF(AND(MIP_4[Exc]=0,MIP_4[Previsto / Realizado]="Realizado",ISBLANK(MIP_4[[#This Row],[S.B Sitrack]])=FALSE,ISBLANK(MIP_4[[#This Row],[C.B Sitrack]])=FALSE),MIP_4[Sem],0)</f>
        <v>0</v>
      </c>
    </row>
    <row r="449" spans="1:42" ht="15.75" x14ac:dyDescent="0.25">
      <c r="A449" s="44">
        <f>WEEKNUM(MIP_4[[#This Row],[Data]])</f>
        <v>35</v>
      </c>
      <c r="B449" s="45">
        <v>42976</v>
      </c>
      <c r="C449" s="45"/>
      <c r="D449" s="35" t="s">
        <v>3</v>
      </c>
      <c r="E449" s="35" t="s">
        <v>2</v>
      </c>
      <c r="F449" s="35"/>
      <c r="G449" s="44">
        <v>2</v>
      </c>
      <c r="H449" s="44">
        <v>2</v>
      </c>
      <c r="I449" s="44">
        <v>2</v>
      </c>
      <c r="J449" s="44">
        <v>0</v>
      </c>
      <c r="K449" s="44">
        <v>8</v>
      </c>
      <c r="L449" s="43">
        <v>0.62152777777777779</v>
      </c>
      <c r="M449" s="43">
        <v>0.66666666666666663</v>
      </c>
      <c r="N449" s="43">
        <v>0.87847222222222221</v>
      </c>
      <c r="O449" s="43">
        <f>1+51/24/60</f>
        <v>1.0354166666666667</v>
      </c>
      <c r="P449" s="39"/>
      <c r="Q449" s="42" t="s">
        <v>273</v>
      </c>
      <c r="R449" s="29">
        <f>MIP_4[[#This Row],[PT-1]]+MIP_4[[#This Row],[PT-2]]*2+MIP_4[[#This Row],[PT-3]]*3+MIP_4[[#This Row],[PT &gt; 3 Pontos]]</f>
        <v>14</v>
      </c>
      <c r="S44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0.20208333333333328</v>
      </c>
      <c r="T44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0.20208333333333328</v>
      </c>
      <c r="U449" s="41">
        <f ca="1">MIP_4[[#This Row],[Eficiência]]</f>
        <v>1.7624032173255779</v>
      </c>
      <c r="V44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49" s="39">
        <f>IF(MIP_4[[#This Row],[P.S]]-MIP_4[[#This Row],[P.E]]&lt;0,1+MIP_4[[#This Row],[P.S]]-MIP_4[[#This Row],[P.E]]-1/24,MIP_4[[#This Row],[P.S]]-MIP_4[[#This Row],[P.E]]-1/24)</f>
        <v>0.37222222222222218</v>
      </c>
      <c r="X449" s="39">
        <f ca="1">MIP_4[[#This Row],[PT-1]]*$S$3+MIP_4[[#This Row],[PT-2]]*$T$3+MIP_4[[#This Row],[PT-3]]*$U$3+MIP_4[[#This Row],[PT &gt; 3 Pontos]]*$V$3</f>
        <v>0.29985332516997681</v>
      </c>
      <c r="Y449" s="39">
        <f>MIP_4[[#This Row],[HH disponível]]-MIP_4[[#This Row],[HH AC TOT]]</f>
        <v>0.1701388888888889</v>
      </c>
      <c r="Z449" s="38">
        <f ca="1">MIP_4[[#This Row],[HH Produtivo
Total]]/MIP_4[[#This Row],[HH Trabalhado]]</f>
        <v>1.7624032173255779</v>
      </c>
      <c r="AA449" s="38">
        <f ca="1">MIP_4[[#This Row],[HH Produtivo
Total]]/MIP_4[[#This Row],[HH disponível]]</f>
        <v>0.80557609747157966</v>
      </c>
      <c r="AB449" s="38">
        <f>MIP_4[[#This Row],[HH Trabalhado]]/MIP_4[[#This Row],[HH disponível]]</f>
        <v>0.45708955223880604</v>
      </c>
      <c r="AC449" s="37" t="str">
        <f>LEFT(MIP_4[[#This Row],[Equipe]], SEARCH("/",MIP_4[[#This Row],[Equipe]],1)-1)</f>
        <v xml:space="preserve">EDILTON </v>
      </c>
      <c r="AD449" s="37" t="str">
        <f>RIGHT(MIP_4[[#This Row],[Equipe]], LEN(MIP_4[[#This Row],[Equipe]])-SEARCH("/",MIP_4[[#This Row],[Equipe]],1))</f>
        <v xml:space="preserve"> GECIVALDO</v>
      </c>
      <c r="AE449" s="44">
        <f>COUNTIFS('[1]Tempo parado'!G:G,"&gt;="&amp;MIP_4[[#This Row],[S.B Sitrack]],'[1]Tempo parado'!H:H,"&lt;="&amp;MIP_4[[#This Row],[C.B Sitrack]],'[1]Tempo parado'!A:A,MIP_4[[#This Row],[Placa]])</f>
        <v>0</v>
      </c>
      <c r="AF449" s="36"/>
      <c r="AG449" s="35"/>
      <c r="AH449" s="34"/>
      <c r="AI449" s="34"/>
      <c r="AJ44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4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4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49" s="32" t="str">
        <f>IFERROR(MIP_4[[#This Row],[Tempo parado]]/(MIP_4[[#This Row],[C.B Sitrack]]-MIP_4[[#This Row],[S.B Sitrack]]),"")</f>
        <v/>
      </c>
      <c r="AN449" s="30"/>
      <c r="AO449" s="44">
        <f>IF(AND(MIP_4[Exc]=0,MIP_4[Previsto / Realizado]="Realizado"),MIP_4[Sem],0)</f>
        <v>35</v>
      </c>
      <c r="AP449" s="29">
        <f>IF(AND(MIP_4[Exc]=0,MIP_4[Previsto / Realizado]="Realizado",ISBLANK(MIP_4[[#This Row],[S.B Sitrack]])=FALSE,ISBLANK(MIP_4[[#This Row],[C.B Sitrack]])=FALSE),MIP_4[Sem],0)</f>
        <v>0</v>
      </c>
    </row>
    <row r="450" spans="1:42" ht="15.75" x14ac:dyDescent="0.25">
      <c r="A450" s="44">
        <f>WEEKNUM(MIP_4[[#This Row],[Data]])</f>
        <v>35</v>
      </c>
      <c r="B450" s="45">
        <v>42976</v>
      </c>
      <c r="C450" s="45"/>
      <c r="D450" s="35" t="s">
        <v>19</v>
      </c>
      <c r="E450" s="35" t="s">
        <v>5</v>
      </c>
      <c r="F450" s="35"/>
      <c r="G450" s="44">
        <v>2</v>
      </c>
      <c r="H450" s="44">
        <v>0</v>
      </c>
      <c r="I450" s="44">
        <v>0</v>
      </c>
      <c r="J450" s="44">
        <v>0</v>
      </c>
      <c r="K450" s="44">
        <v>0</v>
      </c>
      <c r="L450" s="43">
        <v>0.625</v>
      </c>
      <c r="M450" s="43">
        <v>0.64583333333333337</v>
      </c>
      <c r="N450" s="43">
        <f>1+18/24/60</f>
        <v>1.0125</v>
      </c>
      <c r="O450" s="43">
        <f>1+48/24/60</f>
        <v>1.0333333333333334</v>
      </c>
      <c r="P450" s="39"/>
      <c r="Q450" s="42" t="s">
        <v>272</v>
      </c>
      <c r="R450" s="29">
        <f>MIP_4[[#This Row],[PT-1]]+MIP_4[[#This Row],[PT-2]]*2+MIP_4[[#This Row],[PT-3]]*3+MIP_4[[#This Row],[PT &gt; 3 Pontos]]</f>
        <v>0</v>
      </c>
      <c r="S45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45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450" s="41">
        <f ca="1">MIP_4[[#This Row],[Eficiência]]</f>
        <v>0</v>
      </c>
      <c r="V45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50" s="39">
        <f>IF(MIP_4[[#This Row],[P.S]]-MIP_4[[#This Row],[P.E]]&lt;0,1+MIP_4[[#This Row],[P.S]]-MIP_4[[#This Row],[P.E]]-1/24,MIP_4[[#This Row],[P.S]]-MIP_4[[#This Row],[P.E]]-1/24)</f>
        <v>0.36666666666666675</v>
      </c>
      <c r="X450" s="39">
        <f ca="1">MIP_4[[#This Row],[PT-1]]*$S$3+MIP_4[[#This Row],[PT-2]]*$T$3+MIP_4[[#This Row],[PT-3]]*$U$3+MIP_4[[#This Row],[PT &gt; 3 Pontos]]*$V$3</f>
        <v>0</v>
      </c>
      <c r="Y450" s="39">
        <f>MIP_4[[#This Row],[HH disponível]]-MIP_4[[#This Row],[HH AC TOT]]</f>
        <v>0.3249999999999999</v>
      </c>
      <c r="Z450" s="38">
        <f ca="1">MIP_4[[#This Row],[HH Produtivo
Total]]/MIP_4[[#This Row],[HH Trabalhado]]</f>
        <v>0</v>
      </c>
      <c r="AA450" s="38">
        <f ca="1">MIP_4[[#This Row],[HH Produtivo
Total]]/MIP_4[[#This Row],[HH disponível]]</f>
        <v>0</v>
      </c>
      <c r="AB450" s="38">
        <f>MIP_4[[#This Row],[HH Trabalhado]]/MIP_4[[#This Row],[HH disponível]]</f>
        <v>0.88636363636363591</v>
      </c>
      <c r="AC450" s="37" t="str">
        <f>LEFT(MIP_4[[#This Row],[Equipe]], SEARCH("/",MIP_4[[#This Row],[Equipe]],1)-1)</f>
        <v xml:space="preserve">ADEMÁRIO </v>
      </c>
      <c r="AD450" s="37" t="str">
        <f>RIGHT(MIP_4[[#This Row],[Equipe]], LEN(MIP_4[[#This Row],[Equipe]])-SEARCH("/",MIP_4[[#This Row],[Equipe]],1))</f>
        <v xml:space="preserve"> RONALDO</v>
      </c>
      <c r="AE450" s="44">
        <f>COUNTIFS('[1]Tempo parado'!G:G,"&gt;="&amp;MIP_4[[#This Row],[S.B Sitrack]],'[1]Tempo parado'!H:H,"&lt;="&amp;MIP_4[[#This Row],[C.B Sitrack]],'[1]Tempo parado'!A:A,MIP_4[[#This Row],[Placa]])</f>
        <v>0</v>
      </c>
      <c r="AF450" s="36"/>
      <c r="AG450" s="35"/>
      <c r="AH450" s="34"/>
      <c r="AI450" s="34"/>
      <c r="AJ45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5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5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50" s="32" t="str">
        <f>IFERROR(MIP_4[[#This Row],[Tempo parado]]/(MIP_4[[#This Row],[C.B Sitrack]]-MIP_4[[#This Row],[S.B Sitrack]]),"")</f>
        <v/>
      </c>
      <c r="AN450" s="30"/>
      <c r="AO450" s="44">
        <f>IF(AND(MIP_4[Exc]=0,MIP_4[Previsto / Realizado]="Realizado"),MIP_4[Sem],0)</f>
        <v>0</v>
      </c>
      <c r="AP450" s="29">
        <f>IF(AND(MIP_4[Exc]=0,MIP_4[Previsto / Realizado]="Realizado",ISBLANK(MIP_4[[#This Row],[S.B Sitrack]])=FALSE,ISBLANK(MIP_4[[#This Row],[C.B Sitrack]])=FALSE),MIP_4[Sem],0)</f>
        <v>0</v>
      </c>
    </row>
    <row r="451" spans="1:42" ht="15.75" x14ac:dyDescent="0.25">
      <c r="A451" s="44">
        <f>WEEKNUM(MIP_4[[#This Row],[Data]])</f>
        <v>35</v>
      </c>
      <c r="B451" s="45">
        <v>42976</v>
      </c>
      <c r="C451" s="45"/>
      <c r="D451" s="35" t="s">
        <v>19</v>
      </c>
      <c r="E451" s="35" t="s">
        <v>2</v>
      </c>
      <c r="F451" s="35"/>
      <c r="G451" s="44">
        <v>2</v>
      </c>
      <c r="H451" s="44">
        <v>0</v>
      </c>
      <c r="I451" s="44">
        <v>0</v>
      </c>
      <c r="J451" s="44">
        <v>0</v>
      </c>
      <c r="K451" s="44">
        <v>0</v>
      </c>
      <c r="L451" s="43">
        <v>0.64722222222222225</v>
      </c>
      <c r="M451" s="43">
        <v>0.67083333333333339</v>
      </c>
      <c r="N451" s="43">
        <v>0.98611111111111116</v>
      </c>
      <c r="O451" s="43">
        <f>1+54/24/60</f>
        <v>1.0375000000000001</v>
      </c>
      <c r="P451" s="39"/>
      <c r="Q451" s="42" t="s">
        <v>271</v>
      </c>
      <c r="R451" s="29">
        <f>MIP_4[[#This Row],[PT-1]]+MIP_4[[#This Row],[PT-2]]*2+MIP_4[[#This Row],[PT-3]]*3+MIP_4[[#This Row],[PT &gt; 3 Pontos]]</f>
        <v>0</v>
      </c>
      <c r="S45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7.5000000000000067E-2</v>
      </c>
      <c r="T45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7.5000000000000067E-2</v>
      </c>
      <c r="U451" s="41">
        <f ca="1">MIP_4[[#This Row],[Eficiência]]</f>
        <v>0</v>
      </c>
      <c r="V45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51" s="39">
        <f>IF(MIP_4[[#This Row],[P.S]]-MIP_4[[#This Row],[P.E]]&lt;0,1+MIP_4[[#This Row],[P.S]]-MIP_4[[#This Row],[P.E]]-1/24,MIP_4[[#This Row],[P.S]]-MIP_4[[#This Row],[P.E]]-1/24)</f>
        <v>0.34861111111111115</v>
      </c>
      <c r="X451" s="39">
        <f ca="1">MIP_4[[#This Row],[PT-1]]*$S$3+MIP_4[[#This Row],[PT-2]]*$T$3+MIP_4[[#This Row],[PT-3]]*$U$3+MIP_4[[#This Row],[PT &gt; 3 Pontos]]*$V$3</f>
        <v>0</v>
      </c>
      <c r="Y451" s="39">
        <f>MIP_4[[#This Row],[HH disponível]]-MIP_4[[#This Row],[HH AC TOT]]</f>
        <v>0.27361111111111108</v>
      </c>
      <c r="Z451" s="38">
        <f ca="1">MIP_4[[#This Row],[HH Produtivo
Total]]/MIP_4[[#This Row],[HH Trabalhado]]</f>
        <v>0</v>
      </c>
      <c r="AA451" s="38">
        <f ca="1">MIP_4[[#This Row],[HH Produtivo
Total]]/MIP_4[[#This Row],[HH disponível]]</f>
        <v>0</v>
      </c>
      <c r="AB451" s="38">
        <f>MIP_4[[#This Row],[HH Trabalhado]]/MIP_4[[#This Row],[HH disponível]]</f>
        <v>0.78486055776892416</v>
      </c>
      <c r="AC451" s="37" t="str">
        <f>LEFT(MIP_4[[#This Row],[Equipe]], SEARCH("/",MIP_4[[#This Row],[Equipe]],1)-1)</f>
        <v xml:space="preserve">ADEMÁRIO </v>
      </c>
      <c r="AD451" s="37" t="str">
        <f>RIGHT(MIP_4[[#This Row],[Equipe]], LEN(MIP_4[[#This Row],[Equipe]])-SEARCH("/",MIP_4[[#This Row],[Equipe]],1))</f>
        <v xml:space="preserve"> RONALDO</v>
      </c>
      <c r="AE451" s="44">
        <f>COUNTIFS('[1]Tempo parado'!G:G,"&gt;="&amp;MIP_4[[#This Row],[S.B Sitrack]],'[1]Tempo parado'!H:H,"&lt;="&amp;MIP_4[[#This Row],[C.B Sitrack]],'[1]Tempo parado'!A:A,MIP_4[[#This Row],[Placa]])</f>
        <v>0</v>
      </c>
      <c r="AF451" s="36"/>
      <c r="AG451" s="35"/>
      <c r="AH451" s="34"/>
      <c r="AI451" s="34"/>
      <c r="AJ45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5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5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51" s="32" t="str">
        <f>IFERROR(MIP_4[[#This Row],[Tempo parado]]/(MIP_4[[#This Row],[C.B Sitrack]]-MIP_4[[#This Row],[S.B Sitrack]]),"")</f>
        <v/>
      </c>
      <c r="AN451" s="30"/>
      <c r="AO451" s="44">
        <f>IF(AND(MIP_4[Exc]=0,MIP_4[Previsto / Realizado]="Realizado"),MIP_4[Sem],0)</f>
        <v>35</v>
      </c>
      <c r="AP451" s="29">
        <f>IF(AND(MIP_4[Exc]=0,MIP_4[Previsto / Realizado]="Realizado",ISBLANK(MIP_4[[#This Row],[S.B Sitrack]])=FALSE,ISBLANK(MIP_4[[#This Row],[C.B Sitrack]])=FALSE),MIP_4[Sem],0)</f>
        <v>0</v>
      </c>
    </row>
    <row r="452" spans="1:42" ht="15.75" x14ac:dyDescent="0.25">
      <c r="A452" s="44">
        <f>WEEKNUM(MIP_4[[#This Row],[Data]])</f>
        <v>35</v>
      </c>
      <c r="B452" s="45">
        <v>42977</v>
      </c>
      <c r="C452" s="45"/>
      <c r="D452" s="35" t="s">
        <v>10</v>
      </c>
      <c r="E452" s="35" t="s">
        <v>5</v>
      </c>
      <c r="F452" s="35"/>
      <c r="G452" s="44">
        <v>2</v>
      </c>
      <c r="H452" s="44">
        <v>3</v>
      </c>
      <c r="I452" s="44">
        <v>1</v>
      </c>
      <c r="J452" s="44">
        <v>0</v>
      </c>
      <c r="K452" s="44">
        <v>0</v>
      </c>
      <c r="L452" s="43">
        <v>0.25</v>
      </c>
      <c r="M452" s="43">
        <v>0.27083333333333331</v>
      </c>
      <c r="N452" s="43">
        <v>0.63750000000000007</v>
      </c>
      <c r="O452" s="43">
        <v>0.65833333333333333</v>
      </c>
      <c r="P452" s="39"/>
      <c r="Q452" s="42" t="s">
        <v>270</v>
      </c>
      <c r="R452" s="29">
        <f>MIP_4[[#This Row],[PT-1]]+MIP_4[[#This Row],[PT-2]]*2+MIP_4[[#This Row],[PT-3]]*3+MIP_4[[#This Row],[PT &gt; 3 Pontos]]</f>
        <v>5</v>
      </c>
      <c r="S45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45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452" s="41">
        <f ca="1">MIP_4[[#This Row],[Eficiência]]</f>
        <v>0.3661117691688342</v>
      </c>
      <c r="V45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52" s="39">
        <f>IF(MIP_4[[#This Row],[P.S]]-MIP_4[[#This Row],[P.E]]&lt;0,1+MIP_4[[#This Row],[P.S]]-MIP_4[[#This Row],[P.E]]-1/24,MIP_4[[#This Row],[P.S]]-MIP_4[[#This Row],[P.E]]-1/24)</f>
        <v>0.36666666666666664</v>
      </c>
      <c r="X452" s="39">
        <f ca="1">MIP_4[[#This Row],[PT-1]]*$S$3+MIP_4[[#This Row],[PT-2]]*$T$3+MIP_4[[#This Row],[PT-3]]*$U$3+MIP_4[[#This Row],[PT &gt; 3 Pontos]]*$V$3</f>
        <v>0.11898632497987113</v>
      </c>
      <c r="Y452" s="39">
        <f>MIP_4[[#This Row],[HH disponível]]-MIP_4[[#This Row],[HH AC TOT]]</f>
        <v>0.32500000000000007</v>
      </c>
      <c r="Z452" s="38">
        <f ca="1">MIP_4[[#This Row],[HH Produtivo
Total]]/MIP_4[[#This Row],[HH Trabalhado]]</f>
        <v>0.3661117691688342</v>
      </c>
      <c r="AA452" s="38">
        <f ca="1">MIP_4[[#This Row],[HH Produtivo
Total]]/MIP_4[[#This Row],[HH disponível]]</f>
        <v>0.32450815903601221</v>
      </c>
      <c r="AB452" s="38">
        <f>MIP_4[[#This Row],[HH Trabalhado]]/MIP_4[[#This Row],[HH disponível]]</f>
        <v>0.88636363636363658</v>
      </c>
      <c r="AC452" s="37" t="str">
        <f>LEFT(MIP_4[[#This Row],[Equipe]], SEARCH("/",MIP_4[[#This Row],[Equipe]],1)-1)</f>
        <v xml:space="preserve">JOILSON </v>
      </c>
      <c r="AD452" s="37" t="str">
        <f>RIGHT(MIP_4[[#This Row],[Equipe]], LEN(MIP_4[[#This Row],[Equipe]])-SEARCH("/",MIP_4[[#This Row],[Equipe]],1))</f>
        <v xml:space="preserve"> VALDEI</v>
      </c>
      <c r="AE452" s="44">
        <f>COUNTIFS('[1]Tempo parado'!G:G,"&gt;="&amp;MIP_4[[#This Row],[S.B Sitrack]],'[1]Tempo parado'!H:H,"&lt;="&amp;MIP_4[[#This Row],[C.B Sitrack]],'[1]Tempo parado'!A:A,MIP_4[[#This Row],[Placa]])</f>
        <v>0</v>
      </c>
      <c r="AF452" s="36"/>
      <c r="AG452" s="35"/>
      <c r="AH452" s="34"/>
      <c r="AI452" s="34"/>
      <c r="AJ45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5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5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52" s="32" t="str">
        <f>IFERROR(MIP_4[[#This Row],[Tempo parado]]/(MIP_4[[#This Row],[C.B Sitrack]]-MIP_4[[#This Row],[S.B Sitrack]]),"")</f>
        <v/>
      </c>
      <c r="AN452" s="30"/>
      <c r="AO452" s="44">
        <f>IF(AND(MIP_4[Exc]=0,MIP_4[Previsto / Realizado]="Realizado"),MIP_4[Sem],0)</f>
        <v>0</v>
      </c>
      <c r="AP452" s="29">
        <f>IF(AND(MIP_4[Exc]=0,MIP_4[Previsto / Realizado]="Realizado",ISBLANK(MIP_4[[#This Row],[S.B Sitrack]])=FALSE,ISBLANK(MIP_4[[#This Row],[C.B Sitrack]])=FALSE),MIP_4[Sem],0)</f>
        <v>0</v>
      </c>
    </row>
    <row r="453" spans="1:42" ht="15.75" x14ac:dyDescent="0.25">
      <c r="A453" s="44">
        <f>WEEKNUM(MIP_4[[#This Row],[Data]])</f>
        <v>35</v>
      </c>
      <c r="B453" s="45">
        <v>42977</v>
      </c>
      <c r="C453" s="45"/>
      <c r="D453" s="35" t="s">
        <v>10</v>
      </c>
      <c r="E453" s="35" t="s">
        <v>2</v>
      </c>
      <c r="F453" s="35"/>
      <c r="G453" s="44">
        <v>2</v>
      </c>
      <c r="H453" s="44">
        <v>4</v>
      </c>
      <c r="I453" s="44">
        <v>2</v>
      </c>
      <c r="J453" s="44">
        <v>1</v>
      </c>
      <c r="K453" s="44">
        <v>0</v>
      </c>
      <c r="L453" s="43">
        <v>0.24791666666666667</v>
      </c>
      <c r="M453" s="43">
        <v>0.2722222222222222</v>
      </c>
      <c r="N453" s="43">
        <v>0.57638888888888895</v>
      </c>
      <c r="O453" s="43">
        <v>0.65833333333333333</v>
      </c>
      <c r="P453" s="39"/>
      <c r="Q453" s="42" t="s">
        <v>269</v>
      </c>
      <c r="R453" s="29">
        <f>MIP_4[[#This Row],[PT-1]]+MIP_4[[#This Row],[PT-2]]*2+MIP_4[[#This Row],[PT-3]]*3+MIP_4[[#This Row],[PT &gt; 3 Pontos]]</f>
        <v>11</v>
      </c>
      <c r="S45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0.1062499999999999</v>
      </c>
      <c r="T45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0.1062499999999999</v>
      </c>
      <c r="U453" s="41">
        <f ca="1">MIP_4[[#This Row],[Eficiência]]</f>
        <v>0.95509570776780872</v>
      </c>
      <c r="V45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53" s="39">
        <f>IF(MIP_4[[#This Row],[P.S]]-MIP_4[[#This Row],[P.E]]&lt;0,1+MIP_4[[#This Row],[P.S]]-MIP_4[[#This Row],[P.E]]-1/24,MIP_4[[#This Row],[P.S]]-MIP_4[[#This Row],[P.E]]-1/24)</f>
        <v>0.36874999999999997</v>
      </c>
      <c r="X453" s="39">
        <f ca="1">MIP_4[[#This Row],[PT-1]]*$S$3+MIP_4[[#This Row],[PT-2]]*$T$3+MIP_4[[#This Row],[PT-3]]*$U$3+MIP_4[[#This Row],[PT &gt; 3 Pontos]]*$V$3</f>
        <v>0.25071262328904986</v>
      </c>
      <c r="Y453" s="39">
        <f>MIP_4[[#This Row],[HH disponível]]-MIP_4[[#This Row],[HH AC TOT]]</f>
        <v>0.26250000000000007</v>
      </c>
      <c r="Z453" s="38">
        <f ca="1">MIP_4[[#This Row],[HH Produtivo
Total]]/MIP_4[[#This Row],[HH Trabalhado]]</f>
        <v>0.95509570776780872</v>
      </c>
      <c r="AA453" s="38">
        <f ca="1">MIP_4[[#This Row],[HH Produtivo
Total]]/MIP_4[[#This Row],[HH disponível]]</f>
        <v>0.67989863942793194</v>
      </c>
      <c r="AB453" s="38">
        <f>MIP_4[[#This Row],[HH Trabalhado]]/MIP_4[[#This Row],[HH disponível]]</f>
        <v>0.71186440677966123</v>
      </c>
      <c r="AC453" s="37" t="str">
        <f>LEFT(MIP_4[[#This Row],[Equipe]], SEARCH("/",MIP_4[[#This Row],[Equipe]],1)-1)</f>
        <v xml:space="preserve">JOILSON </v>
      </c>
      <c r="AD453" s="37" t="str">
        <f>RIGHT(MIP_4[[#This Row],[Equipe]], LEN(MIP_4[[#This Row],[Equipe]])-SEARCH("/",MIP_4[[#This Row],[Equipe]],1))</f>
        <v xml:space="preserve"> VALDEI</v>
      </c>
      <c r="AE453" s="44">
        <f>COUNTIFS('[1]Tempo parado'!G:G,"&gt;="&amp;MIP_4[[#This Row],[S.B Sitrack]],'[1]Tempo parado'!H:H,"&lt;="&amp;MIP_4[[#This Row],[C.B Sitrack]],'[1]Tempo parado'!A:A,MIP_4[[#This Row],[Placa]])</f>
        <v>0</v>
      </c>
      <c r="AF453" s="36"/>
      <c r="AG453" s="35"/>
      <c r="AH453" s="34"/>
      <c r="AI453" s="34"/>
      <c r="AJ45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5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5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53" s="32" t="str">
        <f>IFERROR(MIP_4[[#This Row],[Tempo parado]]/(MIP_4[[#This Row],[C.B Sitrack]]-MIP_4[[#This Row],[S.B Sitrack]]),"")</f>
        <v/>
      </c>
      <c r="AN453" s="30"/>
      <c r="AO453" s="44">
        <f>IF(AND(MIP_4[Exc]=0,MIP_4[Previsto / Realizado]="Realizado"),MIP_4[Sem],0)</f>
        <v>35</v>
      </c>
      <c r="AP453" s="29">
        <f>IF(AND(MIP_4[Exc]=0,MIP_4[Previsto / Realizado]="Realizado",ISBLANK(MIP_4[[#This Row],[S.B Sitrack]])=FALSE,ISBLANK(MIP_4[[#This Row],[C.B Sitrack]])=FALSE),MIP_4[Sem],0)</f>
        <v>0</v>
      </c>
    </row>
    <row r="454" spans="1:42" ht="15.75" x14ac:dyDescent="0.25">
      <c r="A454" s="44">
        <f>WEEKNUM(MIP_4[[#This Row],[Data]])</f>
        <v>35</v>
      </c>
      <c r="B454" s="45">
        <v>42977</v>
      </c>
      <c r="C454" s="45"/>
      <c r="D454" s="35" t="s">
        <v>3</v>
      </c>
      <c r="E454" s="35" t="s">
        <v>5</v>
      </c>
      <c r="F454" s="35"/>
      <c r="G454" s="44">
        <v>2</v>
      </c>
      <c r="H454" s="44">
        <v>2</v>
      </c>
      <c r="I454" s="44">
        <v>2</v>
      </c>
      <c r="J454" s="44">
        <v>1</v>
      </c>
      <c r="K454" s="44">
        <v>4</v>
      </c>
      <c r="L454" s="43">
        <v>0.625</v>
      </c>
      <c r="M454" s="43">
        <v>0.64583333333333337</v>
      </c>
      <c r="N454" s="43">
        <f>1+18/24/60</f>
        <v>1.0125</v>
      </c>
      <c r="O454" s="43">
        <f>1+48/24/60</f>
        <v>1.0333333333333334</v>
      </c>
      <c r="P454" s="39"/>
      <c r="Q454" s="42" t="s">
        <v>201</v>
      </c>
      <c r="R454" s="29">
        <f>MIP_4[[#This Row],[PT-1]]+MIP_4[[#This Row],[PT-2]]*2+MIP_4[[#This Row],[PT-3]]*3+MIP_4[[#This Row],[PT &gt; 3 Pontos]]</f>
        <v>13</v>
      </c>
      <c r="S45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45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454" s="41">
        <f ca="1">MIP_4[[#This Row],[Eficiência]]</f>
        <v>0.8666244950589761</v>
      </c>
      <c r="V45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54" s="39">
        <f>IF(MIP_4[[#This Row],[P.S]]-MIP_4[[#This Row],[P.E]]&lt;0,1+MIP_4[[#This Row],[P.S]]-MIP_4[[#This Row],[P.E]]-1/24,MIP_4[[#This Row],[P.S]]-MIP_4[[#This Row],[P.E]]-1/24)</f>
        <v>0.36666666666666675</v>
      </c>
      <c r="X454" s="39">
        <f ca="1">MIP_4[[#This Row],[PT-1]]*$S$3+MIP_4[[#This Row],[PT-2]]*$T$3+MIP_4[[#This Row],[PT-3]]*$U$3+MIP_4[[#This Row],[PT &gt; 3 Pontos]]*$V$3</f>
        <v>0.28165296089416714</v>
      </c>
      <c r="Y454" s="39">
        <f>MIP_4[[#This Row],[HH disponível]]-MIP_4[[#This Row],[HH AC TOT]]</f>
        <v>0.3249999999999999</v>
      </c>
      <c r="Z454" s="38">
        <f ca="1">MIP_4[[#This Row],[HH Produtivo
Total]]/MIP_4[[#This Row],[HH Trabalhado]]</f>
        <v>0.8666244950589761</v>
      </c>
      <c r="AA454" s="38">
        <f ca="1">MIP_4[[#This Row],[HH Produtivo
Total]]/MIP_4[[#This Row],[HH disponível]]</f>
        <v>0.76814443880227379</v>
      </c>
      <c r="AB454" s="38">
        <f>MIP_4[[#This Row],[HH Trabalhado]]/MIP_4[[#This Row],[HH disponível]]</f>
        <v>0.88636363636363591</v>
      </c>
      <c r="AC454" s="37" t="str">
        <f>LEFT(MIP_4[[#This Row],[Equipe]], SEARCH("/",MIP_4[[#This Row],[Equipe]],1)-1)</f>
        <v xml:space="preserve">EDILTON </v>
      </c>
      <c r="AD454" s="37" t="str">
        <f>RIGHT(MIP_4[[#This Row],[Equipe]], LEN(MIP_4[[#This Row],[Equipe]])-SEARCH("/",MIP_4[[#This Row],[Equipe]],1))</f>
        <v xml:space="preserve"> GECIVALDO</v>
      </c>
      <c r="AE454" s="44">
        <f>COUNTIFS('[1]Tempo parado'!G:G,"&gt;="&amp;MIP_4[[#This Row],[S.B Sitrack]],'[1]Tempo parado'!H:H,"&lt;="&amp;MIP_4[[#This Row],[C.B Sitrack]],'[1]Tempo parado'!A:A,MIP_4[[#This Row],[Placa]])</f>
        <v>0</v>
      </c>
      <c r="AF454" s="36"/>
      <c r="AG454" s="35"/>
      <c r="AH454" s="34"/>
      <c r="AI454" s="34"/>
      <c r="AJ45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5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5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54" s="32" t="str">
        <f>IFERROR(MIP_4[[#This Row],[Tempo parado]]/(MIP_4[[#This Row],[C.B Sitrack]]-MIP_4[[#This Row],[S.B Sitrack]]),"")</f>
        <v/>
      </c>
      <c r="AN454" s="30"/>
      <c r="AO454" s="44">
        <f>IF(AND(MIP_4[Exc]=0,MIP_4[Previsto / Realizado]="Realizado"),MIP_4[Sem],0)</f>
        <v>0</v>
      </c>
      <c r="AP454" s="29">
        <f>IF(AND(MIP_4[Exc]=0,MIP_4[Previsto / Realizado]="Realizado",ISBLANK(MIP_4[[#This Row],[S.B Sitrack]])=FALSE,ISBLANK(MIP_4[[#This Row],[C.B Sitrack]])=FALSE),MIP_4[Sem],0)</f>
        <v>0</v>
      </c>
    </row>
    <row r="455" spans="1:42" ht="15.75" x14ac:dyDescent="0.25">
      <c r="A455" s="44">
        <f>WEEKNUM(MIP_4[[#This Row],[Data]])</f>
        <v>35</v>
      </c>
      <c r="B455" s="45">
        <v>42977</v>
      </c>
      <c r="C455" s="45"/>
      <c r="D455" s="35" t="s">
        <v>3</v>
      </c>
      <c r="E455" s="35" t="s">
        <v>2</v>
      </c>
      <c r="F455" s="35"/>
      <c r="G455" s="44">
        <v>2</v>
      </c>
      <c r="H455" s="44">
        <v>5</v>
      </c>
      <c r="I455" s="44">
        <v>2</v>
      </c>
      <c r="J455" s="44">
        <v>1</v>
      </c>
      <c r="K455" s="44">
        <v>4</v>
      </c>
      <c r="L455" s="43">
        <v>0.63124999999999998</v>
      </c>
      <c r="M455" s="43">
        <v>0.67499999999999993</v>
      </c>
      <c r="N455" s="43">
        <v>0.97430555555555554</v>
      </c>
      <c r="O455" s="43">
        <f>1+48/24/60</f>
        <v>1.0333333333333334</v>
      </c>
      <c r="P455" s="39"/>
      <c r="Q455" s="42" t="s">
        <v>268</v>
      </c>
      <c r="R455" s="29">
        <f>MIP_4[[#This Row],[PT-1]]+MIP_4[[#This Row],[PT-2]]*2+MIP_4[[#This Row],[PT-3]]*3+MIP_4[[#This Row],[PT &gt; 3 Pontos]]</f>
        <v>16</v>
      </c>
      <c r="S45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0.10277777777777786</v>
      </c>
      <c r="T45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0.10277777777777786</v>
      </c>
      <c r="U455" s="41">
        <f ca="1">MIP_4[[#This Row],[Eficiência]]</f>
        <v>1.38461441636175</v>
      </c>
      <c r="V45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55" s="39">
        <f>IF(MIP_4[[#This Row],[P.S]]-MIP_4[[#This Row],[P.E]]&lt;0,1+MIP_4[[#This Row],[P.S]]-MIP_4[[#This Row],[P.E]]-1/24,MIP_4[[#This Row],[P.S]]-MIP_4[[#This Row],[P.E]]-1/24)</f>
        <v>0.36041666666666677</v>
      </c>
      <c r="X455" s="39">
        <f ca="1">MIP_4[[#This Row],[PT-1]]*$S$3+MIP_4[[#This Row],[PT-2]]*$T$3+MIP_4[[#This Row],[PT-3]]*$U$3+MIP_4[[#This Row],[PT &gt; 3 Pontos]]*$V$3</f>
        <v>0.35673051977097869</v>
      </c>
      <c r="Y455" s="39">
        <f>MIP_4[[#This Row],[HH disponível]]-MIP_4[[#This Row],[HH AC TOT]]</f>
        <v>0.25763888888888892</v>
      </c>
      <c r="Z455" s="38">
        <f ca="1">MIP_4[[#This Row],[HH Produtivo
Total]]/MIP_4[[#This Row],[HH Trabalhado]]</f>
        <v>1.38461441636175</v>
      </c>
      <c r="AA455" s="38">
        <f ca="1">MIP_4[[#This Row],[HH Produtivo
Total]]/MIP_4[[#This Row],[HH disponível]]</f>
        <v>0.98977254040502727</v>
      </c>
      <c r="AB455" s="38">
        <f>MIP_4[[#This Row],[HH Trabalhado]]/MIP_4[[#This Row],[HH disponível]]</f>
        <v>0.71483622350674358</v>
      </c>
      <c r="AC455" s="37" t="str">
        <f>LEFT(MIP_4[[#This Row],[Equipe]], SEARCH("/",MIP_4[[#This Row],[Equipe]],1)-1)</f>
        <v xml:space="preserve">EDILTON </v>
      </c>
      <c r="AD455" s="37" t="str">
        <f>RIGHT(MIP_4[[#This Row],[Equipe]], LEN(MIP_4[[#This Row],[Equipe]])-SEARCH("/",MIP_4[[#This Row],[Equipe]],1))</f>
        <v xml:space="preserve"> GECIVALDO</v>
      </c>
      <c r="AE455" s="44">
        <f>COUNTIFS('[1]Tempo parado'!G:G,"&gt;="&amp;MIP_4[[#This Row],[S.B Sitrack]],'[1]Tempo parado'!H:H,"&lt;="&amp;MIP_4[[#This Row],[C.B Sitrack]],'[1]Tempo parado'!A:A,MIP_4[[#This Row],[Placa]])</f>
        <v>0</v>
      </c>
      <c r="AF455" s="36"/>
      <c r="AG455" s="35"/>
      <c r="AH455" s="34"/>
      <c r="AI455" s="34"/>
      <c r="AJ45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5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5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55" s="32" t="str">
        <f>IFERROR(MIP_4[[#This Row],[Tempo parado]]/(MIP_4[[#This Row],[C.B Sitrack]]-MIP_4[[#This Row],[S.B Sitrack]]),"")</f>
        <v/>
      </c>
      <c r="AN455" s="30"/>
      <c r="AO455" s="44">
        <f>IF(AND(MIP_4[Exc]=0,MIP_4[Previsto / Realizado]="Realizado"),MIP_4[Sem],0)</f>
        <v>35</v>
      </c>
      <c r="AP455" s="29">
        <f>IF(AND(MIP_4[Exc]=0,MIP_4[Previsto / Realizado]="Realizado",ISBLANK(MIP_4[[#This Row],[S.B Sitrack]])=FALSE,ISBLANK(MIP_4[[#This Row],[C.B Sitrack]])=FALSE),MIP_4[Sem],0)</f>
        <v>0</v>
      </c>
    </row>
    <row r="456" spans="1:42" ht="15.75" x14ac:dyDescent="0.25">
      <c r="A456" s="44">
        <f>WEEKNUM(MIP_4[[#This Row],[Data]])</f>
        <v>35</v>
      </c>
      <c r="B456" s="45">
        <v>42977</v>
      </c>
      <c r="C456" s="45"/>
      <c r="D456" s="35" t="s">
        <v>19</v>
      </c>
      <c r="E456" s="35" t="s">
        <v>5</v>
      </c>
      <c r="F456" s="35"/>
      <c r="G456" s="44">
        <v>2</v>
      </c>
      <c r="H456" s="44">
        <v>6</v>
      </c>
      <c r="I456" s="44">
        <v>1</v>
      </c>
      <c r="J456" s="44">
        <v>0</v>
      </c>
      <c r="K456" s="44">
        <v>5</v>
      </c>
      <c r="L456" s="43">
        <v>0.625</v>
      </c>
      <c r="M456" s="43">
        <v>0.64583333333333337</v>
      </c>
      <c r="N456" s="43">
        <f>1+18/24/60</f>
        <v>1.0125</v>
      </c>
      <c r="O456" s="43">
        <f>1+48/24/60</f>
        <v>1.0333333333333334</v>
      </c>
      <c r="P456" s="39"/>
      <c r="Q456" s="42" t="s">
        <v>201</v>
      </c>
      <c r="R456" s="29">
        <f>MIP_4[[#This Row],[PT-1]]+MIP_4[[#This Row],[PT-2]]*2+MIP_4[[#This Row],[PT-3]]*3+MIP_4[[#This Row],[PT &gt; 3 Pontos]]</f>
        <v>13</v>
      </c>
      <c r="S45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45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456" s="41">
        <f ca="1">MIP_4[[#This Row],[Eficiência]]</f>
        <v>0.90862750233976097</v>
      </c>
      <c r="V45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56" s="39">
        <f>IF(MIP_4[[#This Row],[P.S]]-MIP_4[[#This Row],[P.E]]&lt;0,1+MIP_4[[#This Row],[P.S]]-MIP_4[[#This Row],[P.E]]-1/24,MIP_4[[#This Row],[P.S]]-MIP_4[[#This Row],[P.E]]-1/24)</f>
        <v>0.36666666666666675</v>
      </c>
      <c r="X456" s="39">
        <f ca="1">MIP_4[[#This Row],[PT-1]]*$S$3+MIP_4[[#This Row],[PT-2]]*$T$3+MIP_4[[#This Row],[PT-3]]*$U$3+MIP_4[[#This Row],[PT &gt; 3 Pontos]]*$V$3</f>
        <v>0.29530393826042223</v>
      </c>
      <c r="Y456" s="39">
        <f>MIP_4[[#This Row],[HH disponível]]-MIP_4[[#This Row],[HH AC TOT]]</f>
        <v>0.3249999999999999</v>
      </c>
      <c r="Z456" s="38">
        <f ca="1">MIP_4[[#This Row],[HH Produtivo
Total]]/MIP_4[[#This Row],[HH Trabalhado]]</f>
        <v>0.90862750233976097</v>
      </c>
      <c r="AA456" s="38">
        <f ca="1">MIP_4[[#This Row],[HH Produtivo
Total]]/MIP_4[[#This Row],[HH disponível]]</f>
        <v>0.8053743770738786</v>
      </c>
      <c r="AB456" s="38">
        <f>MIP_4[[#This Row],[HH Trabalhado]]/MIP_4[[#This Row],[HH disponível]]</f>
        <v>0.88636363636363591</v>
      </c>
      <c r="AC456" s="37" t="str">
        <f>LEFT(MIP_4[[#This Row],[Equipe]], SEARCH("/",MIP_4[[#This Row],[Equipe]],1)-1)</f>
        <v xml:space="preserve">ADEMÁRIO </v>
      </c>
      <c r="AD456" s="37" t="str">
        <f>RIGHT(MIP_4[[#This Row],[Equipe]], LEN(MIP_4[[#This Row],[Equipe]])-SEARCH("/",MIP_4[[#This Row],[Equipe]],1))</f>
        <v xml:space="preserve"> RONALDO</v>
      </c>
      <c r="AE456" s="44">
        <f>COUNTIFS('[1]Tempo parado'!G:G,"&gt;="&amp;MIP_4[[#This Row],[S.B Sitrack]],'[1]Tempo parado'!H:H,"&lt;="&amp;MIP_4[[#This Row],[C.B Sitrack]],'[1]Tempo parado'!A:A,MIP_4[[#This Row],[Placa]])</f>
        <v>0</v>
      </c>
      <c r="AF456" s="36"/>
      <c r="AG456" s="35"/>
      <c r="AH456" s="34"/>
      <c r="AI456" s="34"/>
      <c r="AJ45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5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5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56" s="32" t="str">
        <f>IFERROR(MIP_4[[#This Row],[Tempo parado]]/(MIP_4[[#This Row],[C.B Sitrack]]-MIP_4[[#This Row],[S.B Sitrack]]),"")</f>
        <v/>
      </c>
      <c r="AN456" s="30"/>
      <c r="AO456" s="44">
        <f>IF(AND(MIP_4[Exc]=0,MIP_4[Previsto / Realizado]="Realizado"),MIP_4[Sem],0)</f>
        <v>0</v>
      </c>
      <c r="AP456" s="29">
        <f>IF(AND(MIP_4[Exc]=0,MIP_4[Previsto / Realizado]="Realizado",ISBLANK(MIP_4[[#This Row],[S.B Sitrack]])=FALSE,ISBLANK(MIP_4[[#This Row],[C.B Sitrack]])=FALSE),MIP_4[Sem],0)</f>
        <v>0</v>
      </c>
    </row>
    <row r="457" spans="1:42" ht="15.75" x14ac:dyDescent="0.25">
      <c r="A457" s="44">
        <f>WEEKNUM(MIP_4[[#This Row],[Data]])</f>
        <v>35</v>
      </c>
      <c r="B457" s="45">
        <v>42977</v>
      </c>
      <c r="C457" s="45"/>
      <c r="D457" s="35" t="s">
        <v>19</v>
      </c>
      <c r="E457" s="35" t="s">
        <v>2</v>
      </c>
      <c r="F457" s="35"/>
      <c r="G457" s="44">
        <v>2</v>
      </c>
      <c r="H457" s="44">
        <v>7</v>
      </c>
      <c r="I457" s="44">
        <v>1</v>
      </c>
      <c r="J457" s="44">
        <v>0</v>
      </c>
      <c r="K457" s="44">
        <v>5</v>
      </c>
      <c r="L457" s="43">
        <v>0.62569444444444444</v>
      </c>
      <c r="M457" s="43">
        <v>0.6777777777777777</v>
      </c>
      <c r="N457" s="43">
        <f>1+20/24/60</f>
        <v>1.0138888888888888</v>
      </c>
      <c r="O457" s="43">
        <f>1+50/24/60</f>
        <v>1.0347222222222223</v>
      </c>
      <c r="P457" s="39"/>
      <c r="Q457" s="42" t="s">
        <v>267</v>
      </c>
      <c r="R457" s="29">
        <f>MIP_4[[#This Row],[PT-1]]+MIP_4[[#This Row],[PT-2]]*2+MIP_4[[#This Row],[PT-3]]*3+MIP_4[[#This Row],[PT &gt; 3 Pontos]]</f>
        <v>14</v>
      </c>
      <c r="S45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7.2916666666666741E-2</v>
      </c>
      <c r="T45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7.2916666666666741E-2</v>
      </c>
      <c r="U457" s="41">
        <f ca="1">MIP_4[[#This Row],[Eficiência]]</f>
        <v>1.0879124984808433</v>
      </c>
      <c r="V45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57" s="39">
        <f>IF(MIP_4[[#This Row],[P.S]]-MIP_4[[#This Row],[P.E]]&lt;0,1+MIP_4[[#This Row],[P.S]]-MIP_4[[#This Row],[P.E]]-1/24,MIP_4[[#This Row],[P.S]]-MIP_4[[#This Row],[P.E]]-1/24)</f>
        <v>0.36736111111111119</v>
      </c>
      <c r="X457" s="39">
        <f ca="1">MIP_4[[#This Row],[PT-1]]*$S$3+MIP_4[[#This Row],[PT-2]]*$T$3+MIP_4[[#This Row],[PT-3]]*$U$3+MIP_4[[#This Row],[PT &gt; 3 Pontos]]*$V$3</f>
        <v>0.32032979121935939</v>
      </c>
      <c r="Y457" s="39">
        <f>MIP_4[[#This Row],[HH disponível]]-MIP_4[[#This Row],[HH AC TOT]]</f>
        <v>0.29444444444444445</v>
      </c>
      <c r="Z457" s="38">
        <f ca="1">MIP_4[[#This Row],[HH Produtivo
Total]]/MIP_4[[#This Row],[HH Trabalhado]]</f>
        <v>1.0879124984808433</v>
      </c>
      <c r="AA457" s="38">
        <f ca="1">MIP_4[[#This Row],[HH Produtivo
Total]]/MIP_4[[#This Row],[HH disponível]]</f>
        <v>0.87197523507727304</v>
      </c>
      <c r="AB457" s="38">
        <f>MIP_4[[#This Row],[HH Trabalhado]]/MIP_4[[#This Row],[HH disponível]]</f>
        <v>0.80151228733459345</v>
      </c>
      <c r="AC457" s="37" t="str">
        <f>LEFT(MIP_4[[#This Row],[Equipe]], SEARCH("/",MIP_4[[#This Row],[Equipe]],1)-1)</f>
        <v xml:space="preserve">ADEMÁRIO </v>
      </c>
      <c r="AD457" s="37" t="str">
        <f>RIGHT(MIP_4[[#This Row],[Equipe]], LEN(MIP_4[[#This Row],[Equipe]])-SEARCH("/",MIP_4[[#This Row],[Equipe]],1))</f>
        <v xml:space="preserve"> RONALDO</v>
      </c>
      <c r="AE457" s="44">
        <f>COUNTIFS('[1]Tempo parado'!G:G,"&gt;="&amp;MIP_4[[#This Row],[S.B Sitrack]],'[1]Tempo parado'!H:H,"&lt;="&amp;MIP_4[[#This Row],[C.B Sitrack]],'[1]Tempo parado'!A:A,MIP_4[[#This Row],[Placa]])</f>
        <v>0</v>
      </c>
      <c r="AF457" s="36"/>
      <c r="AG457" s="35"/>
      <c r="AH457" s="34"/>
      <c r="AI457" s="34"/>
      <c r="AJ45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5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5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57" s="32" t="str">
        <f>IFERROR(MIP_4[[#This Row],[Tempo parado]]/(MIP_4[[#This Row],[C.B Sitrack]]-MIP_4[[#This Row],[S.B Sitrack]]),"")</f>
        <v/>
      </c>
      <c r="AN457" s="30"/>
      <c r="AO457" s="44">
        <f>IF(AND(MIP_4[Exc]=0,MIP_4[Previsto / Realizado]="Realizado"),MIP_4[Sem],0)</f>
        <v>35</v>
      </c>
      <c r="AP457" s="29">
        <f>IF(AND(MIP_4[Exc]=0,MIP_4[Previsto / Realizado]="Realizado",ISBLANK(MIP_4[[#This Row],[S.B Sitrack]])=FALSE,ISBLANK(MIP_4[[#This Row],[C.B Sitrack]])=FALSE),MIP_4[Sem],0)</f>
        <v>0</v>
      </c>
    </row>
    <row r="458" spans="1:42" ht="15.75" x14ac:dyDescent="0.25">
      <c r="A458" s="44">
        <f>WEEKNUM(MIP_4[[#This Row],[Data]])</f>
        <v>35</v>
      </c>
      <c r="B458" s="45">
        <v>42977</v>
      </c>
      <c r="C458" s="45"/>
      <c r="D458" s="35" t="s">
        <v>7</v>
      </c>
      <c r="E458" s="35" t="s">
        <v>5</v>
      </c>
      <c r="F458" s="35"/>
      <c r="G458" s="44">
        <v>2</v>
      </c>
      <c r="H458" s="44">
        <v>0</v>
      </c>
      <c r="I458" s="44">
        <v>0</v>
      </c>
      <c r="J458" s="44">
        <v>0</v>
      </c>
      <c r="K458" s="44">
        <v>0</v>
      </c>
      <c r="L458" s="43">
        <v>0.625</v>
      </c>
      <c r="M458" s="43">
        <v>0.64583333333333337</v>
      </c>
      <c r="N458" s="43">
        <f>1+18/24/60</f>
        <v>1.0125</v>
      </c>
      <c r="O458" s="43">
        <f>1+48/24/60</f>
        <v>1.0333333333333334</v>
      </c>
      <c r="P458" s="39"/>
      <c r="Q458" s="42" t="s">
        <v>201</v>
      </c>
      <c r="R458" s="29">
        <f>MIP_4[[#This Row],[PT-1]]+MIP_4[[#This Row],[PT-2]]*2+MIP_4[[#This Row],[PT-3]]*3+MIP_4[[#This Row],[PT &gt; 3 Pontos]]</f>
        <v>0</v>
      </c>
      <c r="S45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45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458" s="41">
        <f ca="1">MIP_4[[#This Row],[Eficiência]]</f>
        <v>0</v>
      </c>
      <c r="V45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58" s="39">
        <f>IF(MIP_4[[#This Row],[P.S]]-MIP_4[[#This Row],[P.E]]&lt;0,1+MIP_4[[#This Row],[P.S]]-MIP_4[[#This Row],[P.E]]-1/24,MIP_4[[#This Row],[P.S]]-MIP_4[[#This Row],[P.E]]-1/24)</f>
        <v>0.36666666666666675</v>
      </c>
      <c r="X458" s="39">
        <f ca="1">MIP_4[[#This Row],[PT-1]]*$S$3+MIP_4[[#This Row],[PT-2]]*$T$3+MIP_4[[#This Row],[PT-3]]*$U$3+MIP_4[[#This Row],[PT &gt; 3 Pontos]]*$V$3</f>
        <v>0</v>
      </c>
      <c r="Y458" s="39">
        <f>MIP_4[[#This Row],[HH disponível]]-MIP_4[[#This Row],[HH AC TOT]]</f>
        <v>0.3249999999999999</v>
      </c>
      <c r="Z458" s="38">
        <f ca="1">MIP_4[[#This Row],[HH Produtivo
Total]]/MIP_4[[#This Row],[HH Trabalhado]]</f>
        <v>0</v>
      </c>
      <c r="AA458" s="38">
        <f ca="1">MIP_4[[#This Row],[HH Produtivo
Total]]/MIP_4[[#This Row],[HH disponível]]</f>
        <v>0</v>
      </c>
      <c r="AB458" s="38">
        <f>MIP_4[[#This Row],[HH Trabalhado]]/MIP_4[[#This Row],[HH disponível]]</f>
        <v>0.88636363636363591</v>
      </c>
      <c r="AC458" s="37" t="str">
        <f>LEFT(MIP_4[[#This Row],[Equipe]], SEARCH("/",MIP_4[[#This Row],[Equipe]],1)-1)</f>
        <v xml:space="preserve">ANDERSON </v>
      </c>
      <c r="AD458" s="37" t="str">
        <f>RIGHT(MIP_4[[#This Row],[Equipe]], LEN(MIP_4[[#This Row],[Equipe]])-SEARCH("/",MIP_4[[#This Row],[Equipe]],1))</f>
        <v xml:space="preserve"> MARCO</v>
      </c>
      <c r="AE458" s="44">
        <f>COUNTIFS('[1]Tempo parado'!G:G,"&gt;="&amp;MIP_4[[#This Row],[S.B Sitrack]],'[1]Tempo parado'!H:H,"&lt;="&amp;MIP_4[[#This Row],[C.B Sitrack]],'[1]Tempo parado'!A:A,MIP_4[[#This Row],[Placa]])</f>
        <v>0</v>
      </c>
      <c r="AF458" s="36"/>
      <c r="AG458" s="35"/>
      <c r="AH458" s="34"/>
      <c r="AI458" s="34"/>
      <c r="AJ45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5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5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58" s="32" t="str">
        <f>IFERROR(MIP_4[[#This Row],[Tempo parado]]/(MIP_4[[#This Row],[C.B Sitrack]]-MIP_4[[#This Row],[S.B Sitrack]]),"")</f>
        <v/>
      </c>
      <c r="AN458" s="30"/>
      <c r="AO458" s="44">
        <f>IF(AND(MIP_4[Exc]=0,MIP_4[Previsto / Realizado]="Realizado"),MIP_4[Sem],0)</f>
        <v>0</v>
      </c>
      <c r="AP458" s="29">
        <f>IF(AND(MIP_4[Exc]=0,MIP_4[Previsto / Realizado]="Realizado",ISBLANK(MIP_4[[#This Row],[S.B Sitrack]])=FALSE,ISBLANK(MIP_4[[#This Row],[C.B Sitrack]])=FALSE),MIP_4[Sem],0)</f>
        <v>0</v>
      </c>
    </row>
    <row r="459" spans="1:42" ht="15.75" x14ac:dyDescent="0.25">
      <c r="A459" s="44">
        <f>WEEKNUM(MIP_4[[#This Row],[Data]])</f>
        <v>35</v>
      </c>
      <c r="B459" s="45">
        <v>42977</v>
      </c>
      <c r="C459" s="45"/>
      <c r="D459" s="35" t="s">
        <v>7</v>
      </c>
      <c r="E459" s="35" t="s">
        <v>2</v>
      </c>
      <c r="F459" s="35"/>
      <c r="G459" s="44">
        <v>2</v>
      </c>
      <c r="H459" s="44">
        <v>1</v>
      </c>
      <c r="I459" s="44">
        <v>0</v>
      </c>
      <c r="J459" s="44">
        <v>3</v>
      </c>
      <c r="K459" s="44">
        <v>7</v>
      </c>
      <c r="L459" s="43">
        <v>0.62847222222222221</v>
      </c>
      <c r="M459" s="43">
        <v>0.67708333333333337</v>
      </c>
      <c r="N459" s="43">
        <f>1+23/24/60</f>
        <v>1.0159722222222223</v>
      </c>
      <c r="O459" s="43">
        <f>1+48/24/60</f>
        <v>1.0333333333333334</v>
      </c>
      <c r="P459" s="39"/>
      <c r="Q459" s="42" t="s">
        <v>266</v>
      </c>
      <c r="R459" s="29">
        <f>MIP_4[[#This Row],[PT-1]]+MIP_4[[#This Row],[PT-2]]*2+MIP_4[[#This Row],[PT-3]]*3+MIP_4[[#This Row],[PT &gt; 3 Pontos]]</f>
        <v>17</v>
      </c>
      <c r="S45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6.5972222222222321E-2</v>
      </c>
      <c r="T45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6.5972222222222321E-2</v>
      </c>
      <c r="U459" s="41">
        <f ca="1">MIP_4[[#This Row],[Eficiência]]</f>
        <v>1.1948533464640996</v>
      </c>
      <c r="V45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59" s="39">
        <f>IF(MIP_4[[#This Row],[P.S]]-MIP_4[[#This Row],[P.E]]&lt;0,1+MIP_4[[#This Row],[P.S]]-MIP_4[[#This Row],[P.E]]-1/24,MIP_4[[#This Row],[P.S]]-MIP_4[[#This Row],[P.E]]-1/24)</f>
        <v>0.36319444444444454</v>
      </c>
      <c r="X459" s="39">
        <f ca="1">MIP_4[[#This Row],[PT-1]]*$S$3+MIP_4[[#This Row],[PT-2]]*$T$3+MIP_4[[#This Row],[PT-3]]*$U$3+MIP_4[[#This Row],[PT &gt; 3 Pontos]]*$V$3</f>
        <v>0.3551369668657185</v>
      </c>
      <c r="Y459" s="39">
        <f>MIP_4[[#This Row],[HH disponível]]-MIP_4[[#This Row],[HH AC TOT]]</f>
        <v>0.29722222222222222</v>
      </c>
      <c r="Z459" s="38">
        <f ca="1">MIP_4[[#This Row],[HH Produtivo
Total]]/MIP_4[[#This Row],[HH Trabalhado]]</f>
        <v>1.1948533464640996</v>
      </c>
      <c r="AA459" s="38">
        <f ca="1">MIP_4[[#This Row],[HH Produtivo
Total]]/MIP_4[[#This Row],[HH disponível]]</f>
        <v>0.9778149756914617</v>
      </c>
      <c r="AB459" s="38">
        <f>MIP_4[[#This Row],[HH Trabalhado]]/MIP_4[[#This Row],[HH disponível]]</f>
        <v>0.81835564053537257</v>
      </c>
      <c r="AC459" s="37" t="str">
        <f>LEFT(MIP_4[[#This Row],[Equipe]], SEARCH("/",MIP_4[[#This Row],[Equipe]],1)-1)</f>
        <v xml:space="preserve">ANDERSON </v>
      </c>
      <c r="AD459" s="37" t="str">
        <f>RIGHT(MIP_4[[#This Row],[Equipe]], LEN(MIP_4[[#This Row],[Equipe]])-SEARCH("/",MIP_4[[#This Row],[Equipe]],1))</f>
        <v xml:space="preserve"> MARCO</v>
      </c>
      <c r="AE459" s="44">
        <f>COUNTIFS('[1]Tempo parado'!G:G,"&gt;="&amp;MIP_4[[#This Row],[S.B Sitrack]],'[1]Tempo parado'!H:H,"&lt;="&amp;MIP_4[[#This Row],[C.B Sitrack]],'[1]Tempo parado'!A:A,MIP_4[[#This Row],[Placa]])</f>
        <v>0</v>
      </c>
      <c r="AF459" s="36"/>
      <c r="AG459" s="35"/>
      <c r="AH459" s="34"/>
      <c r="AI459" s="34"/>
      <c r="AJ45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5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5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59" s="32" t="str">
        <f>IFERROR(MIP_4[[#This Row],[Tempo parado]]/(MIP_4[[#This Row],[C.B Sitrack]]-MIP_4[[#This Row],[S.B Sitrack]]),"")</f>
        <v/>
      </c>
      <c r="AN459" s="30"/>
      <c r="AO459" s="44">
        <f>IF(AND(MIP_4[Exc]=0,MIP_4[Previsto / Realizado]="Realizado"),MIP_4[Sem],0)</f>
        <v>35</v>
      </c>
      <c r="AP459" s="29">
        <f>IF(AND(MIP_4[Exc]=0,MIP_4[Previsto / Realizado]="Realizado",ISBLANK(MIP_4[[#This Row],[S.B Sitrack]])=FALSE,ISBLANK(MIP_4[[#This Row],[C.B Sitrack]])=FALSE),MIP_4[Sem],0)</f>
        <v>0</v>
      </c>
    </row>
    <row r="460" spans="1:42" ht="15.75" x14ac:dyDescent="0.25">
      <c r="A460" s="44">
        <f>WEEKNUM(MIP_4[[#This Row],[Data]])</f>
        <v>35</v>
      </c>
      <c r="B460" s="45">
        <v>42978</v>
      </c>
      <c r="C460" s="45"/>
      <c r="D460" s="35" t="s">
        <v>7</v>
      </c>
      <c r="E460" s="35" t="s">
        <v>5</v>
      </c>
      <c r="F460" s="35"/>
      <c r="G460" s="44">
        <v>2</v>
      </c>
      <c r="H460" s="44">
        <v>5</v>
      </c>
      <c r="I460" s="44">
        <v>1</v>
      </c>
      <c r="J460" s="44">
        <v>1</v>
      </c>
      <c r="K460" s="44">
        <v>4</v>
      </c>
      <c r="L460" s="43">
        <v>0.625</v>
      </c>
      <c r="M460" s="43">
        <v>0.64583333333333337</v>
      </c>
      <c r="N460" s="43">
        <f>1+18/24/60</f>
        <v>1.0125</v>
      </c>
      <c r="O460" s="43">
        <f>1+48/24/60</f>
        <v>1.0333333333333334</v>
      </c>
      <c r="P460" s="39"/>
      <c r="Q460" s="42" t="s">
        <v>4</v>
      </c>
      <c r="R460" s="29">
        <f>MIP_4[[#This Row],[PT-1]]+MIP_4[[#This Row],[PT-2]]*2+MIP_4[[#This Row],[PT-3]]*3+MIP_4[[#This Row],[PT &gt; 3 Pontos]]</f>
        <v>14</v>
      </c>
      <c r="S46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46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460" s="41">
        <f ca="1">MIP_4[[#This Row],[Eficiência]]</f>
        <v>0.96252847282436671</v>
      </c>
      <c r="V46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60" s="39">
        <f>IF(MIP_4[[#This Row],[P.S]]-MIP_4[[#This Row],[P.E]]&lt;0,1+MIP_4[[#This Row],[P.S]]-MIP_4[[#This Row],[P.E]]-1/24,MIP_4[[#This Row],[P.S]]-MIP_4[[#This Row],[P.E]]-1/24)</f>
        <v>0.36666666666666675</v>
      </c>
      <c r="X460" s="39">
        <f ca="1">MIP_4[[#This Row],[PT-1]]*$S$3+MIP_4[[#This Row],[PT-2]]*$T$3+MIP_4[[#This Row],[PT-3]]*$U$3+MIP_4[[#This Row],[PT &gt; 3 Pontos]]*$V$3</f>
        <v>0.31282175366791909</v>
      </c>
      <c r="Y460" s="39">
        <f>MIP_4[[#This Row],[HH disponível]]-MIP_4[[#This Row],[HH AC TOT]]</f>
        <v>0.3249999999999999</v>
      </c>
      <c r="Z460" s="38">
        <f ca="1">MIP_4[[#This Row],[HH Produtivo
Total]]/MIP_4[[#This Row],[HH Trabalhado]]</f>
        <v>0.96252847282436671</v>
      </c>
      <c r="AA460" s="38">
        <f ca="1">MIP_4[[#This Row],[HH Produtivo
Total]]/MIP_4[[#This Row],[HH disponível]]</f>
        <v>0.85315023727614281</v>
      </c>
      <c r="AB460" s="38">
        <f>MIP_4[[#This Row],[HH Trabalhado]]/MIP_4[[#This Row],[HH disponível]]</f>
        <v>0.88636363636363591</v>
      </c>
      <c r="AC460" s="37" t="str">
        <f>LEFT(MIP_4[[#This Row],[Equipe]], SEARCH("/",MIP_4[[#This Row],[Equipe]],1)-1)</f>
        <v xml:space="preserve">ANDERSON </v>
      </c>
      <c r="AD460" s="37" t="str">
        <f>RIGHT(MIP_4[[#This Row],[Equipe]], LEN(MIP_4[[#This Row],[Equipe]])-SEARCH("/",MIP_4[[#This Row],[Equipe]],1))</f>
        <v xml:space="preserve"> MARCO</v>
      </c>
      <c r="AE460" s="44">
        <f>COUNTIFS('[1]Tempo parado'!G:G,"&gt;="&amp;MIP_4[[#This Row],[S.B Sitrack]],'[1]Tempo parado'!H:H,"&lt;="&amp;MIP_4[[#This Row],[C.B Sitrack]],'[1]Tempo parado'!A:A,MIP_4[[#This Row],[Placa]])</f>
        <v>0</v>
      </c>
      <c r="AF460" s="36"/>
      <c r="AG460" s="35"/>
      <c r="AH460" s="34"/>
      <c r="AI460" s="34"/>
      <c r="AJ46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6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6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60" s="32" t="str">
        <f>IFERROR(MIP_4[[#This Row],[Tempo parado]]/(MIP_4[[#This Row],[C.B Sitrack]]-MIP_4[[#This Row],[S.B Sitrack]]),"")</f>
        <v/>
      </c>
      <c r="AN460" s="30"/>
      <c r="AO460" s="44">
        <f>IF(AND(MIP_4[Exc]=0,MIP_4[Previsto / Realizado]="Realizado"),MIP_4[Sem],0)</f>
        <v>0</v>
      </c>
      <c r="AP460" s="29">
        <f>IF(AND(MIP_4[Exc]=0,MIP_4[Previsto / Realizado]="Realizado",ISBLANK(MIP_4[[#This Row],[S.B Sitrack]])=FALSE,ISBLANK(MIP_4[[#This Row],[C.B Sitrack]])=FALSE),MIP_4[Sem],0)</f>
        <v>0</v>
      </c>
    </row>
    <row r="461" spans="1:42" ht="15.75" x14ac:dyDescent="0.25">
      <c r="A461" s="44">
        <f>WEEKNUM(MIP_4[[#This Row],[Data]])</f>
        <v>35</v>
      </c>
      <c r="B461" s="45">
        <v>42978</v>
      </c>
      <c r="C461" s="45"/>
      <c r="D461" s="35" t="s">
        <v>7</v>
      </c>
      <c r="E461" s="35" t="s">
        <v>2</v>
      </c>
      <c r="F461" s="35"/>
      <c r="G461" s="44">
        <v>2</v>
      </c>
      <c r="H461" s="44">
        <v>1</v>
      </c>
      <c r="I461" s="44">
        <v>1</v>
      </c>
      <c r="J461" s="44">
        <v>1</v>
      </c>
      <c r="K461" s="44">
        <v>4</v>
      </c>
      <c r="L461" s="43">
        <v>0.62847222222222221</v>
      </c>
      <c r="M461" s="43">
        <v>0.70138888888888884</v>
      </c>
      <c r="N461" s="43">
        <f>1+10/24/60</f>
        <v>1.0069444444444444</v>
      </c>
      <c r="O461" s="43">
        <f>1+48/24/60</f>
        <v>1.0333333333333334</v>
      </c>
      <c r="P461" s="39"/>
      <c r="Q461" s="42" t="s">
        <v>200</v>
      </c>
      <c r="R461" s="29">
        <f>MIP_4[[#This Row],[PT-1]]+MIP_4[[#This Row],[PT-2]]*2+MIP_4[[#This Row],[PT-3]]*3+MIP_4[[#This Row],[PT &gt; 3 Pontos]]</f>
        <v>10</v>
      </c>
      <c r="S46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9.9305555555555647E-2</v>
      </c>
      <c r="T46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9.9305555555555647E-2</v>
      </c>
      <c r="U461" s="41">
        <f ca="1">MIP_4[[#This Row],[Eficiência]]</f>
        <v>0.80609055852190881</v>
      </c>
      <c r="V46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61" s="39">
        <f>IF(MIP_4[[#This Row],[P.S]]-MIP_4[[#This Row],[P.E]]&lt;0,1+MIP_4[[#This Row],[P.S]]-MIP_4[[#This Row],[P.E]]-1/24,MIP_4[[#This Row],[P.S]]-MIP_4[[#This Row],[P.E]]-1/24)</f>
        <v>0.36319444444444454</v>
      </c>
      <c r="X461" s="39">
        <f ca="1">MIP_4[[#This Row],[PT-1]]*$S$3+MIP_4[[#This Row],[PT-2]]*$T$3+MIP_4[[#This Row],[PT-3]]*$U$3+MIP_4[[#This Row],[PT &gt; 3 Pontos]]*$V$3</f>
        <v>0.21271834183217039</v>
      </c>
      <c r="Y461" s="39">
        <f>MIP_4[[#This Row],[HH disponível]]-MIP_4[[#This Row],[HH AC TOT]]</f>
        <v>0.2638888888888889</v>
      </c>
      <c r="Z461" s="38">
        <f ca="1">MIP_4[[#This Row],[HH Produtivo
Total]]/MIP_4[[#This Row],[HH Trabalhado]]</f>
        <v>0.80609055852190881</v>
      </c>
      <c r="AA461" s="38">
        <f ca="1">MIP_4[[#This Row],[HH Produtivo
Total]]/MIP_4[[#This Row],[HH disponível]]</f>
        <v>0.58568721269278257</v>
      </c>
      <c r="AB461" s="38">
        <f>MIP_4[[#This Row],[HH Trabalhado]]/MIP_4[[#This Row],[HH disponível]]</f>
        <v>0.72657743785850848</v>
      </c>
      <c r="AC461" s="37" t="str">
        <f>LEFT(MIP_4[[#This Row],[Equipe]], SEARCH("/",MIP_4[[#This Row],[Equipe]],1)-1)</f>
        <v xml:space="preserve">ANDERSON </v>
      </c>
      <c r="AD461" s="37" t="str">
        <f>RIGHT(MIP_4[[#This Row],[Equipe]], LEN(MIP_4[[#This Row],[Equipe]])-SEARCH("/",MIP_4[[#This Row],[Equipe]],1))</f>
        <v xml:space="preserve"> MARCO</v>
      </c>
      <c r="AE461" s="44">
        <f>COUNTIFS('[1]Tempo parado'!G:G,"&gt;="&amp;MIP_4[[#This Row],[S.B Sitrack]],'[1]Tempo parado'!H:H,"&lt;="&amp;MIP_4[[#This Row],[C.B Sitrack]],'[1]Tempo parado'!A:A,MIP_4[[#This Row],[Placa]])</f>
        <v>0</v>
      </c>
      <c r="AF461" s="36"/>
      <c r="AG461" s="35"/>
      <c r="AH461" s="34"/>
      <c r="AI461" s="34"/>
      <c r="AJ46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6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6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61" s="32" t="str">
        <f>IFERROR(MIP_4[[#This Row],[Tempo parado]]/(MIP_4[[#This Row],[C.B Sitrack]]-MIP_4[[#This Row],[S.B Sitrack]]),"")</f>
        <v/>
      </c>
      <c r="AN461" s="30"/>
      <c r="AO461" s="44">
        <f>IF(AND(MIP_4[Exc]=0,MIP_4[Previsto / Realizado]="Realizado"),MIP_4[Sem],0)</f>
        <v>35</v>
      </c>
      <c r="AP461" s="29">
        <f>IF(AND(MIP_4[Exc]=0,MIP_4[Previsto / Realizado]="Realizado",ISBLANK(MIP_4[[#This Row],[S.B Sitrack]])=FALSE,ISBLANK(MIP_4[[#This Row],[C.B Sitrack]])=FALSE),MIP_4[Sem],0)</f>
        <v>0</v>
      </c>
    </row>
    <row r="462" spans="1:42" ht="15.75" x14ac:dyDescent="0.25">
      <c r="A462" s="44">
        <f>WEEKNUM(MIP_4[[#This Row],[Data]])</f>
        <v>35</v>
      </c>
      <c r="B462" s="45">
        <v>42978</v>
      </c>
      <c r="C462" s="45"/>
      <c r="D462" s="35" t="s">
        <v>3</v>
      </c>
      <c r="E462" s="35" t="s">
        <v>5</v>
      </c>
      <c r="F462" s="35"/>
      <c r="G462" s="44">
        <v>2</v>
      </c>
      <c r="H462" s="44">
        <v>2</v>
      </c>
      <c r="I462" s="44">
        <v>4</v>
      </c>
      <c r="J462" s="44">
        <v>0</v>
      </c>
      <c r="K462" s="44">
        <v>0</v>
      </c>
      <c r="L462" s="43">
        <v>0.625</v>
      </c>
      <c r="M462" s="43">
        <v>0.64583333333333337</v>
      </c>
      <c r="N462" s="43">
        <f>1+18/24/60</f>
        <v>1.0125</v>
      </c>
      <c r="O462" s="43">
        <f>1+48/24/60</f>
        <v>1.0333333333333334</v>
      </c>
      <c r="P462" s="39"/>
      <c r="Q462" s="42" t="s">
        <v>4</v>
      </c>
      <c r="R462" s="29">
        <f>MIP_4[[#This Row],[PT-1]]+MIP_4[[#This Row],[PT-2]]*2+MIP_4[[#This Row],[PT-3]]*3+MIP_4[[#This Row],[PT &gt; 3 Pontos]]</f>
        <v>10</v>
      </c>
      <c r="S46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46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462" s="41">
        <f ca="1">MIP_4[[#This Row],[Eficiência]]</f>
        <v>0.69442083178496239</v>
      </c>
      <c r="V46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62" s="39">
        <f>IF(MIP_4[[#This Row],[P.S]]-MIP_4[[#This Row],[P.E]]&lt;0,1+MIP_4[[#This Row],[P.S]]-MIP_4[[#This Row],[P.E]]-1/24,MIP_4[[#This Row],[P.S]]-MIP_4[[#This Row],[P.E]]-1/24)</f>
        <v>0.36666666666666675</v>
      </c>
      <c r="X462" s="39">
        <f ca="1">MIP_4[[#This Row],[PT-1]]*$S$3+MIP_4[[#This Row],[PT-2]]*$T$3+MIP_4[[#This Row],[PT-3]]*$U$3+MIP_4[[#This Row],[PT &gt; 3 Pontos]]*$V$3</f>
        <v>0.2256867703301127</v>
      </c>
      <c r="Y462" s="39">
        <f>MIP_4[[#This Row],[HH disponível]]-MIP_4[[#This Row],[HH AC TOT]]</f>
        <v>0.3249999999999999</v>
      </c>
      <c r="Z462" s="38">
        <f ca="1">MIP_4[[#This Row],[HH Produtivo
Total]]/MIP_4[[#This Row],[HH Trabalhado]]</f>
        <v>0.69442083178496239</v>
      </c>
      <c r="AA462" s="38">
        <f ca="1">MIP_4[[#This Row],[HH Produtivo
Total]]/MIP_4[[#This Row],[HH disponível]]</f>
        <v>0.61550937362757996</v>
      </c>
      <c r="AB462" s="38">
        <f>MIP_4[[#This Row],[HH Trabalhado]]/MIP_4[[#This Row],[HH disponível]]</f>
        <v>0.88636363636363591</v>
      </c>
      <c r="AC462" s="37" t="str">
        <f>LEFT(MIP_4[[#This Row],[Equipe]], SEARCH("/",MIP_4[[#This Row],[Equipe]],1)-1)</f>
        <v xml:space="preserve">EDILTON </v>
      </c>
      <c r="AD462" s="37" t="str">
        <f>RIGHT(MIP_4[[#This Row],[Equipe]], LEN(MIP_4[[#This Row],[Equipe]])-SEARCH("/",MIP_4[[#This Row],[Equipe]],1))</f>
        <v xml:space="preserve"> GECIVALDO</v>
      </c>
      <c r="AE462" s="44">
        <f>COUNTIFS('[1]Tempo parado'!G:G,"&gt;="&amp;MIP_4[[#This Row],[S.B Sitrack]],'[1]Tempo parado'!H:H,"&lt;="&amp;MIP_4[[#This Row],[C.B Sitrack]],'[1]Tempo parado'!A:A,MIP_4[[#This Row],[Placa]])</f>
        <v>0</v>
      </c>
      <c r="AF462" s="36"/>
      <c r="AG462" s="35"/>
      <c r="AH462" s="34"/>
      <c r="AI462" s="34"/>
      <c r="AJ46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6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6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62" s="32" t="str">
        <f>IFERROR(MIP_4[[#This Row],[Tempo parado]]/(MIP_4[[#This Row],[C.B Sitrack]]-MIP_4[[#This Row],[S.B Sitrack]]),"")</f>
        <v/>
      </c>
      <c r="AN462" s="30"/>
      <c r="AO462" s="44">
        <f>IF(AND(MIP_4[Exc]=0,MIP_4[Previsto / Realizado]="Realizado"),MIP_4[Sem],0)</f>
        <v>0</v>
      </c>
      <c r="AP462" s="29">
        <f>IF(AND(MIP_4[Exc]=0,MIP_4[Previsto / Realizado]="Realizado",ISBLANK(MIP_4[[#This Row],[S.B Sitrack]])=FALSE,ISBLANK(MIP_4[[#This Row],[C.B Sitrack]])=FALSE),MIP_4[Sem],0)</f>
        <v>0</v>
      </c>
    </row>
    <row r="463" spans="1:42" ht="15.75" x14ac:dyDescent="0.25">
      <c r="A463" s="44">
        <f>WEEKNUM(MIP_4[[#This Row],[Data]])</f>
        <v>35</v>
      </c>
      <c r="B463" s="45">
        <v>42978</v>
      </c>
      <c r="C463" s="45"/>
      <c r="D463" s="35" t="s">
        <v>3</v>
      </c>
      <c r="E463" s="35" t="s">
        <v>2</v>
      </c>
      <c r="F463" s="35"/>
      <c r="G463" s="44">
        <v>2</v>
      </c>
      <c r="H463" s="44">
        <v>0</v>
      </c>
      <c r="I463" s="44">
        <v>5</v>
      </c>
      <c r="J463" s="44">
        <v>0</v>
      </c>
      <c r="K463" s="44">
        <v>0</v>
      </c>
      <c r="L463" s="43">
        <v>0.62083333333333335</v>
      </c>
      <c r="M463" s="43">
        <v>0.68402777777777779</v>
      </c>
      <c r="N463" s="43">
        <f>1+19/24/60</f>
        <v>1.0131944444444445</v>
      </c>
      <c r="O463" s="43">
        <f>1+48/24/60</f>
        <v>1.0333333333333334</v>
      </c>
      <c r="P463" s="39"/>
      <c r="Q463" s="42" t="s">
        <v>265</v>
      </c>
      <c r="R463" s="29">
        <f>MIP_4[[#This Row],[PT-1]]+MIP_4[[#This Row],[PT-2]]*2+MIP_4[[#This Row],[PT-3]]*3+MIP_4[[#This Row],[PT &gt; 3 Pontos]]</f>
        <v>10</v>
      </c>
      <c r="S46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8.333333333333337E-2</v>
      </c>
      <c r="T46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8.333333333333337E-2</v>
      </c>
      <c r="U463" s="41">
        <f ca="1">MIP_4[[#This Row],[Eficiência]]</f>
        <v>0.76363071483581868</v>
      </c>
      <c r="V46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63" s="39">
        <f>IF(MIP_4[[#This Row],[P.S]]-MIP_4[[#This Row],[P.E]]&lt;0,1+MIP_4[[#This Row],[P.S]]-MIP_4[[#This Row],[P.E]]-1/24,MIP_4[[#This Row],[P.S]]-MIP_4[[#This Row],[P.E]]-1/24)</f>
        <v>0.3708333333333334</v>
      </c>
      <c r="X463" s="39">
        <f ca="1">MIP_4[[#This Row],[PT-1]]*$S$3+MIP_4[[#This Row],[PT-2]]*$T$3+MIP_4[[#This Row],[PT-3]]*$U$3+MIP_4[[#This Row],[PT &gt; 3 Pontos]]*$V$3</f>
        <v>0.21954383051529791</v>
      </c>
      <c r="Y463" s="39">
        <f>MIP_4[[#This Row],[HH disponível]]-MIP_4[[#This Row],[HH AC TOT]]</f>
        <v>0.28750000000000003</v>
      </c>
      <c r="Z463" s="38">
        <f ca="1">MIP_4[[#This Row],[HH Produtivo
Total]]/MIP_4[[#This Row],[HH Trabalhado]]</f>
        <v>0.76363071483581868</v>
      </c>
      <c r="AA463" s="38">
        <f ca="1">MIP_4[[#This Row],[HH Produtivo
Total]]/MIP_4[[#This Row],[HH disponível]]</f>
        <v>0.59202830700754483</v>
      </c>
      <c r="AB463" s="38">
        <f>MIP_4[[#This Row],[HH Trabalhado]]/MIP_4[[#This Row],[HH disponível]]</f>
        <v>0.77528089887640439</v>
      </c>
      <c r="AC463" s="37" t="str">
        <f>LEFT(MIP_4[[#This Row],[Equipe]], SEARCH("/",MIP_4[[#This Row],[Equipe]],1)-1)</f>
        <v xml:space="preserve">EDILTON </v>
      </c>
      <c r="AD463" s="37" t="str">
        <f>RIGHT(MIP_4[[#This Row],[Equipe]], LEN(MIP_4[[#This Row],[Equipe]])-SEARCH("/",MIP_4[[#This Row],[Equipe]],1))</f>
        <v xml:space="preserve"> GECIVALDO</v>
      </c>
      <c r="AE463" s="44">
        <f>COUNTIFS('[1]Tempo parado'!G:G,"&gt;="&amp;MIP_4[[#This Row],[S.B Sitrack]],'[1]Tempo parado'!H:H,"&lt;="&amp;MIP_4[[#This Row],[C.B Sitrack]],'[1]Tempo parado'!A:A,MIP_4[[#This Row],[Placa]])</f>
        <v>0</v>
      </c>
      <c r="AF463" s="36"/>
      <c r="AG463" s="35"/>
      <c r="AH463" s="34"/>
      <c r="AI463" s="34"/>
      <c r="AJ46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6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6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63" s="32" t="str">
        <f>IFERROR(MIP_4[[#This Row],[Tempo parado]]/(MIP_4[[#This Row],[C.B Sitrack]]-MIP_4[[#This Row],[S.B Sitrack]]),"")</f>
        <v/>
      </c>
      <c r="AN463" s="30"/>
      <c r="AO463" s="44">
        <f>IF(AND(MIP_4[Exc]=0,MIP_4[Previsto / Realizado]="Realizado"),MIP_4[Sem],0)</f>
        <v>35</v>
      </c>
      <c r="AP463" s="29">
        <f>IF(AND(MIP_4[Exc]=0,MIP_4[Previsto / Realizado]="Realizado",ISBLANK(MIP_4[[#This Row],[S.B Sitrack]])=FALSE,ISBLANK(MIP_4[[#This Row],[C.B Sitrack]])=FALSE),MIP_4[Sem],0)</f>
        <v>0</v>
      </c>
    </row>
    <row r="464" spans="1:42" ht="15.75" x14ac:dyDescent="0.25">
      <c r="A464" s="44">
        <f>WEEKNUM(MIP_4[[#This Row],[Data]])</f>
        <v>35</v>
      </c>
      <c r="B464" s="45">
        <v>42979</v>
      </c>
      <c r="C464" s="45"/>
      <c r="D464" s="35" t="s">
        <v>10</v>
      </c>
      <c r="E464" s="35" t="s">
        <v>5</v>
      </c>
      <c r="F464" s="35"/>
      <c r="G464" s="44">
        <v>2</v>
      </c>
      <c r="H464" s="44">
        <v>4</v>
      </c>
      <c r="I464" s="44">
        <v>0</v>
      </c>
      <c r="J464" s="44">
        <v>0</v>
      </c>
      <c r="K464" s="44">
        <v>4</v>
      </c>
      <c r="L464" s="43">
        <v>0.25</v>
      </c>
      <c r="M464" s="43">
        <v>0.27083333333333331</v>
      </c>
      <c r="N464" s="43">
        <v>0.63750000000000007</v>
      </c>
      <c r="O464" s="43">
        <v>0.65833333333333333</v>
      </c>
      <c r="P464" s="39"/>
      <c r="Q464" s="42" t="s">
        <v>4</v>
      </c>
      <c r="R464" s="29">
        <f>MIP_4[[#This Row],[PT-1]]+MIP_4[[#This Row],[PT-2]]*2+MIP_4[[#This Row],[PT-3]]*3+MIP_4[[#This Row],[PT &gt; 3 Pontos]]</f>
        <v>8</v>
      </c>
      <c r="S46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46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464" s="41">
        <f ca="1">MIP_4[[#This Row],[Eficiência]]</f>
        <v>0.55721678571920097</v>
      </c>
      <c r="V46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64" s="39">
        <f>IF(MIP_4[[#This Row],[P.S]]-MIP_4[[#This Row],[P.E]]&lt;0,1+MIP_4[[#This Row],[P.S]]-MIP_4[[#This Row],[P.E]]-1/24,MIP_4[[#This Row],[P.S]]-MIP_4[[#This Row],[P.E]]-1/24)</f>
        <v>0.36666666666666664</v>
      </c>
      <c r="X464" s="39">
        <f ca="1">MIP_4[[#This Row],[PT-1]]*$S$3+MIP_4[[#This Row],[PT-2]]*$T$3+MIP_4[[#This Row],[PT-3]]*$U$3+MIP_4[[#This Row],[PT &gt; 3 Pontos]]*$V$3</f>
        <v>0.18109545535874036</v>
      </c>
      <c r="Y464" s="39">
        <f>MIP_4[[#This Row],[HH disponível]]-MIP_4[[#This Row],[HH AC TOT]]</f>
        <v>0.32500000000000007</v>
      </c>
      <c r="Z464" s="38">
        <f ca="1">MIP_4[[#This Row],[HH Produtivo
Total]]/MIP_4[[#This Row],[HH Trabalhado]]</f>
        <v>0.55721678571920097</v>
      </c>
      <c r="AA464" s="38">
        <f ca="1">MIP_4[[#This Row],[HH Produtivo
Total]]/MIP_4[[#This Row],[HH disponível]]</f>
        <v>0.49389669643292827</v>
      </c>
      <c r="AB464" s="38">
        <f>MIP_4[[#This Row],[HH Trabalhado]]/MIP_4[[#This Row],[HH disponível]]</f>
        <v>0.88636363636363658</v>
      </c>
      <c r="AC464" s="37" t="str">
        <f>LEFT(MIP_4[[#This Row],[Equipe]], SEARCH("/",MIP_4[[#This Row],[Equipe]],1)-1)</f>
        <v xml:space="preserve">JOILSON </v>
      </c>
      <c r="AD464" s="37" t="str">
        <f>RIGHT(MIP_4[[#This Row],[Equipe]], LEN(MIP_4[[#This Row],[Equipe]])-SEARCH("/",MIP_4[[#This Row],[Equipe]],1))</f>
        <v xml:space="preserve"> VALDEI</v>
      </c>
      <c r="AE464" s="44">
        <f>COUNTIFS('[1]Tempo parado'!G:G,"&gt;="&amp;MIP_4[[#This Row],[S.B Sitrack]],'[1]Tempo parado'!H:H,"&lt;="&amp;MIP_4[[#This Row],[C.B Sitrack]],'[1]Tempo parado'!A:A,MIP_4[[#This Row],[Placa]])</f>
        <v>0</v>
      </c>
      <c r="AF464" s="36"/>
      <c r="AG464" s="35"/>
      <c r="AH464" s="34"/>
      <c r="AI464" s="34"/>
      <c r="AJ46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6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6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64" s="32" t="str">
        <f>IFERROR(MIP_4[[#This Row],[Tempo parado]]/(MIP_4[[#This Row],[C.B Sitrack]]-MIP_4[[#This Row],[S.B Sitrack]]),"")</f>
        <v/>
      </c>
      <c r="AN464" s="30"/>
      <c r="AO464" s="44">
        <f>IF(AND(MIP_4[Exc]=0,MIP_4[Previsto / Realizado]="Realizado"),MIP_4[Sem],0)</f>
        <v>0</v>
      </c>
      <c r="AP464" s="29">
        <f>IF(AND(MIP_4[Exc]=0,MIP_4[Previsto / Realizado]="Realizado",ISBLANK(MIP_4[[#This Row],[S.B Sitrack]])=FALSE,ISBLANK(MIP_4[[#This Row],[C.B Sitrack]])=FALSE),MIP_4[Sem],0)</f>
        <v>0</v>
      </c>
    </row>
    <row r="465" spans="1:42" ht="15.75" x14ac:dyDescent="0.25">
      <c r="A465" s="44">
        <f>WEEKNUM(MIP_4[[#This Row],[Data]])</f>
        <v>35</v>
      </c>
      <c r="B465" s="45">
        <v>42979</v>
      </c>
      <c r="C465" s="45"/>
      <c r="D465" s="35" t="s">
        <v>10</v>
      </c>
      <c r="E465" s="35" t="s">
        <v>2</v>
      </c>
      <c r="F465" s="35"/>
      <c r="G465" s="44">
        <v>2</v>
      </c>
      <c r="H465" s="44">
        <v>7</v>
      </c>
      <c r="I465" s="44">
        <v>0</v>
      </c>
      <c r="J465" s="44">
        <v>0</v>
      </c>
      <c r="K465" s="44">
        <v>4</v>
      </c>
      <c r="L465" s="43">
        <v>0.24791666666666667</v>
      </c>
      <c r="M465" s="43">
        <v>0.28541666666666665</v>
      </c>
      <c r="N465" s="43">
        <v>0.61319444444444449</v>
      </c>
      <c r="O465" s="43"/>
      <c r="P465" s="39"/>
      <c r="Q465" s="42" t="s">
        <v>264</v>
      </c>
      <c r="R465" s="29">
        <f>MIP_4[[#This Row],[PT-1]]+MIP_4[[#This Row],[PT-2]]*2+MIP_4[[#This Row],[PT-3]]*3+MIP_4[[#This Row],[PT &gt; 3 Pontos]]</f>
        <v>11</v>
      </c>
      <c r="S46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0.42430555555555549</v>
      </c>
      <c r="T46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0.42430555555555549</v>
      </c>
      <c r="U465" s="41">
        <f ca="1">MIP_4[[#This Row],[Eficiência]]</f>
        <v>0.89536199150289975</v>
      </c>
      <c r="V46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1</v>
      </c>
      <c r="W465" s="39">
        <f>IF(MIP_4[[#This Row],[P.S]]-MIP_4[[#This Row],[P.E]]&lt;0,1+MIP_4[[#This Row],[P.S]]-MIP_4[[#This Row],[P.E]]-1/24,MIP_4[[#This Row],[P.S]]-MIP_4[[#This Row],[P.E]]-1/24)</f>
        <v>0.7104166666666667</v>
      </c>
      <c r="X465" s="39">
        <f ca="1">MIP_4[[#This Row],[PT-1]]*$S$3+MIP_4[[#This Row],[PT-2]]*$T$3+MIP_4[[#This Row],[PT-3]]*$U$3+MIP_4[[#This Row],[PT &gt; 3 Pontos]]*$V$3</f>
        <v>0.25617301423555194</v>
      </c>
      <c r="Y465" s="39">
        <f>MIP_4[[#This Row],[HH disponível]]-MIP_4[[#This Row],[HH AC TOT]]</f>
        <v>0.2861111111111112</v>
      </c>
      <c r="Z465" s="38">
        <f ca="1">MIP_4[[#This Row],[HH Produtivo
Total]]/MIP_4[[#This Row],[HH Trabalhado]]</f>
        <v>0.89536199150289975</v>
      </c>
      <c r="AA465" s="38">
        <f ca="1">MIP_4[[#This Row],[HH Produtivo
Total]]/MIP_4[[#This Row],[HH disponível]]</f>
        <v>0.36059544525825493</v>
      </c>
      <c r="AB465" s="38">
        <f>MIP_4[[#This Row],[HH Trabalhado]]/MIP_4[[#This Row],[HH disponível]]</f>
        <v>0.40273704789833836</v>
      </c>
      <c r="AC465" s="37" t="str">
        <f>LEFT(MIP_4[[#This Row],[Equipe]], SEARCH("/",MIP_4[[#This Row],[Equipe]],1)-1)</f>
        <v xml:space="preserve">JOILSON </v>
      </c>
      <c r="AD465" s="37" t="str">
        <f>RIGHT(MIP_4[[#This Row],[Equipe]], LEN(MIP_4[[#This Row],[Equipe]])-SEARCH("/",MIP_4[[#This Row],[Equipe]],1))</f>
        <v xml:space="preserve"> VALDEI</v>
      </c>
      <c r="AE465" s="44">
        <f>COUNTIFS('[1]Tempo parado'!G:G,"&gt;="&amp;MIP_4[[#This Row],[S.B Sitrack]],'[1]Tempo parado'!H:H,"&lt;="&amp;MIP_4[[#This Row],[C.B Sitrack]],'[1]Tempo parado'!A:A,MIP_4[[#This Row],[Placa]])</f>
        <v>0</v>
      </c>
      <c r="AF465" s="36"/>
      <c r="AG465" s="35"/>
      <c r="AH465" s="34"/>
      <c r="AI465" s="34"/>
      <c r="AJ46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6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6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65" s="32" t="str">
        <f>IFERROR(MIP_4[[#This Row],[Tempo parado]]/(MIP_4[[#This Row],[C.B Sitrack]]-MIP_4[[#This Row],[S.B Sitrack]]),"")</f>
        <v/>
      </c>
      <c r="AN465" s="30"/>
      <c r="AO465" s="44">
        <f>IF(AND(MIP_4[Exc]=0,MIP_4[Previsto / Realizado]="Realizado"),MIP_4[Sem],0)</f>
        <v>0</v>
      </c>
      <c r="AP465" s="29">
        <f>IF(AND(MIP_4[Exc]=0,MIP_4[Previsto / Realizado]="Realizado",ISBLANK(MIP_4[[#This Row],[S.B Sitrack]])=FALSE,ISBLANK(MIP_4[[#This Row],[C.B Sitrack]])=FALSE),MIP_4[Sem],0)</f>
        <v>0</v>
      </c>
    </row>
    <row r="466" spans="1:42" ht="15.75" x14ac:dyDescent="0.25">
      <c r="A466" s="44">
        <f>WEEKNUM(MIP_4[[#This Row],[Data]])</f>
        <v>35</v>
      </c>
      <c r="B466" s="45">
        <v>42979</v>
      </c>
      <c r="C466" s="45"/>
      <c r="D466" s="35" t="s">
        <v>3</v>
      </c>
      <c r="E466" s="35" t="s">
        <v>5</v>
      </c>
      <c r="F466" s="35"/>
      <c r="G466" s="44">
        <v>2</v>
      </c>
      <c r="H466" s="44">
        <v>0</v>
      </c>
      <c r="I466" s="44">
        <v>4</v>
      </c>
      <c r="J466" s="44">
        <v>1</v>
      </c>
      <c r="K466" s="44">
        <v>0</v>
      </c>
      <c r="L466" s="43">
        <v>0.625</v>
      </c>
      <c r="M466" s="43">
        <v>0.64583333333333337</v>
      </c>
      <c r="N466" s="43">
        <f>1+18/24/60</f>
        <v>1.0125</v>
      </c>
      <c r="O466" s="43">
        <f>1+48/24/60</f>
        <v>1.0333333333333334</v>
      </c>
      <c r="P466" s="39"/>
      <c r="Q466" s="42" t="s">
        <v>263</v>
      </c>
      <c r="R466" s="29">
        <f>MIP_4[[#This Row],[PT-1]]+MIP_4[[#This Row],[PT-2]]*2+MIP_4[[#This Row],[PT-3]]*3+MIP_4[[#This Row],[PT &gt; 3 Pontos]]</f>
        <v>11</v>
      </c>
      <c r="S46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46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466" s="41">
        <f ca="1">MIP_4[[#This Row],[Eficiência]]</f>
        <v>0.73362074972129354</v>
      </c>
      <c r="V46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66" s="39">
        <f>IF(MIP_4[[#This Row],[P.S]]-MIP_4[[#This Row],[P.E]]&lt;0,1+MIP_4[[#This Row],[P.S]]-MIP_4[[#This Row],[P.E]]-1/24,MIP_4[[#This Row],[P.S]]-MIP_4[[#This Row],[P.E]]-1/24)</f>
        <v>0.36666666666666675</v>
      </c>
      <c r="X466" s="39">
        <f ca="1">MIP_4[[#This Row],[PT-1]]*$S$3+MIP_4[[#This Row],[PT-2]]*$T$3+MIP_4[[#This Row],[PT-3]]*$U$3+MIP_4[[#This Row],[PT &gt; 3 Pontos]]*$V$3</f>
        <v>0.23842674365942032</v>
      </c>
      <c r="Y466" s="39">
        <f>MIP_4[[#This Row],[HH disponível]]-MIP_4[[#This Row],[HH AC TOT]]</f>
        <v>0.3249999999999999</v>
      </c>
      <c r="Z466" s="38">
        <f ca="1">MIP_4[[#This Row],[HH Produtivo
Total]]/MIP_4[[#This Row],[HH Trabalhado]]</f>
        <v>0.73362074972129354</v>
      </c>
      <c r="AA466" s="38">
        <f ca="1">MIP_4[[#This Row],[HH Produtivo
Total]]/MIP_4[[#This Row],[HH disponível]]</f>
        <v>0.65025475543478251</v>
      </c>
      <c r="AB466" s="38">
        <f>MIP_4[[#This Row],[HH Trabalhado]]/MIP_4[[#This Row],[HH disponível]]</f>
        <v>0.88636363636363591</v>
      </c>
      <c r="AC466" s="37" t="str">
        <f>LEFT(MIP_4[[#This Row],[Equipe]], SEARCH("/",MIP_4[[#This Row],[Equipe]],1)-1)</f>
        <v xml:space="preserve">EDILTON </v>
      </c>
      <c r="AD466" s="37" t="str">
        <f>RIGHT(MIP_4[[#This Row],[Equipe]], LEN(MIP_4[[#This Row],[Equipe]])-SEARCH("/",MIP_4[[#This Row],[Equipe]],1))</f>
        <v xml:space="preserve"> GECIVALDO</v>
      </c>
      <c r="AE466" s="44">
        <f>COUNTIFS('[1]Tempo parado'!G:G,"&gt;="&amp;MIP_4[[#This Row],[S.B Sitrack]],'[1]Tempo parado'!H:H,"&lt;="&amp;MIP_4[[#This Row],[C.B Sitrack]],'[1]Tempo parado'!A:A,MIP_4[[#This Row],[Placa]])</f>
        <v>0</v>
      </c>
      <c r="AF466" s="36"/>
      <c r="AG466" s="35"/>
      <c r="AH466" s="34"/>
      <c r="AI466" s="34"/>
      <c r="AJ46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6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6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66" s="32" t="str">
        <f>IFERROR(MIP_4[[#This Row],[Tempo parado]]/(MIP_4[[#This Row],[C.B Sitrack]]-MIP_4[[#This Row],[S.B Sitrack]]),"")</f>
        <v/>
      </c>
      <c r="AN466" s="30"/>
      <c r="AO466" s="44">
        <f>IF(AND(MIP_4[Exc]=0,MIP_4[Previsto / Realizado]="Realizado"),MIP_4[Sem],0)</f>
        <v>0</v>
      </c>
      <c r="AP466" s="29">
        <f>IF(AND(MIP_4[Exc]=0,MIP_4[Previsto / Realizado]="Realizado",ISBLANK(MIP_4[[#This Row],[S.B Sitrack]])=FALSE,ISBLANK(MIP_4[[#This Row],[C.B Sitrack]])=FALSE),MIP_4[Sem],0)</f>
        <v>0</v>
      </c>
    </row>
    <row r="467" spans="1:42" ht="15.75" x14ac:dyDescent="0.25">
      <c r="A467" s="44">
        <f>WEEKNUM(MIP_4[[#This Row],[Data]])</f>
        <v>35</v>
      </c>
      <c r="B467" s="45">
        <v>42979</v>
      </c>
      <c r="C467" s="45"/>
      <c r="D467" s="35" t="s">
        <v>3</v>
      </c>
      <c r="E467" s="35" t="s">
        <v>2</v>
      </c>
      <c r="F467" s="35"/>
      <c r="G467" s="44">
        <v>2</v>
      </c>
      <c r="H467" s="44">
        <v>0</v>
      </c>
      <c r="I467" s="44">
        <v>5</v>
      </c>
      <c r="J467" s="44">
        <v>1</v>
      </c>
      <c r="K467" s="44">
        <v>0</v>
      </c>
      <c r="L467" s="43">
        <v>0.67638888888888893</v>
      </c>
      <c r="M467" s="43">
        <v>0.68541666666666667</v>
      </c>
      <c r="N467" s="43">
        <f>1+2/24/60</f>
        <v>1.0013888888888889</v>
      </c>
      <c r="O467" s="43">
        <f>1+51/24/60</f>
        <v>1.0354166666666667</v>
      </c>
      <c r="P467" s="39"/>
      <c r="Q467" s="42"/>
      <c r="R467" s="29">
        <f>MIP_4[[#This Row],[PT-1]]+MIP_4[[#This Row],[PT-2]]*2+MIP_4[[#This Row],[PT-3]]*3+MIP_4[[#This Row],[PT &gt; 3 Pontos]]</f>
        <v>13</v>
      </c>
      <c r="S46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4.3055555555555514E-2</v>
      </c>
      <c r="T46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4.3055555555555514E-2</v>
      </c>
      <c r="U467" s="41">
        <f ca="1">MIP_4[[#This Row],[Eficiência]]</f>
        <v>1.0292737571087875</v>
      </c>
      <c r="V46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67" s="39">
        <f>IF(MIP_4[[#This Row],[P.S]]-MIP_4[[#This Row],[P.E]]&lt;0,1+MIP_4[[#This Row],[P.S]]-MIP_4[[#This Row],[P.E]]-1/24,MIP_4[[#This Row],[P.S]]-MIP_4[[#This Row],[P.E]]-1/24)</f>
        <v>0.31736111111111104</v>
      </c>
      <c r="X467" s="39">
        <f ca="1">MIP_4[[#This Row],[PT-1]]*$S$3+MIP_4[[#This Row],[PT-2]]*$T$3+MIP_4[[#This Row],[PT-3]]*$U$3+MIP_4[[#This Row],[PT &gt; 3 Pontos]]*$V$3</f>
        <v>0.2823355097624799</v>
      </c>
      <c r="Y467" s="39">
        <f>MIP_4[[#This Row],[HH disponível]]-MIP_4[[#This Row],[HH AC TOT]]</f>
        <v>0.27430555555555552</v>
      </c>
      <c r="Z467" s="38">
        <f ca="1">MIP_4[[#This Row],[HH Produtivo
Total]]/MIP_4[[#This Row],[HH Trabalhado]]</f>
        <v>1.0292737571087875</v>
      </c>
      <c r="AA467" s="38">
        <f ca="1">MIP_4[[#This Row],[HH Produtivo
Total]]/MIP_4[[#This Row],[HH disponível]]</f>
        <v>0.88963486664763924</v>
      </c>
      <c r="AB467" s="38">
        <f>MIP_4[[#This Row],[HH Trabalhado]]/MIP_4[[#This Row],[HH disponível]]</f>
        <v>0.8643326039387309</v>
      </c>
      <c r="AC467" s="37" t="str">
        <f>LEFT(MIP_4[[#This Row],[Equipe]], SEARCH("/",MIP_4[[#This Row],[Equipe]],1)-1)</f>
        <v xml:space="preserve">EDILTON </v>
      </c>
      <c r="AD467" s="37" t="str">
        <f>RIGHT(MIP_4[[#This Row],[Equipe]], LEN(MIP_4[[#This Row],[Equipe]])-SEARCH("/",MIP_4[[#This Row],[Equipe]],1))</f>
        <v xml:space="preserve"> GECIVALDO</v>
      </c>
      <c r="AE467" s="44">
        <f>COUNTIFS('[1]Tempo parado'!G:G,"&gt;="&amp;MIP_4[[#This Row],[S.B Sitrack]],'[1]Tempo parado'!H:H,"&lt;="&amp;MIP_4[[#This Row],[C.B Sitrack]],'[1]Tempo parado'!A:A,MIP_4[[#This Row],[Placa]])</f>
        <v>0</v>
      </c>
      <c r="AF467" s="36"/>
      <c r="AG467" s="35"/>
      <c r="AH467" s="34"/>
      <c r="AI467" s="34"/>
      <c r="AJ46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6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6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67" s="32" t="str">
        <f>IFERROR(MIP_4[[#This Row],[Tempo parado]]/(MIP_4[[#This Row],[C.B Sitrack]]-MIP_4[[#This Row],[S.B Sitrack]]),"")</f>
        <v/>
      </c>
      <c r="AN467" s="30"/>
      <c r="AO467" s="44">
        <f>IF(AND(MIP_4[Exc]=0,MIP_4[Previsto / Realizado]="Realizado"),MIP_4[Sem],0)</f>
        <v>35</v>
      </c>
      <c r="AP467" s="29">
        <f>IF(AND(MIP_4[Exc]=0,MIP_4[Previsto / Realizado]="Realizado",ISBLANK(MIP_4[[#This Row],[S.B Sitrack]])=FALSE,ISBLANK(MIP_4[[#This Row],[C.B Sitrack]])=FALSE),MIP_4[Sem],0)</f>
        <v>0</v>
      </c>
    </row>
    <row r="468" spans="1:42" ht="15.75" x14ac:dyDescent="0.25">
      <c r="A468" s="44">
        <f>WEEKNUM(MIP_4[[#This Row],[Data]])</f>
        <v>35</v>
      </c>
      <c r="B468" s="45">
        <v>42979</v>
      </c>
      <c r="C468" s="45"/>
      <c r="D468" s="35" t="s">
        <v>19</v>
      </c>
      <c r="E468" s="35" t="s">
        <v>5</v>
      </c>
      <c r="F468" s="35"/>
      <c r="G468" s="44">
        <v>2</v>
      </c>
      <c r="H468" s="44">
        <v>0</v>
      </c>
      <c r="I468" s="44">
        <v>0</v>
      </c>
      <c r="J468" s="44">
        <v>0</v>
      </c>
      <c r="K468" s="44">
        <v>0</v>
      </c>
      <c r="L468" s="43">
        <v>0.625</v>
      </c>
      <c r="M468" s="43">
        <v>0.64583333333333337</v>
      </c>
      <c r="N468" s="43">
        <f>1+18/24/60</f>
        <v>1.0125</v>
      </c>
      <c r="O468" s="43">
        <f>1+48/24/60</f>
        <v>1.0333333333333334</v>
      </c>
      <c r="P468" s="39"/>
      <c r="Q468" s="42" t="s">
        <v>262</v>
      </c>
      <c r="R468" s="29">
        <f>MIP_4[[#This Row],[PT-1]]+MIP_4[[#This Row],[PT-2]]*2+MIP_4[[#This Row],[PT-3]]*3+MIP_4[[#This Row],[PT &gt; 3 Pontos]]</f>
        <v>0</v>
      </c>
      <c r="S46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46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468" s="41">
        <f ca="1">MIP_4[[#This Row],[Eficiência]]</f>
        <v>0</v>
      </c>
      <c r="V46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68" s="39">
        <f>IF(MIP_4[[#This Row],[P.S]]-MIP_4[[#This Row],[P.E]]&lt;0,1+MIP_4[[#This Row],[P.S]]-MIP_4[[#This Row],[P.E]]-1/24,MIP_4[[#This Row],[P.S]]-MIP_4[[#This Row],[P.E]]-1/24)</f>
        <v>0.36666666666666675</v>
      </c>
      <c r="X468" s="39">
        <f ca="1">MIP_4[[#This Row],[PT-1]]*$S$3+MIP_4[[#This Row],[PT-2]]*$T$3+MIP_4[[#This Row],[PT-3]]*$U$3+MIP_4[[#This Row],[PT &gt; 3 Pontos]]*$V$3</f>
        <v>0</v>
      </c>
      <c r="Y468" s="39">
        <f>MIP_4[[#This Row],[HH disponível]]-MIP_4[[#This Row],[HH AC TOT]]</f>
        <v>0.3249999999999999</v>
      </c>
      <c r="Z468" s="38">
        <f ca="1">MIP_4[[#This Row],[HH Produtivo
Total]]/MIP_4[[#This Row],[HH Trabalhado]]</f>
        <v>0</v>
      </c>
      <c r="AA468" s="38">
        <f ca="1">MIP_4[[#This Row],[HH Produtivo
Total]]/MIP_4[[#This Row],[HH disponível]]</f>
        <v>0</v>
      </c>
      <c r="AB468" s="38">
        <f>MIP_4[[#This Row],[HH Trabalhado]]/MIP_4[[#This Row],[HH disponível]]</f>
        <v>0.88636363636363591</v>
      </c>
      <c r="AC468" s="37" t="str">
        <f>LEFT(MIP_4[[#This Row],[Equipe]], SEARCH("/",MIP_4[[#This Row],[Equipe]],1)-1)</f>
        <v xml:space="preserve">ADEMÁRIO </v>
      </c>
      <c r="AD468" s="37" t="str">
        <f>RIGHT(MIP_4[[#This Row],[Equipe]], LEN(MIP_4[[#This Row],[Equipe]])-SEARCH("/",MIP_4[[#This Row],[Equipe]],1))</f>
        <v xml:space="preserve"> RONALDO</v>
      </c>
      <c r="AE468" s="44">
        <f>COUNTIFS('[1]Tempo parado'!G:G,"&gt;="&amp;MIP_4[[#This Row],[S.B Sitrack]],'[1]Tempo parado'!H:H,"&lt;="&amp;MIP_4[[#This Row],[C.B Sitrack]],'[1]Tempo parado'!A:A,MIP_4[[#This Row],[Placa]])</f>
        <v>0</v>
      </c>
      <c r="AF468" s="36"/>
      <c r="AG468" s="35"/>
      <c r="AH468" s="34"/>
      <c r="AI468" s="34"/>
      <c r="AJ46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6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6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68" s="32" t="str">
        <f>IFERROR(MIP_4[[#This Row],[Tempo parado]]/(MIP_4[[#This Row],[C.B Sitrack]]-MIP_4[[#This Row],[S.B Sitrack]]),"")</f>
        <v/>
      </c>
      <c r="AN468" s="30"/>
      <c r="AO468" s="44">
        <f>IF(AND(MIP_4[Exc]=0,MIP_4[Previsto / Realizado]="Realizado"),MIP_4[Sem],0)</f>
        <v>0</v>
      </c>
      <c r="AP468" s="29">
        <f>IF(AND(MIP_4[Exc]=0,MIP_4[Previsto / Realizado]="Realizado",ISBLANK(MIP_4[[#This Row],[S.B Sitrack]])=FALSE,ISBLANK(MIP_4[[#This Row],[C.B Sitrack]])=FALSE),MIP_4[Sem],0)</f>
        <v>0</v>
      </c>
    </row>
    <row r="469" spans="1:42" ht="15.75" x14ac:dyDescent="0.25">
      <c r="A469" s="44">
        <f>WEEKNUM(MIP_4[[#This Row],[Data]])</f>
        <v>35</v>
      </c>
      <c r="B469" s="45">
        <v>42979</v>
      </c>
      <c r="C469" s="45"/>
      <c r="D469" s="35" t="s">
        <v>19</v>
      </c>
      <c r="E469" s="35" t="s">
        <v>2</v>
      </c>
      <c r="F469" s="35"/>
      <c r="G469" s="44">
        <v>2</v>
      </c>
      <c r="H469" s="44">
        <v>0</v>
      </c>
      <c r="I469" s="44">
        <v>0</v>
      </c>
      <c r="J469" s="44">
        <v>0</v>
      </c>
      <c r="K469" s="44">
        <v>8</v>
      </c>
      <c r="L469" s="43">
        <v>0.61875000000000002</v>
      </c>
      <c r="M469" s="43">
        <v>0.6694444444444444</v>
      </c>
      <c r="N469" s="43">
        <f>1+30/24/60</f>
        <v>1.0208333333333333</v>
      </c>
      <c r="O469" s="43">
        <f>1+49/24/60</f>
        <v>1.0340277777777778</v>
      </c>
      <c r="P469" s="39">
        <v>3.8194444444444441E-2</v>
      </c>
      <c r="Q469" s="42" t="s">
        <v>261</v>
      </c>
      <c r="R469" s="29">
        <f>MIP_4[[#This Row],[PT-1]]+MIP_4[[#This Row],[PT-2]]*2+MIP_4[[#This Row],[PT-3]]*3+MIP_4[[#This Row],[PT &gt; 3 Pontos]]</f>
        <v>8</v>
      </c>
      <c r="S46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0.10208333333333333</v>
      </c>
      <c r="T46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6.3888888888888884E-2</v>
      </c>
      <c r="U469" s="41">
        <f ca="1">MIP_4[[#This Row],[Eficiência]]</f>
        <v>0.59656543566807152</v>
      </c>
      <c r="V46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69" s="39">
        <f>IF(MIP_4[[#This Row],[P.S]]-MIP_4[[#This Row],[P.E]]&lt;0,1+MIP_4[[#This Row],[P.S]]-MIP_4[[#This Row],[P.E]]-1/24,MIP_4[[#This Row],[P.S]]-MIP_4[[#This Row],[P.E]]-1/24)</f>
        <v>0.37361111111111106</v>
      </c>
      <c r="X469" s="39">
        <f ca="1">MIP_4[[#This Row],[PT-1]]*$S$3+MIP_4[[#This Row],[PT-2]]*$T$3+MIP_4[[#This Row],[PT-3]]*$U$3+MIP_4[[#This Row],[PT &gt; 3 Pontos]]*$V$3</f>
        <v>0.16198408704598327</v>
      </c>
      <c r="Y469" s="39">
        <f>MIP_4[[#This Row],[HH disponível]]-MIP_4[[#This Row],[HH AC TOT]]</f>
        <v>0.2715277777777777</v>
      </c>
      <c r="Z469" s="38">
        <f ca="1">MIP_4[[#This Row],[HH Produtivo
Total]]/MIP_4[[#This Row],[HH Trabalhado]]</f>
        <v>0.59656543566807152</v>
      </c>
      <c r="AA469" s="38">
        <f ca="1">MIP_4[[#This Row],[HH Produtivo
Total]]/MIP_4[[#This Row],[HH disponível]]</f>
        <v>0.4335633556621114</v>
      </c>
      <c r="AB469" s="38">
        <f>MIP_4[[#This Row],[HH Trabalhado]]/MIP_4[[#This Row],[HH disponível]]</f>
        <v>0.72676579925650542</v>
      </c>
      <c r="AC469" s="37" t="str">
        <f>LEFT(MIP_4[[#This Row],[Equipe]], SEARCH("/",MIP_4[[#This Row],[Equipe]],1)-1)</f>
        <v xml:space="preserve">ADEMÁRIO </v>
      </c>
      <c r="AD469" s="37" t="str">
        <f>RIGHT(MIP_4[[#This Row],[Equipe]], LEN(MIP_4[[#This Row],[Equipe]])-SEARCH("/",MIP_4[[#This Row],[Equipe]],1))</f>
        <v xml:space="preserve"> RONALDO</v>
      </c>
      <c r="AE469" s="44">
        <f>COUNTIFS('[1]Tempo parado'!G:G,"&gt;="&amp;MIP_4[[#This Row],[S.B Sitrack]],'[1]Tempo parado'!H:H,"&lt;="&amp;MIP_4[[#This Row],[C.B Sitrack]],'[1]Tempo parado'!A:A,MIP_4[[#This Row],[Placa]])</f>
        <v>0</v>
      </c>
      <c r="AF469" s="36"/>
      <c r="AG469" s="35"/>
      <c r="AH469" s="34"/>
      <c r="AI469" s="34"/>
      <c r="AJ46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6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6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69" s="32" t="str">
        <f>IFERROR(MIP_4[[#This Row],[Tempo parado]]/(MIP_4[[#This Row],[C.B Sitrack]]-MIP_4[[#This Row],[S.B Sitrack]]),"")</f>
        <v/>
      </c>
      <c r="AN469" s="30"/>
      <c r="AO469" s="44">
        <f>IF(AND(MIP_4[Exc]=0,MIP_4[Previsto / Realizado]="Realizado"),MIP_4[Sem],0)</f>
        <v>35</v>
      </c>
      <c r="AP469" s="29">
        <f>IF(AND(MIP_4[Exc]=0,MIP_4[Previsto / Realizado]="Realizado",ISBLANK(MIP_4[[#This Row],[S.B Sitrack]])=FALSE,ISBLANK(MIP_4[[#This Row],[C.B Sitrack]])=FALSE),MIP_4[Sem],0)</f>
        <v>0</v>
      </c>
    </row>
    <row r="470" spans="1:42" ht="15.75" x14ac:dyDescent="0.25">
      <c r="A470" s="44">
        <f>WEEKNUM(MIP_4[[#This Row],[Data]])</f>
        <v>35</v>
      </c>
      <c r="B470" s="45">
        <v>42979</v>
      </c>
      <c r="C470" s="45"/>
      <c r="D470" s="35" t="s">
        <v>7</v>
      </c>
      <c r="E470" s="35" t="s">
        <v>5</v>
      </c>
      <c r="F470" s="35"/>
      <c r="G470" s="44">
        <v>2</v>
      </c>
      <c r="H470" s="44">
        <v>0</v>
      </c>
      <c r="I470" s="44">
        <v>0</v>
      </c>
      <c r="J470" s="44">
        <v>0</v>
      </c>
      <c r="K470" s="44">
        <v>0</v>
      </c>
      <c r="L470" s="43">
        <v>0.625</v>
      </c>
      <c r="M470" s="43">
        <v>0.64583333333333337</v>
      </c>
      <c r="N470" s="43">
        <f>1+18/24/60</f>
        <v>1.0125</v>
      </c>
      <c r="O470" s="43">
        <f>1+48/24/60</f>
        <v>1.0333333333333334</v>
      </c>
      <c r="P470" s="39"/>
      <c r="Q470" s="42" t="s">
        <v>260</v>
      </c>
      <c r="R470" s="29">
        <f>MIP_4[[#This Row],[PT-1]]+MIP_4[[#This Row],[PT-2]]*2+MIP_4[[#This Row],[PT-3]]*3+MIP_4[[#This Row],[PT &gt; 3 Pontos]]</f>
        <v>0</v>
      </c>
      <c r="S47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47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470" s="41">
        <f ca="1">MIP_4[[#This Row],[Eficiência]]</f>
        <v>0</v>
      </c>
      <c r="V47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70" s="39">
        <f>IF(MIP_4[[#This Row],[P.S]]-MIP_4[[#This Row],[P.E]]&lt;0,1+MIP_4[[#This Row],[P.S]]-MIP_4[[#This Row],[P.E]]-1/24,MIP_4[[#This Row],[P.S]]-MIP_4[[#This Row],[P.E]]-1/24)</f>
        <v>0.36666666666666675</v>
      </c>
      <c r="X470" s="39">
        <f ca="1">MIP_4[[#This Row],[PT-1]]*$S$3+MIP_4[[#This Row],[PT-2]]*$T$3+MIP_4[[#This Row],[PT-3]]*$U$3+MIP_4[[#This Row],[PT &gt; 3 Pontos]]*$V$3</f>
        <v>0</v>
      </c>
      <c r="Y470" s="39">
        <f>MIP_4[[#This Row],[HH disponível]]-MIP_4[[#This Row],[HH AC TOT]]</f>
        <v>0.3249999999999999</v>
      </c>
      <c r="Z470" s="38">
        <f ca="1">MIP_4[[#This Row],[HH Produtivo
Total]]/MIP_4[[#This Row],[HH Trabalhado]]</f>
        <v>0</v>
      </c>
      <c r="AA470" s="38">
        <f ca="1">MIP_4[[#This Row],[HH Produtivo
Total]]/MIP_4[[#This Row],[HH disponível]]</f>
        <v>0</v>
      </c>
      <c r="AB470" s="38">
        <f>MIP_4[[#This Row],[HH Trabalhado]]/MIP_4[[#This Row],[HH disponível]]</f>
        <v>0.88636363636363591</v>
      </c>
      <c r="AC470" s="37" t="str">
        <f>LEFT(MIP_4[[#This Row],[Equipe]], SEARCH("/",MIP_4[[#This Row],[Equipe]],1)-1)</f>
        <v xml:space="preserve">ANDERSON </v>
      </c>
      <c r="AD470" s="37" t="str">
        <f>RIGHT(MIP_4[[#This Row],[Equipe]], LEN(MIP_4[[#This Row],[Equipe]])-SEARCH("/",MIP_4[[#This Row],[Equipe]],1))</f>
        <v xml:space="preserve"> MARCO</v>
      </c>
      <c r="AE470" s="44">
        <f>COUNTIFS('[1]Tempo parado'!G:G,"&gt;="&amp;MIP_4[[#This Row],[S.B Sitrack]],'[1]Tempo parado'!H:H,"&lt;="&amp;MIP_4[[#This Row],[C.B Sitrack]],'[1]Tempo parado'!A:A,MIP_4[[#This Row],[Placa]])</f>
        <v>0</v>
      </c>
      <c r="AF470" s="36"/>
      <c r="AG470" s="35"/>
      <c r="AH470" s="34"/>
      <c r="AI470" s="34"/>
      <c r="AJ47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7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7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70" s="32" t="str">
        <f>IFERROR(MIP_4[[#This Row],[Tempo parado]]/(MIP_4[[#This Row],[C.B Sitrack]]-MIP_4[[#This Row],[S.B Sitrack]]),"")</f>
        <v/>
      </c>
      <c r="AN470" s="30"/>
      <c r="AO470" s="44">
        <f>IF(AND(MIP_4[Exc]=0,MIP_4[Previsto / Realizado]="Realizado"),MIP_4[Sem],0)</f>
        <v>0</v>
      </c>
      <c r="AP470" s="29">
        <f>IF(AND(MIP_4[Exc]=0,MIP_4[Previsto / Realizado]="Realizado",ISBLANK(MIP_4[[#This Row],[S.B Sitrack]])=FALSE,ISBLANK(MIP_4[[#This Row],[C.B Sitrack]])=FALSE),MIP_4[Sem],0)</f>
        <v>0</v>
      </c>
    </row>
    <row r="471" spans="1:42" ht="15.75" x14ac:dyDescent="0.25">
      <c r="A471" s="44">
        <f>WEEKNUM(MIP_4[[#This Row],[Data]])</f>
        <v>35</v>
      </c>
      <c r="B471" s="45">
        <v>42979</v>
      </c>
      <c r="C471" s="45"/>
      <c r="D471" s="35" t="s">
        <v>7</v>
      </c>
      <c r="E471" s="35" t="s">
        <v>2</v>
      </c>
      <c r="F471" s="35"/>
      <c r="G471" s="44">
        <v>2</v>
      </c>
      <c r="H471" s="44">
        <v>0</v>
      </c>
      <c r="I471" s="44">
        <v>0</v>
      </c>
      <c r="J471" s="44">
        <v>0</v>
      </c>
      <c r="K471" s="44">
        <v>5</v>
      </c>
      <c r="L471" s="43">
        <v>0.63888888888888895</v>
      </c>
      <c r="M471" s="43">
        <v>0.6694444444444444</v>
      </c>
      <c r="N471" s="43">
        <f>1+30/24/60</f>
        <v>1.0208333333333333</v>
      </c>
      <c r="O471" s="43">
        <f>1+48/24/60</f>
        <v>1.0333333333333334</v>
      </c>
      <c r="P471" s="39">
        <v>8.4027777777777771E-2</v>
      </c>
      <c r="Q471" s="42" t="s">
        <v>259</v>
      </c>
      <c r="R471" s="29">
        <f>MIP_4[[#This Row],[PT-1]]+MIP_4[[#This Row],[PT-2]]*2+MIP_4[[#This Row],[PT-3]]*3+MIP_4[[#This Row],[PT &gt; 3 Pontos]]</f>
        <v>5</v>
      </c>
      <c r="S47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0.12708333333333338</v>
      </c>
      <c r="T47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4.3055555555555625E-2</v>
      </c>
      <c r="U471" s="41">
        <f ca="1">MIP_4[[#This Row],[Eficiência]]</f>
        <v>0.44857131797349215</v>
      </c>
      <c r="V47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71" s="39">
        <f>IF(MIP_4[[#This Row],[P.S]]-MIP_4[[#This Row],[P.E]]&lt;0,1+MIP_4[[#This Row],[P.S]]-MIP_4[[#This Row],[P.E]]-1/24,MIP_4[[#This Row],[P.S]]-MIP_4[[#This Row],[P.E]]-1/24)</f>
        <v>0.3527777777777778</v>
      </c>
      <c r="X471" s="39">
        <f ca="1">MIP_4[[#This Row],[PT-1]]*$S$3+MIP_4[[#This Row],[PT-2]]*$T$3+MIP_4[[#This Row],[PT-3]]*$U$3+MIP_4[[#This Row],[PT &gt; 3 Pontos]]*$V$3</f>
        <v>0.10124005440373954</v>
      </c>
      <c r="Y471" s="39">
        <f>MIP_4[[#This Row],[HH disponível]]-MIP_4[[#This Row],[HH AC TOT]]</f>
        <v>0.22569444444444442</v>
      </c>
      <c r="Z471" s="38">
        <f ca="1">MIP_4[[#This Row],[HH Produtivo
Total]]/MIP_4[[#This Row],[HH Trabalhado]]</f>
        <v>0.44857131797349215</v>
      </c>
      <c r="AA471" s="38">
        <f ca="1">MIP_4[[#This Row],[HH Produtivo
Total]]/MIP_4[[#This Row],[HH disponível]]</f>
        <v>0.28697968177437977</v>
      </c>
      <c r="AB471" s="38">
        <f>MIP_4[[#This Row],[HH Trabalhado]]/MIP_4[[#This Row],[HH disponível]]</f>
        <v>0.63976377952755892</v>
      </c>
      <c r="AC471" s="37" t="str">
        <f>LEFT(MIP_4[[#This Row],[Equipe]], SEARCH("/",MIP_4[[#This Row],[Equipe]],1)-1)</f>
        <v xml:space="preserve">ANDERSON </v>
      </c>
      <c r="AD471" s="37" t="str">
        <f>RIGHT(MIP_4[[#This Row],[Equipe]], LEN(MIP_4[[#This Row],[Equipe]])-SEARCH("/",MIP_4[[#This Row],[Equipe]],1))</f>
        <v xml:space="preserve"> MARCO</v>
      </c>
      <c r="AE471" s="44">
        <f>COUNTIFS('[1]Tempo parado'!G:G,"&gt;="&amp;MIP_4[[#This Row],[S.B Sitrack]],'[1]Tempo parado'!H:H,"&lt;="&amp;MIP_4[[#This Row],[C.B Sitrack]],'[1]Tempo parado'!A:A,MIP_4[[#This Row],[Placa]])</f>
        <v>0</v>
      </c>
      <c r="AF471" s="36"/>
      <c r="AG471" s="35"/>
      <c r="AH471" s="34"/>
      <c r="AI471" s="34"/>
      <c r="AJ47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7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7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71" s="32" t="str">
        <f>IFERROR(MIP_4[[#This Row],[Tempo parado]]/(MIP_4[[#This Row],[C.B Sitrack]]-MIP_4[[#This Row],[S.B Sitrack]]),"")</f>
        <v/>
      </c>
      <c r="AN471" s="30"/>
      <c r="AO471" s="44">
        <f>IF(AND(MIP_4[Exc]=0,MIP_4[Previsto / Realizado]="Realizado"),MIP_4[Sem],0)</f>
        <v>35</v>
      </c>
      <c r="AP471" s="29">
        <f>IF(AND(MIP_4[Exc]=0,MIP_4[Previsto / Realizado]="Realizado",ISBLANK(MIP_4[[#This Row],[S.B Sitrack]])=FALSE,ISBLANK(MIP_4[[#This Row],[C.B Sitrack]])=FALSE),MIP_4[Sem],0)</f>
        <v>0</v>
      </c>
    </row>
    <row r="472" spans="1:42" ht="15.75" x14ac:dyDescent="0.25">
      <c r="A472" s="44">
        <f>WEEKNUM(MIP_4[[#This Row],[Data]])</f>
        <v>35</v>
      </c>
      <c r="B472" s="45">
        <v>42980</v>
      </c>
      <c r="C472" s="45"/>
      <c r="D472" s="35" t="s">
        <v>19</v>
      </c>
      <c r="E472" s="35" t="s">
        <v>5</v>
      </c>
      <c r="F472" s="35"/>
      <c r="G472" s="44">
        <v>2</v>
      </c>
      <c r="H472" s="44">
        <v>0</v>
      </c>
      <c r="I472" s="44">
        <v>0</v>
      </c>
      <c r="J472" s="44">
        <v>0</v>
      </c>
      <c r="K472" s="44">
        <v>0</v>
      </c>
      <c r="L472" s="43">
        <v>0.625</v>
      </c>
      <c r="M472" s="43">
        <v>0.64583333333333337</v>
      </c>
      <c r="N472" s="43">
        <f>1+18/24/60</f>
        <v>1.0125</v>
      </c>
      <c r="O472" s="43">
        <f>1+48/24/60</f>
        <v>1.0333333333333334</v>
      </c>
      <c r="P472" s="39"/>
      <c r="Q472" s="42" t="s">
        <v>258</v>
      </c>
      <c r="R472" s="29">
        <f>MIP_4[[#This Row],[PT-1]]+MIP_4[[#This Row],[PT-2]]*2+MIP_4[[#This Row],[PT-3]]*3+MIP_4[[#This Row],[PT &gt; 3 Pontos]]</f>
        <v>0</v>
      </c>
      <c r="S47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47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472" s="41">
        <f ca="1">MIP_4[[#This Row],[Eficiência]]</f>
        <v>0</v>
      </c>
      <c r="V47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72" s="39">
        <f>IF(MIP_4[[#This Row],[P.S]]-MIP_4[[#This Row],[P.E]]&lt;0,1+MIP_4[[#This Row],[P.S]]-MIP_4[[#This Row],[P.E]]-1/24,MIP_4[[#This Row],[P.S]]-MIP_4[[#This Row],[P.E]]-1/24)</f>
        <v>0.36666666666666675</v>
      </c>
      <c r="X472" s="39">
        <f ca="1">MIP_4[[#This Row],[PT-1]]*$S$3+MIP_4[[#This Row],[PT-2]]*$T$3+MIP_4[[#This Row],[PT-3]]*$U$3+MIP_4[[#This Row],[PT &gt; 3 Pontos]]*$V$3</f>
        <v>0</v>
      </c>
      <c r="Y472" s="39">
        <f>MIP_4[[#This Row],[HH disponível]]-MIP_4[[#This Row],[HH AC TOT]]</f>
        <v>0.3249999999999999</v>
      </c>
      <c r="Z472" s="38">
        <f ca="1">MIP_4[[#This Row],[HH Produtivo
Total]]/MIP_4[[#This Row],[HH Trabalhado]]</f>
        <v>0</v>
      </c>
      <c r="AA472" s="38">
        <f ca="1">MIP_4[[#This Row],[HH Produtivo
Total]]/MIP_4[[#This Row],[HH disponível]]</f>
        <v>0</v>
      </c>
      <c r="AB472" s="38">
        <f>MIP_4[[#This Row],[HH Trabalhado]]/MIP_4[[#This Row],[HH disponível]]</f>
        <v>0.88636363636363591</v>
      </c>
      <c r="AC472" s="37" t="str">
        <f>LEFT(MIP_4[[#This Row],[Equipe]], SEARCH("/",MIP_4[[#This Row],[Equipe]],1)-1)</f>
        <v xml:space="preserve">ADEMÁRIO </v>
      </c>
      <c r="AD472" s="37" t="str">
        <f>RIGHT(MIP_4[[#This Row],[Equipe]], LEN(MIP_4[[#This Row],[Equipe]])-SEARCH("/",MIP_4[[#This Row],[Equipe]],1))</f>
        <v xml:space="preserve"> RONALDO</v>
      </c>
      <c r="AE472" s="44">
        <f>COUNTIFS('[1]Tempo parado'!G:G,"&gt;="&amp;MIP_4[[#This Row],[S.B Sitrack]],'[1]Tempo parado'!H:H,"&lt;="&amp;MIP_4[[#This Row],[C.B Sitrack]],'[1]Tempo parado'!A:A,MIP_4[[#This Row],[Placa]])</f>
        <v>0</v>
      </c>
      <c r="AF472" s="36"/>
      <c r="AG472" s="35"/>
      <c r="AH472" s="34"/>
      <c r="AI472" s="34"/>
      <c r="AJ47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7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7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72" s="32" t="str">
        <f>IFERROR(MIP_4[[#This Row],[Tempo parado]]/(MIP_4[[#This Row],[C.B Sitrack]]-MIP_4[[#This Row],[S.B Sitrack]]),"")</f>
        <v/>
      </c>
      <c r="AN472" s="30"/>
      <c r="AO472" s="44">
        <f>IF(AND(MIP_4[Exc]=0,MIP_4[Previsto / Realizado]="Realizado"),MIP_4[Sem],0)</f>
        <v>0</v>
      </c>
      <c r="AP472" s="29">
        <f>IF(AND(MIP_4[Exc]=0,MIP_4[Previsto / Realizado]="Realizado",ISBLANK(MIP_4[[#This Row],[S.B Sitrack]])=FALSE,ISBLANK(MIP_4[[#This Row],[C.B Sitrack]])=FALSE),MIP_4[Sem],0)</f>
        <v>0</v>
      </c>
    </row>
    <row r="473" spans="1:42" ht="15.75" x14ac:dyDescent="0.25">
      <c r="A473" s="44">
        <f>WEEKNUM(MIP_4[[#This Row],[Data]])</f>
        <v>35</v>
      </c>
      <c r="B473" s="45">
        <v>42980</v>
      </c>
      <c r="C473" s="45"/>
      <c r="D473" s="35" t="s">
        <v>19</v>
      </c>
      <c r="E473" s="35" t="s">
        <v>2</v>
      </c>
      <c r="F473" s="35"/>
      <c r="G473" s="44">
        <v>2</v>
      </c>
      <c r="H473" s="44">
        <v>2</v>
      </c>
      <c r="I473" s="44">
        <v>0</v>
      </c>
      <c r="J473" s="44">
        <v>1</v>
      </c>
      <c r="K473" s="44">
        <v>9</v>
      </c>
      <c r="L473" s="43">
        <v>0.65763888888888888</v>
      </c>
      <c r="M473" s="43">
        <v>0.68055555555555547</v>
      </c>
      <c r="N473" s="43">
        <f>1+20/24/60</f>
        <v>1.0138888888888888</v>
      </c>
      <c r="O473" s="43">
        <f>1+55/24/60</f>
        <v>1.0381944444444444</v>
      </c>
      <c r="P473" s="39">
        <v>2.2916666666666669E-2</v>
      </c>
      <c r="Q473" s="42" t="s">
        <v>257</v>
      </c>
      <c r="R473" s="29">
        <f>MIP_4[[#This Row],[PT-1]]+MIP_4[[#This Row],[PT-2]]*2+MIP_4[[#This Row],[PT-3]]*3+MIP_4[[#This Row],[PT &gt; 3 Pontos]]</f>
        <v>14</v>
      </c>
      <c r="S47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7.0138888888888834E-2</v>
      </c>
      <c r="T47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4.7222222222222165E-2</v>
      </c>
      <c r="U473" s="41">
        <f ca="1">MIP_4[[#This Row],[Eficiência]]</f>
        <v>1.0979552859229302</v>
      </c>
      <c r="V47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73" s="39">
        <f>IF(MIP_4[[#This Row],[P.S]]-MIP_4[[#This Row],[P.E]]&lt;0,1+MIP_4[[#This Row],[P.S]]-MIP_4[[#This Row],[P.E]]-1/24,MIP_4[[#This Row],[P.S]]-MIP_4[[#This Row],[P.E]]-1/24)</f>
        <v>0.33888888888888885</v>
      </c>
      <c r="X473" s="39">
        <f ca="1">MIP_4[[#This Row],[PT-1]]*$S$3+MIP_4[[#This Row],[PT-2]]*$T$3+MIP_4[[#This Row],[PT-3]]*$U$3+MIP_4[[#This Row],[PT &gt; 3 Pontos]]*$V$3</f>
        <v>0.29507548309178755</v>
      </c>
      <c r="Y473" s="39">
        <f>MIP_4[[#This Row],[HH disponível]]-MIP_4[[#This Row],[HH AC TOT]]</f>
        <v>0.26875000000000004</v>
      </c>
      <c r="Z473" s="38">
        <f ca="1">MIP_4[[#This Row],[HH Produtivo
Total]]/MIP_4[[#This Row],[HH Trabalhado]]</f>
        <v>1.0979552859229302</v>
      </c>
      <c r="AA473" s="38">
        <f ca="1">MIP_4[[#This Row],[HH Produtivo
Total]]/MIP_4[[#This Row],[HH disponível]]</f>
        <v>0.8707145402708486</v>
      </c>
      <c r="AB473" s="38">
        <f>MIP_4[[#This Row],[HH Trabalhado]]/MIP_4[[#This Row],[HH disponível]]</f>
        <v>0.79303278688524614</v>
      </c>
      <c r="AC473" s="37" t="str">
        <f>LEFT(MIP_4[[#This Row],[Equipe]], SEARCH("/",MIP_4[[#This Row],[Equipe]],1)-1)</f>
        <v xml:space="preserve">ADEMÁRIO </v>
      </c>
      <c r="AD473" s="37" t="str">
        <f>RIGHT(MIP_4[[#This Row],[Equipe]], LEN(MIP_4[[#This Row],[Equipe]])-SEARCH("/",MIP_4[[#This Row],[Equipe]],1))</f>
        <v xml:space="preserve"> RONALDO</v>
      </c>
      <c r="AE473" s="44">
        <f>COUNTIFS('[1]Tempo parado'!G:G,"&gt;="&amp;MIP_4[[#This Row],[S.B Sitrack]],'[1]Tempo parado'!H:H,"&lt;="&amp;MIP_4[[#This Row],[C.B Sitrack]],'[1]Tempo parado'!A:A,MIP_4[[#This Row],[Placa]])</f>
        <v>0</v>
      </c>
      <c r="AF473" s="36"/>
      <c r="AG473" s="35"/>
      <c r="AH473" s="34"/>
      <c r="AI473" s="34"/>
      <c r="AJ47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7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7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73" s="32" t="str">
        <f>IFERROR(MIP_4[[#This Row],[Tempo parado]]/(MIP_4[[#This Row],[C.B Sitrack]]-MIP_4[[#This Row],[S.B Sitrack]]),"")</f>
        <v/>
      </c>
      <c r="AN473" s="30"/>
      <c r="AO473" s="44">
        <f>IF(AND(MIP_4[Exc]=0,MIP_4[Previsto / Realizado]="Realizado"),MIP_4[Sem],0)</f>
        <v>35</v>
      </c>
      <c r="AP473" s="29">
        <f>IF(AND(MIP_4[Exc]=0,MIP_4[Previsto / Realizado]="Realizado",ISBLANK(MIP_4[[#This Row],[S.B Sitrack]])=FALSE,ISBLANK(MIP_4[[#This Row],[C.B Sitrack]])=FALSE),MIP_4[Sem],0)</f>
        <v>0</v>
      </c>
    </row>
    <row r="474" spans="1:42" ht="15.75" x14ac:dyDescent="0.25">
      <c r="A474" s="44">
        <f>WEEKNUM(MIP_4[[#This Row],[Data]])</f>
        <v>36</v>
      </c>
      <c r="B474" s="45">
        <v>42981</v>
      </c>
      <c r="C474" s="45"/>
      <c r="D474" s="35" t="s">
        <v>19</v>
      </c>
      <c r="E474" s="35" t="s">
        <v>5</v>
      </c>
      <c r="F474" s="35"/>
      <c r="G474" s="44">
        <v>2</v>
      </c>
      <c r="H474" s="44">
        <v>1</v>
      </c>
      <c r="I474" s="44">
        <v>1</v>
      </c>
      <c r="J474" s="44">
        <v>1</v>
      </c>
      <c r="K474" s="44">
        <v>5</v>
      </c>
      <c r="L474" s="43">
        <v>0.625</v>
      </c>
      <c r="M474" s="43">
        <v>0.64583333333333337</v>
      </c>
      <c r="N474" s="43">
        <f>1+18/24/60</f>
        <v>1.0125</v>
      </c>
      <c r="O474" s="43">
        <f>1+48/24/60</f>
        <v>1.0333333333333334</v>
      </c>
      <c r="P474" s="39"/>
      <c r="Q474" s="42"/>
      <c r="R474" s="29">
        <f>MIP_4[[#This Row],[PT-1]]+MIP_4[[#This Row],[PT-2]]*2+MIP_4[[#This Row],[PT-3]]*3+MIP_4[[#This Row],[PT &gt; 3 Pontos]]</f>
        <v>11</v>
      </c>
      <c r="S47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47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474" s="41">
        <f ca="1">MIP_4[[#This Row],[Eficiência]]</f>
        <v>0.71681954680897964</v>
      </c>
      <c r="V47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74" s="39">
        <f>IF(MIP_4[[#This Row],[P.S]]-MIP_4[[#This Row],[P.E]]&lt;0,1+MIP_4[[#This Row],[P.S]]-MIP_4[[#This Row],[P.E]]-1/24,MIP_4[[#This Row],[P.S]]-MIP_4[[#This Row],[P.E]]-1/24)</f>
        <v>0.36666666666666675</v>
      </c>
      <c r="X474" s="39">
        <f ca="1">MIP_4[[#This Row],[PT-1]]*$S$3+MIP_4[[#This Row],[PT-2]]*$T$3+MIP_4[[#This Row],[PT-3]]*$U$3+MIP_4[[#This Row],[PT &gt; 3 Pontos]]*$V$3</f>
        <v>0.2329663527129183</v>
      </c>
      <c r="Y474" s="39">
        <f>MIP_4[[#This Row],[HH disponível]]-MIP_4[[#This Row],[HH AC TOT]]</f>
        <v>0.3249999999999999</v>
      </c>
      <c r="Z474" s="38">
        <f ca="1">MIP_4[[#This Row],[HH Produtivo
Total]]/MIP_4[[#This Row],[HH Trabalhado]]</f>
        <v>0.71681954680897964</v>
      </c>
      <c r="AA474" s="38">
        <f ca="1">MIP_4[[#This Row],[HH Produtivo
Total]]/MIP_4[[#This Row],[HH disponível]]</f>
        <v>0.63536278012614067</v>
      </c>
      <c r="AB474" s="38">
        <f>MIP_4[[#This Row],[HH Trabalhado]]/MIP_4[[#This Row],[HH disponível]]</f>
        <v>0.88636363636363591</v>
      </c>
      <c r="AC474" s="37" t="str">
        <f>LEFT(MIP_4[[#This Row],[Equipe]], SEARCH("/",MIP_4[[#This Row],[Equipe]],1)-1)</f>
        <v xml:space="preserve">ADEMÁRIO </v>
      </c>
      <c r="AD474" s="37" t="str">
        <f>RIGHT(MIP_4[[#This Row],[Equipe]], LEN(MIP_4[[#This Row],[Equipe]])-SEARCH("/",MIP_4[[#This Row],[Equipe]],1))</f>
        <v xml:space="preserve"> RONALDO</v>
      </c>
      <c r="AE474" s="44">
        <f>COUNTIFS('[1]Tempo parado'!G:G,"&gt;="&amp;MIP_4[[#This Row],[S.B Sitrack]],'[1]Tempo parado'!H:H,"&lt;="&amp;MIP_4[[#This Row],[C.B Sitrack]],'[1]Tempo parado'!A:A,MIP_4[[#This Row],[Placa]])</f>
        <v>0</v>
      </c>
      <c r="AF474" s="36"/>
      <c r="AG474" s="35"/>
      <c r="AH474" s="34"/>
      <c r="AI474" s="34"/>
      <c r="AJ47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7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7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74" s="32" t="str">
        <f>IFERROR(MIP_4[[#This Row],[Tempo parado]]/(MIP_4[[#This Row],[C.B Sitrack]]-MIP_4[[#This Row],[S.B Sitrack]]),"")</f>
        <v/>
      </c>
      <c r="AN474" s="30"/>
      <c r="AO474" s="44">
        <f>IF(AND(MIP_4[Exc]=0,MIP_4[Previsto / Realizado]="Realizado"),MIP_4[Sem],0)</f>
        <v>0</v>
      </c>
      <c r="AP474" s="29">
        <f>IF(AND(MIP_4[Exc]=0,MIP_4[Previsto / Realizado]="Realizado",ISBLANK(MIP_4[[#This Row],[S.B Sitrack]])=FALSE,ISBLANK(MIP_4[[#This Row],[C.B Sitrack]])=FALSE),MIP_4[Sem],0)</f>
        <v>0</v>
      </c>
    </row>
    <row r="475" spans="1:42" ht="15.75" x14ac:dyDescent="0.25">
      <c r="A475" s="44">
        <f>WEEKNUM(MIP_4[[#This Row],[Data]])</f>
        <v>36</v>
      </c>
      <c r="B475" s="45">
        <v>42981</v>
      </c>
      <c r="C475" s="45"/>
      <c r="D475" s="35" t="s">
        <v>19</v>
      </c>
      <c r="E475" s="35" t="s">
        <v>2</v>
      </c>
      <c r="F475" s="35"/>
      <c r="G475" s="44">
        <v>2</v>
      </c>
      <c r="H475" s="44">
        <v>1</v>
      </c>
      <c r="I475" s="44">
        <v>1</v>
      </c>
      <c r="J475" s="44">
        <v>1</v>
      </c>
      <c r="K475" s="44">
        <v>5</v>
      </c>
      <c r="L475" s="43">
        <v>0.65277777777777779</v>
      </c>
      <c r="M475" s="43">
        <v>0.6791666666666667</v>
      </c>
      <c r="N475" s="43">
        <v>0.98263888888888884</v>
      </c>
      <c r="O475" s="43">
        <f>1+54/24/60</f>
        <v>1.0375000000000001</v>
      </c>
      <c r="P475" s="39"/>
      <c r="Q475" s="42" t="s">
        <v>256</v>
      </c>
      <c r="R475" s="29">
        <f>MIP_4[[#This Row],[PT-1]]+MIP_4[[#This Row],[PT-2]]*2+MIP_4[[#This Row],[PT-3]]*3+MIP_4[[#This Row],[PT &gt; 3 Pontos]]</f>
        <v>11</v>
      </c>
      <c r="S47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8.1250000000000155E-2</v>
      </c>
      <c r="T47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8.1250000000000155E-2</v>
      </c>
      <c r="U475" s="41">
        <f ca="1">MIP_4[[#This Row],[Eficiência]]</f>
        <v>0.88984495465942304</v>
      </c>
      <c r="V47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75" s="39">
        <f>IF(MIP_4[[#This Row],[P.S]]-MIP_4[[#This Row],[P.E]]&lt;0,1+MIP_4[[#This Row],[P.S]]-MIP_4[[#This Row],[P.E]]-1/24,MIP_4[[#This Row],[P.S]]-MIP_4[[#This Row],[P.E]]-1/24)</f>
        <v>0.34305555555555561</v>
      </c>
      <c r="X475" s="39">
        <f ca="1">MIP_4[[#This Row],[PT-1]]*$S$3+MIP_4[[#This Row],[PT-2]]*$T$3+MIP_4[[#This Row],[PT-3]]*$U$3+MIP_4[[#This Row],[PT &gt; 3 Pontos]]*$V$3</f>
        <v>0.2329663527129183</v>
      </c>
      <c r="Y475" s="39">
        <f>MIP_4[[#This Row],[HH disponível]]-MIP_4[[#This Row],[HH AC TOT]]</f>
        <v>0.26180555555555546</v>
      </c>
      <c r="Z475" s="38">
        <f ca="1">MIP_4[[#This Row],[HH Produtivo
Total]]/MIP_4[[#This Row],[HH Trabalhado]]</f>
        <v>0.88984495465942304</v>
      </c>
      <c r="AA475" s="38">
        <f ca="1">MIP_4[[#This Row],[HH Produtivo
Total]]/MIP_4[[#This Row],[HH disponível]]</f>
        <v>0.6790922022400856</v>
      </c>
      <c r="AB475" s="38">
        <f>MIP_4[[#This Row],[HH Trabalhado]]/MIP_4[[#This Row],[HH disponível]]</f>
        <v>0.7631578947368417</v>
      </c>
      <c r="AC475" s="37" t="str">
        <f>LEFT(MIP_4[[#This Row],[Equipe]], SEARCH("/",MIP_4[[#This Row],[Equipe]],1)-1)</f>
        <v xml:space="preserve">ADEMÁRIO </v>
      </c>
      <c r="AD475" s="37" t="str">
        <f>RIGHT(MIP_4[[#This Row],[Equipe]], LEN(MIP_4[[#This Row],[Equipe]])-SEARCH("/",MIP_4[[#This Row],[Equipe]],1))</f>
        <v xml:space="preserve"> RONALDO</v>
      </c>
      <c r="AE475" s="44">
        <f>COUNTIFS('[1]Tempo parado'!G:G,"&gt;="&amp;MIP_4[[#This Row],[S.B Sitrack]],'[1]Tempo parado'!H:H,"&lt;="&amp;MIP_4[[#This Row],[C.B Sitrack]],'[1]Tempo parado'!A:A,MIP_4[[#This Row],[Placa]])</f>
        <v>0</v>
      </c>
      <c r="AF475" s="36"/>
      <c r="AG475" s="35"/>
      <c r="AH475" s="34"/>
      <c r="AI475" s="34"/>
      <c r="AJ47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7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7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75" s="32" t="str">
        <f>IFERROR(MIP_4[[#This Row],[Tempo parado]]/(MIP_4[[#This Row],[C.B Sitrack]]-MIP_4[[#This Row],[S.B Sitrack]]),"")</f>
        <v/>
      </c>
      <c r="AN475" s="30"/>
      <c r="AO475" s="44">
        <f>IF(AND(MIP_4[Exc]=0,MIP_4[Previsto / Realizado]="Realizado"),MIP_4[Sem],0)</f>
        <v>36</v>
      </c>
      <c r="AP475" s="29">
        <f>IF(AND(MIP_4[Exc]=0,MIP_4[Previsto / Realizado]="Realizado",ISBLANK(MIP_4[[#This Row],[S.B Sitrack]])=FALSE,ISBLANK(MIP_4[[#This Row],[C.B Sitrack]])=FALSE),MIP_4[Sem],0)</f>
        <v>0</v>
      </c>
    </row>
    <row r="476" spans="1:42" ht="15.75" x14ac:dyDescent="0.25">
      <c r="A476" s="44">
        <f>WEEKNUM(MIP_4[[#This Row],[Data]])</f>
        <v>36</v>
      </c>
      <c r="B476" s="45">
        <v>42981</v>
      </c>
      <c r="C476" s="45"/>
      <c r="D476" s="35" t="s">
        <v>10</v>
      </c>
      <c r="E476" s="35" t="s">
        <v>5</v>
      </c>
      <c r="F476" s="35"/>
      <c r="G476" s="44">
        <v>2</v>
      </c>
      <c r="H476" s="44">
        <v>0</v>
      </c>
      <c r="I476" s="44">
        <v>0</v>
      </c>
      <c r="J476" s="44">
        <v>0</v>
      </c>
      <c r="K476" s="44">
        <v>0</v>
      </c>
      <c r="L476" s="43">
        <v>0.25</v>
      </c>
      <c r="M476" s="43">
        <v>0.27083333333333331</v>
      </c>
      <c r="N476" s="43">
        <v>0.63750000000000007</v>
      </c>
      <c r="O476" s="43">
        <v>0.65833333333333333</v>
      </c>
      <c r="P476" s="39"/>
      <c r="Q476" s="42"/>
      <c r="R476" s="29">
        <f>MIP_4[[#This Row],[PT-1]]+MIP_4[[#This Row],[PT-2]]*2+MIP_4[[#This Row],[PT-3]]*3+MIP_4[[#This Row],[PT &gt; 3 Pontos]]</f>
        <v>0</v>
      </c>
      <c r="S47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47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476" s="41">
        <f ca="1">MIP_4[[#This Row],[Eficiência]]</f>
        <v>0</v>
      </c>
      <c r="V47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76" s="39">
        <f>IF(MIP_4[[#This Row],[P.S]]-MIP_4[[#This Row],[P.E]]&lt;0,1+MIP_4[[#This Row],[P.S]]-MIP_4[[#This Row],[P.E]]-1/24,MIP_4[[#This Row],[P.S]]-MIP_4[[#This Row],[P.E]]-1/24)</f>
        <v>0.36666666666666664</v>
      </c>
      <c r="X476" s="39">
        <f ca="1">MIP_4[[#This Row],[PT-1]]*$S$3+MIP_4[[#This Row],[PT-2]]*$T$3+MIP_4[[#This Row],[PT-3]]*$U$3+MIP_4[[#This Row],[PT &gt; 3 Pontos]]*$V$3</f>
        <v>0</v>
      </c>
      <c r="Y476" s="39">
        <f>MIP_4[[#This Row],[HH disponível]]-MIP_4[[#This Row],[HH AC TOT]]</f>
        <v>0.32500000000000007</v>
      </c>
      <c r="Z476" s="38">
        <f ca="1">MIP_4[[#This Row],[HH Produtivo
Total]]/MIP_4[[#This Row],[HH Trabalhado]]</f>
        <v>0</v>
      </c>
      <c r="AA476" s="38">
        <f ca="1">MIP_4[[#This Row],[HH Produtivo
Total]]/MIP_4[[#This Row],[HH disponível]]</f>
        <v>0</v>
      </c>
      <c r="AB476" s="38">
        <f>MIP_4[[#This Row],[HH Trabalhado]]/MIP_4[[#This Row],[HH disponível]]</f>
        <v>0.88636363636363658</v>
      </c>
      <c r="AC476" s="37" t="str">
        <f>LEFT(MIP_4[[#This Row],[Equipe]], SEARCH("/",MIP_4[[#This Row],[Equipe]],1)-1)</f>
        <v xml:space="preserve">JOILSON </v>
      </c>
      <c r="AD476" s="37" t="str">
        <f>RIGHT(MIP_4[[#This Row],[Equipe]], LEN(MIP_4[[#This Row],[Equipe]])-SEARCH("/",MIP_4[[#This Row],[Equipe]],1))</f>
        <v xml:space="preserve"> VALDEI</v>
      </c>
      <c r="AE476" s="44">
        <f>COUNTIFS('[1]Tempo parado'!G:G,"&gt;="&amp;MIP_4[[#This Row],[S.B Sitrack]],'[1]Tempo parado'!H:H,"&lt;="&amp;MIP_4[[#This Row],[C.B Sitrack]],'[1]Tempo parado'!A:A,MIP_4[[#This Row],[Placa]])</f>
        <v>0</v>
      </c>
      <c r="AF476" s="36"/>
      <c r="AG476" s="35"/>
      <c r="AH476" s="34"/>
      <c r="AI476" s="34"/>
      <c r="AJ47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7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7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76" s="32" t="str">
        <f>IFERROR(MIP_4[[#This Row],[Tempo parado]]/(MIP_4[[#This Row],[C.B Sitrack]]-MIP_4[[#This Row],[S.B Sitrack]]),"")</f>
        <v/>
      </c>
      <c r="AN476" s="30"/>
      <c r="AO476" s="44">
        <f>IF(AND(MIP_4[Exc]=0,MIP_4[Previsto / Realizado]="Realizado"),MIP_4[Sem],0)</f>
        <v>0</v>
      </c>
      <c r="AP476" s="29">
        <f>IF(AND(MIP_4[Exc]=0,MIP_4[Previsto / Realizado]="Realizado",ISBLANK(MIP_4[[#This Row],[S.B Sitrack]])=FALSE,ISBLANK(MIP_4[[#This Row],[C.B Sitrack]])=FALSE),MIP_4[Sem],0)</f>
        <v>0</v>
      </c>
    </row>
    <row r="477" spans="1:42" ht="15.75" x14ac:dyDescent="0.25">
      <c r="A477" s="44">
        <f>WEEKNUM(MIP_4[[#This Row],[Data]])</f>
        <v>36</v>
      </c>
      <c r="B477" s="45">
        <v>42981</v>
      </c>
      <c r="C477" s="45"/>
      <c r="D477" s="35" t="s">
        <v>10</v>
      </c>
      <c r="E477" s="35" t="s">
        <v>2</v>
      </c>
      <c r="F477" s="35"/>
      <c r="G477" s="44">
        <v>2</v>
      </c>
      <c r="H477" s="44">
        <v>8</v>
      </c>
      <c r="I477" s="44">
        <v>2</v>
      </c>
      <c r="J477" s="44">
        <v>1</v>
      </c>
      <c r="K477" s="44">
        <v>0</v>
      </c>
      <c r="L477" s="43">
        <v>0.24930555555555556</v>
      </c>
      <c r="M477" s="43">
        <v>0.2986111111111111</v>
      </c>
      <c r="N477" s="43">
        <v>0.65972222222222221</v>
      </c>
      <c r="O477" s="43">
        <v>0.66041666666666665</v>
      </c>
      <c r="P477" s="39"/>
      <c r="Q477" s="42"/>
      <c r="R477" s="29">
        <f>MIP_4[[#This Row],[PT-1]]+MIP_4[[#This Row],[PT-2]]*2+MIP_4[[#This Row],[PT-3]]*3+MIP_4[[#This Row],[PT &gt; 3 Pontos]]</f>
        <v>15</v>
      </c>
      <c r="S47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4.9999999999999989E-2</v>
      </c>
      <c r="T47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4.9999999999999989E-2</v>
      </c>
      <c r="U477" s="41">
        <f ca="1">MIP_4[[#This Row],[Eficiência]]</f>
        <v>1.0982067186515434</v>
      </c>
      <c r="V47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77" s="39">
        <f>IF(MIP_4[[#This Row],[P.S]]-MIP_4[[#This Row],[P.E]]&lt;0,1+MIP_4[[#This Row],[P.S]]-MIP_4[[#This Row],[P.E]]-1/24,MIP_4[[#This Row],[P.S]]-MIP_4[[#This Row],[P.E]]-1/24)</f>
        <v>0.36944444444444441</v>
      </c>
      <c r="X477" s="39">
        <f ca="1">MIP_4[[#This Row],[PT-1]]*$S$3+MIP_4[[#This Row],[PT-2]]*$T$3+MIP_4[[#This Row],[PT-3]]*$U$3+MIP_4[[#This Row],[PT &gt; 3 Pontos]]*$V$3</f>
        <v>0.35081603512479859</v>
      </c>
      <c r="Y477" s="39">
        <f>MIP_4[[#This Row],[HH disponível]]-MIP_4[[#This Row],[HH AC TOT]]</f>
        <v>0.31944444444444442</v>
      </c>
      <c r="Z477" s="38">
        <f ca="1">MIP_4[[#This Row],[HH Produtivo
Total]]/MIP_4[[#This Row],[HH Trabalhado]]</f>
        <v>1.0982067186515434</v>
      </c>
      <c r="AA477" s="38">
        <f ca="1">MIP_4[[#This Row],[HH Produtivo
Total]]/MIP_4[[#This Row],[HH disponível]]</f>
        <v>0.94957723793178572</v>
      </c>
      <c r="AB477" s="38">
        <f>MIP_4[[#This Row],[HH Trabalhado]]/MIP_4[[#This Row],[HH disponível]]</f>
        <v>0.86466165413533835</v>
      </c>
      <c r="AC477" s="37" t="str">
        <f>LEFT(MIP_4[[#This Row],[Equipe]], SEARCH("/",MIP_4[[#This Row],[Equipe]],1)-1)</f>
        <v xml:space="preserve">JOILSON </v>
      </c>
      <c r="AD477" s="37" t="str">
        <f>RIGHT(MIP_4[[#This Row],[Equipe]], LEN(MIP_4[[#This Row],[Equipe]])-SEARCH("/",MIP_4[[#This Row],[Equipe]],1))</f>
        <v xml:space="preserve"> VALDEI</v>
      </c>
      <c r="AE477" s="44">
        <f>COUNTIFS('[1]Tempo parado'!G:G,"&gt;="&amp;MIP_4[[#This Row],[S.B Sitrack]],'[1]Tempo parado'!H:H,"&lt;="&amp;MIP_4[[#This Row],[C.B Sitrack]],'[1]Tempo parado'!A:A,MIP_4[[#This Row],[Placa]])</f>
        <v>0</v>
      </c>
      <c r="AF477" s="36"/>
      <c r="AG477" s="35"/>
      <c r="AH477" s="34"/>
      <c r="AI477" s="34"/>
      <c r="AJ47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7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7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77" s="32" t="str">
        <f>IFERROR(MIP_4[[#This Row],[Tempo parado]]/(MIP_4[[#This Row],[C.B Sitrack]]-MIP_4[[#This Row],[S.B Sitrack]]),"")</f>
        <v/>
      </c>
      <c r="AN477" s="30"/>
      <c r="AO477" s="44">
        <f>IF(AND(MIP_4[Exc]=0,MIP_4[Previsto / Realizado]="Realizado"),MIP_4[Sem],0)</f>
        <v>36</v>
      </c>
      <c r="AP477" s="29">
        <f>IF(AND(MIP_4[Exc]=0,MIP_4[Previsto / Realizado]="Realizado",ISBLANK(MIP_4[[#This Row],[S.B Sitrack]])=FALSE,ISBLANK(MIP_4[[#This Row],[C.B Sitrack]])=FALSE),MIP_4[Sem],0)</f>
        <v>0</v>
      </c>
    </row>
    <row r="478" spans="1:42" ht="15.75" x14ac:dyDescent="0.25">
      <c r="A478" s="44">
        <f>WEEKNUM(MIP_4[[#This Row],[Data]])</f>
        <v>36</v>
      </c>
      <c r="B478" s="45">
        <v>42982</v>
      </c>
      <c r="C478" s="45"/>
      <c r="D478" s="35" t="s">
        <v>3</v>
      </c>
      <c r="E478" s="35" t="s">
        <v>5</v>
      </c>
      <c r="F478" s="35"/>
      <c r="G478" s="44">
        <v>2</v>
      </c>
      <c r="H478" s="44">
        <v>1</v>
      </c>
      <c r="I478" s="44">
        <v>1</v>
      </c>
      <c r="J478" s="44">
        <v>0</v>
      </c>
      <c r="K478" s="44">
        <v>9</v>
      </c>
      <c r="L478" s="43">
        <v>0.625</v>
      </c>
      <c r="M478" s="43">
        <v>0.64583333333333337</v>
      </c>
      <c r="N478" s="43">
        <f>1+18/24/60</f>
        <v>1.0125</v>
      </c>
      <c r="O478" s="43">
        <f>1+48/24/60</f>
        <v>1.0333333333333334</v>
      </c>
      <c r="P478" s="39"/>
      <c r="Q478" s="42"/>
      <c r="R478" s="29">
        <f>MIP_4[[#This Row],[PT-1]]+MIP_4[[#This Row],[PT-2]]*2+MIP_4[[#This Row],[PT-3]]*3+MIP_4[[#This Row],[PT &gt; 3 Pontos]]</f>
        <v>12</v>
      </c>
      <c r="S47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47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478" s="41">
        <f ca="1">MIP_4[[#This Row],[Eficiência]]</f>
        <v>0.77282066765762469</v>
      </c>
      <c r="V47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78" s="39">
        <f>IF(MIP_4[[#This Row],[P.S]]-MIP_4[[#This Row],[P.E]]&lt;0,1+MIP_4[[#This Row],[P.S]]-MIP_4[[#This Row],[P.E]]-1/24,MIP_4[[#This Row],[P.S]]-MIP_4[[#This Row],[P.E]]-1/24)</f>
        <v>0.36666666666666675</v>
      </c>
      <c r="X478" s="39">
        <f ca="1">MIP_4[[#This Row],[PT-1]]*$S$3+MIP_4[[#This Row],[PT-2]]*$T$3+MIP_4[[#This Row],[PT-3]]*$U$3+MIP_4[[#This Row],[PT &gt; 3 Pontos]]*$V$3</f>
        <v>0.25116671698872794</v>
      </c>
      <c r="Y478" s="39">
        <f>MIP_4[[#This Row],[HH disponível]]-MIP_4[[#This Row],[HH AC TOT]]</f>
        <v>0.3249999999999999</v>
      </c>
      <c r="Z478" s="38">
        <f ca="1">MIP_4[[#This Row],[HH Produtivo
Total]]/MIP_4[[#This Row],[HH Trabalhado]]</f>
        <v>0.77282066765762469</v>
      </c>
      <c r="AA478" s="38">
        <f ca="1">MIP_4[[#This Row],[HH Produtivo
Total]]/MIP_4[[#This Row],[HH disponível]]</f>
        <v>0.68500013724198516</v>
      </c>
      <c r="AB478" s="38">
        <f>MIP_4[[#This Row],[HH Trabalhado]]/MIP_4[[#This Row],[HH disponível]]</f>
        <v>0.88636363636363591</v>
      </c>
      <c r="AC478" s="37" t="str">
        <f>LEFT(MIP_4[[#This Row],[Equipe]], SEARCH("/",MIP_4[[#This Row],[Equipe]],1)-1)</f>
        <v xml:space="preserve">EDILTON </v>
      </c>
      <c r="AD478" s="37" t="str">
        <f>RIGHT(MIP_4[[#This Row],[Equipe]], LEN(MIP_4[[#This Row],[Equipe]])-SEARCH("/",MIP_4[[#This Row],[Equipe]],1))</f>
        <v xml:space="preserve"> GECIVALDO</v>
      </c>
      <c r="AE478" s="44">
        <f>COUNTIFS('[1]Tempo parado'!G:G,"&gt;="&amp;MIP_4[[#This Row],[S.B Sitrack]],'[1]Tempo parado'!H:H,"&lt;="&amp;MIP_4[[#This Row],[C.B Sitrack]],'[1]Tempo parado'!A:A,MIP_4[[#This Row],[Placa]])</f>
        <v>0</v>
      </c>
      <c r="AF478" s="36"/>
      <c r="AG478" s="35"/>
      <c r="AH478" s="34"/>
      <c r="AI478" s="34"/>
      <c r="AJ47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7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7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78" s="32" t="str">
        <f>IFERROR(MIP_4[[#This Row],[Tempo parado]]/(MIP_4[[#This Row],[C.B Sitrack]]-MIP_4[[#This Row],[S.B Sitrack]]),"")</f>
        <v/>
      </c>
      <c r="AN478" s="30"/>
      <c r="AO478" s="44">
        <f>IF(AND(MIP_4[Exc]=0,MIP_4[Previsto / Realizado]="Realizado"),MIP_4[Sem],0)</f>
        <v>0</v>
      </c>
      <c r="AP478" s="29">
        <f>IF(AND(MIP_4[Exc]=0,MIP_4[Previsto / Realizado]="Realizado",ISBLANK(MIP_4[[#This Row],[S.B Sitrack]])=FALSE,ISBLANK(MIP_4[[#This Row],[C.B Sitrack]])=FALSE),MIP_4[Sem],0)</f>
        <v>0</v>
      </c>
    </row>
    <row r="479" spans="1:42" ht="15.75" x14ac:dyDescent="0.25">
      <c r="A479" s="44">
        <f>WEEKNUM(MIP_4[[#This Row],[Data]])</f>
        <v>36</v>
      </c>
      <c r="B479" s="45">
        <v>42982</v>
      </c>
      <c r="C479" s="45"/>
      <c r="D479" s="35" t="s">
        <v>3</v>
      </c>
      <c r="E479" s="35" t="s">
        <v>2</v>
      </c>
      <c r="F479" s="35"/>
      <c r="G479" s="44">
        <v>2</v>
      </c>
      <c r="H479" s="44">
        <v>1</v>
      </c>
      <c r="I479" s="44">
        <v>3</v>
      </c>
      <c r="J479" s="44">
        <v>0</v>
      </c>
      <c r="K479" s="44">
        <v>9</v>
      </c>
      <c r="L479" s="43">
        <v>0.61041666666666672</v>
      </c>
      <c r="M479" s="43">
        <v>0.65763888888888888</v>
      </c>
      <c r="N479" s="43">
        <f>1+9/24/60</f>
        <v>1.0062500000000001</v>
      </c>
      <c r="O479" s="43">
        <f>1+48/24/60</f>
        <v>1.0333333333333334</v>
      </c>
      <c r="P479" s="39"/>
      <c r="Q479" s="42" t="s">
        <v>100</v>
      </c>
      <c r="R479" s="29">
        <f>MIP_4[[#This Row],[PT-1]]+MIP_4[[#This Row],[PT-2]]*2+MIP_4[[#This Row],[PT-3]]*3+MIP_4[[#This Row],[PT &gt; 3 Pontos]]</f>
        <v>16</v>
      </c>
      <c r="S47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7.4305555555555514E-2</v>
      </c>
      <c r="T47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7.4305555555555514E-2</v>
      </c>
      <c r="U479" s="41">
        <f ca="1">MIP_4[[#This Row],[Eficiência]]</f>
        <v>1.1043830742999541</v>
      </c>
      <c r="V47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79" s="39">
        <f>IF(MIP_4[[#This Row],[P.S]]-MIP_4[[#This Row],[P.E]]&lt;0,1+MIP_4[[#This Row],[P.S]]-MIP_4[[#This Row],[P.E]]-1/24,MIP_4[[#This Row],[P.S]]-MIP_4[[#This Row],[P.E]]-1/24)</f>
        <v>0.38125000000000003</v>
      </c>
      <c r="X479" s="39">
        <f ca="1">MIP_4[[#This Row],[PT-1]]*$S$3+MIP_4[[#This Row],[PT-2]]*$T$3+MIP_4[[#This Row],[PT-3]]*$U$3+MIP_4[[#This Row],[PT &gt; 3 Pontos]]*$V$3</f>
        <v>0.3389842491948471</v>
      </c>
      <c r="Y479" s="39">
        <f>MIP_4[[#This Row],[HH disponível]]-MIP_4[[#This Row],[HH AC TOT]]</f>
        <v>0.30694444444444452</v>
      </c>
      <c r="Z479" s="38">
        <f ca="1">MIP_4[[#This Row],[HH Produtivo
Total]]/MIP_4[[#This Row],[HH Trabalhado]]</f>
        <v>1.1043830742999541</v>
      </c>
      <c r="AA479" s="38">
        <f ca="1">MIP_4[[#This Row],[HH Produtivo
Total]]/MIP_4[[#This Row],[HH disponível]]</f>
        <v>0.88913901428156605</v>
      </c>
      <c r="AB479" s="38">
        <f>MIP_4[[#This Row],[HH Trabalhado]]/MIP_4[[#This Row],[HH disponível]]</f>
        <v>0.80510018214936263</v>
      </c>
      <c r="AC479" s="37" t="str">
        <f>LEFT(MIP_4[[#This Row],[Equipe]], SEARCH("/",MIP_4[[#This Row],[Equipe]],1)-1)</f>
        <v xml:space="preserve">EDILTON </v>
      </c>
      <c r="AD479" s="37" t="str">
        <f>RIGHT(MIP_4[[#This Row],[Equipe]], LEN(MIP_4[[#This Row],[Equipe]])-SEARCH("/",MIP_4[[#This Row],[Equipe]],1))</f>
        <v xml:space="preserve"> GECIVALDO</v>
      </c>
      <c r="AE479" s="44">
        <f>COUNTIFS('[1]Tempo parado'!G:G,"&gt;="&amp;MIP_4[[#This Row],[S.B Sitrack]],'[1]Tempo parado'!H:H,"&lt;="&amp;MIP_4[[#This Row],[C.B Sitrack]],'[1]Tempo parado'!A:A,MIP_4[[#This Row],[Placa]])</f>
        <v>0</v>
      </c>
      <c r="AF479" s="36"/>
      <c r="AG479" s="35"/>
      <c r="AH479" s="34"/>
      <c r="AI479" s="34"/>
      <c r="AJ47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7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7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79" s="32" t="str">
        <f>IFERROR(MIP_4[[#This Row],[Tempo parado]]/(MIP_4[[#This Row],[C.B Sitrack]]-MIP_4[[#This Row],[S.B Sitrack]]),"")</f>
        <v/>
      </c>
      <c r="AN479" s="30"/>
      <c r="AO479" s="44">
        <f>IF(AND(MIP_4[Exc]=0,MIP_4[Previsto / Realizado]="Realizado"),MIP_4[Sem],0)</f>
        <v>36</v>
      </c>
      <c r="AP479" s="29">
        <f>IF(AND(MIP_4[Exc]=0,MIP_4[Previsto / Realizado]="Realizado",ISBLANK(MIP_4[[#This Row],[S.B Sitrack]])=FALSE,ISBLANK(MIP_4[[#This Row],[C.B Sitrack]])=FALSE),MIP_4[Sem],0)</f>
        <v>0</v>
      </c>
    </row>
    <row r="480" spans="1:42" ht="15.75" x14ac:dyDescent="0.25">
      <c r="A480" s="44">
        <f>WEEKNUM(MIP_4[[#This Row],[Data]])</f>
        <v>36</v>
      </c>
      <c r="B480" s="45">
        <v>42982</v>
      </c>
      <c r="C480" s="45"/>
      <c r="D480" s="35" t="s">
        <v>7</v>
      </c>
      <c r="E480" s="35" t="s">
        <v>5</v>
      </c>
      <c r="F480" s="35"/>
      <c r="G480" s="44">
        <v>2</v>
      </c>
      <c r="H480" s="44">
        <v>1</v>
      </c>
      <c r="I480" s="44">
        <v>1</v>
      </c>
      <c r="J480" s="44">
        <v>0</v>
      </c>
      <c r="K480" s="44">
        <v>0</v>
      </c>
      <c r="L480" s="43">
        <v>0.25</v>
      </c>
      <c r="M480" s="43">
        <v>0.27083333333333331</v>
      </c>
      <c r="N480" s="43">
        <v>0.63750000000000007</v>
      </c>
      <c r="O480" s="43">
        <v>0.65833333333333333</v>
      </c>
      <c r="P480" s="39"/>
      <c r="Q480" s="42" t="s">
        <v>255</v>
      </c>
      <c r="R480" s="29">
        <f>MIP_4[[#This Row],[PT-1]]+MIP_4[[#This Row],[PT-2]]*2+MIP_4[[#This Row],[PT-3]]*3+MIP_4[[#This Row],[PT &gt; 3 Pontos]]</f>
        <v>3</v>
      </c>
      <c r="S48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48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480" s="41">
        <f ca="1">MIP_4[[#This Row],[Eficiência]]</f>
        <v>0.21210652019075926</v>
      </c>
      <c r="V48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80" s="39">
        <f>IF(MIP_4[[#This Row],[P.S]]-MIP_4[[#This Row],[P.E]]&lt;0,1+MIP_4[[#This Row],[P.S]]-MIP_4[[#This Row],[P.E]]-1/24,MIP_4[[#This Row],[P.S]]-MIP_4[[#This Row],[P.E]]-1/24)</f>
        <v>0.36666666666666664</v>
      </c>
      <c r="X480" s="39">
        <f ca="1">MIP_4[[#This Row],[PT-1]]*$S$3+MIP_4[[#This Row],[PT-2]]*$T$3+MIP_4[[#This Row],[PT-3]]*$U$3+MIP_4[[#This Row],[PT &gt; 3 Pontos]]*$V$3</f>
        <v>6.8934619061996771E-2</v>
      </c>
      <c r="Y480" s="39">
        <f>MIP_4[[#This Row],[HH disponível]]-MIP_4[[#This Row],[HH AC TOT]]</f>
        <v>0.32500000000000007</v>
      </c>
      <c r="Z480" s="38">
        <f ca="1">MIP_4[[#This Row],[HH Produtivo
Total]]/MIP_4[[#This Row],[HH Trabalhado]]</f>
        <v>0.21210652019075926</v>
      </c>
      <c r="AA480" s="38">
        <f ca="1">MIP_4[[#This Row],[HH Produtivo
Total]]/MIP_4[[#This Row],[HH disponível]]</f>
        <v>0.18800350653271847</v>
      </c>
      <c r="AB480" s="38">
        <f>MIP_4[[#This Row],[HH Trabalhado]]/MIP_4[[#This Row],[HH disponível]]</f>
        <v>0.88636363636363658</v>
      </c>
      <c r="AC480" s="37" t="str">
        <f>LEFT(MIP_4[[#This Row],[Equipe]], SEARCH("/",MIP_4[[#This Row],[Equipe]],1)-1)</f>
        <v xml:space="preserve">ANDERSON </v>
      </c>
      <c r="AD480" s="37" t="str">
        <f>RIGHT(MIP_4[[#This Row],[Equipe]], LEN(MIP_4[[#This Row],[Equipe]])-SEARCH("/",MIP_4[[#This Row],[Equipe]],1))</f>
        <v xml:space="preserve"> MARCO</v>
      </c>
      <c r="AE480" s="44">
        <f>COUNTIFS('[1]Tempo parado'!G:G,"&gt;="&amp;MIP_4[[#This Row],[S.B Sitrack]],'[1]Tempo parado'!H:H,"&lt;="&amp;MIP_4[[#This Row],[C.B Sitrack]],'[1]Tempo parado'!A:A,MIP_4[[#This Row],[Placa]])</f>
        <v>0</v>
      </c>
      <c r="AF480" s="36"/>
      <c r="AG480" s="35"/>
      <c r="AH480" s="34"/>
      <c r="AI480" s="34"/>
      <c r="AJ48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8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8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80" s="32" t="str">
        <f>IFERROR(MIP_4[[#This Row],[Tempo parado]]/(MIP_4[[#This Row],[C.B Sitrack]]-MIP_4[[#This Row],[S.B Sitrack]]),"")</f>
        <v/>
      </c>
      <c r="AN480" s="30"/>
      <c r="AO480" s="44">
        <f>IF(AND(MIP_4[Exc]=0,MIP_4[Previsto / Realizado]="Realizado"),MIP_4[Sem],0)</f>
        <v>0</v>
      </c>
      <c r="AP480" s="29">
        <f>IF(AND(MIP_4[Exc]=0,MIP_4[Previsto / Realizado]="Realizado",ISBLANK(MIP_4[[#This Row],[S.B Sitrack]])=FALSE,ISBLANK(MIP_4[[#This Row],[C.B Sitrack]])=FALSE),MIP_4[Sem],0)</f>
        <v>0</v>
      </c>
    </row>
    <row r="481" spans="1:42" ht="15.75" x14ac:dyDescent="0.25">
      <c r="A481" s="44">
        <f>WEEKNUM(MIP_4[[#This Row],[Data]])</f>
        <v>36</v>
      </c>
      <c r="B481" s="45">
        <v>42982</v>
      </c>
      <c r="C481" s="45"/>
      <c r="D481" s="35" t="s">
        <v>7</v>
      </c>
      <c r="E481" s="35" t="s">
        <v>2</v>
      </c>
      <c r="F481" s="35"/>
      <c r="G481" s="44">
        <v>2</v>
      </c>
      <c r="H481" s="44">
        <v>1</v>
      </c>
      <c r="I481" s="44">
        <v>1</v>
      </c>
      <c r="J481" s="44">
        <v>1</v>
      </c>
      <c r="K481" s="44">
        <v>0</v>
      </c>
      <c r="L481" s="43">
        <v>0.26874999999999999</v>
      </c>
      <c r="M481" s="43">
        <v>0.28402777777777777</v>
      </c>
      <c r="N481" s="43">
        <v>0.60763888888888895</v>
      </c>
      <c r="O481" s="43">
        <v>0.65972222222222221</v>
      </c>
      <c r="P481" s="39">
        <v>0.1111111111111111</v>
      </c>
      <c r="Q481" s="42" t="s">
        <v>254</v>
      </c>
      <c r="R481" s="29">
        <f>MIP_4[[#This Row],[PT-1]]+MIP_4[[#This Row],[PT-2]]*2+MIP_4[[#This Row],[PT-3]]*3+MIP_4[[#This Row],[PT &gt; 3 Pontos]]</f>
        <v>6</v>
      </c>
      <c r="S48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0.17847222222222214</v>
      </c>
      <c r="T48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6.7361111111111038E-2</v>
      </c>
      <c r="U481" s="41">
        <f ca="1">MIP_4[[#This Row],[Eficiência]]</f>
        <v>0.77108077059031443</v>
      </c>
      <c r="V48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81" s="39">
        <f>IF(MIP_4[[#This Row],[P.S]]-MIP_4[[#This Row],[P.E]]&lt;0,1+MIP_4[[#This Row],[P.S]]-MIP_4[[#This Row],[P.E]]-1/24,MIP_4[[#This Row],[P.S]]-MIP_4[[#This Row],[P.E]]-1/24)</f>
        <v>0.34930555555555554</v>
      </c>
      <c r="X481" s="39">
        <f ca="1">MIP_4[[#This Row],[PT-1]]*$S$3+MIP_4[[#This Row],[PT-2]]*$T$3+MIP_4[[#This Row],[PT-3]]*$U$3+MIP_4[[#This Row],[PT &gt; 3 Pontos]]*$V$3</f>
        <v>0.13172629830917876</v>
      </c>
      <c r="Y481" s="39">
        <f>MIP_4[[#This Row],[HH disponível]]-MIP_4[[#This Row],[HH AC TOT]]</f>
        <v>0.17083333333333339</v>
      </c>
      <c r="Z481" s="38">
        <f ca="1">MIP_4[[#This Row],[HH Produtivo
Total]]/MIP_4[[#This Row],[HH Trabalhado]]</f>
        <v>0.77108077059031443</v>
      </c>
      <c r="AA481" s="38">
        <f ca="1">MIP_4[[#This Row],[HH Produtivo
Total]]/MIP_4[[#This Row],[HH disponível]]</f>
        <v>0.37710908462269865</v>
      </c>
      <c r="AB481" s="38">
        <f>MIP_4[[#This Row],[HH Trabalhado]]/MIP_4[[#This Row],[HH disponível]]</f>
        <v>0.48906560636182922</v>
      </c>
      <c r="AC481" s="37" t="str">
        <f>LEFT(MIP_4[[#This Row],[Equipe]], SEARCH("/",MIP_4[[#This Row],[Equipe]],1)-1)</f>
        <v xml:space="preserve">ANDERSON </v>
      </c>
      <c r="AD481" s="37" t="str">
        <f>RIGHT(MIP_4[[#This Row],[Equipe]], LEN(MIP_4[[#This Row],[Equipe]])-SEARCH("/",MIP_4[[#This Row],[Equipe]],1))</f>
        <v xml:space="preserve"> MARCO</v>
      </c>
      <c r="AE481" s="44">
        <f>COUNTIFS('[1]Tempo parado'!G:G,"&gt;="&amp;MIP_4[[#This Row],[S.B Sitrack]],'[1]Tempo parado'!H:H,"&lt;="&amp;MIP_4[[#This Row],[C.B Sitrack]],'[1]Tempo parado'!A:A,MIP_4[[#This Row],[Placa]])</f>
        <v>0</v>
      </c>
      <c r="AF481" s="36"/>
      <c r="AG481" s="35"/>
      <c r="AH481" s="34"/>
      <c r="AI481" s="34"/>
      <c r="AJ48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8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8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81" s="32" t="str">
        <f>IFERROR(MIP_4[[#This Row],[Tempo parado]]/(MIP_4[[#This Row],[C.B Sitrack]]-MIP_4[[#This Row],[S.B Sitrack]]),"")</f>
        <v/>
      </c>
      <c r="AN481" s="30"/>
      <c r="AO481" s="44">
        <f>IF(AND(MIP_4[Exc]=0,MIP_4[Previsto / Realizado]="Realizado"),MIP_4[Sem],0)</f>
        <v>36</v>
      </c>
      <c r="AP481" s="29">
        <f>IF(AND(MIP_4[Exc]=0,MIP_4[Previsto / Realizado]="Realizado",ISBLANK(MIP_4[[#This Row],[S.B Sitrack]])=FALSE,ISBLANK(MIP_4[[#This Row],[C.B Sitrack]])=FALSE),MIP_4[Sem],0)</f>
        <v>0</v>
      </c>
    </row>
    <row r="482" spans="1:42" ht="15.75" x14ac:dyDescent="0.25">
      <c r="A482" s="44">
        <f>WEEKNUM(MIP_4[[#This Row],[Data]])</f>
        <v>36</v>
      </c>
      <c r="B482" s="45">
        <v>42982</v>
      </c>
      <c r="C482" s="45"/>
      <c r="D482" s="35" t="s">
        <v>19</v>
      </c>
      <c r="E482" s="35" t="s">
        <v>5</v>
      </c>
      <c r="F482" s="35"/>
      <c r="G482" s="44">
        <v>2</v>
      </c>
      <c r="H482" s="44">
        <v>0</v>
      </c>
      <c r="I482" s="44">
        <v>0</v>
      </c>
      <c r="J482" s="44">
        <v>0</v>
      </c>
      <c r="K482" s="44">
        <v>0</v>
      </c>
      <c r="L482" s="43">
        <v>0.625</v>
      </c>
      <c r="M482" s="43">
        <v>0.64583333333333337</v>
      </c>
      <c r="N482" s="43">
        <f>1+18/24/60</f>
        <v>1.0125</v>
      </c>
      <c r="O482" s="43">
        <f>1+48/24/60</f>
        <v>1.0333333333333334</v>
      </c>
      <c r="P482" s="39"/>
      <c r="Q482" s="42"/>
      <c r="R482" s="29">
        <f>MIP_4[[#This Row],[PT-1]]+MIP_4[[#This Row],[PT-2]]*2+MIP_4[[#This Row],[PT-3]]*3+MIP_4[[#This Row],[PT &gt; 3 Pontos]]</f>
        <v>0</v>
      </c>
      <c r="S48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48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482" s="41">
        <f ca="1">MIP_4[[#This Row],[Eficiência]]</f>
        <v>0</v>
      </c>
      <c r="V48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82" s="39">
        <f>IF(MIP_4[[#This Row],[P.S]]-MIP_4[[#This Row],[P.E]]&lt;0,1+MIP_4[[#This Row],[P.S]]-MIP_4[[#This Row],[P.E]]-1/24,MIP_4[[#This Row],[P.S]]-MIP_4[[#This Row],[P.E]]-1/24)</f>
        <v>0.36666666666666675</v>
      </c>
      <c r="X482" s="39">
        <f ca="1">MIP_4[[#This Row],[PT-1]]*$S$3+MIP_4[[#This Row],[PT-2]]*$T$3+MIP_4[[#This Row],[PT-3]]*$U$3+MIP_4[[#This Row],[PT &gt; 3 Pontos]]*$V$3</f>
        <v>0</v>
      </c>
      <c r="Y482" s="39">
        <f>MIP_4[[#This Row],[HH disponível]]-MIP_4[[#This Row],[HH AC TOT]]</f>
        <v>0.3249999999999999</v>
      </c>
      <c r="Z482" s="38">
        <f ca="1">MIP_4[[#This Row],[HH Produtivo
Total]]/MIP_4[[#This Row],[HH Trabalhado]]</f>
        <v>0</v>
      </c>
      <c r="AA482" s="38">
        <f ca="1">MIP_4[[#This Row],[HH Produtivo
Total]]/MIP_4[[#This Row],[HH disponível]]</f>
        <v>0</v>
      </c>
      <c r="AB482" s="38">
        <f>MIP_4[[#This Row],[HH Trabalhado]]/MIP_4[[#This Row],[HH disponível]]</f>
        <v>0.88636363636363591</v>
      </c>
      <c r="AC482" s="37" t="str">
        <f>LEFT(MIP_4[[#This Row],[Equipe]], SEARCH("/",MIP_4[[#This Row],[Equipe]],1)-1)</f>
        <v xml:space="preserve">ADEMÁRIO </v>
      </c>
      <c r="AD482" s="37" t="str">
        <f>RIGHT(MIP_4[[#This Row],[Equipe]], LEN(MIP_4[[#This Row],[Equipe]])-SEARCH("/",MIP_4[[#This Row],[Equipe]],1))</f>
        <v xml:space="preserve"> RONALDO</v>
      </c>
      <c r="AE482" s="44">
        <f>COUNTIFS('[1]Tempo parado'!G:G,"&gt;="&amp;MIP_4[[#This Row],[S.B Sitrack]],'[1]Tempo parado'!H:H,"&lt;="&amp;MIP_4[[#This Row],[C.B Sitrack]],'[1]Tempo parado'!A:A,MIP_4[[#This Row],[Placa]])</f>
        <v>0</v>
      </c>
      <c r="AF482" s="36"/>
      <c r="AG482" s="35"/>
      <c r="AH482" s="34"/>
      <c r="AI482" s="34"/>
      <c r="AJ48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8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8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82" s="32" t="str">
        <f>IFERROR(MIP_4[[#This Row],[Tempo parado]]/(MIP_4[[#This Row],[C.B Sitrack]]-MIP_4[[#This Row],[S.B Sitrack]]),"")</f>
        <v/>
      </c>
      <c r="AN482" s="30"/>
      <c r="AO482" s="44">
        <f>IF(AND(MIP_4[Exc]=0,MIP_4[Previsto / Realizado]="Realizado"),MIP_4[Sem],0)</f>
        <v>0</v>
      </c>
      <c r="AP482" s="29">
        <f>IF(AND(MIP_4[Exc]=0,MIP_4[Previsto / Realizado]="Realizado",ISBLANK(MIP_4[[#This Row],[S.B Sitrack]])=FALSE,ISBLANK(MIP_4[[#This Row],[C.B Sitrack]])=FALSE),MIP_4[Sem],0)</f>
        <v>0</v>
      </c>
    </row>
    <row r="483" spans="1:42" ht="15.75" x14ac:dyDescent="0.25">
      <c r="A483" s="44">
        <f>WEEKNUM(MIP_4[[#This Row],[Data]])</f>
        <v>36</v>
      </c>
      <c r="B483" s="45">
        <v>42982</v>
      </c>
      <c r="C483" s="45"/>
      <c r="D483" s="35" t="s">
        <v>19</v>
      </c>
      <c r="E483" s="35" t="s">
        <v>2</v>
      </c>
      <c r="F483" s="35"/>
      <c r="G483" s="44">
        <v>2</v>
      </c>
      <c r="H483" s="44">
        <v>0</v>
      </c>
      <c r="I483" s="44">
        <v>1</v>
      </c>
      <c r="J483" s="44">
        <v>0</v>
      </c>
      <c r="K483" s="44">
        <v>10</v>
      </c>
      <c r="L483" s="43">
        <v>0.62847222222222221</v>
      </c>
      <c r="M483" s="43">
        <v>0.67013888888888884</v>
      </c>
      <c r="N483" s="43">
        <v>0.99930555555555556</v>
      </c>
      <c r="O483" s="43">
        <f>1+57/24/60</f>
        <v>1.0395833333333333</v>
      </c>
      <c r="P483" s="39"/>
      <c r="Q483" s="42"/>
      <c r="R483" s="29">
        <f>MIP_4[[#This Row],[PT-1]]+MIP_4[[#This Row],[PT-2]]*2+MIP_4[[#This Row],[PT-3]]*3+MIP_4[[#This Row],[PT &gt; 3 Pontos]]</f>
        <v>12</v>
      </c>
      <c r="S48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8.1944444444444375E-2</v>
      </c>
      <c r="T48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8.1944444444444375E-2</v>
      </c>
      <c r="U483" s="41">
        <f ca="1">MIP_4[[#This Row],[Eficiência]]</f>
        <v>0.85700478229752564</v>
      </c>
      <c r="V48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83" s="39">
        <f>IF(MIP_4[[#This Row],[P.S]]-MIP_4[[#This Row],[P.E]]&lt;0,1+MIP_4[[#This Row],[P.S]]-MIP_4[[#This Row],[P.E]]-1/24,MIP_4[[#This Row],[P.S]]-MIP_4[[#This Row],[P.E]]-1/24)</f>
        <v>0.36944444444444441</v>
      </c>
      <c r="X483" s="39">
        <f ca="1">MIP_4[[#This Row],[PT-1]]*$S$3+MIP_4[[#This Row],[PT-2]]*$T$3+MIP_4[[#This Row],[PT-3]]*$U$3+MIP_4[[#This Row],[PT &gt; 3 Pontos]]*$V$3</f>
        <v>0.24638887491053865</v>
      </c>
      <c r="Y483" s="39">
        <f>MIP_4[[#This Row],[HH disponível]]-MIP_4[[#This Row],[HH AC TOT]]</f>
        <v>0.28750000000000003</v>
      </c>
      <c r="Z483" s="38">
        <f ca="1">MIP_4[[#This Row],[HH Produtivo
Total]]/MIP_4[[#This Row],[HH Trabalhado]]</f>
        <v>0.85700478229752564</v>
      </c>
      <c r="AA483" s="38">
        <f ca="1">MIP_4[[#This Row],[HH Produtivo
Total]]/MIP_4[[#This Row],[HH disponível]]</f>
        <v>0.6669172553969468</v>
      </c>
      <c r="AB483" s="38">
        <f>MIP_4[[#This Row],[HH Trabalhado]]/MIP_4[[#This Row],[HH disponível]]</f>
        <v>0.77819548872180466</v>
      </c>
      <c r="AC483" s="37" t="str">
        <f>LEFT(MIP_4[[#This Row],[Equipe]], SEARCH("/",MIP_4[[#This Row],[Equipe]],1)-1)</f>
        <v xml:space="preserve">ADEMÁRIO </v>
      </c>
      <c r="AD483" s="37" t="str">
        <f>RIGHT(MIP_4[[#This Row],[Equipe]], LEN(MIP_4[[#This Row],[Equipe]])-SEARCH("/",MIP_4[[#This Row],[Equipe]],1))</f>
        <v xml:space="preserve"> RONALDO</v>
      </c>
      <c r="AE483" s="44">
        <f>COUNTIFS('[1]Tempo parado'!G:G,"&gt;="&amp;MIP_4[[#This Row],[S.B Sitrack]],'[1]Tempo parado'!H:H,"&lt;="&amp;MIP_4[[#This Row],[C.B Sitrack]],'[1]Tempo parado'!A:A,MIP_4[[#This Row],[Placa]])</f>
        <v>0</v>
      </c>
      <c r="AF483" s="36"/>
      <c r="AG483" s="35"/>
      <c r="AH483" s="34"/>
      <c r="AI483" s="34"/>
      <c r="AJ48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8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8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83" s="32" t="str">
        <f>IFERROR(MIP_4[[#This Row],[Tempo parado]]/(MIP_4[[#This Row],[C.B Sitrack]]-MIP_4[[#This Row],[S.B Sitrack]]),"")</f>
        <v/>
      </c>
      <c r="AN483" s="30"/>
      <c r="AO483" s="44">
        <f>IF(AND(MIP_4[Exc]=0,MIP_4[Previsto / Realizado]="Realizado"),MIP_4[Sem],0)</f>
        <v>36</v>
      </c>
      <c r="AP483" s="29">
        <f>IF(AND(MIP_4[Exc]=0,MIP_4[Previsto / Realizado]="Realizado",ISBLANK(MIP_4[[#This Row],[S.B Sitrack]])=FALSE,ISBLANK(MIP_4[[#This Row],[C.B Sitrack]])=FALSE),MIP_4[Sem],0)</f>
        <v>0</v>
      </c>
    </row>
    <row r="484" spans="1:42" ht="15.75" x14ac:dyDescent="0.25">
      <c r="A484" s="44">
        <f>WEEKNUM(MIP_4[[#This Row],[Data]])</f>
        <v>36</v>
      </c>
      <c r="B484" s="45">
        <v>42983</v>
      </c>
      <c r="C484" s="45"/>
      <c r="D484" s="35" t="s">
        <v>178</v>
      </c>
      <c r="E484" s="35" t="s">
        <v>5</v>
      </c>
      <c r="F484" s="35"/>
      <c r="G484" s="44">
        <v>2</v>
      </c>
      <c r="H484" s="44">
        <v>2</v>
      </c>
      <c r="I484" s="44">
        <v>0</v>
      </c>
      <c r="J484" s="44">
        <v>0</v>
      </c>
      <c r="K484" s="44">
        <v>0</v>
      </c>
      <c r="L484" s="43">
        <v>0.25</v>
      </c>
      <c r="M484" s="43">
        <v>0.27083333333333331</v>
      </c>
      <c r="N484" s="43">
        <v>0.63750000000000007</v>
      </c>
      <c r="O484" s="43">
        <v>0.65833333333333333</v>
      </c>
      <c r="P484" s="39"/>
      <c r="Q484" s="42" t="s">
        <v>188</v>
      </c>
      <c r="R484" s="29">
        <f>MIP_4[[#This Row],[PT-1]]+MIP_4[[#This Row],[PT-2]]*2+MIP_4[[#This Row],[PT-3]]*3+MIP_4[[#This Row],[PT &gt; 3 Pontos]]</f>
        <v>2</v>
      </c>
      <c r="S48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48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484" s="41">
        <f ca="1">MIP_4[[#This Row],[Eficiência]]</f>
        <v>0.15400524897807494</v>
      </c>
      <c r="V48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84" s="39">
        <f>IF(MIP_4[[#This Row],[P.S]]-MIP_4[[#This Row],[P.E]]&lt;0,1+MIP_4[[#This Row],[P.S]]-MIP_4[[#This Row],[P.E]]-1/24,MIP_4[[#This Row],[P.S]]-MIP_4[[#This Row],[P.E]]-1/24)</f>
        <v>0.36666666666666664</v>
      </c>
      <c r="X484" s="39">
        <f ca="1">MIP_4[[#This Row],[PT-1]]*$S$3+MIP_4[[#This Row],[PT-2]]*$T$3+MIP_4[[#This Row],[PT-3]]*$U$3+MIP_4[[#This Row],[PT &gt; 3 Pontos]]*$V$3</f>
        <v>5.0051705917874362E-2</v>
      </c>
      <c r="Y484" s="39">
        <f>MIP_4[[#This Row],[HH disponível]]-MIP_4[[#This Row],[HH AC TOT]]</f>
        <v>0.32500000000000007</v>
      </c>
      <c r="Z484" s="38">
        <f ca="1">MIP_4[[#This Row],[HH Produtivo
Total]]/MIP_4[[#This Row],[HH Trabalhado]]</f>
        <v>0.15400524897807494</v>
      </c>
      <c r="AA484" s="38">
        <f ca="1">MIP_4[[#This Row],[HH Produtivo
Total]]/MIP_4[[#This Row],[HH disponível]]</f>
        <v>0.13650465250329372</v>
      </c>
      <c r="AB484" s="38">
        <f>MIP_4[[#This Row],[HH Trabalhado]]/MIP_4[[#This Row],[HH disponível]]</f>
        <v>0.88636363636363658</v>
      </c>
      <c r="AC484" s="37" t="str">
        <f>LEFT(MIP_4[[#This Row],[Equipe]], SEARCH("/",MIP_4[[#This Row],[Equipe]],1)-1)</f>
        <v xml:space="preserve">HERVAL </v>
      </c>
      <c r="AD484" s="37" t="str">
        <f>RIGHT(MIP_4[[#This Row],[Equipe]], LEN(MIP_4[[#This Row],[Equipe]])-SEARCH("/",MIP_4[[#This Row],[Equipe]],1))</f>
        <v xml:space="preserve"> VALDEI</v>
      </c>
      <c r="AE484" s="44">
        <f>COUNTIFS('[1]Tempo parado'!G:G,"&gt;="&amp;MIP_4[[#This Row],[S.B Sitrack]],'[1]Tempo parado'!H:H,"&lt;="&amp;MIP_4[[#This Row],[C.B Sitrack]],'[1]Tempo parado'!A:A,MIP_4[[#This Row],[Placa]])</f>
        <v>0</v>
      </c>
      <c r="AF484" s="36"/>
      <c r="AG484" s="35"/>
      <c r="AH484" s="34"/>
      <c r="AI484" s="34"/>
      <c r="AJ48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8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8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84" s="32" t="str">
        <f>IFERROR(MIP_4[[#This Row],[Tempo parado]]/(MIP_4[[#This Row],[C.B Sitrack]]-MIP_4[[#This Row],[S.B Sitrack]]),"")</f>
        <v/>
      </c>
      <c r="AN484" s="30"/>
      <c r="AO484" s="44">
        <f>IF(AND(MIP_4[Exc]=0,MIP_4[Previsto / Realizado]="Realizado"),MIP_4[Sem],0)</f>
        <v>0</v>
      </c>
      <c r="AP484" s="29">
        <f>IF(AND(MIP_4[Exc]=0,MIP_4[Previsto / Realizado]="Realizado",ISBLANK(MIP_4[[#This Row],[S.B Sitrack]])=FALSE,ISBLANK(MIP_4[[#This Row],[C.B Sitrack]])=FALSE),MIP_4[Sem],0)</f>
        <v>0</v>
      </c>
    </row>
    <row r="485" spans="1:42" ht="15.75" x14ac:dyDescent="0.25">
      <c r="A485" s="44">
        <f>WEEKNUM(MIP_4[[#This Row],[Data]])</f>
        <v>36</v>
      </c>
      <c r="B485" s="45">
        <v>42983</v>
      </c>
      <c r="C485" s="45"/>
      <c r="D485" s="35" t="s">
        <v>178</v>
      </c>
      <c r="E485" s="35" t="s">
        <v>2</v>
      </c>
      <c r="F485" s="35"/>
      <c r="G485" s="44">
        <v>2</v>
      </c>
      <c r="H485" s="44">
        <v>10</v>
      </c>
      <c r="I485" s="44">
        <v>1</v>
      </c>
      <c r="J485" s="44">
        <v>0</v>
      </c>
      <c r="K485" s="44">
        <v>0</v>
      </c>
      <c r="L485" s="43">
        <v>0.26250000000000001</v>
      </c>
      <c r="M485" s="43">
        <v>0.28263888888888888</v>
      </c>
      <c r="N485" s="43">
        <v>0.59722222222222221</v>
      </c>
      <c r="O485" s="43">
        <v>0.65833333333333333</v>
      </c>
      <c r="P485" s="39"/>
      <c r="Q485" s="42" t="s">
        <v>253</v>
      </c>
      <c r="R485" s="29">
        <f>MIP_4[[#This Row],[PT-1]]+MIP_4[[#This Row],[PT-2]]*2+MIP_4[[#This Row],[PT-3]]*3+MIP_4[[#This Row],[PT &gt; 3 Pontos]]</f>
        <v>12</v>
      </c>
      <c r="S48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8.1249999999999989E-2</v>
      </c>
      <c r="T48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8.1249999999999989E-2</v>
      </c>
      <c r="U485" s="41">
        <f ca="1">MIP_4[[#This Row],[Eficiência]]</f>
        <v>1.077864900247077</v>
      </c>
      <c r="V48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85" s="39">
        <f>IF(MIP_4[[#This Row],[P.S]]-MIP_4[[#This Row],[P.E]]&lt;0,1+MIP_4[[#This Row],[P.S]]-MIP_4[[#This Row],[P.E]]-1/24,MIP_4[[#This Row],[P.S]]-MIP_4[[#This Row],[P.E]]-1/24)</f>
        <v>0.35416666666666663</v>
      </c>
      <c r="X485" s="39">
        <f ca="1">MIP_4[[#This Row],[PT-1]]*$S$3+MIP_4[[#This Row],[PT-2]]*$T$3+MIP_4[[#This Row],[PT-3]]*$U$3+MIP_4[[#This Row],[PT &gt; 3 Pontos]]*$V$3</f>
        <v>0.29416729569243139</v>
      </c>
      <c r="Y485" s="39">
        <f>MIP_4[[#This Row],[HH disponível]]-MIP_4[[#This Row],[HH AC TOT]]</f>
        <v>0.27291666666666664</v>
      </c>
      <c r="Z485" s="38">
        <f ca="1">MIP_4[[#This Row],[HH Produtivo
Total]]/MIP_4[[#This Row],[HH Trabalhado]]</f>
        <v>1.077864900247077</v>
      </c>
      <c r="AA485" s="38">
        <f ca="1">MIP_4[[#This Row],[HH Produtivo
Total]]/MIP_4[[#This Row],[HH disponível]]</f>
        <v>0.83059001136686517</v>
      </c>
      <c r="AB485" s="38">
        <f>MIP_4[[#This Row],[HH Trabalhado]]/MIP_4[[#This Row],[HH disponível]]</f>
        <v>0.77058823529411768</v>
      </c>
      <c r="AC485" s="37" t="str">
        <f>LEFT(MIP_4[[#This Row],[Equipe]], SEARCH("/",MIP_4[[#This Row],[Equipe]],1)-1)</f>
        <v xml:space="preserve">HERVAL </v>
      </c>
      <c r="AD485" s="37" t="str">
        <f>RIGHT(MIP_4[[#This Row],[Equipe]], LEN(MIP_4[[#This Row],[Equipe]])-SEARCH("/",MIP_4[[#This Row],[Equipe]],1))</f>
        <v xml:space="preserve"> VALDEI</v>
      </c>
      <c r="AE485" s="44">
        <f>COUNTIFS('[1]Tempo parado'!G:G,"&gt;="&amp;MIP_4[[#This Row],[S.B Sitrack]],'[1]Tempo parado'!H:H,"&lt;="&amp;MIP_4[[#This Row],[C.B Sitrack]],'[1]Tempo parado'!A:A,MIP_4[[#This Row],[Placa]])</f>
        <v>0</v>
      </c>
      <c r="AF485" s="36"/>
      <c r="AG485" s="35"/>
      <c r="AH485" s="34"/>
      <c r="AI485" s="34"/>
      <c r="AJ48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8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8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85" s="32" t="str">
        <f>IFERROR(MIP_4[[#This Row],[Tempo parado]]/(MIP_4[[#This Row],[C.B Sitrack]]-MIP_4[[#This Row],[S.B Sitrack]]),"")</f>
        <v/>
      </c>
      <c r="AN485" s="30"/>
      <c r="AO485" s="44">
        <f>IF(AND(MIP_4[Exc]=0,MIP_4[Previsto / Realizado]="Realizado"),MIP_4[Sem],0)</f>
        <v>36</v>
      </c>
      <c r="AP485" s="29">
        <f>IF(AND(MIP_4[Exc]=0,MIP_4[Previsto / Realizado]="Realizado",ISBLANK(MIP_4[[#This Row],[S.B Sitrack]])=FALSE,ISBLANK(MIP_4[[#This Row],[C.B Sitrack]])=FALSE),MIP_4[Sem],0)</f>
        <v>0</v>
      </c>
    </row>
    <row r="486" spans="1:42" ht="15.75" x14ac:dyDescent="0.25">
      <c r="A486" s="44">
        <f>WEEKNUM(MIP_4[[#This Row],[Data]])</f>
        <v>36</v>
      </c>
      <c r="B486" s="45">
        <v>42983</v>
      </c>
      <c r="C486" s="45"/>
      <c r="D486" s="35" t="s">
        <v>3</v>
      </c>
      <c r="E486" s="35" t="s">
        <v>5</v>
      </c>
      <c r="F486" s="35"/>
      <c r="G486" s="44">
        <v>2</v>
      </c>
      <c r="H486" s="44">
        <v>8</v>
      </c>
      <c r="I486" s="44">
        <v>2</v>
      </c>
      <c r="J486" s="44">
        <v>1</v>
      </c>
      <c r="K486" s="44">
        <v>0</v>
      </c>
      <c r="L486" s="43">
        <v>0.625</v>
      </c>
      <c r="M486" s="43">
        <v>0.64583333333333337</v>
      </c>
      <c r="N486" s="43">
        <f>1+18/24/60</f>
        <v>1.0125</v>
      </c>
      <c r="O486" s="43">
        <f>1+48/24/60</f>
        <v>1.0333333333333334</v>
      </c>
      <c r="P486" s="39"/>
      <c r="Q486" s="42"/>
      <c r="R486" s="29">
        <f>MIP_4[[#This Row],[PT-1]]+MIP_4[[#This Row],[PT-2]]*2+MIP_4[[#This Row],[PT-3]]*3+MIP_4[[#This Row],[PT &gt; 3 Pontos]]</f>
        <v>15</v>
      </c>
      <c r="S48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48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486" s="41">
        <f ca="1">MIP_4[[#This Row],[Eficiência]]</f>
        <v>1.0794339542301499</v>
      </c>
      <c r="V48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86" s="39">
        <f>IF(MIP_4[[#This Row],[P.S]]-MIP_4[[#This Row],[P.E]]&lt;0,1+MIP_4[[#This Row],[P.S]]-MIP_4[[#This Row],[P.E]]-1/24,MIP_4[[#This Row],[P.S]]-MIP_4[[#This Row],[P.E]]-1/24)</f>
        <v>0.36666666666666675</v>
      </c>
      <c r="X486" s="39">
        <f ca="1">MIP_4[[#This Row],[PT-1]]*$S$3+MIP_4[[#This Row],[PT-2]]*$T$3+MIP_4[[#This Row],[PT-3]]*$U$3+MIP_4[[#This Row],[PT &gt; 3 Pontos]]*$V$3</f>
        <v>0.35081603512479859</v>
      </c>
      <c r="Y486" s="39">
        <f>MIP_4[[#This Row],[HH disponível]]-MIP_4[[#This Row],[HH AC TOT]]</f>
        <v>0.3249999999999999</v>
      </c>
      <c r="Z486" s="38">
        <f ca="1">MIP_4[[#This Row],[HH Produtivo
Total]]/MIP_4[[#This Row],[HH Trabalhado]]</f>
        <v>1.0794339542301499</v>
      </c>
      <c r="AA486" s="38">
        <f ca="1">MIP_4[[#This Row],[HH Produtivo
Total]]/MIP_4[[#This Row],[HH disponível]]</f>
        <v>0.95677100488581412</v>
      </c>
      <c r="AB486" s="38">
        <f>MIP_4[[#This Row],[HH Trabalhado]]/MIP_4[[#This Row],[HH disponível]]</f>
        <v>0.88636363636363591</v>
      </c>
      <c r="AC486" s="37" t="str">
        <f>LEFT(MIP_4[[#This Row],[Equipe]], SEARCH("/",MIP_4[[#This Row],[Equipe]],1)-1)</f>
        <v xml:space="preserve">EDILTON </v>
      </c>
      <c r="AD486" s="37" t="str">
        <f>RIGHT(MIP_4[[#This Row],[Equipe]], LEN(MIP_4[[#This Row],[Equipe]])-SEARCH("/",MIP_4[[#This Row],[Equipe]],1))</f>
        <v xml:space="preserve"> GECIVALDO</v>
      </c>
      <c r="AE486" s="44">
        <f>COUNTIFS('[1]Tempo parado'!G:G,"&gt;="&amp;MIP_4[[#This Row],[S.B Sitrack]],'[1]Tempo parado'!H:H,"&lt;="&amp;MIP_4[[#This Row],[C.B Sitrack]],'[1]Tempo parado'!A:A,MIP_4[[#This Row],[Placa]])</f>
        <v>0</v>
      </c>
      <c r="AF486" s="36"/>
      <c r="AG486" s="35"/>
      <c r="AH486" s="34"/>
      <c r="AI486" s="34"/>
      <c r="AJ48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8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8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86" s="32" t="str">
        <f>IFERROR(MIP_4[[#This Row],[Tempo parado]]/(MIP_4[[#This Row],[C.B Sitrack]]-MIP_4[[#This Row],[S.B Sitrack]]),"")</f>
        <v/>
      </c>
      <c r="AN486" s="30"/>
      <c r="AO486" s="44">
        <f>IF(AND(MIP_4[Exc]=0,MIP_4[Previsto / Realizado]="Realizado"),MIP_4[Sem],0)</f>
        <v>0</v>
      </c>
      <c r="AP486" s="29">
        <f>IF(AND(MIP_4[Exc]=0,MIP_4[Previsto / Realizado]="Realizado",ISBLANK(MIP_4[[#This Row],[S.B Sitrack]])=FALSE,ISBLANK(MIP_4[[#This Row],[C.B Sitrack]])=FALSE),MIP_4[Sem],0)</f>
        <v>0</v>
      </c>
    </row>
    <row r="487" spans="1:42" ht="15.75" x14ac:dyDescent="0.25">
      <c r="A487" s="44">
        <f>WEEKNUM(MIP_4[[#This Row],[Data]])</f>
        <v>36</v>
      </c>
      <c r="B487" s="45">
        <v>42983</v>
      </c>
      <c r="C487" s="45"/>
      <c r="D487" s="35" t="s">
        <v>3</v>
      </c>
      <c r="E487" s="35" t="s">
        <v>2</v>
      </c>
      <c r="F487" s="35"/>
      <c r="G487" s="44">
        <v>2</v>
      </c>
      <c r="H487" s="44">
        <v>5</v>
      </c>
      <c r="I487" s="44">
        <v>2</v>
      </c>
      <c r="J487" s="44">
        <v>1</v>
      </c>
      <c r="K487" s="44">
        <v>0</v>
      </c>
      <c r="L487" s="43">
        <v>0.62291666666666667</v>
      </c>
      <c r="M487" s="43">
        <v>0.63541666666666663</v>
      </c>
      <c r="N487" s="43">
        <f>1+41/24/60</f>
        <v>1.0284722222222222</v>
      </c>
      <c r="O487" s="43">
        <f>1+48/24/60</f>
        <v>1.0333333333333334</v>
      </c>
      <c r="P487" s="39"/>
      <c r="Q487" s="42" t="s">
        <v>252</v>
      </c>
      <c r="R487" s="29">
        <f>MIP_4[[#This Row],[PT-1]]+MIP_4[[#This Row],[PT-2]]*2+MIP_4[[#This Row],[PT-3]]*3+MIP_4[[#This Row],[PT &gt; 3 Pontos]]</f>
        <v>12</v>
      </c>
      <c r="S48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1.736111111111116E-2</v>
      </c>
      <c r="T48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1.736111111111116E-2</v>
      </c>
      <c r="U487" s="41">
        <f ca="1">MIP_4[[#This Row],[Eficiência]]</f>
        <v>0.78471028813656385</v>
      </c>
      <c r="V48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87" s="39">
        <f>IF(MIP_4[[#This Row],[P.S]]-MIP_4[[#This Row],[P.E]]&lt;0,1+MIP_4[[#This Row],[P.S]]-MIP_4[[#This Row],[P.E]]-1/24,MIP_4[[#This Row],[P.S]]-MIP_4[[#This Row],[P.E]]-1/24)</f>
        <v>0.36875000000000008</v>
      </c>
      <c r="X487" s="39">
        <f ca="1">MIP_4[[#This Row],[PT-1]]*$S$3+MIP_4[[#This Row],[PT-2]]*$T$3+MIP_4[[#This Row],[PT-3]]*$U$3+MIP_4[[#This Row],[PT &gt; 3 Pontos]]*$V$3</f>
        <v>0.27573847624798703</v>
      </c>
      <c r="Y487" s="39">
        <f>MIP_4[[#This Row],[HH disponível]]-MIP_4[[#This Row],[HH AC TOT]]</f>
        <v>0.35138888888888892</v>
      </c>
      <c r="Z487" s="38">
        <f ca="1">MIP_4[[#This Row],[HH Produtivo
Total]]/MIP_4[[#This Row],[HH Trabalhado]]</f>
        <v>0.78471028813656385</v>
      </c>
      <c r="AA487" s="38">
        <f ca="1">MIP_4[[#This Row],[HH Produtivo
Total]]/MIP_4[[#This Row],[HH disponível]]</f>
        <v>0.74776535931657484</v>
      </c>
      <c r="AB487" s="38">
        <f>MIP_4[[#This Row],[HH Trabalhado]]/MIP_4[[#This Row],[HH disponível]]</f>
        <v>0.95291902071563073</v>
      </c>
      <c r="AC487" s="37" t="str">
        <f>LEFT(MIP_4[[#This Row],[Equipe]], SEARCH("/",MIP_4[[#This Row],[Equipe]],1)-1)</f>
        <v xml:space="preserve">EDILTON </v>
      </c>
      <c r="AD487" s="37" t="str">
        <f>RIGHT(MIP_4[[#This Row],[Equipe]], LEN(MIP_4[[#This Row],[Equipe]])-SEARCH("/",MIP_4[[#This Row],[Equipe]],1))</f>
        <v xml:space="preserve"> GECIVALDO</v>
      </c>
      <c r="AE487" s="44">
        <f>COUNTIFS('[1]Tempo parado'!G:G,"&gt;="&amp;MIP_4[[#This Row],[S.B Sitrack]],'[1]Tempo parado'!H:H,"&lt;="&amp;MIP_4[[#This Row],[C.B Sitrack]],'[1]Tempo parado'!A:A,MIP_4[[#This Row],[Placa]])</f>
        <v>0</v>
      </c>
      <c r="AF487" s="36"/>
      <c r="AG487" s="35"/>
      <c r="AH487" s="34"/>
      <c r="AI487" s="34"/>
      <c r="AJ48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8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8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87" s="32" t="str">
        <f>IFERROR(MIP_4[[#This Row],[Tempo parado]]/(MIP_4[[#This Row],[C.B Sitrack]]-MIP_4[[#This Row],[S.B Sitrack]]),"")</f>
        <v/>
      </c>
      <c r="AN487" s="30"/>
      <c r="AO487" s="44">
        <f>IF(AND(MIP_4[Exc]=0,MIP_4[Previsto / Realizado]="Realizado"),MIP_4[Sem],0)</f>
        <v>36</v>
      </c>
      <c r="AP487" s="29">
        <f>IF(AND(MIP_4[Exc]=0,MIP_4[Previsto / Realizado]="Realizado",ISBLANK(MIP_4[[#This Row],[S.B Sitrack]])=FALSE,ISBLANK(MIP_4[[#This Row],[C.B Sitrack]])=FALSE),MIP_4[Sem],0)</f>
        <v>0</v>
      </c>
    </row>
    <row r="488" spans="1:42" ht="15.75" x14ac:dyDescent="0.25">
      <c r="A488" s="44">
        <f>WEEKNUM(MIP_4[[#This Row],[Data]])</f>
        <v>36</v>
      </c>
      <c r="B488" s="45">
        <v>42984</v>
      </c>
      <c r="C488" s="45"/>
      <c r="D488" s="35" t="s">
        <v>178</v>
      </c>
      <c r="E488" s="35" t="s">
        <v>5</v>
      </c>
      <c r="F488" s="35"/>
      <c r="G488" s="44">
        <v>2</v>
      </c>
      <c r="H488" s="44">
        <v>5</v>
      </c>
      <c r="I488" s="44">
        <v>1</v>
      </c>
      <c r="J488" s="44">
        <v>1</v>
      </c>
      <c r="K488" s="44">
        <v>0</v>
      </c>
      <c r="L488" s="43">
        <v>0.25</v>
      </c>
      <c r="M488" s="43">
        <v>0.27083333333333331</v>
      </c>
      <c r="N488" s="43">
        <v>0.63750000000000007</v>
      </c>
      <c r="O488" s="43">
        <v>0.65833333333333333</v>
      </c>
      <c r="P488" s="39"/>
      <c r="Q488" s="42" t="s">
        <v>251</v>
      </c>
      <c r="R488" s="29">
        <f>MIP_4[[#This Row],[PT-1]]+MIP_4[[#This Row],[PT-2]]*2+MIP_4[[#This Row],[PT-3]]*3+MIP_4[[#This Row],[PT &gt; 3 Pontos]]</f>
        <v>10</v>
      </c>
      <c r="S48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48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488" s="41">
        <f ca="1">MIP_4[[#This Row],[Eficiência]]</f>
        <v>0.71332218506131506</v>
      </c>
      <c r="V48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88" s="39">
        <f>IF(MIP_4[[#This Row],[P.S]]-MIP_4[[#This Row],[P.E]]&lt;0,1+MIP_4[[#This Row],[P.S]]-MIP_4[[#This Row],[P.E]]-1/24,MIP_4[[#This Row],[P.S]]-MIP_4[[#This Row],[P.E]]-1/24)</f>
        <v>0.36666666666666664</v>
      </c>
      <c r="X488" s="39">
        <f ca="1">MIP_4[[#This Row],[PT-1]]*$S$3+MIP_4[[#This Row],[PT-2]]*$T$3+MIP_4[[#This Row],[PT-3]]*$U$3+MIP_4[[#This Row],[PT &gt; 3 Pontos]]*$V$3</f>
        <v>0.23182971014492745</v>
      </c>
      <c r="Y488" s="39">
        <f>MIP_4[[#This Row],[HH disponível]]-MIP_4[[#This Row],[HH AC TOT]]</f>
        <v>0.32500000000000007</v>
      </c>
      <c r="Z488" s="38">
        <f ca="1">MIP_4[[#This Row],[HH Produtivo
Total]]/MIP_4[[#This Row],[HH Trabalhado]]</f>
        <v>0.71332218506131506</v>
      </c>
      <c r="AA488" s="38">
        <f ca="1">MIP_4[[#This Row],[HH Produtivo
Total]]/MIP_4[[#This Row],[HH disponível]]</f>
        <v>0.63226284584980219</v>
      </c>
      <c r="AB488" s="38">
        <f>MIP_4[[#This Row],[HH Trabalhado]]/MIP_4[[#This Row],[HH disponível]]</f>
        <v>0.88636363636363658</v>
      </c>
      <c r="AC488" s="37" t="str">
        <f>LEFT(MIP_4[[#This Row],[Equipe]], SEARCH("/",MIP_4[[#This Row],[Equipe]],1)-1)</f>
        <v xml:space="preserve">HERVAL </v>
      </c>
      <c r="AD488" s="37" t="str">
        <f>RIGHT(MIP_4[[#This Row],[Equipe]], LEN(MIP_4[[#This Row],[Equipe]])-SEARCH("/",MIP_4[[#This Row],[Equipe]],1))</f>
        <v xml:space="preserve"> VALDEI</v>
      </c>
      <c r="AE488" s="44">
        <f>COUNTIFS('[1]Tempo parado'!G:G,"&gt;="&amp;MIP_4[[#This Row],[S.B Sitrack]],'[1]Tempo parado'!H:H,"&lt;="&amp;MIP_4[[#This Row],[C.B Sitrack]],'[1]Tempo parado'!A:A,MIP_4[[#This Row],[Placa]])</f>
        <v>0</v>
      </c>
      <c r="AF488" s="36"/>
      <c r="AG488" s="35"/>
      <c r="AH488" s="34"/>
      <c r="AI488" s="34"/>
      <c r="AJ48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8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8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88" s="32" t="str">
        <f>IFERROR(MIP_4[[#This Row],[Tempo parado]]/(MIP_4[[#This Row],[C.B Sitrack]]-MIP_4[[#This Row],[S.B Sitrack]]),"")</f>
        <v/>
      </c>
      <c r="AN488" s="30"/>
      <c r="AO488" s="44">
        <f>IF(AND(MIP_4[Exc]=0,MIP_4[Previsto / Realizado]="Realizado"),MIP_4[Sem],0)</f>
        <v>0</v>
      </c>
      <c r="AP488" s="29">
        <f>IF(AND(MIP_4[Exc]=0,MIP_4[Previsto / Realizado]="Realizado",ISBLANK(MIP_4[[#This Row],[S.B Sitrack]])=FALSE,ISBLANK(MIP_4[[#This Row],[C.B Sitrack]])=FALSE),MIP_4[Sem],0)</f>
        <v>0</v>
      </c>
    </row>
    <row r="489" spans="1:42" ht="15.75" x14ac:dyDescent="0.25">
      <c r="A489" s="44">
        <f>WEEKNUM(MIP_4[[#This Row],[Data]])</f>
        <v>36</v>
      </c>
      <c r="B489" s="45">
        <v>42984</v>
      </c>
      <c r="C489" s="45"/>
      <c r="D489" s="35" t="s">
        <v>178</v>
      </c>
      <c r="E489" s="35" t="s">
        <v>2</v>
      </c>
      <c r="F489" s="35"/>
      <c r="G489" s="44">
        <v>2</v>
      </c>
      <c r="H489" s="44">
        <v>3</v>
      </c>
      <c r="I489" s="44">
        <v>0</v>
      </c>
      <c r="J489" s="44">
        <v>1</v>
      </c>
      <c r="K489" s="44">
        <v>0</v>
      </c>
      <c r="L489" s="43">
        <v>0.25694444444444448</v>
      </c>
      <c r="M489" s="43">
        <v>0.29166666666666669</v>
      </c>
      <c r="N489" s="43">
        <v>0.64374999999999993</v>
      </c>
      <c r="O489" s="43">
        <v>0.65902777777777777</v>
      </c>
      <c r="P489" s="39">
        <v>4.8611111111111112E-2</v>
      </c>
      <c r="Q489" s="42" t="s">
        <v>250</v>
      </c>
      <c r="R489" s="29">
        <f>MIP_4[[#This Row],[PT-1]]+MIP_4[[#This Row],[PT-2]]*2+MIP_4[[#This Row],[PT-3]]*3+MIP_4[[#This Row],[PT &gt; 3 Pontos]]</f>
        <v>6</v>
      </c>
      <c r="S48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9.8611111111111149E-2</v>
      </c>
      <c r="T48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5.0000000000000044E-2</v>
      </c>
      <c r="U489" s="41">
        <f ca="1">MIP_4[[#This Row],[Eficiência]]</f>
        <v>0.52660929150809221</v>
      </c>
      <c r="V48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89" s="39">
        <f>IF(MIP_4[[#This Row],[P.S]]-MIP_4[[#This Row],[P.E]]&lt;0,1+MIP_4[[#This Row],[P.S]]-MIP_4[[#This Row],[P.E]]-1/24,MIP_4[[#This Row],[P.S]]-MIP_4[[#This Row],[P.E]]-1/24)</f>
        <v>0.36041666666666661</v>
      </c>
      <c r="X489" s="39">
        <f ca="1">MIP_4[[#This Row],[PT-1]]*$S$3+MIP_4[[#This Row],[PT-2]]*$T$3+MIP_4[[#This Row],[PT-3]]*$U$3+MIP_4[[#This Row],[PT &gt; 3 Pontos]]*$V$3</f>
        <v>0.13786923812399354</v>
      </c>
      <c r="Y489" s="39">
        <f>MIP_4[[#This Row],[HH disponível]]-MIP_4[[#This Row],[HH AC TOT]]</f>
        <v>0.26180555555555546</v>
      </c>
      <c r="Z489" s="38">
        <f ca="1">MIP_4[[#This Row],[HH Produtivo
Total]]/MIP_4[[#This Row],[HH Trabalhado]]</f>
        <v>0.52660929150809221</v>
      </c>
      <c r="AA489" s="38">
        <f ca="1">MIP_4[[#This Row],[HH Produtivo
Total]]/MIP_4[[#This Row],[HH disponível]]</f>
        <v>0.38252736589316133</v>
      </c>
      <c r="AB489" s="38">
        <f>MIP_4[[#This Row],[HH Trabalhado]]/MIP_4[[#This Row],[HH disponível]]</f>
        <v>0.72639691714836208</v>
      </c>
      <c r="AC489" s="37" t="str">
        <f>LEFT(MIP_4[[#This Row],[Equipe]], SEARCH("/",MIP_4[[#This Row],[Equipe]],1)-1)</f>
        <v xml:space="preserve">HERVAL </v>
      </c>
      <c r="AD489" s="37" t="str">
        <f>RIGHT(MIP_4[[#This Row],[Equipe]], LEN(MIP_4[[#This Row],[Equipe]])-SEARCH("/",MIP_4[[#This Row],[Equipe]],1))</f>
        <v xml:space="preserve"> VALDEI</v>
      </c>
      <c r="AE489" s="44">
        <f>COUNTIFS('[1]Tempo parado'!G:G,"&gt;="&amp;MIP_4[[#This Row],[S.B Sitrack]],'[1]Tempo parado'!H:H,"&lt;="&amp;MIP_4[[#This Row],[C.B Sitrack]],'[1]Tempo parado'!A:A,MIP_4[[#This Row],[Placa]])</f>
        <v>0</v>
      </c>
      <c r="AF489" s="36"/>
      <c r="AG489" s="35"/>
      <c r="AH489" s="34"/>
      <c r="AI489" s="34"/>
      <c r="AJ48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8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8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89" s="32" t="str">
        <f>IFERROR(MIP_4[[#This Row],[Tempo parado]]/(MIP_4[[#This Row],[C.B Sitrack]]-MIP_4[[#This Row],[S.B Sitrack]]),"")</f>
        <v/>
      </c>
      <c r="AN489" s="30"/>
      <c r="AO489" s="44">
        <f>IF(AND(MIP_4[Exc]=0,MIP_4[Previsto / Realizado]="Realizado"),MIP_4[Sem],0)</f>
        <v>36</v>
      </c>
      <c r="AP489" s="29">
        <f>IF(AND(MIP_4[Exc]=0,MIP_4[Previsto / Realizado]="Realizado",ISBLANK(MIP_4[[#This Row],[S.B Sitrack]])=FALSE,ISBLANK(MIP_4[[#This Row],[C.B Sitrack]])=FALSE),MIP_4[Sem],0)</f>
        <v>0</v>
      </c>
    </row>
    <row r="490" spans="1:42" ht="15.75" x14ac:dyDescent="0.25">
      <c r="A490" s="44">
        <f>WEEKNUM(MIP_4[[#This Row],[Data]])</f>
        <v>36</v>
      </c>
      <c r="B490" s="45">
        <v>42984</v>
      </c>
      <c r="C490" s="45"/>
      <c r="D490" s="35" t="s">
        <v>3</v>
      </c>
      <c r="E490" s="35" t="s">
        <v>5</v>
      </c>
      <c r="F490" s="35"/>
      <c r="G490" s="44">
        <v>2</v>
      </c>
      <c r="H490" s="44">
        <v>3</v>
      </c>
      <c r="I490" s="44">
        <v>3</v>
      </c>
      <c r="J490" s="44">
        <v>2</v>
      </c>
      <c r="K490" s="44">
        <v>0</v>
      </c>
      <c r="L490" s="43">
        <v>0.625</v>
      </c>
      <c r="M490" s="43">
        <v>0.64583333333333337</v>
      </c>
      <c r="N490" s="43">
        <f>1+18/24/60</f>
        <v>1.0125</v>
      </c>
      <c r="O490" s="43">
        <f>1+48/24/60</f>
        <v>1.0333333333333334</v>
      </c>
      <c r="P490" s="39"/>
      <c r="Q490" s="42"/>
      <c r="R490" s="29">
        <f>MIP_4[[#This Row],[PT-1]]+MIP_4[[#This Row],[PT-2]]*2+MIP_4[[#This Row],[PT-3]]*3+MIP_4[[#This Row],[PT &gt; 3 Pontos]]</f>
        <v>15</v>
      </c>
      <c r="S49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49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490" s="41">
        <f ca="1">MIP_4[[#This Row],[Eficiência]]</f>
        <v>1.0227298944010905</v>
      </c>
      <c r="V49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90" s="39">
        <f>IF(MIP_4[[#This Row],[P.S]]-MIP_4[[#This Row],[P.E]]&lt;0,1+MIP_4[[#This Row],[P.S]]-MIP_4[[#This Row],[P.E]]-1/24,MIP_4[[#This Row],[P.S]]-MIP_4[[#This Row],[P.E]]-1/24)</f>
        <v>0.36666666666666675</v>
      </c>
      <c r="X490" s="39">
        <f ca="1">MIP_4[[#This Row],[PT-1]]*$S$3+MIP_4[[#This Row],[PT-2]]*$T$3+MIP_4[[#This Row],[PT-3]]*$U$3+MIP_4[[#This Row],[PT &gt; 3 Pontos]]*$V$3</f>
        <v>0.33238721568035429</v>
      </c>
      <c r="Y490" s="39">
        <f>MIP_4[[#This Row],[HH disponível]]-MIP_4[[#This Row],[HH AC TOT]]</f>
        <v>0.3249999999999999</v>
      </c>
      <c r="Z490" s="38">
        <f ca="1">MIP_4[[#This Row],[HH Produtivo
Total]]/MIP_4[[#This Row],[HH Trabalhado]]</f>
        <v>1.0227298944010905</v>
      </c>
      <c r="AA490" s="38">
        <f ca="1">MIP_4[[#This Row],[HH Produtivo
Total]]/MIP_4[[#This Row],[HH disponível]]</f>
        <v>0.90651058821914787</v>
      </c>
      <c r="AB490" s="38">
        <f>MIP_4[[#This Row],[HH Trabalhado]]/MIP_4[[#This Row],[HH disponível]]</f>
        <v>0.88636363636363591</v>
      </c>
      <c r="AC490" s="37" t="str">
        <f>LEFT(MIP_4[[#This Row],[Equipe]], SEARCH("/",MIP_4[[#This Row],[Equipe]],1)-1)</f>
        <v xml:space="preserve">EDILTON </v>
      </c>
      <c r="AD490" s="37" t="str">
        <f>RIGHT(MIP_4[[#This Row],[Equipe]], LEN(MIP_4[[#This Row],[Equipe]])-SEARCH("/",MIP_4[[#This Row],[Equipe]],1))</f>
        <v xml:space="preserve"> GECIVALDO</v>
      </c>
      <c r="AE490" s="44">
        <f>COUNTIFS('[1]Tempo parado'!G:G,"&gt;="&amp;MIP_4[[#This Row],[S.B Sitrack]],'[1]Tempo parado'!H:H,"&lt;="&amp;MIP_4[[#This Row],[C.B Sitrack]],'[1]Tempo parado'!A:A,MIP_4[[#This Row],[Placa]])</f>
        <v>0</v>
      </c>
      <c r="AF490" s="36"/>
      <c r="AG490" s="35"/>
      <c r="AH490" s="34"/>
      <c r="AI490" s="34"/>
      <c r="AJ49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9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9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90" s="32" t="str">
        <f>IFERROR(MIP_4[[#This Row],[Tempo parado]]/(MIP_4[[#This Row],[C.B Sitrack]]-MIP_4[[#This Row],[S.B Sitrack]]),"")</f>
        <v/>
      </c>
      <c r="AN490" s="30"/>
      <c r="AO490" s="44">
        <f>IF(AND(MIP_4[Exc]=0,MIP_4[Previsto / Realizado]="Realizado"),MIP_4[Sem],0)</f>
        <v>0</v>
      </c>
      <c r="AP490" s="29">
        <f>IF(AND(MIP_4[Exc]=0,MIP_4[Previsto / Realizado]="Realizado",ISBLANK(MIP_4[[#This Row],[S.B Sitrack]])=FALSE,ISBLANK(MIP_4[[#This Row],[C.B Sitrack]])=FALSE),MIP_4[Sem],0)</f>
        <v>0</v>
      </c>
    </row>
    <row r="491" spans="1:42" ht="15.75" x14ac:dyDescent="0.25">
      <c r="A491" s="44">
        <f>WEEKNUM(MIP_4[[#This Row],[Data]])</f>
        <v>36</v>
      </c>
      <c r="B491" s="45">
        <v>42984</v>
      </c>
      <c r="C491" s="45"/>
      <c r="D491" s="35" t="s">
        <v>3</v>
      </c>
      <c r="E491" s="35" t="s">
        <v>2</v>
      </c>
      <c r="F491" s="35"/>
      <c r="G491" s="44">
        <v>2</v>
      </c>
      <c r="H491" s="44">
        <v>4</v>
      </c>
      <c r="I491" s="44">
        <v>3</v>
      </c>
      <c r="J491" s="44">
        <v>1</v>
      </c>
      <c r="K491" s="44">
        <v>0</v>
      </c>
      <c r="L491" s="43">
        <v>0.62152777777777779</v>
      </c>
      <c r="M491" s="43">
        <v>0.67222222222222217</v>
      </c>
      <c r="N491" s="43">
        <v>0.99444444444444446</v>
      </c>
      <c r="O491" s="43">
        <f>1+59/24/60</f>
        <v>1.0409722222222222</v>
      </c>
      <c r="P491" s="39"/>
      <c r="Q491" s="42" t="s">
        <v>32</v>
      </c>
      <c r="R491" s="29">
        <f>MIP_4[[#This Row],[PT-1]]+MIP_4[[#This Row],[PT-2]]*2+MIP_4[[#This Row],[PT-3]]*3+MIP_4[[#This Row],[PT &gt; 3 Pontos]]</f>
        <v>13</v>
      </c>
      <c r="S49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9.7222222222222099E-2</v>
      </c>
      <c r="T49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9.7222222222222099E-2</v>
      </c>
      <c r="U491" s="41">
        <f ca="1">MIP_4[[#This Row],[Eficiência]]</f>
        <v>1.0501356453580137</v>
      </c>
      <c r="V49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91" s="39">
        <f>IF(MIP_4[[#This Row],[P.S]]-MIP_4[[#This Row],[P.E]]&lt;0,1+MIP_4[[#This Row],[P.S]]-MIP_4[[#This Row],[P.E]]-1/24,MIP_4[[#This Row],[P.S]]-MIP_4[[#This Row],[P.E]]-1/24)</f>
        <v>0.37777777777777771</v>
      </c>
      <c r="X491" s="39">
        <f ca="1">MIP_4[[#This Row],[PT-1]]*$S$3+MIP_4[[#This Row],[PT-2]]*$T$3+MIP_4[[#This Row],[PT-3]]*$U$3+MIP_4[[#This Row],[PT &gt; 3 Pontos]]*$V$3</f>
        <v>0.29462138939210947</v>
      </c>
      <c r="Y491" s="39">
        <f>MIP_4[[#This Row],[HH disponível]]-MIP_4[[#This Row],[HH AC TOT]]</f>
        <v>0.28055555555555561</v>
      </c>
      <c r="Z491" s="38">
        <f ca="1">MIP_4[[#This Row],[HH Produtivo
Total]]/MIP_4[[#This Row],[HH Trabalhado]]</f>
        <v>1.0501356453580137</v>
      </c>
      <c r="AA491" s="38">
        <f ca="1">MIP_4[[#This Row],[HH Produtivo
Total]]/MIP_4[[#This Row],[HH disponível]]</f>
        <v>0.77988014839087816</v>
      </c>
      <c r="AB491" s="38">
        <f>MIP_4[[#This Row],[HH Trabalhado]]/MIP_4[[#This Row],[HH disponível]]</f>
        <v>0.74264705882352966</v>
      </c>
      <c r="AC491" s="37" t="str">
        <f>LEFT(MIP_4[[#This Row],[Equipe]], SEARCH("/",MIP_4[[#This Row],[Equipe]],1)-1)</f>
        <v xml:space="preserve">EDILTON </v>
      </c>
      <c r="AD491" s="37" t="str">
        <f>RIGHT(MIP_4[[#This Row],[Equipe]], LEN(MIP_4[[#This Row],[Equipe]])-SEARCH("/",MIP_4[[#This Row],[Equipe]],1))</f>
        <v xml:space="preserve"> GECIVALDO</v>
      </c>
      <c r="AE491" s="44">
        <f>COUNTIFS('[1]Tempo parado'!G:G,"&gt;="&amp;MIP_4[[#This Row],[S.B Sitrack]],'[1]Tempo parado'!H:H,"&lt;="&amp;MIP_4[[#This Row],[C.B Sitrack]],'[1]Tempo parado'!A:A,MIP_4[[#This Row],[Placa]])</f>
        <v>0</v>
      </c>
      <c r="AF491" s="36"/>
      <c r="AG491" s="35"/>
      <c r="AH491" s="34"/>
      <c r="AI491" s="34"/>
      <c r="AJ49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9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9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91" s="32" t="str">
        <f>IFERROR(MIP_4[[#This Row],[Tempo parado]]/(MIP_4[[#This Row],[C.B Sitrack]]-MIP_4[[#This Row],[S.B Sitrack]]),"")</f>
        <v/>
      </c>
      <c r="AN491" s="30"/>
      <c r="AO491" s="44">
        <f>IF(AND(MIP_4[Exc]=0,MIP_4[Previsto / Realizado]="Realizado"),MIP_4[Sem],0)</f>
        <v>36</v>
      </c>
      <c r="AP491" s="29">
        <f>IF(AND(MIP_4[Exc]=0,MIP_4[Previsto / Realizado]="Realizado",ISBLANK(MIP_4[[#This Row],[S.B Sitrack]])=FALSE,ISBLANK(MIP_4[[#This Row],[C.B Sitrack]])=FALSE),MIP_4[Sem],0)</f>
        <v>0</v>
      </c>
    </row>
    <row r="492" spans="1:42" ht="15.75" x14ac:dyDescent="0.25">
      <c r="A492" s="44">
        <f>WEEKNUM(MIP_4[[#This Row],[Data]])</f>
        <v>36</v>
      </c>
      <c r="B492" s="45">
        <v>42985</v>
      </c>
      <c r="C492" s="45"/>
      <c r="D492" s="35" t="s">
        <v>10</v>
      </c>
      <c r="E492" s="35" t="s">
        <v>5</v>
      </c>
      <c r="F492" s="35"/>
      <c r="G492" s="44">
        <v>2</v>
      </c>
      <c r="H492" s="44">
        <v>2</v>
      </c>
      <c r="I492" s="44">
        <v>0</v>
      </c>
      <c r="J492" s="44">
        <v>0</v>
      </c>
      <c r="K492" s="44">
        <v>0</v>
      </c>
      <c r="L492" s="43">
        <v>0.25</v>
      </c>
      <c r="M492" s="43">
        <v>0.27083333333333331</v>
      </c>
      <c r="N492" s="43">
        <v>0.63750000000000007</v>
      </c>
      <c r="O492" s="43">
        <v>0.65833333333333333</v>
      </c>
      <c r="P492" s="39"/>
      <c r="Q492" s="42" t="s">
        <v>188</v>
      </c>
      <c r="R492" s="29">
        <f>MIP_4[[#This Row],[PT-1]]+MIP_4[[#This Row],[PT-2]]*2+MIP_4[[#This Row],[PT-3]]*3+MIP_4[[#This Row],[PT &gt; 3 Pontos]]</f>
        <v>2</v>
      </c>
      <c r="S49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49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492" s="41">
        <f ca="1">MIP_4[[#This Row],[Eficiência]]</f>
        <v>0.15400524897807494</v>
      </c>
      <c r="V49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92" s="39">
        <f>IF(MIP_4[[#This Row],[P.S]]-MIP_4[[#This Row],[P.E]]&lt;0,1+MIP_4[[#This Row],[P.S]]-MIP_4[[#This Row],[P.E]]-1/24,MIP_4[[#This Row],[P.S]]-MIP_4[[#This Row],[P.E]]-1/24)</f>
        <v>0.36666666666666664</v>
      </c>
      <c r="X492" s="39">
        <f ca="1">MIP_4[[#This Row],[PT-1]]*$S$3+MIP_4[[#This Row],[PT-2]]*$T$3+MIP_4[[#This Row],[PT-3]]*$U$3+MIP_4[[#This Row],[PT &gt; 3 Pontos]]*$V$3</f>
        <v>5.0051705917874362E-2</v>
      </c>
      <c r="Y492" s="39">
        <f>MIP_4[[#This Row],[HH disponível]]-MIP_4[[#This Row],[HH AC TOT]]</f>
        <v>0.32500000000000007</v>
      </c>
      <c r="Z492" s="38">
        <f ca="1">MIP_4[[#This Row],[HH Produtivo
Total]]/MIP_4[[#This Row],[HH Trabalhado]]</f>
        <v>0.15400524897807494</v>
      </c>
      <c r="AA492" s="38">
        <f ca="1">MIP_4[[#This Row],[HH Produtivo
Total]]/MIP_4[[#This Row],[HH disponível]]</f>
        <v>0.13650465250329372</v>
      </c>
      <c r="AB492" s="38">
        <f>MIP_4[[#This Row],[HH Trabalhado]]/MIP_4[[#This Row],[HH disponível]]</f>
        <v>0.88636363636363658</v>
      </c>
      <c r="AC492" s="37" t="str">
        <f>LEFT(MIP_4[[#This Row],[Equipe]], SEARCH("/",MIP_4[[#This Row],[Equipe]],1)-1)</f>
        <v xml:space="preserve">JOILSON </v>
      </c>
      <c r="AD492" s="37" t="str">
        <f>RIGHT(MIP_4[[#This Row],[Equipe]], LEN(MIP_4[[#This Row],[Equipe]])-SEARCH("/",MIP_4[[#This Row],[Equipe]],1))</f>
        <v xml:space="preserve"> VALDEI</v>
      </c>
      <c r="AE492" s="44">
        <f>COUNTIFS('[1]Tempo parado'!G:G,"&gt;="&amp;MIP_4[[#This Row],[S.B Sitrack]],'[1]Tempo parado'!H:H,"&lt;="&amp;MIP_4[[#This Row],[C.B Sitrack]],'[1]Tempo parado'!A:A,MIP_4[[#This Row],[Placa]])</f>
        <v>0</v>
      </c>
      <c r="AF492" s="36"/>
      <c r="AG492" s="35"/>
      <c r="AH492" s="34"/>
      <c r="AI492" s="34"/>
      <c r="AJ49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9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9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92" s="32" t="str">
        <f>IFERROR(MIP_4[[#This Row],[Tempo parado]]/(MIP_4[[#This Row],[C.B Sitrack]]-MIP_4[[#This Row],[S.B Sitrack]]),"")</f>
        <v/>
      </c>
      <c r="AN492" s="30"/>
      <c r="AO492" s="44">
        <f>IF(AND(MIP_4[Exc]=0,MIP_4[Previsto / Realizado]="Realizado"),MIP_4[Sem],0)</f>
        <v>0</v>
      </c>
      <c r="AP492" s="29">
        <f>IF(AND(MIP_4[Exc]=0,MIP_4[Previsto / Realizado]="Realizado",ISBLANK(MIP_4[[#This Row],[S.B Sitrack]])=FALSE,ISBLANK(MIP_4[[#This Row],[C.B Sitrack]])=FALSE),MIP_4[Sem],0)</f>
        <v>0</v>
      </c>
    </row>
    <row r="493" spans="1:42" ht="15.75" x14ac:dyDescent="0.25">
      <c r="A493" s="44">
        <f>WEEKNUM(MIP_4[[#This Row],[Data]])</f>
        <v>36</v>
      </c>
      <c r="B493" s="45">
        <v>42985</v>
      </c>
      <c r="C493" s="45"/>
      <c r="D493" s="35" t="s">
        <v>10</v>
      </c>
      <c r="E493" s="35" t="s">
        <v>2</v>
      </c>
      <c r="F493" s="35"/>
      <c r="G493" s="44">
        <v>2</v>
      </c>
      <c r="H493" s="44">
        <v>7</v>
      </c>
      <c r="I493" s="44">
        <v>1</v>
      </c>
      <c r="J493" s="44">
        <v>1</v>
      </c>
      <c r="K493" s="44">
        <v>0</v>
      </c>
      <c r="L493" s="43">
        <v>0.25555555555555559</v>
      </c>
      <c r="M493" s="43">
        <v>0.28819444444444448</v>
      </c>
      <c r="N493" s="43">
        <v>0.55763888888888891</v>
      </c>
      <c r="O493" s="43">
        <v>0.65833333333333333</v>
      </c>
      <c r="P493" s="39"/>
      <c r="Q493" s="42" t="s">
        <v>191</v>
      </c>
      <c r="R493" s="29">
        <f>MIP_4[[#This Row],[PT-1]]+MIP_4[[#This Row],[PT-2]]*2+MIP_4[[#This Row],[PT-3]]*3+MIP_4[[#This Row],[PT &gt; 3 Pontos]]</f>
        <v>12</v>
      </c>
      <c r="S49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0.1333333333333333</v>
      </c>
      <c r="T49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0.1333333333333333</v>
      </c>
      <c r="U493" s="41">
        <f ca="1">MIP_4[[#This Row],[Eficiência]]</f>
        <v>1.2375281680805934</v>
      </c>
      <c r="V49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93" s="39">
        <f>IF(MIP_4[[#This Row],[P.S]]-MIP_4[[#This Row],[P.E]]&lt;0,1+MIP_4[[#This Row],[P.S]]-MIP_4[[#This Row],[P.E]]-1/24,MIP_4[[#This Row],[P.S]]-MIP_4[[#This Row],[P.E]]-1/24)</f>
        <v>0.36111111111111105</v>
      </c>
      <c r="X493" s="39">
        <f ca="1">MIP_4[[#This Row],[PT-1]]*$S$3+MIP_4[[#This Row],[PT-2]]*$T$3+MIP_4[[#This Row],[PT-3]]*$U$3+MIP_4[[#This Row],[PT &gt; 3 Pontos]]*$V$3</f>
        <v>0.28188141606280182</v>
      </c>
      <c r="Y493" s="39">
        <f>MIP_4[[#This Row],[HH disponível]]-MIP_4[[#This Row],[HH AC TOT]]</f>
        <v>0.22777777777777775</v>
      </c>
      <c r="Z493" s="38">
        <f ca="1">MIP_4[[#This Row],[HH Produtivo
Total]]/MIP_4[[#This Row],[HH Trabalhado]]</f>
        <v>1.2375281680805934</v>
      </c>
      <c r="AA493" s="38">
        <f ca="1">MIP_4[[#This Row],[HH Produtivo
Total]]/MIP_4[[#This Row],[HH disponível]]</f>
        <v>0.78059469063545128</v>
      </c>
      <c r="AB493" s="38">
        <f>MIP_4[[#This Row],[HH Trabalhado]]/MIP_4[[#This Row],[HH disponível]]</f>
        <v>0.63076923076923075</v>
      </c>
      <c r="AC493" s="37" t="str">
        <f>LEFT(MIP_4[[#This Row],[Equipe]], SEARCH("/",MIP_4[[#This Row],[Equipe]],1)-1)</f>
        <v xml:space="preserve">JOILSON </v>
      </c>
      <c r="AD493" s="37" t="str">
        <f>RIGHT(MIP_4[[#This Row],[Equipe]], LEN(MIP_4[[#This Row],[Equipe]])-SEARCH("/",MIP_4[[#This Row],[Equipe]],1))</f>
        <v xml:space="preserve"> VALDEI</v>
      </c>
      <c r="AE493" s="44">
        <f>COUNTIFS('[1]Tempo parado'!G:G,"&gt;="&amp;MIP_4[[#This Row],[S.B Sitrack]],'[1]Tempo parado'!H:H,"&lt;="&amp;MIP_4[[#This Row],[C.B Sitrack]],'[1]Tempo parado'!A:A,MIP_4[[#This Row],[Placa]])</f>
        <v>0</v>
      </c>
      <c r="AF493" s="36"/>
      <c r="AG493" s="35"/>
      <c r="AH493" s="34"/>
      <c r="AI493" s="34"/>
      <c r="AJ49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9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9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93" s="32" t="str">
        <f>IFERROR(MIP_4[[#This Row],[Tempo parado]]/(MIP_4[[#This Row],[C.B Sitrack]]-MIP_4[[#This Row],[S.B Sitrack]]),"")</f>
        <v/>
      </c>
      <c r="AN493" s="30"/>
      <c r="AO493" s="44">
        <f>IF(AND(MIP_4[Exc]=0,MIP_4[Previsto / Realizado]="Realizado"),MIP_4[Sem],0)</f>
        <v>36</v>
      </c>
      <c r="AP493" s="29">
        <f>IF(AND(MIP_4[Exc]=0,MIP_4[Previsto / Realizado]="Realizado",ISBLANK(MIP_4[[#This Row],[S.B Sitrack]])=FALSE,ISBLANK(MIP_4[[#This Row],[C.B Sitrack]])=FALSE),MIP_4[Sem],0)</f>
        <v>0</v>
      </c>
    </row>
    <row r="494" spans="1:42" ht="15.75" x14ac:dyDescent="0.25">
      <c r="A494" s="44">
        <f>WEEKNUM(MIP_4[[#This Row],[Data]])</f>
        <v>36</v>
      </c>
      <c r="B494" s="45">
        <v>42985</v>
      </c>
      <c r="C494" s="45"/>
      <c r="D494" s="35" t="s">
        <v>19</v>
      </c>
      <c r="E494" s="35" t="s">
        <v>5</v>
      </c>
      <c r="F494" s="35"/>
      <c r="G494" s="44">
        <v>2</v>
      </c>
      <c r="H494" s="44">
        <v>0</v>
      </c>
      <c r="I494" s="44">
        <v>0</v>
      </c>
      <c r="J494" s="44">
        <v>0</v>
      </c>
      <c r="K494" s="44">
        <v>0</v>
      </c>
      <c r="L494" s="43">
        <v>0.625</v>
      </c>
      <c r="M494" s="43">
        <v>0.64583333333333337</v>
      </c>
      <c r="N494" s="43">
        <f>1+18/24/60</f>
        <v>1.0125</v>
      </c>
      <c r="O494" s="43">
        <f>1+48/24/60</f>
        <v>1.0333333333333334</v>
      </c>
      <c r="P494" s="39"/>
      <c r="Q494" s="42"/>
      <c r="R494" s="29">
        <f>MIP_4[[#This Row],[PT-1]]+MIP_4[[#This Row],[PT-2]]*2+MIP_4[[#This Row],[PT-3]]*3+MIP_4[[#This Row],[PT &gt; 3 Pontos]]</f>
        <v>0</v>
      </c>
      <c r="S49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49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494" s="41">
        <f ca="1">MIP_4[[#This Row],[Eficiência]]</f>
        <v>0</v>
      </c>
      <c r="V49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94" s="39">
        <f>IF(MIP_4[[#This Row],[P.S]]-MIP_4[[#This Row],[P.E]]&lt;0,1+MIP_4[[#This Row],[P.S]]-MIP_4[[#This Row],[P.E]]-1/24,MIP_4[[#This Row],[P.S]]-MIP_4[[#This Row],[P.E]]-1/24)</f>
        <v>0.36666666666666675</v>
      </c>
      <c r="X494" s="39">
        <f ca="1">MIP_4[[#This Row],[PT-1]]*$S$3+MIP_4[[#This Row],[PT-2]]*$T$3+MIP_4[[#This Row],[PT-3]]*$U$3+MIP_4[[#This Row],[PT &gt; 3 Pontos]]*$V$3</f>
        <v>0</v>
      </c>
      <c r="Y494" s="39">
        <f>MIP_4[[#This Row],[HH disponível]]-MIP_4[[#This Row],[HH AC TOT]]</f>
        <v>0.3249999999999999</v>
      </c>
      <c r="Z494" s="38">
        <f ca="1">MIP_4[[#This Row],[HH Produtivo
Total]]/MIP_4[[#This Row],[HH Trabalhado]]</f>
        <v>0</v>
      </c>
      <c r="AA494" s="38">
        <f ca="1">MIP_4[[#This Row],[HH Produtivo
Total]]/MIP_4[[#This Row],[HH disponível]]</f>
        <v>0</v>
      </c>
      <c r="AB494" s="38">
        <f>MIP_4[[#This Row],[HH Trabalhado]]/MIP_4[[#This Row],[HH disponível]]</f>
        <v>0.88636363636363591</v>
      </c>
      <c r="AC494" s="37" t="str">
        <f>LEFT(MIP_4[[#This Row],[Equipe]], SEARCH("/",MIP_4[[#This Row],[Equipe]],1)-1)</f>
        <v xml:space="preserve">ADEMÁRIO </v>
      </c>
      <c r="AD494" s="37" t="str">
        <f>RIGHT(MIP_4[[#This Row],[Equipe]], LEN(MIP_4[[#This Row],[Equipe]])-SEARCH("/",MIP_4[[#This Row],[Equipe]],1))</f>
        <v xml:space="preserve"> RONALDO</v>
      </c>
      <c r="AE494" s="44">
        <f>COUNTIFS('[1]Tempo parado'!G:G,"&gt;="&amp;MIP_4[[#This Row],[S.B Sitrack]],'[1]Tempo parado'!H:H,"&lt;="&amp;MIP_4[[#This Row],[C.B Sitrack]],'[1]Tempo parado'!A:A,MIP_4[[#This Row],[Placa]])</f>
        <v>0</v>
      </c>
      <c r="AF494" s="36"/>
      <c r="AG494" s="35"/>
      <c r="AH494" s="34"/>
      <c r="AI494" s="34"/>
      <c r="AJ49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9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9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94" s="32" t="str">
        <f>IFERROR(MIP_4[[#This Row],[Tempo parado]]/(MIP_4[[#This Row],[C.B Sitrack]]-MIP_4[[#This Row],[S.B Sitrack]]),"")</f>
        <v/>
      </c>
      <c r="AN494" s="30"/>
      <c r="AO494" s="44">
        <f>IF(AND(MIP_4[Exc]=0,MIP_4[Previsto / Realizado]="Realizado"),MIP_4[Sem],0)</f>
        <v>0</v>
      </c>
      <c r="AP494" s="29">
        <f>IF(AND(MIP_4[Exc]=0,MIP_4[Previsto / Realizado]="Realizado",ISBLANK(MIP_4[[#This Row],[S.B Sitrack]])=FALSE,ISBLANK(MIP_4[[#This Row],[C.B Sitrack]])=FALSE),MIP_4[Sem],0)</f>
        <v>0</v>
      </c>
    </row>
    <row r="495" spans="1:42" ht="15.75" x14ac:dyDescent="0.25">
      <c r="A495" s="44">
        <f>WEEKNUM(MIP_4[[#This Row],[Data]])</f>
        <v>36</v>
      </c>
      <c r="B495" s="45">
        <v>42985</v>
      </c>
      <c r="C495" s="45"/>
      <c r="D495" s="35" t="s">
        <v>19</v>
      </c>
      <c r="E495" s="35" t="s">
        <v>2</v>
      </c>
      <c r="F495" s="35"/>
      <c r="G495" s="44">
        <v>2</v>
      </c>
      <c r="H495" s="44">
        <v>0</v>
      </c>
      <c r="I495" s="44">
        <v>1</v>
      </c>
      <c r="J495" s="44">
        <v>1</v>
      </c>
      <c r="K495" s="44">
        <v>4</v>
      </c>
      <c r="L495" s="43">
        <v>0.64652777777777781</v>
      </c>
      <c r="M495" s="43">
        <v>0.69861111111111107</v>
      </c>
      <c r="N495" s="43">
        <f>1+25/24/60</f>
        <v>1.0173611111111112</v>
      </c>
      <c r="O495" s="43">
        <f>1+50/24/60</f>
        <v>1.0347222222222223</v>
      </c>
      <c r="P495" s="39">
        <v>3.6805555555555557E-2</v>
      </c>
      <c r="Q495" s="42" t="s">
        <v>249</v>
      </c>
      <c r="R495" s="29">
        <f>MIP_4[[#This Row],[PT-1]]+MIP_4[[#This Row],[PT-2]]*2+MIP_4[[#This Row],[PT-3]]*3+MIP_4[[#This Row],[PT &gt; 3 Pontos]]</f>
        <v>9</v>
      </c>
      <c r="S49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0.10624999999999998</v>
      </c>
      <c r="T49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6.944444444444442E-2</v>
      </c>
      <c r="U495" s="41">
        <f ca="1">MIP_4[[#This Row],[Eficiência]]</f>
        <v>0.78114793057068133</v>
      </c>
      <c r="V49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95" s="39">
        <f>IF(MIP_4[[#This Row],[P.S]]-MIP_4[[#This Row],[P.E]]&lt;0,1+MIP_4[[#This Row],[P.S]]-MIP_4[[#This Row],[P.E]]-1/24,MIP_4[[#This Row],[P.S]]-MIP_4[[#This Row],[P.E]]-1/24)</f>
        <v>0.34652777777777782</v>
      </c>
      <c r="X495" s="39">
        <f ca="1">MIP_4[[#This Row],[PT-1]]*$S$3+MIP_4[[#This Row],[PT-2]]*$T$3+MIP_4[[#This Row],[PT-3]]*$U$3+MIP_4[[#This Row],[PT &gt; 3 Pontos]]*$V$3</f>
        <v>0.1876924888732332</v>
      </c>
      <c r="Y495" s="39">
        <f>MIP_4[[#This Row],[HH disponível]]-MIP_4[[#This Row],[HH AC TOT]]</f>
        <v>0.24027777777777784</v>
      </c>
      <c r="Z495" s="38">
        <f ca="1">MIP_4[[#This Row],[HH Produtivo
Total]]/MIP_4[[#This Row],[HH Trabalhado]]</f>
        <v>0.78114793057068133</v>
      </c>
      <c r="AA495" s="38">
        <f ca="1">MIP_4[[#This Row],[HH Produtivo
Total]]/MIP_4[[#This Row],[HH disponível]]</f>
        <v>0.5416376432413943</v>
      </c>
      <c r="AB495" s="38">
        <f>MIP_4[[#This Row],[HH Trabalhado]]/MIP_4[[#This Row],[HH disponível]]</f>
        <v>0.69338677354709433</v>
      </c>
      <c r="AC495" s="37" t="str">
        <f>LEFT(MIP_4[[#This Row],[Equipe]], SEARCH("/",MIP_4[[#This Row],[Equipe]],1)-1)</f>
        <v xml:space="preserve">ADEMÁRIO </v>
      </c>
      <c r="AD495" s="37" t="str">
        <f>RIGHT(MIP_4[[#This Row],[Equipe]], LEN(MIP_4[[#This Row],[Equipe]])-SEARCH("/",MIP_4[[#This Row],[Equipe]],1))</f>
        <v xml:space="preserve"> RONALDO</v>
      </c>
      <c r="AE495" s="44">
        <f>COUNTIFS('[1]Tempo parado'!G:G,"&gt;="&amp;MIP_4[[#This Row],[S.B Sitrack]],'[1]Tempo parado'!H:H,"&lt;="&amp;MIP_4[[#This Row],[C.B Sitrack]],'[1]Tempo parado'!A:A,MIP_4[[#This Row],[Placa]])</f>
        <v>0</v>
      </c>
      <c r="AF495" s="36"/>
      <c r="AG495" s="35"/>
      <c r="AH495" s="34"/>
      <c r="AI495" s="34"/>
      <c r="AJ49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9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9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95" s="32" t="str">
        <f>IFERROR(MIP_4[[#This Row],[Tempo parado]]/(MIP_4[[#This Row],[C.B Sitrack]]-MIP_4[[#This Row],[S.B Sitrack]]),"")</f>
        <v/>
      </c>
      <c r="AN495" s="30"/>
      <c r="AO495" s="44">
        <f>IF(AND(MIP_4[Exc]=0,MIP_4[Previsto / Realizado]="Realizado"),MIP_4[Sem],0)</f>
        <v>36</v>
      </c>
      <c r="AP495" s="29">
        <f>IF(AND(MIP_4[Exc]=0,MIP_4[Previsto / Realizado]="Realizado",ISBLANK(MIP_4[[#This Row],[S.B Sitrack]])=FALSE,ISBLANK(MIP_4[[#This Row],[C.B Sitrack]])=FALSE),MIP_4[Sem],0)</f>
        <v>0</v>
      </c>
    </row>
    <row r="496" spans="1:42" ht="15.75" x14ac:dyDescent="0.25">
      <c r="A496" s="44">
        <f>WEEKNUM(MIP_4[[#This Row],[Data]])</f>
        <v>36</v>
      </c>
      <c r="B496" s="45">
        <v>42985</v>
      </c>
      <c r="C496" s="45"/>
      <c r="D496" s="35" t="s">
        <v>7</v>
      </c>
      <c r="E496" s="35" t="s">
        <v>5</v>
      </c>
      <c r="F496" s="35"/>
      <c r="G496" s="44">
        <v>2</v>
      </c>
      <c r="H496" s="44">
        <v>1</v>
      </c>
      <c r="I496" s="44">
        <v>0</v>
      </c>
      <c r="J496" s="44">
        <v>0</v>
      </c>
      <c r="K496" s="44">
        <v>0</v>
      </c>
      <c r="L496" s="43">
        <v>0.625</v>
      </c>
      <c r="M496" s="43">
        <v>0.64583333333333337</v>
      </c>
      <c r="N496" s="43">
        <f>1+18/24/60</f>
        <v>1.0125</v>
      </c>
      <c r="O496" s="43">
        <f>1+48/24/60</f>
        <v>1.0333333333333334</v>
      </c>
      <c r="P496" s="39"/>
      <c r="Q496" s="42"/>
      <c r="R496" s="29">
        <f>MIP_4[[#This Row],[PT-1]]+MIP_4[[#This Row],[PT-2]]*2+MIP_4[[#This Row],[PT-3]]*3+MIP_4[[#This Row],[PT &gt; 3 Pontos]]</f>
        <v>1</v>
      </c>
      <c r="S49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49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496" s="41">
        <f ca="1">MIP_4[[#This Row],[Eficiência]]</f>
        <v>7.7002624489037497E-2</v>
      </c>
      <c r="V49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96" s="39">
        <f>IF(MIP_4[[#This Row],[P.S]]-MIP_4[[#This Row],[P.E]]&lt;0,1+MIP_4[[#This Row],[P.S]]-MIP_4[[#This Row],[P.E]]-1/24,MIP_4[[#This Row],[P.S]]-MIP_4[[#This Row],[P.E]]-1/24)</f>
        <v>0.36666666666666675</v>
      </c>
      <c r="X496" s="39">
        <f ca="1">MIP_4[[#This Row],[PT-1]]*$S$3+MIP_4[[#This Row],[PT-2]]*$T$3+MIP_4[[#This Row],[PT-3]]*$U$3+MIP_4[[#This Row],[PT &gt; 3 Pontos]]*$V$3</f>
        <v>2.5025852958937181E-2</v>
      </c>
      <c r="Y496" s="39">
        <f>MIP_4[[#This Row],[HH disponível]]-MIP_4[[#This Row],[HH AC TOT]]</f>
        <v>0.3249999999999999</v>
      </c>
      <c r="Z496" s="38">
        <f ca="1">MIP_4[[#This Row],[HH Produtivo
Total]]/MIP_4[[#This Row],[HH Trabalhado]]</f>
        <v>7.7002624489037497E-2</v>
      </c>
      <c r="AA496" s="38">
        <f ca="1">MIP_4[[#This Row],[HH Produtivo
Total]]/MIP_4[[#This Row],[HH disponível]]</f>
        <v>6.8252326251646844E-2</v>
      </c>
      <c r="AB496" s="38">
        <f>MIP_4[[#This Row],[HH Trabalhado]]/MIP_4[[#This Row],[HH disponível]]</f>
        <v>0.88636363636363591</v>
      </c>
      <c r="AC496" s="37" t="str">
        <f>LEFT(MIP_4[[#This Row],[Equipe]], SEARCH("/",MIP_4[[#This Row],[Equipe]],1)-1)</f>
        <v xml:space="preserve">ANDERSON </v>
      </c>
      <c r="AD496" s="37" t="str">
        <f>RIGHT(MIP_4[[#This Row],[Equipe]], LEN(MIP_4[[#This Row],[Equipe]])-SEARCH("/",MIP_4[[#This Row],[Equipe]],1))</f>
        <v xml:space="preserve"> MARCO</v>
      </c>
      <c r="AE496" s="44">
        <f>COUNTIFS('[1]Tempo parado'!G:G,"&gt;="&amp;MIP_4[[#This Row],[S.B Sitrack]],'[1]Tempo parado'!H:H,"&lt;="&amp;MIP_4[[#This Row],[C.B Sitrack]],'[1]Tempo parado'!A:A,MIP_4[[#This Row],[Placa]])</f>
        <v>0</v>
      </c>
      <c r="AF496" s="36"/>
      <c r="AG496" s="35"/>
      <c r="AH496" s="34"/>
      <c r="AI496" s="34"/>
      <c r="AJ49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9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9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96" s="32" t="str">
        <f>IFERROR(MIP_4[[#This Row],[Tempo parado]]/(MIP_4[[#This Row],[C.B Sitrack]]-MIP_4[[#This Row],[S.B Sitrack]]),"")</f>
        <v/>
      </c>
      <c r="AN496" s="30"/>
      <c r="AO496" s="44">
        <f>IF(AND(MIP_4[Exc]=0,MIP_4[Previsto / Realizado]="Realizado"),MIP_4[Sem],0)</f>
        <v>0</v>
      </c>
      <c r="AP496" s="29">
        <f>IF(AND(MIP_4[Exc]=0,MIP_4[Previsto / Realizado]="Realizado",ISBLANK(MIP_4[[#This Row],[S.B Sitrack]])=FALSE,ISBLANK(MIP_4[[#This Row],[C.B Sitrack]])=FALSE),MIP_4[Sem],0)</f>
        <v>0</v>
      </c>
    </row>
    <row r="497" spans="1:42" ht="15.75" x14ac:dyDescent="0.25">
      <c r="A497" s="44">
        <f>WEEKNUM(MIP_4[[#This Row],[Data]])</f>
        <v>36</v>
      </c>
      <c r="B497" s="45">
        <v>42985</v>
      </c>
      <c r="C497" s="45"/>
      <c r="D497" s="35" t="s">
        <v>7</v>
      </c>
      <c r="E497" s="35" t="s">
        <v>2</v>
      </c>
      <c r="F497" s="35"/>
      <c r="G497" s="44">
        <v>2</v>
      </c>
      <c r="H497" s="44">
        <v>3</v>
      </c>
      <c r="I497" s="44">
        <v>3</v>
      </c>
      <c r="J497" s="44">
        <v>0</v>
      </c>
      <c r="K497" s="44">
        <v>0</v>
      </c>
      <c r="L497" s="43">
        <v>0.625</v>
      </c>
      <c r="M497" s="43">
        <v>0.6972222222222223</v>
      </c>
      <c r="N497" s="43">
        <f>1+15/24/60</f>
        <v>1.0104166666666667</v>
      </c>
      <c r="O497" s="43">
        <f>1+48/24/60</f>
        <v>1.0333333333333334</v>
      </c>
      <c r="P497" s="39"/>
      <c r="Q497" s="42" t="s">
        <v>224</v>
      </c>
      <c r="R497" s="29">
        <f>MIP_4[[#This Row],[PT-1]]+MIP_4[[#This Row],[PT-2]]*2+MIP_4[[#This Row],[PT-3]]*3+MIP_4[[#This Row],[PT &gt; 3 Pontos]]</f>
        <v>9</v>
      </c>
      <c r="S49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9.5138888888888995E-2</v>
      </c>
      <c r="T49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9.5138888888888995E-2</v>
      </c>
      <c r="U497" s="41">
        <f ca="1">MIP_4[[#This Row],[Eficiência]]</f>
        <v>0.7616305737796063</v>
      </c>
      <c r="V49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97" s="39">
        <f>IF(MIP_4[[#This Row],[P.S]]-MIP_4[[#This Row],[P.E]]&lt;0,1+MIP_4[[#This Row],[P.S]]-MIP_4[[#This Row],[P.E]]-1/24,MIP_4[[#This Row],[P.S]]-MIP_4[[#This Row],[P.E]]-1/24)</f>
        <v>0.36666666666666675</v>
      </c>
      <c r="X497" s="39">
        <f ca="1">MIP_4[[#This Row],[PT-1]]*$S$3+MIP_4[[#This Row],[PT-2]]*$T$3+MIP_4[[#This Row],[PT-3]]*$U$3+MIP_4[[#This Row],[PT &gt; 3 Pontos]]*$V$3</f>
        <v>0.20680385718599031</v>
      </c>
      <c r="Y497" s="39">
        <f>MIP_4[[#This Row],[HH disponível]]-MIP_4[[#This Row],[HH AC TOT]]</f>
        <v>0.27152777777777776</v>
      </c>
      <c r="Z497" s="38">
        <f ca="1">MIP_4[[#This Row],[HH Produtivo
Total]]/MIP_4[[#This Row],[HH Trabalhado]]</f>
        <v>0.7616305737796063</v>
      </c>
      <c r="AA497" s="38">
        <f ca="1">MIP_4[[#This Row],[HH Produtivo
Total]]/MIP_4[[#This Row],[HH disponível]]</f>
        <v>0.56401051959815529</v>
      </c>
      <c r="AB497" s="38">
        <f>MIP_4[[#This Row],[HH Trabalhado]]/MIP_4[[#This Row],[HH disponível]]</f>
        <v>0.74053030303030276</v>
      </c>
      <c r="AC497" s="37" t="str">
        <f>LEFT(MIP_4[[#This Row],[Equipe]], SEARCH("/",MIP_4[[#This Row],[Equipe]],1)-1)</f>
        <v xml:space="preserve">ANDERSON </v>
      </c>
      <c r="AD497" s="37" t="str">
        <f>RIGHT(MIP_4[[#This Row],[Equipe]], LEN(MIP_4[[#This Row],[Equipe]])-SEARCH("/",MIP_4[[#This Row],[Equipe]],1))</f>
        <v xml:space="preserve"> MARCO</v>
      </c>
      <c r="AE497" s="44">
        <f>COUNTIFS('[1]Tempo parado'!G:G,"&gt;="&amp;MIP_4[[#This Row],[S.B Sitrack]],'[1]Tempo parado'!H:H,"&lt;="&amp;MIP_4[[#This Row],[C.B Sitrack]],'[1]Tempo parado'!A:A,MIP_4[[#This Row],[Placa]])</f>
        <v>0</v>
      </c>
      <c r="AF497" s="36"/>
      <c r="AG497" s="35"/>
      <c r="AH497" s="34"/>
      <c r="AI497" s="34"/>
      <c r="AJ49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9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9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97" s="32" t="str">
        <f>IFERROR(MIP_4[[#This Row],[Tempo parado]]/(MIP_4[[#This Row],[C.B Sitrack]]-MIP_4[[#This Row],[S.B Sitrack]]),"")</f>
        <v/>
      </c>
      <c r="AN497" s="30"/>
      <c r="AO497" s="44">
        <f>IF(AND(MIP_4[Exc]=0,MIP_4[Previsto / Realizado]="Realizado"),MIP_4[Sem],0)</f>
        <v>36</v>
      </c>
      <c r="AP497" s="29">
        <f>IF(AND(MIP_4[Exc]=0,MIP_4[Previsto / Realizado]="Realizado",ISBLANK(MIP_4[[#This Row],[S.B Sitrack]])=FALSE,ISBLANK(MIP_4[[#This Row],[C.B Sitrack]])=FALSE),MIP_4[Sem],0)</f>
        <v>0</v>
      </c>
    </row>
    <row r="498" spans="1:42" ht="15.75" x14ac:dyDescent="0.25">
      <c r="A498" s="44">
        <f>WEEKNUM(MIP_4[[#This Row],[Data]])</f>
        <v>36</v>
      </c>
      <c r="B498" s="45">
        <v>42986</v>
      </c>
      <c r="C498" s="45"/>
      <c r="D498" s="35" t="s">
        <v>10</v>
      </c>
      <c r="E498" s="35" t="s">
        <v>5</v>
      </c>
      <c r="F498" s="35"/>
      <c r="G498" s="44">
        <v>2</v>
      </c>
      <c r="H498" s="44">
        <v>1</v>
      </c>
      <c r="I498" s="44">
        <v>0</v>
      </c>
      <c r="J498" s="44">
        <v>0</v>
      </c>
      <c r="K498" s="44">
        <v>6</v>
      </c>
      <c r="L498" s="43">
        <v>0.25</v>
      </c>
      <c r="M498" s="43">
        <v>0.27083333333333331</v>
      </c>
      <c r="N498" s="43">
        <v>0.63750000000000007</v>
      </c>
      <c r="O498" s="43">
        <f>1+48/24/60</f>
        <v>1.0333333333333334</v>
      </c>
      <c r="P498" s="39"/>
      <c r="Q498" s="42"/>
      <c r="R498" s="29">
        <f>MIP_4[[#This Row],[PT-1]]+MIP_4[[#This Row],[PT-2]]*2+MIP_4[[#This Row],[PT-3]]*3+MIP_4[[#This Row],[PT &gt; 3 Pontos]]</f>
        <v>7</v>
      </c>
      <c r="S49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0.41666666666666674</v>
      </c>
      <c r="T49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0.41666666666666674</v>
      </c>
      <c r="U498" s="41">
        <f ca="1">MIP_4[[#This Row],[Eficiência]]</f>
        <v>0.45081205613361419</v>
      </c>
      <c r="V49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98" s="39">
        <f>IF(MIP_4[[#This Row],[P.S]]-MIP_4[[#This Row],[P.E]]&lt;0,1+MIP_4[[#This Row],[P.S]]-MIP_4[[#This Row],[P.E]]-1/24,MIP_4[[#This Row],[P.S]]-MIP_4[[#This Row],[P.E]]-1/24)</f>
        <v>0.74166666666666681</v>
      </c>
      <c r="X498" s="39">
        <f ca="1">MIP_4[[#This Row],[PT-1]]*$S$3+MIP_4[[#This Row],[PT-2]]*$T$3+MIP_4[[#This Row],[PT-3]]*$U$3+MIP_4[[#This Row],[PT &gt; 3 Pontos]]*$V$3</f>
        <v>0.14651391824342463</v>
      </c>
      <c r="Y498" s="39">
        <f>MIP_4[[#This Row],[HH disponível]]-MIP_4[[#This Row],[HH AC TOT]]</f>
        <v>0.32500000000000007</v>
      </c>
      <c r="Z498" s="38">
        <f ca="1">MIP_4[[#This Row],[HH Produtivo
Total]]/MIP_4[[#This Row],[HH Trabalhado]]</f>
        <v>0.45081205613361419</v>
      </c>
      <c r="AA498" s="38">
        <f ca="1">MIP_4[[#This Row],[HH Produtivo
Total]]/MIP_4[[#This Row],[HH disponível]]</f>
        <v>0.19754685605855002</v>
      </c>
      <c r="AB498" s="38">
        <f>MIP_4[[#This Row],[HH Trabalhado]]/MIP_4[[#This Row],[HH disponível]]</f>
        <v>0.43820224719101125</v>
      </c>
      <c r="AC498" s="37" t="str">
        <f>LEFT(MIP_4[[#This Row],[Equipe]], SEARCH("/",MIP_4[[#This Row],[Equipe]],1)-1)</f>
        <v xml:space="preserve">JOILSON </v>
      </c>
      <c r="AD498" s="37" t="str">
        <f>RIGHT(MIP_4[[#This Row],[Equipe]], LEN(MIP_4[[#This Row],[Equipe]])-SEARCH("/",MIP_4[[#This Row],[Equipe]],1))</f>
        <v xml:space="preserve"> VALDEI</v>
      </c>
      <c r="AE498" s="44">
        <f>COUNTIFS('[1]Tempo parado'!G:G,"&gt;="&amp;MIP_4[[#This Row],[S.B Sitrack]],'[1]Tempo parado'!H:H,"&lt;="&amp;MIP_4[[#This Row],[C.B Sitrack]],'[1]Tempo parado'!A:A,MIP_4[[#This Row],[Placa]])</f>
        <v>0</v>
      </c>
      <c r="AF498" s="36"/>
      <c r="AG498" s="35"/>
      <c r="AH498" s="34"/>
      <c r="AI498" s="34"/>
      <c r="AJ49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9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9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98" s="32" t="str">
        <f>IFERROR(MIP_4[[#This Row],[Tempo parado]]/(MIP_4[[#This Row],[C.B Sitrack]]-MIP_4[[#This Row],[S.B Sitrack]]),"")</f>
        <v/>
      </c>
      <c r="AN498" s="30"/>
      <c r="AO498" s="44">
        <f>IF(AND(MIP_4[Exc]=0,MIP_4[Previsto / Realizado]="Realizado"),MIP_4[Sem],0)</f>
        <v>0</v>
      </c>
      <c r="AP498" s="29">
        <f>IF(AND(MIP_4[Exc]=0,MIP_4[Previsto / Realizado]="Realizado",ISBLANK(MIP_4[[#This Row],[S.B Sitrack]])=FALSE,ISBLANK(MIP_4[[#This Row],[C.B Sitrack]])=FALSE),MIP_4[Sem],0)</f>
        <v>0</v>
      </c>
    </row>
    <row r="499" spans="1:42" ht="15.75" x14ac:dyDescent="0.25">
      <c r="A499" s="44">
        <f>WEEKNUM(MIP_4[[#This Row],[Data]])</f>
        <v>36</v>
      </c>
      <c r="B499" s="45">
        <v>42986</v>
      </c>
      <c r="C499" s="45"/>
      <c r="D499" s="35" t="s">
        <v>10</v>
      </c>
      <c r="E499" s="35" t="s">
        <v>2</v>
      </c>
      <c r="F499" s="35"/>
      <c r="G499" s="44">
        <v>2</v>
      </c>
      <c r="H499" s="44">
        <v>6</v>
      </c>
      <c r="I499" s="44">
        <v>0</v>
      </c>
      <c r="J499" s="44">
        <v>0</v>
      </c>
      <c r="K499" s="44">
        <v>6</v>
      </c>
      <c r="L499" s="43">
        <v>0.24444444444444446</v>
      </c>
      <c r="M499" s="43">
        <v>0.27291666666666664</v>
      </c>
      <c r="N499" s="43">
        <v>0.6020833333333333</v>
      </c>
      <c r="O499" s="43">
        <v>0.65138888888888891</v>
      </c>
      <c r="P499" s="39"/>
      <c r="Q499" s="42"/>
      <c r="R499" s="29">
        <f>MIP_4[[#This Row],[PT-1]]+MIP_4[[#This Row],[PT-2]]*2+MIP_4[[#This Row],[PT-3]]*3+MIP_4[[#This Row],[PT &gt; 3 Pontos]]</f>
        <v>12</v>
      </c>
      <c r="S49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7.7777777777777779E-2</v>
      </c>
      <c r="T49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7.7777777777777779E-2</v>
      </c>
      <c r="U499" s="41">
        <f ca="1">MIP_4[[#This Row],[Eficiência]]</f>
        <v>0.94484585404560195</v>
      </c>
      <c r="V49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499" s="39">
        <f>IF(MIP_4[[#This Row],[P.S]]-MIP_4[[#This Row],[P.E]]&lt;0,1+MIP_4[[#This Row],[P.S]]-MIP_4[[#This Row],[P.E]]-1/24,MIP_4[[#This Row],[P.S]]-MIP_4[[#This Row],[P.E]]-1/24)</f>
        <v>0.36527777777777776</v>
      </c>
      <c r="X499" s="39">
        <f ca="1">MIP_4[[#This Row],[PT-1]]*$S$3+MIP_4[[#This Row],[PT-2]]*$T$3+MIP_4[[#This Row],[PT-3]]*$U$3+MIP_4[[#This Row],[PT &gt; 3 Pontos]]*$V$3</f>
        <v>0.27164318303811053</v>
      </c>
      <c r="Y499" s="39">
        <f>MIP_4[[#This Row],[HH disponível]]-MIP_4[[#This Row],[HH AC TOT]]</f>
        <v>0.28749999999999998</v>
      </c>
      <c r="Z499" s="38">
        <f ca="1">MIP_4[[#This Row],[HH Produtivo
Total]]/MIP_4[[#This Row],[HH Trabalhado]]</f>
        <v>0.94484585404560195</v>
      </c>
      <c r="AA499" s="38">
        <f ca="1">MIP_4[[#This Row],[HH Produtivo
Total]]/MIP_4[[#This Row],[HH disponível]]</f>
        <v>0.74366194595984636</v>
      </c>
      <c r="AB499" s="38">
        <f>MIP_4[[#This Row],[HH Trabalhado]]/MIP_4[[#This Row],[HH disponível]]</f>
        <v>0.78707224334600756</v>
      </c>
      <c r="AC499" s="37" t="str">
        <f>LEFT(MIP_4[[#This Row],[Equipe]], SEARCH("/",MIP_4[[#This Row],[Equipe]],1)-1)</f>
        <v xml:space="preserve">JOILSON </v>
      </c>
      <c r="AD499" s="37" t="str">
        <f>RIGHT(MIP_4[[#This Row],[Equipe]], LEN(MIP_4[[#This Row],[Equipe]])-SEARCH("/",MIP_4[[#This Row],[Equipe]],1))</f>
        <v xml:space="preserve"> VALDEI</v>
      </c>
      <c r="AE499" s="44">
        <f>COUNTIFS('[1]Tempo parado'!G:G,"&gt;="&amp;MIP_4[[#This Row],[S.B Sitrack]],'[1]Tempo parado'!H:H,"&lt;="&amp;MIP_4[[#This Row],[C.B Sitrack]],'[1]Tempo parado'!A:A,MIP_4[[#This Row],[Placa]])</f>
        <v>0</v>
      </c>
      <c r="AF499" s="36"/>
      <c r="AG499" s="35"/>
      <c r="AH499" s="34"/>
      <c r="AI499" s="34"/>
      <c r="AJ49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49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49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499" s="32" t="str">
        <f>IFERROR(MIP_4[[#This Row],[Tempo parado]]/(MIP_4[[#This Row],[C.B Sitrack]]-MIP_4[[#This Row],[S.B Sitrack]]),"")</f>
        <v/>
      </c>
      <c r="AN499" s="30"/>
      <c r="AO499" s="44">
        <f>IF(AND(MIP_4[Exc]=0,MIP_4[Previsto / Realizado]="Realizado"),MIP_4[Sem],0)</f>
        <v>36</v>
      </c>
      <c r="AP499" s="29">
        <f>IF(AND(MIP_4[Exc]=0,MIP_4[Previsto / Realizado]="Realizado",ISBLANK(MIP_4[[#This Row],[S.B Sitrack]])=FALSE,ISBLANK(MIP_4[[#This Row],[C.B Sitrack]])=FALSE),MIP_4[Sem],0)</f>
        <v>0</v>
      </c>
    </row>
    <row r="500" spans="1:42" ht="15.75" x14ac:dyDescent="0.25">
      <c r="A500" s="44">
        <f>WEEKNUM(MIP_4[[#This Row],[Data]])</f>
        <v>36</v>
      </c>
      <c r="B500" s="45">
        <v>42986</v>
      </c>
      <c r="C500" s="45"/>
      <c r="D500" s="35" t="s">
        <v>248</v>
      </c>
      <c r="E500" s="35" t="s">
        <v>5</v>
      </c>
      <c r="F500" s="35"/>
      <c r="G500" s="44">
        <v>2</v>
      </c>
      <c r="H500" s="44">
        <v>0</v>
      </c>
      <c r="I500" s="44">
        <v>0</v>
      </c>
      <c r="J500" s="44">
        <v>0</v>
      </c>
      <c r="K500" s="44">
        <v>0</v>
      </c>
      <c r="L500" s="43">
        <v>0.625</v>
      </c>
      <c r="M500" s="43">
        <v>0.64583333333333337</v>
      </c>
      <c r="N500" s="43">
        <f>1+18/24/60</f>
        <v>1.0125</v>
      </c>
      <c r="O500" s="43">
        <f>1+48/24/60</f>
        <v>1.0333333333333334</v>
      </c>
      <c r="P500" s="39"/>
      <c r="Q500" s="42"/>
      <c r="R500" s="29">
        <f>MIP_4[[#This Row],[PT-1]]+MIP_4[[#This Row],[PT-2]]*2+MIP_4[[#This Row],[PT-3]]*3+MIP_4[[#This Row],[PT &gt; 3 Pontos]]</f>
        <v>0</v>
      </c>
      <c r="S50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50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500" s="41">
        <f ca="1">MIP_4[[#This Row],[Eficiência]]</f>
        <v>0</v>
      </c>
      <c r="V50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00" s="39">
        <f>IF(MIP_4[[#This Row],[P.S]]-MIP_4[[#This Row],[P.E]]&lt;0,1+MIP_4[[#This Row],[P.S]]-MIP_4[[#This Row],[P.E]]-1/24,MIP_4[[#This Row],[P.S]]-MIP_4[[#This Row],[P.E]]-1/24)</f>
        <v>0.36666666666666675</v>
      </c>
      <c r="X500" s="39">
        <f ca="1">MIP_4[[#This Row],[PT-1]]*$S$3+MIP_4[[#This Row],[PT-2]]*$T$3+MIP_4[[#This Row],[PT-3]]*$U$3+MIP_4[[#This Row],[PT &gt; 3 Pontos]]*$V$3</f>
        <v>0</v>
      </c>
      <c r="Y500" s="39">
        <f>MIP_4[[#This Row],[HH disponível]]-MIP_4[[#This Row],[HH AC TOT]]</f>
        <v>0.3249999999999999</v>
      </c>
      <c r="Z500" s="38">
        <f ca="1">MIP_4[[#This Row],[HH Produtivo
Total]]/MIP_4[[#This Row],[HH Trabalhado]]</f>
        <v>0</v>
      </c>
      <c r="AA500" s="38">
        <f ca="1">MIP_4[[#This Row],[HH Produtivo
Total]]/MIP_4[[#This Row],[HH disponível]]</f>
        <v>0</v>
      </c>
      <c r="AB500" s="38">
        <f>MIP_4[[#This Row],[HH Trabalhado]]/MIP_4[[#This Row],[HH disponível]]</f>
        <v>0.88636363636363591</v>
      </c>
      <c r="AC500" s="37" t="str">
        <f>LEFT(MIP_4[[#This Row],[Equipe]], SEARCH("/",MIP_4[[#This Row],[Equipe]],1)-1)</f>
        <v xml:space="preserve">ANDERSON </v>
      </c>
      <c r="AD500" s="37" t="str">
        <f>RIGHT(MIP_4[[#This Row],[Equipe]], LEN(MIP_4[[#This Row],[Equipe]])-SEARCH("/",MIP_4[[#This Row],[Equipe]],1))</f>
        <v xml:space="preserve"> RONALDO</v>
      </c>
      <c r="AE500" s="44">
        <f>COUNTIFS('[1]Tempo parado'!G:G,"&gt;="&amp;MIP_4[[#This Row],[S.B Sitrack]],'[1]Tempo parado'!H:H,"&lt;="&amp;MIP_4[[#This Row],[C.B Sitrack]],'[1]Tempo parado'!A:A,MIP_4[[#This Row],[Placa]])</f>
        <v>0</v>
      </c>
      <c r="AF500" s="36"/>
      <c r="AG500" s="35"/>
      <c r="AH500" s="34"/>
      <c r="AI500" s="34"/>
      <c r="AJ50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0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0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00" s="32" t="str">
        <f>IFERROR(MIP_4[[#This Row],[Tempo parado]]/(MIP_4[[#This Row],[C.B Sitrack]]-MIP_4[[#This Row],[S.B Sitrack]]),"")</f>
        <v/>
      </c>
      <c r="AN500" s="30"/>
      <c r="AO500" s="44">
        <f>IF(AND(MIP_4[Exc]=0,MIP_4[Previsto / Realizado]="Realizado"),MIP_4[Sem],0)</f>
        <v>0</v>
      </c>
      <c r="AP500" s="29">
        <f>IF(AND(MIP_4[Exc]=0,MIP_4[Previsto / Realizado]="Realizado",ISBLANK(MIP_4[[#This Row],[S.B Sitrack]])=FALSE,ISBLANK(MIP_4[[#This Row],[C.B Sitrack]])=FALSE),MIP_4[Sem],0)</f>
        <v>0</v>
      </c>
    </row>
    <row r="501" spans="1:42" ht="15.75" x14ac:dyDescent="0.25">
      <c r="A501" s="44">
        <f>WEEKNUM(MIP_4[[#This Row],[Data]])</f>
        <v>36</v>
      </c>
      <c r="B501" s="45">
        <v>42986</v>
      </c>
      <c r="C501" s="45"/>
      <c r="D501" s="35" t="s">
        <v>248</v>
      </c>
      <c r="E501" s="35" t="s">
        <v>2</v>
      </c>
      <c r="F501" s="35"/>
      <c r="G501" s="44">
        <v>2</v>
      </c>
      <c r="H501" s="44">
        <v>9</v>
      </c>
      <c r="I501" s="44">
        <v>0</v>
      </c>
      <c r="J501" s="44">
        <v>0</v>
      </c>
      <c r="K501" s="44">
        <v>0</v>
      </c>
      <c r="L501" s="43">
        <v>0.62986111111111109</v>
      </c>
      <c r="M501" s="43">
        <v>0.66666666666666663</v>
      </c>
      <c r="N501" s="43">
        <f>1+19/24/60</f>
        <v>1.0131944444444445</v>
      </c>
      <c r="O501" s="43">
        <f>1+56/24/60</f>
        <v>1.038888888888889</v>
      </c>
      <c r="P501" s="39"/>
      <c r="Q501" s="42" t="s">
        <v>247</v>
      </c>
      <c r="R501" s="29">
        <f>MIP_4[[#This Row],[PT-1]]+MIP_4[[#This Row],[PT-2]]*2+MIP_4[[#This Row],[PT-3]]*3+MIP_4[[#This Row],[PT &gt; 3 Pontos]]</f>
        <v>9</v>
      </c>
      <c r="S50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6.25E-2</v>
      </c>
      <c r="T50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6.25E-2</v>
      </c>
      <c r="U501" s="41">
        <f ca="1">MIP_4[[#This Row],[Eficiência]]</f>
        <v>0.73880422402693791</v>
      </c>
      <c r="V50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01" s="39">
        <f>IF(MIP_4[[#This Row],[P.S]]-MIP_4[[#This Row],[P.E]]&lt;0,1+MIP_4[[#This Row],[P.S]]-MIP_4[[#This Row],[P.E]]-1/24,MIP_4[[#This Row],[P.S]]-MIP_4[[#This Row],[P.E]]-1/24)</f>
        <v>0.36736111111111119</v>
      </c>
      <c r="X501" s="39">
        <f ca="1">MIP_4[[#This Row],[PT-1]]*$S$3+MIP_4[[#This Row],[PT-2]]*$T$3+MIP_4[[#This Row],[PT-3]]*$U$3+MIP_4[[#This Row],[PT &gt; 3 Pontos]]*$V$3</f>
        <v>0.22523267663043461</v>
      </c>
      <c r="Y501" s="39">
        <f>MIP_4[[#This Row],[HH disponível]]-MIP_4[[#This Row],[HH AC TOT]]</f>
        <v>0.30486111111111119</v>
      </c>
      <c r="Z501" s="38">
        <f ca="1">MIP_4[[#This Row],[HH Produtivo
Total]]/MIP_4[[#This Row],[HH Trabalhado]]</f>
        <v>0.73880422402693791</v>
      </c>
      <c r="AA501" s="38">
        <f ca="1">MIP_4[[#This Row],[HH Produtivo
Total]]/MIP_4[[#This Row],[HH disponível]]</f>
        <v>0.61310974356866876</v>
      </c>
      <c r="AB501" s="38">
        <f>MIP_4[[#This Row],[HH Trabalhado]]/MIP_4[[#This Row],[HH disponível]]</f>
        <v>0.8298676748582231</v>
      </c>
      <c r="AC501" s="37" t="str">
        <f>LEFT(MIP_4[[#This Row],[Equipe]], SEARCH("/",MIP_4[[#This Row],[Equipe]],1)-1)</f>
        <v xml:space="preserve">ANDERSON </v>
      </c>
      <c r="AD501" s="37" t="str">
        <f>RIGHT(MIP_4[[#This Row],[Equipe]], LEN(MIP_4[[#This Row],[Equipe]])-SEARCH("/",MIP_4[[#This Row],[Equipe]],1))</f>
        <v xml:space="preserve"> RONALDO</v>
      </c>
      <c r="AE501" s="44">
        <f>COUNTIFS('[1]Tempo parado'!G:G,"&gt;="&amp;MIP_4[[#This Row],[S.B Sitrack]],'[1]Tempo parado'!H:H,"&lt;="&amp;MIP_4[[#This Row],[C.B Sitrack]],'[1]Tempo parado'!A:A,MIP_4[[#This Row],[Placa]])</f>
        <v>0</v>
      </c>
      <c r="AF501" s="36"/>
      <c r="AG501" s="35"/>
      <c r="AH501" s="34"/>
      <c r="AI501" s="34"/>
      <c r="AJ50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0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0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01" s="32" t="str">
        <f>IFERROR(MIP_4[[#This Row],[Tempo parado]]/(MIP_4[[#This Row],[C.B Sitrack]]-MIP_4[[#This Row],[S.B Sitrack]]),"")</f>
        <v/>
      </c>
      <c r="AN501" s="30"/>
      <c r="AO501" s="44">
        <f>IF(AND(MIP_4[Exc]=0,MIP_4[Previsto / Realizado]="Realizado"),MIP_4[Sem],0)</f>
        <v>36</v>
      </c>
      <c r="AP501" s="29">
        <f>IF(AND(MIP_4[Exc]=0,MIP_4[Previsto / Realizado]="Realizado",ISBLANK(MIP_4[[#This Row],[S.B Sitrack]])=FALSE,ISBLANK(MIP_4[[#This Row],[C.B Sitrack]])=FALSE),MIP_4[Sem],0)</f>
        <v>0</v>
      </c>
    </row>
    <row r="502" spans="1:42" ht="15.75" x14ac:dyDescent="0.25">
      <c r="A502" s="44">
        <f>WEEKNUM(MIP_4[[#This Row],[Data]])</f>
        <v>36</v>
      </c>
      <c r="B502" s="45">
        <v>42986</v>
      </c>
      <c r="C502" s="45"/>
      <c r="D502" s="35" t="s">
        <v>3</v>
      </c>
      <c r="E502" s="35" t="s">
        <v>5</v>
      </c>
      <c r="F502" s="35"/>
      <c r="G502" s="44">
        <v>2</v>
      </c>
      <c r="H502" s="44">
        <v>3</v>
      </c>
      <c r="I502" s="44">
        <v>1</v>
      </c>
      <c r="J502" s="44">
        <v>0</v>
      </c>
      <c r="K502" s="44">
        <v>0</v>
      </c>
      <c r="L502" s="43">
        <v>0.625</v>
      </c>
      <c r="M502" s="43">
        <v>0.64583333333333337</v>
      </c>
      <c r="N502" s="43">
        <f>1+18/24/60</f>
        <v>1.0125</v>
      </c>
      <c r="O502" s="43">
        <f>1+48/24/60</f>
        <v>1.0333333333333334</v>
      </c>
      <c r="P502" s="39"/>
      <c r="Q502" s="42"/>
      <c r="R502" s="29">
        <f>MIP_4[[#This Row],[PT-1]]+MIP_4[[#This Row],[PT-2]]*2+MIP_4[[#This Row],[PT-3]]*3+MIP_4[[#This Row],[PT &gt; 3 Pontos]]</f>
        <v>5</v>
      </c>
      <c r="S50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50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502" s="41">
        <f ca="1">MIP_4[[#This Row],[Eficiência]]</f>
        <v>0.36611176916883437</v>
      </c>
      <c r="V50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02" s="39">
        <f>IF(MIP_4[[#This Row],[P.S]]-MIP_4[[#This Row],[P.E]]&lt;0,1+MIP_4[[#This Row],[P.S]]-MIP_4[[#This Row],[P.E]]-1/24,MIP_4[[#This Row],[P.S]]-MIP_4[[#This Row],[P.E]]-1/24)</f>
        <v>0.36666666666666675</v>
      </c>
      <c r="X502" s="39">
        <f ca="1">MIP_4[[#This Row],[PT-1]]*$S$3+MIP_4[[#This Row],[PT-2]]*$T$3+MIP_4[[#This Row],[PT-3]]*$U$3+MIP_4[[#This Row],[PT &gt; 3 Pontos]]*$V$3</f>
        <v>0.11898632497987113</v>
      </c>
      <c r="Y502" s="39">
        <f>MIP_4[[#This Row],[HH disponível]]-MIP_4[[#This Row],[HH AC TOT]]</f>
        <v>0.3249999999999999</v>
      </c>
      <c r="Z502" s="38">
        <f ca="1">MIP_4[[#This Row],[HH Produtivo
Total]]/MIP_4[[#This Row],[HH Trabalhado]]</f>
        <v>0.36611176916883437</v>
      </c>
      <c r="AA502" s="38">
        <f ca="1">MIP_4[[#This Row],[HH Produtivo
Total]]/MIP_4[[#This Row],[HH disponível]]</f>
        <v>0.3245081590360121</v>
      </c>
      <c r="AB502" s="38">
        <f>MIP_4[[#This Row],[HH Trabalhado]]/MIP_4[[#This Row],[HH disponível]]</f>
        <v>0.88636363636363591</v>
      </c>
      <c r="AC502" s="37" t="str">
        <f>LEFT(MIP_4[[#This Row],[Equipe]], SEARCH("/",MIP_4[[#This Row],[Equipe]],1)-1)</f>
        <v xml:space="preserve">EDILTON </v>
      </c>
      <c r="AD502" s="37" t="str">
        <f>RIGHT(MIP_4[[#This Row],[Equipe]], LEN(MIP_4[[#This Row],[Equipe]])-SEARCH("/",MIP_4[[#This Row],[Equipe]],1))</f>
        <v xml:space="preserve"> GECIVALDO</v>
      </c>
      <c r="AE502" s="44">
        <f>COUNTIFS('[1]Tempo parado'!G:G,"&gt;="&amp;MIP_4[[#This Row],[S.B Sitrack]],'[1]Tempo parado'!H:H,"&lt;="&amp;MIP_4[[#This Row],[C.B Sitrack]],'[1]Tempo parado'!A:A,MIP_4[[#This Row],[Placa]])</f>
        <v>0</v>
      </c>
      <c r="AF502" s="36"/>
      <c r="AG502" s="35"/>
      <c r="AH502" s="34"/>
      <c r="AI502" s="34"/>
      <c r="AJ50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0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0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02" s="32" t="str">
        <f>IFERROR(MIP_4[[#This Row],[Tempo parado]]/(MIP_4[[#This Row],[C.B Sitrack]]-MIP_4[[#This Row],[S.B Sitrack]]),"")</f>
        <v/>
      </c>
      <c r="AN502" s="30"/>
      <c r="AO502" s="44">
        <f>IF(AND(MIP_4[Exc]=0,MIP_4[Previsto / Realizado]="Realizado"),MIP_4[Sem],0)</f>
        <v>0</v>
      </c>
      <c r="AP502" s="29">
        <f>IF(AND(MIP_4[Exc]=0,MIP_4[Previsto / Realizado]="Realizado",ISBLANK(MIP_4[[#This Row],[S.B Sitrack]])=FALSE,ISBLANK(MIP_4[[#This Row],[C.B Sitrack]])=FALSE),MIP_4[Sem],0)</f>
        <v>0</v>
      </c>
    </row>
    <row r="503" spans="1:42" ht="15.75" x14ac:dyDescent="0.25">
      <c r="A503" s="44">
        <f>WEEKNUM(MIP_4[[#This Row],[Data]])</f>
        <v>36</v>
      </c>
      <c r="B503" s="45">
        <v>42986</v>
      </c>
      <c r="C503" s="45"/>
      <c r="D503" s="35" t="s">
        <v>3</v>
      </c>
      <c r="E503" s="35" t="s">
        <v>2</v>
      </c>
      <c r="F503" s="35"/>
      <c r="G503" s="44">
        <v>2</v>
      </c>
      <c r="H503" s="44">
        <v>12</v>
      </c>
      <c r="I503" s="44">
        <v>1</v>
      </c>
      <c r="J503" s="44">
        <v>0</v>
      </c>
      <c r="K503" s="44">
        <v>0</v>
      </c>
      <c r="L503" s="43">
        <v>0.61527777777777781</v>
      </c>
      <c r="M503" s="43">
        <v>0.66666666666666663</v>
      </c>
      <c r="N503" s="43">
        <v>0.99375000000000002</v>
      </c>
      <c r="O503" s="43">
        <f>1+51/24/60</f>
        <v>1.0354166666666667</v>
      </c>
      <c r="P503" s="39"/>
      <c r="Q503" s="42" t="s">
        <v>246</v>
      </c>
      <c r="R503" s="29">
        <f>MIP_4[[#This Row],[PT-1]]+MIP_4[[#This Row],[PT-2]]*2+MIP_4[[#This Row],[PT-3]]*3+MIP_4[[#This Row],[PT &gt; 3 Pontos]]</f>
        <v>14</v>
      </c>
      <c r="S50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9.3055555555555447E-2</v>
      </c>
      <c r="T50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9.3055555555555447E-2</v>
      </c>
      <c r="U503" s="41">
        <f ca="1">MIP_4[[#This Row],[Eficiência]]</f>
        <v>1.2060227793645748</v>
      </c>
      <c r="V50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03" s="39">
        <f>IF(MIP_4[[#This Row],[P.S]]-MIP_4[[#This Row],[P.E]]&lt;0,1+MIP_4[[#This Row],[P.S]]-MIP_4[[#This Row],[P.E]]-1/24,MIP_4[[#This Row],[P.S]]-MIP_4[[#This Row],[P.E]]-1/24)</f>
        <v>0.37847222222222215</v>
      </c>
      <c r="X503" s="39">
        <f ca="1">MIP_4[[#This Row],[PT-1]]*$S$3+MIP_4[[#This Row],[PT-2]]*$T$3+MIP_4[[#This Row],[PT-3]]*$U$3+MIP_4[[#This Row],[PT &gt; 3 Pontos]]*$V$3</f>
        <v>0.34421900161030577</v>
      </c>
      <c r="Y503" s="39">
        <f>MIP_4[[#This Row],[HH disponível]]-MIP_4[[#This Row],[HH AC TOT]]</f>
        <v>0.28541666666666671</v>
      </c>
      <c r="Z503" s="38">
        <f ca="1">MIP_4[[#This Row],[HH Produtivo
Total]]/MIP_4[[#This Row],[HH Trabalhado]]</f>
        <v>1.2060227793645748</v>
      </c>
      <c r="AA503" s="38">
        <f ca="1">MIP_4[[#This Row],[HH Produtivo
Total]]/MIP_4[[#This Row],[HH disponível]]</f>
        <v>0.90949607764924845</v>
      </c>
      <c r="AB503" s="38">
        <f>MIP_4[[#This Row],[HH Trabalhado]]/MIP_4[[#This Row],[HH disponível]]</f>
        <v>0.75412844036697269</v>
      </c>
      <c r="AC503" s="37" t="str">
        <f>LEFT(MIP_4[[#This Row],[Equipe]], SEARCH("/",MIP_4[[#This Row],[Equipe]],1)-1)</f>
        <v xml:space="preserve">EDILTON </v>
      </c>
      <c r="AD503" s="37" t="str">
        <f>RIGHT(MIP_4[[#This Row],[Equipe]], LEN(MIP_4[[#This Row],[Equipe]])-SEARCH("/",MIP_4[[#This Row],[Equipe]],1))</f>
        <v xml:space="preserve"> GECIVALDO</v>
      </c>
      <c r="AE503" s="44">
        <f>COUNTIFS('[1]Tempo parado'!G:G,"&gt;="&amp;MIP_4[[#This Row],[S.B Sitrack]],'[1]Tempo parado'!H:H,"&lt;="&amp;MIP_4[[#This Row],[C.B Sitrack]],'[1]Tempo parado'!A:A,MIP_4[[#This Row],[Placa]])</f>
        <v>0</v>
      </c>
      <c r="AF503" s="36"/>
      <c r="AG503" s="35"/>
      <c r="AH503" s="34"/>
      <c r="AI503" s="34"/>
      <c r="AJ50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0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0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03" s="32" t="str">
        <f>IFERROR(MIP_4[[#This Row],[Tempo parado]]/(MIP_4[[#This Row],[C.B Sitrack]]-MIP_4[[#This Row],[S.B Sitrack]]),"")</f>
        <v/>
      </c>
      <c r="AN503" s="30"/>
      <c r="AO503" s="44">
        <f>IF(AND(MIP_4[Exc]=0,MIP_4[Previsto / Realizado]="Realizado"),MIP_4[Sem],0)</f>
        <v>36</v>
      </c>
      <c r="AP503" s="29">
        <f>IF(AND(MIP_4[Exc]=0,MIP_4[Previsto / Realizado]="Realizado",ISBLANK(MIP_4[[#This Row],[S.B Sitrack]])=FALSE,ISBLANK(MIP_4[[#This Row],[C.B Sitrack]])=FALSE),MIP_4[Sem],0)</f>
        <v>0</v>
      </c>
    </row>
    <row r="504" spans="1:42" ht="15.75" x14ac:dyDescent="0.25">
      <c r="A504" s="44">
        <f>WEEKNUM(MIP_4[[#This Row],[Data]])</f>
        <v>36</v>
      </c>
      <c r="B504" s="45">
        <v>42987</v>
      </c>
      <c r="C504" s="45"/>
      <c r="D504" s="35" t="s">
        <v>244</v>
      </c>
      <c r="E504" s="35" t="s">
        <v>5</v>
      </c>
      <c r="F504" s="35"/>
      <c r="G504" s="44">
        <v>2</v>
      </c>
      <c r="H504" s="44">
        <v>2</v>
      </c>
      <c r="I504" s="44">
        <v>0</v>
      </c>
      <c r="J504" s="44">
        <v>0</v>
      </c>
      <c r="K504" s="44">
        <v>0</v>
      </c>
      <c r="L504" s="43">
        <v>0.625</v>
      </c>
      <c r="M504" s="43">
        <v>0.64583333333333337</v>
      </c>
      <c r="N504" s="43">
        <f>1+18/24/60</f>
        <v>1.0125</v>
      </c>
      <c r="O504" s="43">
        <f>1+48/24/60</f>
        <v>1.0333333333333334</v>
      </c>
      <c r="P504" s="39"/>
      <c r="Q504" s="42" t="s">
        <v>245</v>
      </c>
      <c r="R504" s="29">
        <f>MIP_4[[#This Row],[PT-1]]+MIP_4[[#This Row],[PT-2]]*2+MIP_4[[#This Row],[PT-3]]*3+MIP_4[[#This Row],[PT &gt; 3 Pontos]]</f>
        <v>2</v>
      </c>
      <c r="S50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50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504" s="41">
        <f ca="1">MIP_4[[#This Row],[Eficiência]]</f>
        <v>0.15400524897807499</v>
      </c>
      <c r="V50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04" s="39">
        <f>IF(MIP_4[[#This Row],[P.S]]-MIP_4[[#This Row],[P.E]]&lt;0,1+MIP_4[[#This Row],[P.S]]-MIP_4[[#This Row],[P.E]]-1/24,MIP_4[[#This Row],[P.S]]-MIP_4[[#This Row],[P.E]]-1/24)</f>
        <v>0.36666666666666675</v>
      </c>
      <c r="X504" s="39">
        <f ca="1">MIP_4[[#This Row],[PT-1]]*$S$3+MIP_4[[#This Row],[PT-2]]*$T$3+MIP_4[[#This Row],[PT-3]]*$U$3+MIP_4[[#This Row],[PT &gt; 3 Pontos]]*$V$3</f>
        <v>5.0051705917874362E-2</v>
      </c>
      <c r="Y504" s="39">
        <f>MIP_4[[#This Row],[HH disponível]]-MIP_4[[#This Row],[HH AC TOT]]</f>
        <v>0.3249999999999999</v>
      </c>
      <c r="Z504" s="38">
        <f ca="1">MIP_4[[#This Row],[HH Produtivo
Total]]/MIP_4[[#This Row],[HH Trabalhado]]</f>
        <v>0.15400524897807499</v>
      </c>
      <c r="AA504" s="38">
        <f ca="1">MIP_4[[#This Row],[HH Produtivo
Total]]/MIP_4[[#This Row],[HH disponível]]</f>
        <v>0.13650465250329369</v>
      </c>
      <c r="AB504" s="38">
        <f>MIP_4[[#This Row],[HH Trabalhado]]/MIP_4[[#This Row],[HH disponível]]</f>
        <v>0.88636363636363591</v>
      </c>
      <c r="AC504" s="37" t="str">
        <f>LEFT(MIP_4[[#This Row],[Equipe]], SEARCH("/",MIP_4[[#This Row],[Equipe]],1)-1)</f>
        <v xml:space="preserve">EDILTON </v>
      </c>
      <c r="AD504" s="37" t="str">
        <f>RIGHT(MIP_4[[#This Row],[Equipe]], LEN(MIP_4[[#This Row],[Equipe]])-SEARCH("/",MIP_4[[#This Row],[Equipe]],1))</f>
        <v xml:space="preserve"> MARCO</v>
      </c>
      <c r="AE504" s="44">
        <f>COUNTIFS('[1]Tempo parado'!G:G,"&gt;="&amp;MIP_4[[#This Row],[S.B Sitrack]],'[1]Tempo parado'!H:H,"&lt;="&amp;MIP_4[[#This Row],[C.B Sitrack]],'[1]Tempo parado'!A:A,MIP_4[[#This Row],[Placa]])</f>
        <v>0</v>
      </c>
      <c r="AF504" s="36"/>
      <c r="AG504" s="35"/>
      <c r="AH504" s="34"/>
      <c r="AI504" s="34"/>
      <c r="AJ50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0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0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04" s="32" t="str">
        <f>IFERROR(MIP_4[[#This Row],[Tempo parado]]/(MIP_4[[#This Row],[C.B Sitrack]]-MIP_4[[#This Row],[S.B Sitrack]]),"")</f>
        <v/>
      </c>
      <c r="AN504" s="30"/>
      <c r="AO504" s="44">
        <f>IF(AND(MIP_4[Exc]=0,MIP_4[Previsto / Realizado]="Realizado"),MIP_4[Sem],0)</f>
        <v>0</v>
      </c>
      <c r="AP504" s="29">
        <f>IF(AND(MIP_4[Exc]=0,MIP_4[Previsto / Realizado]="Realizado",ISBLANK(MIP_4[[#This Row],[S.B Sitrack]])=FALSE,ISBLANK(MIP_4[[#This Row],[C.B Sitrack]])=FALSE),MIP_4[Sem],0)</f>
        <v>0</v>
      </c>
    </row>
    <row r="505" spans="1:42" ht="15.75" x14ac:dyDescent="0.25">
      <c r="A505" s="44">
        <f>WEEKNUM(MIP_4[[#This Row],[Data]])</f>
        <v>36</v>
      </c>
      <c r="B505" s="45">
        <v>42987</v>
      </c>
      <c r="C505" s="45"/>
      <c r="D505" s="35" t="s">
        <v>244</v>
      </c>
      <c r="E505" s="35" t="s">
        <v>2</v>
      </c>
      <c r="F505" s="35"/>
      <c r="G505" s="44">
        <v>2</v>
      </c>
      <c r="H505" s="44">
        <v>1</v>
      </c>
      <c r="I505" s="44">
        <v>0</v>
      </c>
      <c r="J505" s="44">
        <v>4</v>
      </c>
      <c r="K505" s="44">
        <v>0</v>
      </c>
      <c r="L505" s="43">
        <v>0.625</v>
      </c>
      <c r="M505" s="43">
        <v>0.67013888888888884</v>
      </c>
      <c r="N505" s="43">
        <f>1+15/24/60</f>
        <v>1.0104166666666667</v>
      </c>
      <c r="O505" s="43">
        <f>1+48/24/60</f>
        <v>1.0333333333333334</v>
      </c>
      <c r="P505" s="39"/>
      <c r="Q505" s="42" t="s">
        <v>11</v>
      </c>
      <c r="R505" s="29">
        <f>MIP_4[[#This Row],[PT-1]]+MIP_4[[#This Row],[PT-2]]*2+MIP_4[[#This Row],[PT-3]]*3+MIP_4[[#This Row],[PT &gt; 3 Pontos]]</f>
        <v>13</v>
      </c>
      <c r="S50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6.8055555555555536E-2</v>
      </c>
      <c r="T50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6.8055555555555536E-2</v>
      </c>
      <c r="U505" s="41">
        <f ca="1">MIP_4[[#This Row],[Eficiência]]</f>
        <v>0.92492395517357584</v>
      </c>
      <c r="V50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05" s="39">
        <f>IF(MIP_4[[#This Row],[P.S]]-MIP_4[[#This Row],[P.E]]&lt;0,1+MIP_4[[#This Row],[P.S]]-MIP_4[[#This Row],[P.E]]-1/24,MIP_4[[#This Row],[P.S]]-MIP_4[[#This Row],[P.E]]-1/24)</f>
        <v>0.36666666666666675</v>
      </c>
      <c r="X505" s="39">
        <f ca="1">MIP_4[[#This Row],[PT-1]]*$S$3+MIP_4[[#This Row],[PT-2]]*$T$3+MIP_4[[#This Row],[PT-3]]*$U$3+MIP_4[[#This Row],[PT &gt; 3 Pontos]]*$V$3</f>
        <v>0.27619256994766511</v>
      </c>
      <c r="Y505" s="39">
        <f>MIP_4[[#This Row],[HH disponível]]-MIP_4[[#This Row],[HH AC TOT]]</f>
        <v>0.29861111111111122</v>
      </c>
      <c r="Z505" s="38">
        <f ca="1">MIP_4[[#This Row],[HH Produtivo
Total]]/MIP_4[[#This Row],[HH Trabalhado]]</f>
        <v>0.92492395517357584</v>
      </c>
      <c r="AA505" s="38">
        <f ca="1">MIP_4[[#This Row],[HH Produtivo
Total]]/MIP_4[[#This Row],[HH disponível]]</f>
        <v>0.75325246349363195</v>
      </c>
      <c r="AB505" s="38">
        <f>MIP_4[[#This Row],[HH Trabalhado]]/MIP_4[[#This Row],[HH disponível]]</f>
        <v>0.81439393939393945</v>
      </c>
      <c r="AC505" s="37" t="str">
        <f>LEFT(MIP_4[[#This Row],[Equipe]], SEARCH("/",MIP_4[[#This Row],[Equipe]],1)-1)</f>
        <v xml:space="preserve">EDILTON </v>
      </c>
      <c r="AD505" s="37" t="str">
        <f>RIGHT(MIP_4[[#This Row],[Equipe]], LEN(MIP_4[[#This Row],[Equipe]])-SEARCH("/",MIP_4[[#This Row],[Equipe]],1))</f>
        <v xml:space="preserve"> MARCO</v>
      </c>
      <c r="AE505" s="44">
        <f>COUNTIFS('[1]Tempo parado'!G:G,"&gt;="&amp;MIP_4[[#This Row],[S.B Sitrack]],'[1]Tempo parado'!H:H,"&lt;="&amp;MIP_4[[#This Row],[C.B Sitrack]],'[1]Tempo parado'!A:A,MIP_4[[#This Row],[Placa]])</f>
        <v>0</v>
      </c>
      <c r="AF505" s="36"/>
      <c r="AG505" s="35"/>
      <c r="AH505" s="34"/>
      <c r="AI505" s="34"/>
      <c r="AJ50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0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0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05" s="32" t="str">
        <f>IFERROR(MIP_4[[#This Row],[Tempo parado]]/(MIP_4[[#This Row],[C.B Sitrack]]-MIP_4[[#This Row],[S.B Sitrack]]),"")</f>
        <v/>
      </c>
      <c r="AN505" s="30"/>
      <c r="AO505" s="44">
        <f>IF(AND(MIP_4[Exc]=0,MIP_4[Previsto / Realizado]="Realizado"),MIP_4[Sem],0)</f>
        <v>36</v>
      </c>
      <c r="AP505" s="29">
        <f>IF(AND(MIP_4[Exc]=0,MIP_4[Previsto / Realizado]="Realizado",ISBLANK(MIP_4[[#This Row],[S.B Sitrack]])=FALSE,ISBLANK(MIP_4[[#This Row],[C.B Sitrack]])=FALSE),MIP_4[Sem],0)</f>
        <v>0</v>
      </c>
    </row>
    <row r="506" spans="1:42" ht="15.75" x14ac:dyDescent="0.25">
      <c r="A506" s="44">
        <f>WEEKNUM(MIP_4[[#This Row],[Data]])</f>
        <v>36</v>
      </c>
      <c r="B506" s="45">
        <v>42987</v>
      </c>
      <c r="C506" s="45"/>
      <c r="D506" s="35" t="s">
        <v>136</v>
      </c>
      <c r="E506" s="35" t="s">
        <v>5</v>
      </c>
      <c r="F506" s="35"/>
      <c r="G506" s="44">
        <v>2</v>
      </c>
      <c r="H506" s="44">
        <v>0</v>
      </c>
      <c r="I506" s="44">
        <v>0</v>
      </c>
      <c r="J506" s="44">
        <v>1</v>
      </c>
      <c r="K506" s="44">
        <v>0</v>
      </c>
      <c r="L506" s="43">
        <v>0.625</v>
      </c>
      <c r="M506" s="43">
        <v>0.64583333333333337</v>
      </c>
      <c r="N506" s="43">
        <f>1+18/24/60</f>
        <v>1.0125</v>
      </c>
      <c r="O506" s="43">
        <f>1+48/24/60</f>
        <v>1.0333333333333334</v>
      </c>
      <c r="P506" s="39"/>
      <c r="Q506" s="42" t="s">
        <v>243</v>
      </c>
      <c r="R506" s="29">
        <f>MIP_4[[#This Row],[PT-1]]+MIP_4[[#This Row],[PT-2]]*2+MIP_4[[#This Row],[PT-3]]*3+MIP_4[[#This Row],[PT &gt; 3 Pontos]]</f>
        <v>3</v>
      </c>
      <c r="S50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50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506" s="41">
        <f ca="1">MIP_4[[#This Row],[Eficiência]]</f>
        <v>0.19320516691440617</v>
      </c>
      <c r="V50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06" s="39">
        <f>IF(MIP_4[[#This Row],[P.S]]-MIP_4[[#This Row],[P.E]]&lt;0,1+MIP_4[[#This Row],[P.S]]-MIP_4[[#This Row],[P.E]]-1/24,MIP_4[[#This Row],[P.S]]-MIP_4[[#This Row],[P.E]]-1/24)</f>
        <v>0.36666666666666675</v>
      </c>
      <c r="X506" s="39">
        <f ca="1">MIP_4[[#This Row],[PT-1]]*$S$3+MIP_4[[#This Row],[PT-2]]*$T$3+MIP_4[[#This Row],[PT-3]]*$U$3+MIP_4[[#This Row],[PT &gt; 3 Pontos]]*$V$3</f>
        <v>6.2791679247181986E-2</v>
      </c>
      <c r="Y506" s="39">
        <f>MIP_4[[#This Row],[HH disponível]]-MIP_4[[#This Row],[HH AC TOT]]</f>
        <v>0.3249999999999999</v>
      </c>
      <c r="Z506" s="38">
        <f ca="1">MIP_4[[#This Row],[HH Produtivo
Total]]/MIP_4[[#This Row],[HH Trabalhado]]</f>
        <v>0.19320516691440617</v>
      </c>
      <c r="AA506" s="38">
        <f ca="1">MIP_4[[#This Row],[HH Produtivo
Total]]/MIP_4[[#This Row],[HH disponível]]</f>
        <v>0.17125003431049629</v>
      </c>
      <c r="AB506" s="38">
        <f>MIP_4[[#This Row],[HH Trabalhado]]/MIP_4[[#This Row],[HH disponível]]</f>
        <v>0.88636363636363591</v>
      </c>
      <c r="AC506" s="37" t="str">
        <f>LEFT(MIP_4[[#This Row],[Equipe]], SEARCH("/",MIP_4[[#This Row],[Equipe]],1)-1)</f>
        <v xml:space="preserve">GECIVALDO </v>
      </c>
      <c r="AD506" s="37" t="str">
        <f>RIGHT(MIP_4[[#This Row],[Equipe]], LEN(MIP_4[[#This Row],[Equipe]])-SEARCH("/",MIP_4[[#This Row],[Equipe]],1))</f>
        <v xml:space="preserve"> RONALDO</v>
      </c>
      <c r="AE506" s="44">
        <f>COUNTIFS('[1]Tempo parado'!G:G,"&gt;="&amp;MIP_4[[#This Row],[S.B Sitrack]],'[1]Tempo parado'!H:H,"&lt;="&amp;MIP_4[[#This Row],[C.B Sitrack]],'[1]Tempo parado'!A:A,MIP_4[[#This Row],[Placa]])</f>
        <v>0</v>
      </c>
      <c r="AF506" s="36"/>
      <c r="AG506" s="35"/>
      <c r="AH506" s="34"/>
      <c r="AI506" s="34"/>
      <c r="AJ50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0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0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06" s="32" t="str">
        <f>IFERROR(MIP_4[[#This Row],[Tempo parado]]/(MIP_4[[#This Row],[C.B Sitrack]]-MIP_4[[#This Row],[S.B Sitrack]]),"")</f>
        <v/>
      </c>
      <c r="AN506" s="30"/>
      <c r="AO506" s="44">
        <f>IF(AND(MIP_4[Exc]=0,MIP_4[Previsto / Realizado]="Realizado"),MIP_4[Sem],0)</f>
        <v>0</v>
      </c>
      <c r="AP506" s="29">
        <f>IF(AND(MIP_4[Exc]=0,MIP_4[Previsto / Realizado]="Realizado",ISBLANK(MIP_4[[#This Row],[S.B Sitrack]])=FALSE,ISBLANK(MIP_4[[#This Row],[C.B Sitrack]])=FALSE),MIP_4[Sem],0)</f>
        <v>0</v>
      </c>
    </row>
    <row r="507" spans="1:42" ht="15.75" x14ac:dyDescent="0.25">
      <c r="A507" s="44">
        <f>WEEKNUM(MIP_4[[#This Row],[Data]])</f>
        <v>36</v>
      </c>
      <c r="B507" s="45">
        <v>42987</v>
      </c>
      <c r="C507" s="45"/>
      <c r="D507" s="35" t="s">
        <v>136</v>
      </c>
      <c r="E507" s="35" t="s">
        <v>2</v>
      </c>
      <c r="F507" s="35"/>
      <c r="G507" s="44">
        <v>2</v>
      </c>
      <c r="H507" s="44">
        <v>3</v>
      </c>
      <c r="I507" s="44">
        <v>1</v>
      </c>
      <c r="J507" s="44">
        <v>1</v>
      </c>
      <c r="K507" s="44">
        <v>4</v>
      </c>
      <c r="L507" s="43">
        <v>0.62777777777777777</v>
      </c>
      <c r="M507" s="43">
        <v>0.66666666666666663</v>
      </c>
      <c r="N507" s="43">
        <f>1+22/24/60</f>
        <v>1.0152777777777777</v>
      </c>
      <c r="O507" s="43">
        <f>1+44/24/60</f>
        <v>1.0305555555555554</v>
      </c>
      <c r="P507" s="39">
        <v>6.3888888888888884E-2</v>
      </c>
      <c r="Q507" s="42" t="s">
        <v>242</v>
      </c>
      <c r="R507" s="29">
        <f>MIP_4[[#This Row],[PT-1]]+MIP_4[[#This Row],[PT-2]]*2+MIP_4[[#This Row],[PT-3]]*3+MIP_4[[#This Row],[PT &gt; 3 Pontos]]</f>
        <v>12</v>
      </c>
      <c r="S50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0.11805555555555547</v>
      </c>
      <c r="T50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5.4166666666666585E-2</v>
      </c>
      <c r="U507" s="41">
        <f ca="1">MIP_4[[#This Row],[Eficiência]]</f>
        <v>1.0811110536001842</v>
      </c>
      <c r="V50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07" s="39">
        <f>IF(MIP_4[[#This Row],[P.S]]-MIP_4[[#This Row],[P.E]]&lt;0,1+MIP_4[[#This Row],[P.S]]-MIP_4[[#This Row],[P.E]]-1/24,MIP_4[[#This Row],[P.S]]-MIP_4[[#This Row],[P.E]]-1/24)</f>
        <v>0.36111111111111099</v>
      </c>
      <c r="X507" s="39">
        <f ca="1">MIP_4[[#This Row],[PT-1]]*$S$3+MIP_4[[#This Row],[PT-2]]*$T$3+MIP_4[[#This Row],[PT-3]]*$U$3+MIP_4[[#This Row],[PT &gt; 3 Pontos]]*$V$3</f>
        <v>0.26277004775004476</v>
      </c>
      <c r="Y507" s="39">
        <f>MIP_4[[#This Row],[HH disponível]]-MIP_4[[#This Row],[HH AC TOT]]</f>
        <v>0.24305555555555552</v>
      </c>
      <c r="Z507" s="38">
        <f ca="1">MIP_4[[#This Row],[HH Produtivo
Total]]/MIP_4[[#This Row],[HH Trabalhado]]</f>
        <v>1.0811110536001842</v>
      </c>
      <c r="AA507" s="38">
        <f ca="1">MIP_4[[#This Row],[HH Produtivo
Total]]/MIP_4[[#This Row],[HH disponível]]</f>
        <v>0.72767090146166269</v>
      </c>
      <c r="AB507" s="38">
        <f>MIP_4[[#This Row],[HH Trabalhado]]/MIP_4[[#This Row],[HH disponível]]</f>
        <v>0.67307692307692324</v>
      </c>
      <c r="AC507" s="37" t="str">
        <f>LEFT(MIP_4[[#This Row],[Equipe]], SEARCH("/",MIP_4[[#This Row],[Equipe]],1)-1)</f>
        <v xml:space="preserve">GECIVALDO </v>
      </c>
      <c r="AD507" s="37" t="str">
        <f>RIGHT(MIP_4[[#This Row],[Equipe]], LEN(MIP_4[[#This Row],[Equipe]])-SEARCH("/",MIP_4[[#This Row],[Equipe]],1))</f>
        <v xml:space="preserve"> RONALDO</v>
      </c>
      <c r="AE507" s="44">
        <f>COUNTIFS('[1]Tempo parado'!G:G,"&gt;="&amp;MIP_4[[#This Row],[S.B Sitrack]],'[1]Tempo parado'!H:H,"&lt;="&amp;MIP_4[[#This Row],[C.B Sitrack]],'[1]Tempo parado'!A:A,MIP_4[[#This Row],[Placa]])</f>
        <v>0</v>
      </c>
      <c r="AF507" s="36"/>
      <c r="AG507" s="35"/>
      <c r="AH507" s="34"/>
      <c r="AI507" s="34"/>
      <c r="AJ50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0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0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07" s="32" t="str">
        <f>IFERROR(MIP_4[[#This Row],[Tempo parado]]/(MIP_4[[#This Row],[C.B Sitrack]]-MIP_4[[#This Row],[S.B Sitrack]]),"")</f>
        <v/>
      </c>
      <c r="AN507" s="30"/>
      <c r="AO507" s="44">
        <f>IF(AND(MIP_4[Exc]=0,MIP_4[Previsto / Realizado]="Realizado"),MIP_4[Sem],0)</f>
        <v>36</v>
      </c>
      <c r="AP507" s="29">
        <f>IF(AND(MIP_4[Exc]=0,MIP_4[Previsto / Realizado]="Realizado",ISBLANK(MIP_4[[#This Row],[S.B Sitrack]])=FALSE,ISBLANK(MIP_4[[#This Row],[C.B Sitrack]])=FALSE),MIP_4[Sem],0)</f>
        <v>0</v>
      </c>
    </row>
    <row r="508" spans="1:42" ht="15.75" x14ac:dyDescent="0.25">
      <c r="A508" s="44">
        <f>WEEKNUM(MIP_4[[#This Row],[Data]])</f>
        <v>37</v>
      </c>
      <c r="B508" s="45">
        <v>42988</v>
      </c>
      <c r="C508" s="45"/>
      <c r="D508" s="35" t="s">
        <v>3</v>
      </c>
      <c r="E508" s="35" t="s">
        <v>5</v>
      </c>
      <c r="F508" s="35"/>
      <c r="G508" s="44">
        <v>2</v>
      </c>
      <c r="H508" s="44">
        <v>0</v>
      </c>
      <c r="I508" s="44">
        <v>0</v>
      </c>
      <c r="J508" s="44">
        <v>0</v>
      </c>
      <c r="K508" s="44">
        <v>0</v>
      </c>
      <c r="L508" s="43">
        <v>0.625</v>
      </c>
      <c r="M508" s="43">
        <v>0.64583333333333337</v>
      </c>
      <c r="N508" s="43">
        <f>1+18/24/60</f>
        <v>1.0125</v>
      </c>
      <c r="O508" s="43">
        <f>1+48/24/60</f>
        <v>1.0333333333333334</v>
      </c>
      <c r="P508" s="39"/>
      <c r="Q508" s="42" t="s">
        <v>201</v>
      </c>
      <c r="R508" s="29">
        <f>MIP_4[[#This Row],[PT-1]]+MIP_4[[#This Row],[PT-2]]*2+MIP_4[[#This Row],[PT-3]]*3+MIP_4[[#This Row],[PT &gt; 3 Pontos]]</f>
        <v>0</v>
      </c>
      <c r="S50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50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508" s="41">
        <f ca="1">MIP_4[[#This Row],[Eficiência]]</f>
        <v>0</v>
      </c>
      <c r="V50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08" s="39">
        <f>IF(MIP_4[[#This Row],[P.S]]-MIP_4[[#This Row],[P.E]]&lt;0,1+MIP_4[[#This Row],[P.S]]-MIP_4[[#This Row],[P.E]]-1/24,MIP_4[[#This Row],[P.S]]-MIP_4[[#This Row],[P.E]]-1/24)</f>
        <v>0.36666666666666675</v>
      </c>
      <c r="X508" s="39">
        <f ca="1">MIP_4[[#This Row],[PT-1]]*$S$3+MIP_4[[#This Row],[PT-2]]*$T$3+MIP_4[[#This Row],[PT-3]]*$U$3+MIP_4[[#This Row],[PT &gt; 3 Pontos]]*$V$3</f>
        <v>0</v>
      </c>
      <c r="Y508" s="39">
        <f>MIP_4[[#This Row],[HH disponível]]-MIP_4[[#This Row],[HH AC TOT]]</f>
        <v>0.3249999999999999</v>
      </c>
      <c r="Z508" s="38">
        <f ca="1">MIP_4[[#This Row],[HH Produtivo
Total]]/MIP_4[[#This Row],[HH Trabalhado]]</f>
        <v>0</v>
      </c>
      <c r="AA508" s="38">
        <f ca="1">MIP_4[[#This Row],[HH Produtivo
Total]]/MIP_4[[#This Row],[HH disponível]]</f>
        <v>0</v>
      </c>
      <c r="AB508" s="38">
        <f>MIP_4[[#This Row],[HH Trabalhado]]/MIP_4[[#This Row],[HH disponível]]</f>
        <v>0.88636363636363591</v>
      </c>
      <c r="AC508" s="37" t="str">
        <f>LEFT(MIP_4[[#This Row],[Equipe]], SEARCH("/",MIP_4[[#This Row],[Equipe]],1)-1)</f>
        <v xml:space="preserve">EDILTON </v>
      </c>
      <c r="AD508" s="37" t="str">
        <f>RIGHT(MIP_4[[#This Row],[Equipe]], LEN(MIP_4[[#This Row],[Equipe]])-SEARCH("/",MIP_4[[#This Row],[Equipe]],1))</f>
        <v xml:space="preserve"> GECIVALDO</v>
      </c>
      <c r="AE508" s="44">
        <f>COUNTIFS('[1]Tempo parado'!G:G,"&gt;="&amp;MIP_4[[#This Row],[S.B Sitrack]],'[1]Tempo parado'!H:H,"&lt;="&amp;MIP_4[[#This Row],[C.B Sitrack]],'[1]Tempo parado'!A:A,MIP_4[[#This Row],[Placa]])</f>
        <v>0</v>
      </c>
      <c r="AF508" s="36"/>
      <c r="AG508" s="35"/>
      <c r="AH508" s="34"/>
      <c r="AI508" s="34"/>
      <c r="AJ50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0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0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08" s="32" t="str">
        <f>IFERROR(MIP_4[[#This Row],[Tempo parado]]/(MIP_4[[#This Row],[C.B Sitrack]]-MIP_4[[#This Row],[S.B Sitrack]]),"")</f>
        <v/>
      </c>
      <c r="AN508" s="30"/>
      <c r="AO508" s="44">
        <f>IF(AND(MIP_4[Exc]=0,MIP_4[Previsto / Realizado]="Realizado"),MIP_4[Sem],0)</f>
        <v>0</v>
      </c>
      <c r="AP508" s="29">
        <f>IF(AND(MIP_4[Exc]=0,MIP_4[Previsto / Realizado]="Realizado",ISBLANK(MIP_4[[#This Row],[S.B Sitrack]])=FALSE,ISBLANK(MIP_4[[#This Row],[C.B Sitrack]])=FALSE),MIP_4[Sem],0)</f>
        <v>0</v>
      </c>
    </row>
    <row r="509" spans="1:42" ht="15.75" x14ac:dyDescent="0.25">
      <c r="A509" s="44">
        <f>WEEKNUM(MIP_4[[#This Row],[Data]])</f>
        <v>37</v>
      </c>
      <c r="B509" s="45">
        <v>42988</v>
      </c>
      <c r="C509" s="45"/>
      <c r="D509" s="35" t="s">
        <v>3</v>
      </c>
      <c r="E509" s="35" t="s">
        <v>2</v>
      </c>
      <c r="F509" s="35"/>
      <c r="G509" s="44">
        <v>2</v>
      </c>
      <c r="H509" s="44">
        <v>2</v>
      </c>
      <c r="I509" s="44">
        <v>4</v>
      </c>
      <c r="J509" s="44">
        <v>1</v>
      </c>
      <c r="K509" s="44">
        <v>0</v>
      </c>
      <c r="L509" s="43">
        <v>0.61736111111111114</v>
      </c>
      <c r="M509" s="43">
        <v>0.64583333333333337</v>
      </c>
      <c r="N509" s="43">
        <f>1+42/24/60</f>
        <v>1.0291666666666666</v>
      </c>
      <c r="O509" s="43">
        <f>1+48/24/60</f>
        <v>1.0333333333333334</v>
      </c>
      <c r="P509" s="39"/>
      <c r="Q509" s="42" t="s">
        <v>144</v>
      </c>
      <c r="R509" s="29">
        <f>MIP_4[[#This Row],[PT-1]]+MIP_4[[#This Row],[PT-2]]*2+MIP_4[[#This Row],[PT-3]]*3+MIP_4[[#This Row],[PT &gt; 3 Pontos]]</f>
        <v>13</v>
      </c>
      <c r="S50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3.2638888888889106E-2</v>
      </c>
      <c r="T50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3.2638888888889106E-2</v>
      </c>
      <c r="U509" s="41">
        <f ca="1">MIP_4[[#This Row],[Eficiência]]</f>
        <v>0.84432716949452147</v>
      </c>
      <c r="V50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09" s="39">
        <f>IF(MIP_4[[#This Row],[P.S]]-MIP_4[[#This Row],[P.E]]&lt;0,1+MIP_4[[#This Row],[P.S]]-MIP_4[[#This Row],[P.E]]-1/24,MIP_4[[#This Row],[P.S]]-MIP_4[[#This Row],[P.E]]-1/24)</f>
        <v>0.37430555555555561</v>
      </c>
      <c r="X509" s="39">
        <f ca="1">MIP_4[[#This Row],[PT-1]]*$S$3+MIP_4[[#This Row],[PT-2]]*$T$3+MIP_4[[#This Row],[PT-3]]*$U$3+MIP_4[[#This Row],[PT &gt; 3 Pontos]]*$V$3</f>
        <v>0.28847844957729468</v>
      </c>
      <c r="Y509" s="39">
        <f>MIP_4[[#This Row],[HH disponível]]-MIP_4[[#This Row],[HH AC TOT]]</f>
        <v>0.34166666666666651</v>
      </c>
      <c r="Z509" s="38">
        <f ca="1">MIP_4[[#This Row],[HH Produtivo
Total]]/MIP_4[[#This Row],[HH Trabalhado]]</f>
        <v>0.84432716949452147</v>
      </c>
      <c r="AA509" s="38">
        <f ca="1">MIP_4[[#This Row],[HH Produtivo
Total]]/MIP_4[[#This Row],[HH disponível]]</f>
        <v>0.77070309349036048</v>
      </c>
      <c r="AB509" s="38">
        <f>MIP_4[[#This Row],[HH Trabalhado]]/MIP_4[[#This Row],[HH disponível]]</f>
        <v>0.91280148423005514</v>
      </c>
      <c r="AC509" s="37" t="str">
        <f>LEFT(MIP_4[[#This Row],[Equipe]], SEARCH("/",MIP_4[[#This Row],[Equipe]],1)-1)</f>
        <v xml:space="preserve">EDILTON </v>
      </c>
      <c r="AD509" s="37" t="str">
        <f>RIGHT(MIP_4[[#This Row],[Equipe]], LEN(MIP_4[[#This Row],[Equipe]])-SEARCH("/",MIP_4[[#This Row],[Equipe]],1))</f>
        <v xml:space="preserve"> GECIVALDO</v>
      </c>
      <c r="AE509" s="44">
        <f>COUNTIFS('[1]Tempo parado'!G:G,"&gt;="&amp;MIP_4[[#This Row],[S.B Sitrack]],'[1]Tempo parado'!H:H,"&lt;="&amp;MIP_4[[#This Row],[C.B Sitrack]],'[1]Tempo parado'!A:A,MIP_4[[#This Row],[Placa]])</f>
        <v>0</v>
      </c>
      <c r="AF509" s="36"/>
      <c r="AG509" s="35"/>
      <c r="AH509" s="34"/>
      <c r="AI509" s="34"/>
      <c r="AJ50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0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0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09" s="32" t="str">
        <f>IFERROR(MIP_4[[#This Row],[Tempo parado]]/(MIP_4[[#This Row],[C.B Sitrack]]-MIP_4[[#This Row],[S.B Sitrack]]),"")</f>
        <v/>
      </c>
      <c r="AN509" s="30"/>
      <c r="AO509" s="44">
        <f>IF(AND(MIP_4[Exc]=0,MIP_4[Previsto / Realizado]="Realizado"),MIP_4[Sem],0)</f>
        <v>37</v>
      </c>
      <c r="AP509" s="29">
        <f>IF(AND(MIP_4[Exc]=0,MIP_4[Previsto / Realizado]="Realizado",ISBLANK(MIP_4[[#This Row],[S.B Sitrack]])=FALSE,ISBLANK(MIP_4[[#This Row],[C.B Sitrack]])=FALSE),MIP_4[Sem],0)</f>
        <v>0</v>
      </c>
    </row>
    <row r="510" spans="1:42" ht="15.75" x14ac:dyDescent="0.25">
      <c r="A510" s="44">
        <f>WEEKNUM(MIP_4[[#This Row],[Data]])</f>
        <v>37</v>
      </c>
      <c r="B510" s="45">
        <v>42988</v>
      </c>
      <c r="C510" s="45"/>
      <c r="D510" s="35" t="s">
        <v>7</v>
      </c>
      <c r="E510" s="35" t="s">
        <v>5</v>
      </c>
      <c r="F510" s="35"/>
      <c r="G510" s="44">
        <v>2</v>
      </c>
      <c r="H510" s="44">
        <v>0</v>
      </c>
      <c r="I510" s="44">
        <v>0</v>
      </c>
      <c r="J510" s="44">
        <v>0</v>
      </c>
      <c r="K510" s="44">
        <v>0</v>
      </c>
      <c r="L510" s="43">
        <v>0.625</v>
      </c>
      <c r="M510" s="43">
        <v>0.64583333333333337</v>
      </c>
      <c r="N510" s="43">
        <f>1+18/24/60</f>
        <v>1.0125</v>
      </c>
      <c r="O510" s="43">
        <f>1+48/24/60</f>
        <v>1.0333333333333334</v>
      </c>
      <c r="P510" s="39"/>
      <c r="Q510" s="42" t="s">
        <v>201</v>
      </c>
      <c r="R510" s="29">
        <f>MIP_4[[#This Row],[PT-1]]+MIP_4[[#This Row],[PT-2]]*2+MIP_4[[#This Row],[PT-3]]*3+MIP_4[[#This Row],[PT &gt; 3 Pontos]]</f>
        <v>0</v>
      </c>
      <c r="S51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51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510" s="41">
        <f ca="1">MIP_4[[#This Row],[Eficiência]]</f>
        <v>0</v>
      </c>
      <c r="V51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10" s="39">
        <f>IF(MIP_4[[#This Row],[P.S]]-MIP_4[[#This Row],[P.E]]&lt;0,1+MIP_4[[#This Row],[P.S]]-MIP_4[[#This Row],[P.E]]-1/24,MIP_4[[#This Row],[P.S]]-MIP_4[[#This Row],[P.E]]-1/24)</f>
        <v>0.36666666666666675</v>
      </c>
      <c r="X510" s="39">
        <f ca="1">MIP_4[[#This Row],[PT-1]]*$S$3+MIP_4[[#This Row],[PT-2]]*$T$3+MIP_4[[#This Row],[PT-3]]*$U$3+MIP_4[[#This Row],[PT &gt; 3 Pontos]]*$V$3</f>
        <v>0</v>
      </c>
      <c r="Y510" s="39">
        <f>MIP_4[[#This Row],[HH disponível]]-MIP_4[[#This Row],[HH AC TOT]]</f>
        <v>0.3249999999999999</v>
      </c>
      <c r="Z510" s="38">
        <f ca="1">MIP_4[[#This Row],[HH Produtivo
Total]]/MIP_4[[#This Row],[HH Trabalhado]]</f>
        <v>0</v>
      </c>
      <c r="AA510" s="38">
        <f ca="1">MIP_4[[#This Row],[HH Produtivo
Total]]/MIP_4[[#This Row],[HH disponível]]</f>
        <v>0</v>
      </c>
      <c r="AB510" s="38">
        <f>MIP_4[[#This Row],[HH Trabalhado]]/MIP_4[[#This Row],[HH disponível]]</f>
        <v>0.88636363636363591</v>
      </c>
      <c r="AC510" s="37" t="str">
        <f>LEFT(MIP_4[[#This Row],[Equipe]], SEARCH("/",MIP_4[[#This Row],[Equipe]],1)-1)</f>
        <v xml:space="preserve">ANDERSON </v>
      </c>
      <c r="AD510" s="37" t="str">
        <f>RIGHT(MIP_4[[#This Row],[Equipe]], LEN(MIP_4[[#This Row],[Equipe]])-SEARCH("/",MIP_4[[#This Row],[Equipe]],1))</f>
        <v xml:space="preserve"> MARCO</v>
      </c>
      <c r="AE510" s="44">
        <f>COUNTIFS('[1]Tempo parado'!G:G,"&gt;="&amp;MIP_4[[#This Row],[S.B Sitrack]],'[1]Tempo parado'!H:H,"&lt;="&amp;MIP_4[[#This Row],[C.B Sitrack]],'[1]Tempo parado'!A:A,MIP_4[[#This Row],[Placa]])</f>
        <v>0</v>
      </c>
      <c r="AF510" s="36"/>
      <c r="AG510" s="35"/>
      <c r="AH510" s="34"/>
      <c r="AI510" s="34"/>
      <c r="AJ51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1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1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10" s="32" t="str">
        <f>IFERROR(MIP_4[[#This Row],[Tempo parado]]/(MIP_4[[#This Row],[C.B Sitrack]]-MIP_4[[#This Row],[S.B Sitrack]]),"")</f>
        <v/>
      </c>
      <c r="AN510" s="30"/>
      <c r="AO510" s="44">
        <f>IF(AND(MIP_4[Exc]=0,MIP_4[Previsto / Realizado]="Realizado"),MIP_4[Sem],0)</f>
        <v>0</v>
      </c>
      <c r="AP510" s="29">
        <f>IF(AND(MIP_4[Exc]=0,MIP_4[Previsto / Realizado]="Realizado",ISBLANK(MIP_4[[#This Row],[S.B Sitrack]])=FALSE,ISBLANK(MIP_4[[#This Row],[C.B Sitrack]])=FALSE),MIP_4[Sem],0)</f>
        <v>0</v>
      </c>
    </row>
    <row r="511" spans="1:42" ht="15.75" x14ac:dyDescent="0.25">
      <c r="A511" s="44">
        <f>WEEKNUM(MIP_4[[#This Row],[Data]])</f>
        <v>37</v>
      </c>
      <c r="B511" s="45">
        <v>42988</v>
      </c>
      <c r="C511" s="45"/>
      <c r="D511" s="35" t="s">
        <v>7</v>
      </c>
      <c r="E511" s="35" t="s">
        <v>2</v>
      </c>
      <c r="F511" s="35"/>
      <c r="G511" s="44">
        <v>2</v>
      </c>
      <c r="H511" s="44">
        <v>5</v>
      </c>
      <c r="I511" s="44">
        <v>3</v>
      </c>
      <c r="J511" s="44">
        <v>0</v>
      </c>
      <c r="K511" s="44">
        <v>5</v>
      </c>
      <c r="L511" s="43">
        <v>0.62847222222222221</v>
      </c>
      <c r="M511" s="43">
        <v>0.63888888888888895</v>
      </c>
      <c r="N511" s="43">
        <f>1+30/24/60</f>
        <v>1.0208333333333333</v>
      </c>
      <c r="O511" s="43">
        <f>1+48/24/60</f>
        <v>1.0333333333333334</v>
      </c>
      <c r="P511" s="39"/>
      <c r="Q511" s="42" t="s">
        <v>186</v>
      </c>
      <c r="R511" s="29">
        <f>MIP_4[[#This Row],[PT-1]]+MIP_4[[#This Row],[PT-2]]*2+MIP_4[[#This Row],[PT-3]]*3+MIP_4[[#This Row],[PT &gt; 3 Pontos]]</f>
        <v>16</v>
      </c>
      <c r="S51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2.2916666666666918E-2</v>
      </c>
      <c r="T51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2.2916666666666918E-2</v>
      </c>
      <c r="U511" s="41">
        <f ca="1">MIP_4[[#This Row],[Eficiência]]</f>
        <v>1.0523626310427556</v>
      </c>
      <c r="V51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11" s="39">
        <f>IF(MIP_4[[#This Row],[P.S]]-MIP_4[[#This Row],[P.E]]&lt;0,1+MIP_4[[#This Row],[P.S]]-MIP_4[[#This Row],[P.E]]-1/24,MIP_4[[#This Row],[P.S]]-MIP_4[[#This Row],[P.E]]-1/24)</f>
        <v>0.36319444444444454</v>
      </c>
      <c r="X511" s="39">
        <f ca="1">MIP_4[[#This Row],[PT-1]]*$S$3+MIP_4[[#This Row],[PT-2]]*$T$3+MIP_4[[#This Row],[PT-3]]*$U$3+MIP_4[[#This Row],[PT &gt; 3 Pontos]]*$V$3</f>
        <v>0.35809561750760421</v>
      </c>
      <c r="Y511" s="39">
        <f>MIP_4[[#This Row],[HH disponível]]-MIP_4[[#This Row],[HH AC TOT]]</f>
        <v>0.34027777777777762</v>
      </c>
      <c r="Z511" s="38">
        <f ca="1">MIP_4[[#This Row],[HH Produtivo
Total]]/MIP_4[[#This Row],[HH Trabalhado]]</f>
        <v>1.0523626310427556</v>
      </c>
      <c r="AA511" s="38">
        <f ca="1">MIP_4[[#This Row],[HH Produtivo
Total]]/MIP_4[[#This Row],[HH disponível]]</f>
        <v>0.98596116483929241</v>
      </c>
      <c r="AB511" s="38">
        <f>MIP_4[[#This Row],[HH Trabalhado]]/MIP_4[[#This Row],[HH disponível]]</f>
        <v>0.93690248565965517</v>
      </c>
      <c r="AC511" s="37" t="str">
        <f>LEFT(MIP_4[[#This Row],[Equipe]], SEARCH("/",MIP_4[[#This Row],[Equipe]],1)-1)</f>
        <v xml:space="preserve">ANDERSON </v>
      </c>
      <c r="AD511" s="37" t="str">
        <f>RIGHT(MIP_4[[#This Row],[Equipe]], LEN(MIP_4[[#This Row],[Equipe]])-SEARCH("/",MIP_4[[#This Row],[Equipe]],1))</f>
        <v xml:space="preserve"> MARCO</v>
      </c>
      <c r="AE511" s="44">
        <f>COUNTIFS('[1]Tempo parado'!G:G,"&gt;="&amp;MIP_4[[#This Row],[S.B Sitrack]],'[1]Tempo parado'!H:H,"&lt;="&amp;MIP_4[[#This Row],[C.B Sitrack]],'[1]Tempo parado'!A:A,MIP_4[[#This Row],[Placa]])</f>
        <v>0</v>
      </c>
      <c r="AF511" s="36"/>
      <c r="AG511" s="35"/>
      <c r="AH511" s="34"/>
      <c r="AI511" s="34"/>
      <c r="AJ51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1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1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11" s="32" t="str">
        <f>IFERROR(MIP_4[[#This Row],[Tempo parado]]/(MIP_4[[#This Row],[C.B Sitrack]]-MIP_4[[#This Row],[S.B Sitrack]]),"")</f>
        <v/>
      </c>
      <c r="AN511" s="30"/>
      <c r="AO511" s="44">
        <f>IF(AND(MIP_4[Exc]=0,MIP_4[Previsto / Realizado]="Realizado"),MIP_4[Sem],0)</f>
        <v>37</v>
      </c>
      <c r="AP511" s="29">
        <f>IF(AND(MIP_4[Exc]=0,MIP_4[Previsto / Realizado]="Realizado",ISBLANK(MIP_4[[#This Row],[S.B Sitrack]])=FALSE,ISBLANK(MIP_4[[#This Row],[C.B Sitrack]])=FALSE),MIP_4[Sem],0)</f>
        <v>0</v>
      </c>
    </row>
    <row r="512" spans="1:42" ht="15.75" x14ac:dyDescent="0.25">
      <c r="A512" s="44">
        <f>WEEKNUM(MIP_4[[#This Row],[Data]])</f>
        <v>37</v>
      </c>
      <c r="B512" s="45">
        <v>42989</v>
      </c>
      <c r="C512" s="45"/>
      <c r="D512" s="35" t="s">
        <v>7</v>
      </c>
      <c r="E512" s="35" t="s">
        <v>5</v>
      </c>
      <c r="F512" s="35"/>
      <c r="G512" s="44">
        <v>2</v>
      </c>
      <c r="H512" s="44">
        <v>2</v>
      </c>
      <c r="I512" s="44">
        <v>3</v>
      </c>
      <c r="J512" s="44">
        <v>2</v>
      </c>
      <c r="K512" s="44">
        <v>0</v>
      </c>
      <c r="L512" s="43">
        <v>0.625</v>
      </c>
      <c r="M512" s="43">
        <v>0.64583333333333337</v>
      </c>
      <c r="N512" s="43">
        <f>1+18/24/60</f>
        <v>1.0125</v>
      </c>
      <c r="O512" s="43">
        <f>1+48/24/60</f>
        <v>1.0333333333333334</v>
      </c>
      <c r="P512" s="39"/>
      <c r="Q512" s="42"/>
      <c r="R512" s="29">
        <f>MIP_4[[#This Row],[PT-1]]+MIP_4[[#This Row],[PT-2]]*2+MIP_4[[#This Row],[PT-3]]*3+MIP_4[[#This Row],[PT &gt; 3 Pontos]]</f>
        <v>14</v>
      </c>
      <c r="S51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51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512" s="41">
        <f ca="1">MIP_4[[#This Row],[Eficiência]]</f>
        <v>0.94572726991205291</v>
      </c>
      <c r="V51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12" s="39">
        <f>IF(MIP_4[[#This Row],[P.S]]-MIP_4[[#This Row],[P.E]]&lt;0,1+MIP_4[[#This Row],[P.S]]-MIP_4[[#This Row],[P.E]]-1/24,MIP_4[[#This Row],[P.S]]-MIP_4[[#This Row],[P.E]]-1/24)</f>
        <v>0.36666666666666675</v>
      </c>
      <c r="X512" s="39">
        <f ca="1">MIP_4[[#This Row],[PT-1]]*$S$3+MIP_4[[#This Row],[PT-2]]*$T$3+MIP_4[[#This Row],[PT-3]]*$U$3+MIP_4[[#This Row],[PT &gt; 3 Pontos]]*$V$3</f>
        <v>0.30736136272141712</v>
      </c>
      <c r="Y512" s="39">
        <f>MIP_4[[#This Row],[HH disponível]]-MIP_4[[#This Row],[HH AC TOT]]</f>
        <v>0.3249999999999999</v>
      </c>
      <c r="Z512" s="38">
        <f ca="1">MIP_4[[#This Row],[HH Produtivo
Total]]/MIP_4[[#This Row],[HH Trabalhado]]</f>
        <v>0.94572726991205291</v>
      </c>
      <c r="AA512" s="38">
        <f ca="1">MIP_4[[#This Row],[HH Produtivo
Total]]/MIP_4[[#This Row],[HH disponível]]</f>
        <v>0.83825826196750108</v>
      </c>
      <c r="AB512" s="38">
        <f>MIP_4[[#This Row],[HH Trabalhado]]/MIP_4[[#This Row],[HH disponível]]</f>
        <v>0.88636363636363591</v>
      </c>
      <c r="AC512" s="37" t="str">
        <f>LEFT(MIP_4[[#This Row],[Equipe]], SEARCH("/",MIP_4[[#This Row],[Equipe]],1)-1)</f>
        <v xml:space="preserve">ANDERSON </v>
      </c>
      <c r="AD512" s="37" t="str">
        <f>RIGHT(MIP_4[[#This Row],[Equipe]], LEN(MIP_4[[#This Row],[Equipe]])-SEARCH("/",MIP_4[[#This Row],[Equipe]],1))</f>
        <v xml:space="preserve"> MARCO</v>
      </c>
      <c r="AE512" s="44">
        <f>COUNTIFS('[1]Tempo parado'!G:G,"&gt;="&amp;MIP_4[[#This Row],[S.B Sitrack]],'[1]Tempo parado'!H:H,"&lt;="&amp;MIP_4[[#This Row],[C.B Sitrack]],'[1]Tempo parado'!A:A,MIP_4[[#This Row],[Placa]])</f>
        <v>0</v>
      </c>
      <c r="AF512" s="36"/>
      <c r="AG512" s="35"/>
      <c r="AH512" s="34"/>
      <c r="AI512" s="34"/>
      <c r="AJ51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1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1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12" s="32" t="str">
        <f>IFERROR(MIP_4[[#This Row],[Tempo parado]]/(MIP_4[[#This Row],[C.B Sitrack]]-MIP_4[[#This Row],[S.B Sitrack]]),"")</f>
        <v/>
      </c>
      <c r="AN512" s="30"/>
      <c r="AO512" s="44">
        <f>IF(AND(MIP_4[Exc]=0,MIP_4[Previsto / Realizado]="Realizado"),MIP_4[Sem],0)</f>
        <v>0</v>
      </c>
      <c r="AP512" s="29">
        <f>IF(AND(MIP_4[Exc]=0,MIP_4[Previsto / Realizado]="Realizado",ISBLANK(MIP_4[[#This Row],[S.B Sitrack]])=FALSE,ISBLANK(MIP_4[[#This Row],[C.B Sitrack]])=FALSE),MIP_4[Sem],0)</f>
        <v>0</v>
      </c>
    </row>
    <row r="513" spans="1:42" ht="15.75" x14ac:dyDescent="0.25">
      <c r="A513" s="44">
        <f>WEEKNUM(MIP_4[[#This Row],[Data]])</f>
        <v>37</v>
      </c>
      <c r="B513" s="45">
        <v>42989</v>
      </c>
      <c r="C513" s="45"/>
      <c r="D513" s="35" t="s">
        <v>7</v>
      </c>
      <c r="E513" s="35" t="s">
        <v>2</v>
      </c>
      <c r="F513" s="35"/>
      <c r="G513" s="44">
        <v>2</v>
      </c>
      <c r="H513" s="44">
        <v>3</v>
      </c>
      <c r="I513" s="44">
        <v>3</v>
      </c>
      <c r="J513" s="44">
        <v>2</v>
      </c>
      <c r="K513" s="44">
        <v>0</v>
      </c>
      <c r="L513" s="43">
        <v>0.6333333333333333</v>
      </c>
      <c r="M513" s="43">
        <v>0.65972222222222221</v>
      </c>
      <c r="N513" s="43">
        <v>1.0201388888888889</v>
      </c>
      <c r="O513" s="43">
        <v>1.0333333333333334</v>
      </c>
      <c r="P513" s="39"/>
      <c r="Q513" s="42"/>
      <c r="R513" s="29">
        <f>MIP_4[[#This Row],[PT-1]]+MIP_4[[#This Row],[PT-2]]*2+MIP_4[[#This Row],[PT-3]]*3+MIP_4[[#This Row],[PT &gt; 3 Pontos]]</f>
        <v>15</v>
      </c>
      <c r="S51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3.9583333333333415E-2</v>
      </c>
      <c r="T51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3.9583333333333415E-2</v>
      </c>
      <c r="U513" s="41">
        <f ca="1">MIP_4[[#This Row],[Eficiência]]</f>
        <v>1.0427834217422878</v>
      </c>
      <c r="V51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13" s="39">
        <f>IF(MIP_4[[#This Row],[P.S]]-MIP_4[[#This Row],[P.E]]&lt;0,1+MIP_4[[#This Row],[P.S]]-MIP_4[[#This Row],[P.E]]-1/24,MIP_4[[#This Row],[P.S]]-MIP_4[[#This Row],[P.E]]-1/24)</f>
        <v>0.35833333333333345</v>
      </c>
      <c r="X513" s="39">
        <f ca="1">MIP_4[[#This Row],[PT-1]]*$S$3+MIP_4[[#This Row],[PT-2]]*$T$3+MIP_4[[#This Row],[PT-3]]*$U$3+MIP_4[[#This Row],[PT &gt; 3 Pontos]]*$V$3</f>
        <v>0.33238721568035429</v>
      </c>
      <c r="Y513" s="39">
        <f>MIP_4[[#This Row],[HH disponível]]-MIP_4[[#This Row],[HH AC TOT]]</f>
        <v>0.31875000000000003</v>
      </c>
      <c r="Z513" s="38">
        <f ca="1">MIP_4[[#This Row],[HH Produtivo
Total]]/MIP_4[[#This Row],[HH Trabalhado]]</f>
        <v>1.0427834217422878</v>
      </c>
      <c r="AA513" s="38">
        <f ca="1">MIP_4[[#This Row],[HH Produtivo
Total]]/MIP_4[[#This Row],[HH disponível]]</f>
        <v>0.9275922298056396</v>
      </c>
      <c r="AB513" s="38">
        <f>MIP_4[[#This Row],[HH Trabalhado]]/MIP_4[[#This Row],[HH disponível]]</f>
        <v>0.88953488372093004</v>
      </c>
      <c r="AC513" s="37" t="str">
        <f>LEFT(MIP_4[[#This Row],[Equipe]], SEARCH("/",MIP_4[[#This Row],[Equipe]],1)-1)</f>
        <v xml:space="preserve">ANDERSON </v>
      </c>
      <c r="AD513" s="37" t="str">
        <f>RIGHT(MIP_4[[#This Row],[Equipe]], LEN(MIP_4[[#This Row],[Equipe]])-SEARCH("/",MIP_4[[#This Row],[Equipe]],1))</f>
        <v xml:space="preserve"> MARCO</v>
      </c>
      <c r="AE513" s="44">
        <f>COUNTIFS('[1]Tempo parado'!G:G,"&gt;="&amp;MIP_4[[#This Row],[S.B Sitrack]],'[1]Tempo parado'!H:H,"&lt;="&amp;MIP_4[[#This Row],[C.B Sitrack]],'[1]Tempo parado'!A:A,MIP_4[[#This Row],[Placa]])</f>
        <v>0</v>
      </c>
      <c r="AF513" s="36"/>
      <c r="AG513" s="35"/>
      <c r="AH513" s="34"/>
      <c r="AI513" s="34"/>
      <c r="AJ51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1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1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13" s="32" t="str">
        <f>IFERROR(MIP_4[[#This Row],[Tempo parado]]/(MIP_4[[#This Row],[C.B Sitrack]]-MIP_4[[#This Row],[S.B Sitrack]]),"")</f>
        <v/>
      </c>
      <c r="AN513" s="30"/>
      <c r="AO513" s="44">
        <f>IF(AND(MIP_4[Exc]=0,MIP_4[Previsto / Realizado]="Realizado"),MIP_4[Sem],0)</f>
        <v>37</v>
      </c>
      <c r="AP513" s="29">
        <f>IF(AND(MIP_4[Exc]=0,MIP_4[Previsto / Realizado]="Realizado",ISBLANK(MIP_4[[#This Row],[S.B Sitrack]])=FALSE,ISBLANK(MIP_4[[#This Row],[C.B Sitrack]])=FALSE),MIP_4[Sem],0)</f>
        <v>0</v>
      </c>
    </row>
    <row r="514" spans="1:42" ht="15.75" x14ac:dyDescent="0.25">
      <c r="A514" s="44">
        <f>WEEKNUM(MIP_4[[#This Row],[Data]])</f>
        <v>37</v>
      </c>
      <c r="B514" s="45">
        <v>42990</v>
      </c>
      <c r="C514" s="45"/>
      <c r="D514" s="35" t="s">
        <v>3</v>
      </c>
      <c r="E514" s="35" t="s">
        <v>5</v>
      </c>
      <c r="F514" s="35"/>
      <c r="G514" s="44">
        <v>2</v>
      </c>
      <c r="H514" s="44">
        <v>6</v>
      </c>
      <c r="I514" s="44">
        <v>2</v>
      </c>
      <c r="J514" s="44">
        <v>1</v>
      </c>
      <c r="K514" s="44">
        <v>4</v>
      </c>
      <c r="L514" s="43">
        <v>0.625</v>
      </c>
      <c r="M514" s="43">
        <v>0.64583333333333337</v>
      </c>
      <c r="N514" s="43">
        <f>1+18/24/60</f>
        <v>1.0125</v>
      </c>
      <c r="O514" s="43">
        <f>1+48/24/60</f>
        <v>1.0333333333333334</v>
      </c>
      <c r="P514" s="39"/>
      <c r="Q514" s="42"/>
      <c r="R514" s="29">
        <f>MIP_4[[#This Row],[PT-1]]+MIP_4[[#This Row],[PT-2]]*2+MIP_4[[#This Row],[PT-3]]*3+MIP_4[[#This Row],[PT &gt; 3 Pontos]]</f>
        <v>17</v>
      </c>
      <c r="S51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51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514" s="41">
        <f ca="1">MIP_4[[#This Row],[Eficiência]]</f>
        <v>1.1746349930151263</v>
      </c>
      <c r="V51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14" s="39">
        <f>IF(MIP_4[[#This Row],[P.S]]-MIP_4[[#This Row],[P.E]]&lt;0,1+MIP_4[[#This Row],[P.S]]-MIP_4[[#This Row],[P.E]]-1/24,MIP_4[[#This Row],[P.S]]-MIP_4[[#This Row],[P.E]]-1/24)</f>
        <v>0.36666666666666675</v>
      </c>
      <c r="X514" s="39">
        <f ca="1">MIP_4[[#This Row],[PT-1]]*$S$3+MIP_4[[#This Row],[PT-2]]*$T$3+MIP_4[[#This Row],[PT-3]]*$U$3+MIP_4[[#This Row],[PT &gt; 3 Pontos]]*$V$3</f>
        <v>0.38175637272991592</v>
      </c>
      <c r="Y514" s="39">
        <f>MIP_4[[#This Row],[HH disponível]]-MIP_4[[#This Row],[HH AC TOT]]</f>
        <v>0.3249999999999999</v>
      </c>
      <c r="Z514" s="38">
        <f ca="1">MIP_4[[#This Row],[HH Produtivo
Total]]/MIP_4[[#This Row],[HH Trabalhado]]</f>
        <v>1.1746349930151263</v>
      </c>
      <c r="AA514" s="38">
        <f ca="1">MIP_4[[#This Row],[HH Produtivo
Total]]/MIP_4[[#This Row],[HH disponível]]</f>
        <v>1.0411537438088614</v>
      </c>
      <c r="AB514" s="38">
        <f>MIP_4[[#This Row],[HH Trabalhado]]/MIP_4[[#This Row],[HH disponível]]</f>
        <v>0.88636363636363591</v>
      </c>
      <c r="AC514" s="37" t="str">
        <f>LEFT(MIP_4[[#This Row],[Equipe]], SEARCH("/",MIP_4[[#This Row],[Equipe]],1)-1)</f>
        <v xml:space="preserve">EDILTON </v>
      </c>
      <c r="AD514" s="37" t="str">
        <f>RIGHT(MIP_4[[#This Row],[Equipe]], LEN(MIP_4[[#This Row],[Equipe]])-SEARCH("/",MIP_4[[#This Row],[Equipe]],1))</f>
        <v xml:space="preserve"> GECIVALDO</v>
      </c>
      <c r="AE514" s="44">
        <f>COUNTIFS('[1]Tempo parado'!G:G,"&gt;="&amp;MIP_4[[#This Row],[S.B Sitrack]],'[1]Tempo parado'!H:H,"&lt;="&amp;MIP_4[[#This Row],[C.B Sitrack]],'[1]Tempo parado'!A:A,MIP_4[[#This Row],[Placa]])</f>
        <v>0</v>
      </c>
      <c r="AF514" s="36"/>
      <c r="AG514" s="35"/>
      <c r="AH514" s="34"/>
      <c r="AI514" s="34"/>
      <c r="AJ51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1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1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14" s="32" t="str">
        <f>IFERROR(MIP_4[[#This Row],[Tempo parado]]/(MIP_4[[#This Row],[C.B Sitrack]]-MIP_4[[#This Row],[S.B Sitrack]]),"")</f>
        <v/>
      </c>
      <c r="AN514" s="30"/>
      <c r="AO514" s="44">
        <f>IF(AND(MIP_4[Exc]=0,MIP_4[Previsto / Realizado]="Realizado"),MIP_4[Sem],0)</f>
        <v>0</v>
      </c>
      <c r="AP514" s="29">
        <f>IF(AND(MIP_4[Exc]=0,MIP_4[Previsto / Realizado]="Realizado",ISBLANK(MIP_4[[#This Row],[S.B Sitrack]])=FALSE,ISBLANK(MIP_4[[#This Row],[C.B Sitrack]])=FALSE),MIP_4[Sem],0)</f>
        <v>0</v>
      </c>
    </row>
    <row r="515" spans="1:42" ht="15.75" x14ac:dyDescent="0.25">
      <c r="A515" s="44">
        <f>WEEKNUM(MIP_4[[#This Row],[Data]])</f>
        <v>37</v>
      </c>
      <c r="B515" s="45">
        <v>42990</v>
      </c>
      <c r="C515" s="45"/>
      <c r="D515" s="35" t="s">
        <v>3</v>
      </c>
      <c r="E515" s="35" t="s">
        <v>2</v>
      </c>
      <c r="F515" s="35"/>
      <c r="G515" s="44">
        <v>2</v>
      </c>
      <c r="H515" s="44">
        <v>5</v>
      </c>
      <c r="I515" s="44">
        <v>2</v>
      </c>
      <c r="J515" s="44">
        <v>1</v>
      </c>
      <c r="K515" s="44">
        <v>4</v>
      </c>
      <c r="L515" s="43">
        <v>0.63055555555555554</v>
      </c>
      <c r="M515" s="43">
        <v>0.65625</v>
      </c>
      <c r="N515" s="43">
        <f>1+35/24/60</f>
        <v>1.0243055555555556</v>
      </c>
      <c r="O515" s="43">
        <f>1+42/24/60</f>
        <v>1.0291666666666666</v>
      </c>
      <c r="P515" s="39"/>
      <c r="Q515" s="42"/>
      <c r="R515" s="29">
        <f>MIP_4[[#This Row],[PT-1]]+MIP_4[[#This Row],[PT-2]]*2+MIP_4[[#This Row],[PT-3]]*3+MIP_4[[#This Row],[PT &gt; 3 Pontos]]</f>
        <v>16</v>
      </c>
      <c r="S51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3.0555555555555447E-2</v>
      </c>
      <c r="T51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3.0555555555555447E-2</v>
      </c>
      <c r="U515" s="41">
        <f ca="1">MIP_4[[#This Row],[Eficiência]]</f>
        <v>1.0929615924898071</v>
      </c>
      <c r="V51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15" s="39">
        <f>IF(MIP_4[[#This Row],[P.S]]-MIP_4[[#This Row],[P.E]]&lt;0,1+MIP_4[[#This Row],[P.S]]-MIP_4[[#This Row],[P.E]]-1/24,MIP_4[[#This Row],[P.S]]-MIP_4[[#This Row],[P.E]]-1/24)</f>
        <v>0.35694444444444434</v>
      </c>
      <c r="X515" s="39">
        <f ca="1">MIP_4[[#This Row],[PT-1]]*$S$3+MIP_4[[#This Row],[PT-2]]*$T$3+MIP_4[[#This Row],[PT-3]]*$U$3+MIP_4[[#This Row],[PT &gt; 3 Pontos]]*$V$3</f>
        <v>0.35673051977097869</v>
      </c>
      <c r="Y515" s="39">
        <f>MIP_4[[#This Row],[HH disponível]]-MIP_4[[#This Row],[HH AC TOT]]</f>
        <v>0.3263888888888889</v>
      </c>
      <c r="Z515" s="38">
        <f ca="1">MIP_4[[#This Row],[HH Produtivo
Total]]/MIP_4[[#This Row],[HH Trabalhado]]</f>
        <v>1.0929615924898071</v>
      </c>
      <c r="AA515" s="38">
        <f ca="1">MIP_4[[#This Row],[HH Produtivo
Total]]/MIP_4[[#This Row],[HH disponível]]</f>
        <v>0.99940067795760601</v>
      </c>
      <c r="AB515" s="38">
        <f>MIP_4[[#This Row],[HH Trabalhado]]/MIP_4[[#This Row],[HH disponível]]</f>
        <v>0.91439688715953338</v>
      </c>
      <c r="AC515" s="37" t="str">
        <f>LEFT(MIP_4[[#This Row],[Equipe]], SEARCH("/",MIP_4[[#This Row],[Equipe]],1)-1)</f>
        <v xml:space="preserve">EDILTON </v>
      </c>
      <c r="AD515" s="37" t="str">
        <f>RIGHT(MIP_4[[#This Row],[Equipe]], LEN(MIP_4[[#This Row],[Equipe]])-SEARCH("/",MIP_4[[#This Row],[Equipe]],1))</f>
        <v xml:space="preserve"> GECIVALDO</v>
      </c>
      <c r="AE515" s="44">
        <f>COUNTIFS('[1]Tempo parado'!G:G,"&gt;="&amp;MIP_4[[#This Row],[S.B Sitrack]],'[1]Tempo parado'!H:H,"&lt;="&amp;MIP_4[[#This Row],[C.B Sitrack]],'[1]Tempo parado'!A:A,MIP_4[[#This Row],[Placa]])</f>
        <v>0</v>
      </c>
      <c r="AF515" s="36"/>
      <c r="AG515" s="35"/>
      <c r="AH515" s="34"/>
      <c r="AI515" s="34"/>
      <c r="AJ51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1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1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15" s="32" t="str">
        <f>IFERROR(MIP_4[[#This Row],[Tempo parado]]/(MIP_4[[#This Row],[C.B Sitrack]]-MIP_4[[#This Row],[S.B Sitrack]]),"")</f>
        <v/>
      </c>
      <c r="AN515" s="30"/>
      <c r="AO515" s="44">
        <f>IF(AND(MIP_4[Exc]=0,MIP_4[Previsto / Realizado]="Realizado"),MIP_4[Sem],0)</f>
        <v>37</v>
      </c>
      <c r="AP515" s="29">
        <f>IF(AND(MIP_4[Exc]=0,MIP_4[Previsto / Realizado]="Realizado",ISBLANK(MIP_4[[#This Row],[S.B Sitrack]])=FALSE,ISBLANK(MIP_4[[#This Row],[C.B Sitrack]])=FALSE),MIP_4[Sem],0)</f>
        <v>0</v>
      </c>
    </row>
    <row r="516" spans="1:42" ht="15.75" x14ac:dyDescent="0.25">
      <c r="A516" s="44">
        <f>WEEKNUM(MIP_4[[#This Row],[Data]])</f>
        <v>37</v>
      </c>
      <c r="B516" s="45">
        <v>42990</v>
      </c>
      <c r="C516" s="45"/>
      <c r="D516" s="35" t="s">
        <v>19</v>
      </c>
      <c r="E516" s="35" t="s">
        <v>5</v>
      </c>
      <c r="F516" s="35"/>
      <c r="G516" s="44">
        <v>2</v>
      </c>
      <c r="H516" s="44">
        <v>5</v>
      </c>
      <c r="I516" s="44">
        <v>1</v>
      </c>
      <c r="J516" s="44">
        <v>1</v>
      </c>
      <c r="K516" s="44">
        <v>0</v>
      </c>
      <c r="L516" s="43">
        <v>0.625</v>
      </c>
      <c r="M516" s="43">
        <v>0.64583333333333337</v>
      </c>
      <c r="N516" s="43">
        <f>1+18/24/60</f>
        <v>1.0125</v>
      </c>
      <c r="O516" s="43">
        <f>1+48/24/60</f>
        <v>1.0333333333333334</v>
      </c>
      <c r="P516" s="39"/>
      <c r="Q516" s="42" t="s">
        <v>241</v>
      </c>
      <c r="R516" s="29">
        <f>MIP_4[[#This Row],[PT-1]]+MIP_4[[#This Row],[PT-2]]*2+MIP_4[[#This Row],[PT-3]]*3+MIP_4[[#This Row],[PT &gt; 3 Pontos]]</f>
        <v>10</v>
      </c>
      <c r="S51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51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516" s="41">
        <f ca="1">MIP_4[[#This Row],[Eficiência]]</f>
        <v>0.71332218506131551</v>
      </c>
      <c r="V51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16" s="39">
        <f>IF(MIP_4[[#This Row],[P.S]]-MIP_4[[#This Row],[P.E]]&lt;0,1+MIP_4[[#This Row],[P.S]]-MIP_4[[#This Row],[P.E]]-1/24,MIP_4[[#This Row],[P.S]]-MIP_4[[#This Row],[P.E]]-1/24)</f>
        <v>0.36666666666666675</v>
      </c>
      <c r="X516" s="39">
        <f ca="1">MIP_4[[#This Row],[PT-1]]*$S$3+MIP_4[[#This Row],[PT-2]]*$T$3+MIP_4[[#This Row],[PT-3]]*$U$3+MIP_4[[#This Row],[PT &gt; 3 Pontos]]*$V$3</f>
        <v>0.23182971014492745</v>
      </c>
      <c r="Y516" s="39">
        <f>MIP_4[[#This Row],[HH disponível]]-MIP_4[[#This Row],[HH AC TOT]]</f>
        <v>0.3249999999999999</v>
      </c>
      <c r="Z516" s="38">
        <f ca="1">MIP_4[[#This Row],[HH Produtivo
Total]]/MIP_4[[#This Row],[HH Trabalhado]]</f>
        <v>0.71332218506131551</v>
      </c>
      <c r="AA516" s="38">
        <f ca="1">MIP_4[[#This Row],[HH Produtivo
Total]]/MIP_4[[#This Row],[HH disponível]]</f>
        <v>0.63226284584980197</v>
      </c>
      <c r="AB516" s="38">
        <f>MIP_4[[#This Row],[HH Trabalhado]]/MIP_4[[#This Row],[HH disponível]]</f>
        <v>0.88636363636363591</v>
      </c>
      <c r="AC516" s="37" t="str">
        <f>LEFT(MIP_4[[#This Row],[Equipe]], SEARCH("/",MIP_4[[#This Row],[Equipe]],1)-1)</f>
        <v xml:space="preserve">ADEMÁRIO </v>
      </c>
      <c r="AD516" s="37" t="str">
        <f>RIGHT(MIP_4[[#This Row],[Equipe]], LEN(MIP_4[[#This Row],[Equipe]])-SEARCH("/",MIP_4[[#This Row],[Equipe]],1))</f>
        <v xml:space="preserve"> RONALDO</v>
      </c>
      <c r="AE516" s="44">
        <f>COUNTIFS('[1]Tempo parado'!G:G,"&gt;="&amp;MIP_4[[#This Row],[S.B Sitrack]],'[1]Tempo parado'!H:H,"&lt;="&amp;MIP_4[[#This Row],[C.B Sitrack]],'[1]Tempo parado'!A:A,MIP_4[[#This Row],[Placa]])</f>
        <v>0</v>
      </c>
      <c r="AF516" s="36"/>
      <c r="AG516" s="35"/>
      <c r="AH516" s="34"/>
      <c r="AI516" s="34"/>
      <c r="AJ51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1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1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16" s="32" t="str">
        <f>IFERROR(MIP_4[[#This Row],[Tempo parado]]/(MIP_4[[#This Row],[C.B Sitrack]]-MIP_4[[#This Row],[S.B Sitrack]]),"")</f>
        <v/>
      </c>
      <c r="AN516" s="30"/>
      <c r="AO516" s="44">
        <f>IF(AND(MIP_4[Exc]=0,MIP_4[Previsto / Realizado]="Realizado"),MIP_4[Sem],0)</f>
        <v>0</v>
      </c>
      <c r="AP516" s="29">
        <f>IF(AND(MIP_4[Exc]=0,MIP_4[Previsto / Realizado]="Realizado",ISBLANK(MIP_4[[#This Row],[S.B Sitrack]])=FALSE,ISBLANK(MIP_4[[#This Row],[C.B Sitrack]])=FALSE),MIP_4[Sem],0)</f>
        <v>0</v>
      </c>
    </row>
    <row r="517" spans="1:42" ht="15.75" x14ac:dyDescent="0.25">
      <c r="A517" s="44">
        <f>WEEKNUM(MIP_4[[#This Row],[Data]])</f>
        <v>37</v>
      </c>
      <c r="B517" s="45">
        <v>42990</v>
      </c>
      <c r="C517" s="45"/>
      <c r="D517" s="35" t="s">
        <v>19</v>
      </c>
      <c r="E517" s="35" t="s">
        <v>2</v>
      </c>
      <c r="F517" s="35"/>
      <c r="G517" s="44">
        <v>2</v>
      </c>
      <c r="H517" s="44">
        <v>5</v>
      </c>
      <c r="I517" s="44">
        <v>1</v>
      </c>
      <c r="J517" s="44">
        <v>0</v>
      </c>
      <c r="K517" s="44">
        <v>0</v>
      </c>
      <c r="L517" s="43">
        <v>0.64097222222222217</v>
      </c>
      <c r="M517" s="43">
        <v>0.67013888888888884</v>
      </c>
      <c r="N517" s="43">
        <f>1+26/24/60</f>
        <v>1.0180555555555555</v>
      </c>
      <c r="O517" s="43">
        <f>1+59/24/60</f>
        <v>1.0409722222222222</v>
      </c>
      <c r="P517" s="39">
        <v>0.11388888888888889</v>
      </c>
      <c r="Q517" s="42" t="s">
        <v>240</v>
      </c>
      <c r="R517" s="29">
        <f>MIP_4[[#This Row],[PT-1]]+MIP_4[[#This Row],[PT-2]]*2+MIP_4[[#This Row],[PT-3]]*3+MIP_4[[#This Row],[PT &gt; 3 Pontos]]</f>
        <v>7</v>
      </c>
      <c r="S51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0.16597222222222224</v>
      </c>
      <c r="T51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5.208333333333337E-2</v>
      </c>
      <c r="U517" s="41">
        <f ca="1">MIP_4[[#This Row],[Eficiência]]</f>
        <v>0.878753662428713</v>
      </c>
      <c r="V51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17" s="39">
        <f>IF(MIP_4[[#This Row],[P.S]]-MIP_4[[#This Row],[P.E]]&lt;0,1+MIP_4[[#This Row],[P.S]]-MIP_4[[#This Row],[P.E]]-1/24,MIP_4[[#This Row],[P.S]]-MIP_4[[#This Row],[P.E]]-1/24)</f>
        <v>0.35833333333333334</v>
      </c>
      <c r="X517" s="39">
        <f ca="1">MIP_4[[#This Row],[PT-1]]*$S$3+MIP_4[[#This Row],[PT-2]]*$T$3+MIP_4[[#This Row],[PT-3]]*$U$3+MIP_4[[#This Row],[PT &gt; 3 Pontos]]*$V$3</f>
        <v>0.16903803089774547</v>
      </c>
      <c r="Y517" s="39">
        <f>MIP_4[[#This Row],[HH disponível]]-MIP_4[[#This Row],[HH AC TOT]]</f>
        <v>0.19236111111111109</v>
      </c>
      <c r="Z517" s="38">
        <f ca="1">MIP_4[[#This Row],[HH Produtivo
Total]]/MIP_4[[#This Row],[HH Trabalhado]]</f>
        <v>0.878753662428713</v>
      </c>
      <c r="AA517" s="38">
        <f ca="1">MIP_4[[#This Row],[HH Produtivo
Total]]/MIP_4[[#This Row],[HH disponível]]</f>
        <v>0.47173403971463851</v>
      </c>
      <c r="AB517" s="38">
        <f>MIP_4[[#This Row],[HH Trabalhado]]/MIP_4[[#This Row],[HH disponível]]</f>
        <v>0.53682170542635654</v>
      </c>
      <c r="AC517" s="37" t="str">
        <f>LEFT(MIP_4[[#This Row],[Equipe]], SEARCH("/",MIP_4[[#This Row],[Equipe]],1)-1)</f>
        <v xml:space="preserve">ADEMÁRIO </v>
      </c>
      <c r="AD517" s="37" t="str">
        <f>RIGHT(MIP_4[[#This Row],[Equipe]], LEN(MIP_4[[#This Row],[Equipe]])-SEARCH("/",MIP_4[[#This Row],[Equipe]],1))</f>
        <v xml:space="preserve"> RONALDO</v>
      </c>
      <c r="AE517" s="44">
        <f>COUNTIFS('[1]Tempo parado'!G:G,"&gt;="&amp;MIP_4[[#This Row],[S.B Sitrack]],'[1]Tempo parado'!H:H,"&lt;="&amp;MIP_4[[#This Row],[C.B Sitrack]],'[1]Tempo parado'!A:A,MIP_4[[#This Row],[Placa]])</f>
        <v>0</v>
      </c>
      <c r="AF517" s="36"/>
      <c r="AG517" s="35"/>
      <c r="AH517" s="34"/>
      <c r="AI517" s="34"/>
      <c r="AJ51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1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1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17" s="32" t="str">
        <f>IFERROR(MIP_4[[#This Row],[Tempo parado]]/(MIP_4[[#This Row],[C.B Sitrack]]-MIP_4[[#This Row],[S.B Sitrack]]),"")</f>
        <v/>
      </c>
      <c r="AN517" s="30"/>
      <c r="AO517" s="44">
        <f>IF(AND(MIP_4[Exc]=0,MIP_4[Previsto / Realizado]="Realizado"),MIP_4[Sem],0)</f>
        <v>37</v>
      </c>
      <c r="AP517" s="29">
        <f>IF(AND(MIP_4[Exc]=0,MIP_4[Previsto / Realizado]="Realizado",ISBLANK(MIP_4[[#This Row],[S.B Sitrack]])=FALSE,ISBLANK(MIP_4[[#This Row],[C.B Sitrack]])=FALSE),MIP_4[Sem],0)</f>
        <v>0</v>
      </c>
    </row>
    <row r="518" spans="1:42" ht="15.75" x14ac:dyDescent="0.25">
      <c r="A518" s="44">
        <f>WEEKNUM(MIP_4[[#This Row],[Data]])</f>
        <v>37</v>
      </c>
      <c r="B518" s="45">
        <v>42991</v>
      </c>
      <c r="C518" s="45"/>
      <c r="D518" s="35" t="s">
        <v>3</v>
      </c>
      <c r="E518" s="35" t="s">
        <v>5</v>
      </c>
      <c r="F518" s="35"/>
      <c r="G518" s="44">
        <v>2</v>
      </c>
      <c r="H518" s="44">
        <v>5</v>
      </c>
      <c r="I518" s="44">
        <v>2</v>
      </c>
      <c r="J518" s="44">
        <v>1</v>
      </c>
      <c r="K518" s="44">
        <v>0</v>
      </c>
      <c r="L518" s="43">
        <v>0.625</v>
      </c>
      <c r="M518" s="43">
        <v>0.64583333333333337</v>
      </c>
      <c r="N518" s="43">
        <f>1+18/24/60</f>
        <v>1.0125</v>
      </c>
      <c r="O518" s="43">
        <f>1+48/24/60</f>
        <v>1.0333333333333334</v>
      </c>
      <c r="P518" s="39"/>
      <c r="Q518" s="42" t="s">
        <v>4</v>
      </c>
      <c r="R518" s="29">
        <f>MIP_4[[#This Row],[PT-1]]+MIP_4[[#This Row],[PT-2]]*2+MIP_4[[#This Row],[PT-3]]*3+MIP_4[[#This Row],[PT &gt; 3 Pontos]]</f>
        <v>12</v>
      </c>
      <c r="S51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51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518" s="41">
        <f ca="1">MIP_4[[#This Row],[Eficiência]]</f>
        <v>0.84842608076303727</v>
      </c>
      <c r="V51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18" s="39">
        <f>IF(MIP_4[[#This Row],[P.S]]-MIP_4[[#This Row],[P.E]]&lt;0,1+MIP_4[[#This Row],[P.S]]-MIP_4[[#This Row],[P.E]]-1/24,MIP_4[[#This Row],[P.S]]-MIP_4[[#This Row],[P.E]]-1/24)</f>
        <v>0.36666666666666675</v>
      </c>
      <c r="X518" s="39">
        <f ca="1">MIP_4[[#This Row],[PT-1]]*$S$3+MIP_4[[#This Row],[PT-2]]*$T$3+MIP_4[[#This Row],[PT-3]]*$U$3+MIP_4[[#This Row],[PT &gt; 3 Pontos]]*$V$3</f>
        <v>0.27573847624798703</v>
      </c>
      <c r="Y518" s="39">
        <f>MIP_4[[#This Row],[HH disponível]]-MIP_4[[#This Row],[HH AC TOT]]</f>
        <v>0.3249999999999999</v>
      </c>
      <c r="Z518" s="38">
        <f ca="1">MIP_4[[#This Row],[HH Produtivo
Total]]/MIP_4[[#This Row],[HH Trabalhado]]</f>
        <v>0.84842608076303727</v>
      </c>
      <c r="AA518" s="38">
        <f ca="1">MIP_4[[#This Row],[HH Produtivo
Total]]/MIP_4[[#This Row],[HH disponível]]</f>
        <v>0.75201402613087354</v>
      </c>
      <c r="AB518" s="38">
        <f>MIP_4[[#This Row],[HH Trabalhado]]/MIP_4[[#This Row],[HH disponível]]</f>
        <v>0.88636363636363591</v>
      </c>
      <c r="AC518" s="37" t="str">
        <f>LEFT(MIP_4[[#This Row],[Equipe]], SEARCH("/",MIP_4[[#This Row],[Equipe]],1)-1)</f>
        <v xml:space="preserve">EDILTON </v>
      </c>
      <c r="AD518" s="37" t="str">
        <f>RIGHT(MIP_4[[#This Row],[Equipe]], LEN(MIP_4[[#This Row],[Equipe]])-SEARCH("/",MIP_4[[#This Row],[Equipe]],1))</f>
        <v xml:space="preserve"> GECIVALDO</v>
      </c>
      <c r="AE518" s="44">
        <f>COUNTIFS('[1]Tempo parado'!G:G,"&gt;="&amp;MIP_4[[#This Row],[S.B Sitrack]],'[1]Tempo parado'!H:H,"&lt;="&amp;MIP_4[[#This Row],[C.B Sitrack]],'[1]Tempo parado'!A:A,MIP_4[[#This Row],[Placa]])</f>
        <v>0</v>
      </c>
      <c r="AF518" s="36"/>
      <c r="AG518" s="35"/>
      <c r="AH518" s="34"/>
      <c r="AI518" s="34"/>
      <c r="AJ51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1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1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18" s="32" t="str">
        <f>IFERROR(MIP_4[[#This Row],[Tempo parado]]/(MIP_4[[#This Row],[C.B Sitrack]]-MIP_4[[#This Row],[S.B Sitrack]]),"")</f>
        <v/>
      </c>
      <c r="AN518" s="30"/>
      <c r="AO518" s="44">
        <f>IF(AND(MIP_4[Exc]=0,MIP_4[Previsto / Realizado]="Realizado"),MIP_4[Sem],0)</f>
        <v>0</v>
      </c>
      <c r="AP518" s="29">
        <f>IF(AND(MIP_4[Exc]=0,MIP_4[Previsto / Realizado]="Realizado",ISBLANK(MIP_4[[#This Row],[S.B Sitrack]])=FALSE,ISBLANK(MIP_4[[#This Row],[C.B Sitrack]])=FALSE),MIP_4[Sem],0)</f>
        <v>0</v>
      </c>
    </row>
    <row r="519" spans="1:42" ht="15.75" x14ac:dyDescent="0.25">
      <c r="A519" s="44">
        <f>WEEKNUM(MIP_4[[#This Row],[Data]])</f>
        <v>37</v>
      </c>
      <c r="B519" s="45">
        <v>42991</v>
      </c>
      <c r="C519" s="45"/>
      <c r="D519" s="35" t="s">
        <v>3</v>
      </c>
      <c r="E519" s="35" t="s">
        <v>2</v>
      </c>
      <c r="F519" s="35"/>
      <c r="G519" s="44">
        <v>2</v>
      </c>
      <c r="H519" s="44">
        <v>7</v>
      </c>
      <c r="I519" s="44">
        <v>2</v>
      </c>
      <c r="J519" s="44">
        <v>1</v>
      </c>
      <c r="K519" s="44">
        <v>0</v>
      </c>
      <c r="L519" s="43">
        <v>0.6069444444444444</v>
      </c>
      <c r="M519" s="43">
        <v>0.65625</v>
      </c>
      <c r="N519" s="43">
        <v>0.98333333333333339</v>
      </c>
      <c r="O519" s="43">
        <v>0.99444444444444446</v>
      </c>
      <c r="P519" s="39"/>
      <c r="Q519" s="42"/>
      <c r="R519" s="29">
        <f>MIP_4[[#This Row],[PT-1]]+MIP_4[[#This Row],[PT-2]]*2+MIP_4[[#This Row],[PT-3]]*3+MIP_4[[#This Row],[PT &gt; 3 Pontos]]</f>
        <v>14</v>
      </c>
      <c r="S51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6.0416666666666674E-2</v>
      </c>
      <c r="T51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6.0416666666666674E-2</v>
      </c>
      <c r="U519" s="41">
        <f ca="1">MIP_4[[#This Row],[Eficiência]]</f>
        <v>1.1414546528438938</v>
      </c>
      <c r="V51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19" s="39">
        <f>IF(MIP_4[[#This Row],[P.S]]-MIP_4[[#This Row],[P.E]]&lt;0,1+MIP_4[[#This Row],[P.S]]-MIP_4[[#This Row],[P.E]]-1/24,MIP_4[[#This Row],[P.S]]-MIP_4[[#This Row],[P.E]]-1/24)</f>
        <v>0.34583333333333338</v>
      </c>
      <c r="X519" s="39">
        <f ca="1">MIP_4[[#This Row],[PT-1]]*$S$3+MIP_4[[#This Row],[PT-2]]*$T$3+MIP_4[[#This Row],[PT-3]]*$U$3+MIP_4[[#This Row],[PT &gt; 3 Pontos]]*$V$3</f>
        <v>0.32579018216586142</v>
      </c>
      <c r="Y519" s="39">
        <f>MIP_4[[#This Row],[HH disponível]]-MIP_4[[#This Row],[HH AC TOT]]</f>
        <v>0.28541666666666671</v>
      </c>
      <c r="Z519" s="38">
        <f ca="1">MIP_4[[#This Row],[HH Produtivo
Total]]/MIP_4[[#This Row],[HH Trabalhado]]</f>
        <v>1.1414546528438938</v>
      </c>
      <c r="AA519" s="38">
        <f ca="1">MIP_4[[#This Row],[HH Produtivo
Total]]/MIP_4[[#This Row],[HH disponível]]</f>
        <v>0.94204390023863527</v>
      </c>
      <c r="AB519" s="38">
        <f>MIP_4[[#This Row],[HH Trabalhado]]/MIP_4[[#This Row],[HH disponível]]</f>
        <v>0.82530120481927716</v>
      </c>
      <c r="AC519" s="37" t="str">
        <f>LEFT(MIP_4[[#This Row],[Equipe]], SEARCH("/",MIP_4[[#This Row],[Equipe]],1)-1)</f>
        <v xml:space="preserve">EDILTON </v>
      </c>
      <c r="AD519" s="37" t="str">
        <f>RIGHT(MIP_4[[#This Row],[Equipe]], LEN(MIP_4[[#This Row],[Equipe]])-SEARCH("/",MIP_4[[#This Row],[Equipe]],1))</f>
        <v xml:space="preserve"> GECIVALDO</v>
      </c>
      <c r="AE519" s="44">
        <f>COUNTIFS('[1]Tempo parado'!G:G,"&gt;="&amp;MIP_4[[#This Row],[S.B Sitrack]],'[1]Tempo parado'!H:H,"&lt;="&amp;MIP_4[[#This Row],[C.B Sitrack]],'[1]Tempo parado'!A:A,MIP_4[[#This Row],[Placa]])</f>
        <v>0</v>
      </c>
      <c r="AF519" s="36"/>
      <c r="AG519" s="35"/>
      <c r="AH519" s="34"/>
      <c r="AI519" s="34"/>
      <c r="AJ51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1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1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19" s="32" t="str">
        <f>IFERROR(MIP_4[[#This Row],[Tempo parado]]/(MIP_4[[#This Row],[C.B Sitrack]]-MIP_4[[#This Row],[S.B Sitrack]]),"")</f>
        <v/>
      </c>
      <c r="AN519" s="30"/>
      <c r="AO519" s="44">
        <f>IF(AND(MIP_4[Exc]=0,MIP_4[Previsto / Realizado]="Realizado"),MIP_4[Sem],0)</f>
        <v>37</v>
      </c>
      <c r="AP519" s="29">
        <f>IF(AND(MIP_4[Exc]=0,MIP_4[Previsto / Realizado]="Realizado",ISBLANK(MIP_4[[#This Row],[S.B Sitrack]])=FALSE,ISBLANK(MIP_4[[#This Row],[C.B Sitrack]])=FALSE),MIP_4[Sem],0)</f>
        <v>0</v>
      </c>
    </row>
    <row r="520" spans="1:42" ht="15.75" x14ac:dyDescent="0.25">
      <c r="A520" s="44">
        <f>WEEKNUM(MIP_4[[#This Row],[Data]])</f>
        <v>37</v>
      </c>
      <c r="B520" s="45">
        <v>42991</v>
      </c>
      <c r="C520" s="45"/>
      <c r="D520" s="35" t="s">
        <v>19</v>
      </c>
      <c r="E520" s="35" t="s">
        <v>5</v>
      </c>
      <c r="F520" s="35"/>
      <c r="G520" s="44">
        <v>2</v>
      </c>
      <c r="H520" s="44">
        <v>2</v>
      </c>
      <c r="I520" s="44">
        <v>4</v>
      </c>
      <c r="J520" s="44">
        <v>1</v>
      </c>
      <c r="K520" s="44">
        <v>0</v>
      </c>
      <c r="L520" s="43">
        <v>0.61875000000000002</v>
      </c>
      <c r="M520" s="43">
        <v>0.64583333333333337</v>
      </c>
      <c r="N520" s="43">
        <f>1+18/24/60</f>
        <v>1.0125</v>
      </c>
      <c r="O520" s="43">
        <f>1+48/24/60</f>
        <v>1.0333333333333334</v>
      </c>
      <c r="P520" s="39"/>
      <c r="Q520" s="42"/>
      <c r="R520" s="29">
        <f>MIP_4[[#This Row],[PT-1]]+MIP_4[[#This Row],[PT-2]]*2+MIP_4[[#This Row],[PT-3]]*3+MIP_4[[#This Row],[PT &gt; 3 Pontos]]</f>
        <v>13</v>
      </c>
      <c r="S52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4.7916666666666829E-2</v>
      </c>
      <c r="T52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4.7916666666666829E-2</v>
      </c>
      <c r="U520" s="41">
        <f ca="1">MIP_4[[#This Row],[Eficiência]]</f>
        <v>0.88762599869936853</v>
      </c>
      <c r="V52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20" s="39">
        <f>IF(MIP_4[[#This Row],[P.S]]-MIP_4[[#This Row],[P.E]]&lt;0,1+MIP_4[[#This Row],[P.S]]-MIP_4[[#This Row],[P.E]]-1/24,MIP_4[[#This Row],[P.S]]-MIP_4[[#This Row],[P.E]]-1/24)</f>
        <v>0.37291666666666673</v>
      </c>
      <c r="X520" s="39">
        <f ca="1">MIP_4[[#This Row],[PT-1]]*$S$3+MIP_4[[#This Row],[PT-2]]*$T$3+MIP_4[[#This Row],[PT-3]]*$U$3+MIP_4[[#This Row],[PT &gt; 3 Pontos]]*$V$3</f>
        <v>0.28847844957729468</v>
      </c>
      <c r="Y520" s="39">
        <f>MIP_4[[#This Row],[HH disponível]]-MIP_4[[#This Row],[HH AC TOT]]</f>
        <v>0.3249999999999999</v>
      </c>
      <c r="Z520" s="38">
        <f ca="1">MIP_4[[#This Row],[HH Produtivo
Total]]/MIP_4[[#This Row],[HH Trabalhado]]</f>
        <v>0.88762599869936853</v>
      </c>
      <c r="AA520" s="38">
        <f ca="1">MIP_4[[#This Row],[HH Produtivo
Total]]/MIP_4[[#This Row],[HH disponível]]</f>
        <v>0.77357349607319237</v>
      </c>
      <c r="AB520" s="38">
        <f>MIP_4[[#This Row],[HH Trabalhado]]/MIP_4[[#This Row],[HH disponível]]</f>
        <v>0.87150837988826779</v>
      </c>
      <c r="AC520" s="37" t="str">
        <f>LEFT(MIP_4[[#This Row],[Equipe]], SEARCH("/",MIP_4[[#This Row],[Equipe]],1)-1)</f>
        <v xml:space="preserve">ADEMÁRIO </v>
      </c>
      <c r="AD520" s="37" t="str">
        <f>RIGHT(MIP_4[[#This Row],[Equipe]], LEN(MIP_4[[#This Row],[Equipe]])-SEARCH("/",MIP_4[[#This Row],[Equipe]],1))</f>
        <v xml:space="preserve"> RONALDO</v>
      </c>
      <c r="AE520" s="44">
        <f>COUNTIFS('[1]Tempo parado'!G:G,"&gt;="&amp;MIP_4[[#This Row],[S.B Sitrack]],'[1]Tempo parado'!H:H,"&lt;="&amp;MIP_4[[#This Row],[C.B Sitrack]],'[1]Tempo parado'!A:A,MIP_4[[#This Row],[Placa]])</f>
        <v>0</v>
      </c>
      <c r="AF520" s="36"/>
      <c r="AG520" s="35"/>
      <c r="AH520" s="34"/>
      <c r="AI520" s="34"/>
      <c r="AJ52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2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2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20" s="32" t="str">
        <f>IFERROR(MIP_4[[#This Row],[Tempo parado]]/(MIP_4[[#This Row],[C.B Sitrack]]-MIP_4[[#This Row],[S.B Sitrack]]),"")</f>
        <v/>
      </c>
      <c r="AN520" s="30"/>
      <c r="AO520" s="44">
        <f>IF(AND(MIP_4[Exc]=0,MIP_4[Previsto / Realizado]="Realizado"),MIP_4[Sem],0)</f>
        <v>0</v>
      </c>
      <c r="AP520" s="29">
        <f>IF(AND(MIP_4[Exc]=0,MIP_4[Previsto / Realizado]="Realizado",ISBLANK(MIP_4[[#This Row],[S.B Sitrack]])=FALSE,ISBLANK(MIP_4[[#This Row],[C.B Sitrack]])=FALSE),MIP_4[Sem],0)</f>
        <v>0</v>
      </c>
    </row>
    <row r="521" spans="1:42" ht="15.75" x14ac:dyDescent="0.25">
      <c r="A521" s="44">
        <f>WEEKNUM(MIP_4[[#This Row],[Data]])</f>
        <v>37</v>
      </c>
      <c r="B521" s="45">
        <v>42991</v>
      </c>
      <c r="C521" s="45"/>
      <c r="D521" s="35" t="s">
        <v>19</v>
      </c>
      <c r="E521" s="35" t="s">
        <v>2</v>
      </c>
      <c r="F521" s="35"/>
      <c r="G521" s="44">
        <v>2</v>
      </c>
      <c r="H521" s="44">
        <v>2</v>
      </c>
      <c r="I521" s="44">
        <v>3</v>
      </c>
      <c r="J521" s="44">
        <v>0</v>
      </c>
      <c r="K521" s="44"/>
      <c r="L521" s="43">
        <v>0.61875000000000002</v>
      </c>
      <c r="M521" s="43">
        <v>0.66666666666666663</v>
      </c>
      <c r="N521" s="43">
        <f>1+10/24/60</f>
        <v>1.0069444444444444</v>
      </c>
      <c r="O521" s="43">
        <f>1+50/24/60</f>
        <v>1.0347222222222223</v>
      </c>
      <c r="P521" s="39">
        <v>2.9166666666666664E-2</v>
      </c>
      <c r="Q521" s="42" t="s">
        <v>239</v>
      </c>
      <c r="R521" s="29">
        <f>MIP_4[[#This Row],[PT-1]]+MIP_4[[#This Row],[PT-2]]*2+MIP_4[[#This Row],[PT-3]]*3+MIP_4[[#This Row],[PT &gt; 3 Pontos]]</f>
        <v>8</v>
      </c>
      <c r="S52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0.10486111111111117</v>
      </c>
      <c r="T52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7.5694444444444509E-2</v>
      </c>
      <c r="U521" s="41">
        <f ca="1">MIP_4[[#This Row],[Eficiência]]</f>
        <v>0.67464001568803222</v>
      </c>
      <c r="V52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21" s="39">
        <f>IF(MIP_4[[#This Row],[P.S]]-MIP_4[[#This Row],[P.E]]&lt;0,1+MIP_4[[#This Row],[P.S]]-MIP_4[[#This Row],[P.E]]-1/24,MIP_4[[#This Row],[P.S]]-MIP_4[[#This Row],[P.E]]-1/24)</f>
        <v>0.37430555555555561</v>
      </c>
      <c r="X521" s="39">
        <f ca="1">MIP_4[[#This Row],[PT-1]]*$S$3+MIP_4[[#This Row],[PT-2]]*$T$3+MIP_4[[#This Row],[PT-3]]*$U$3+MIP_4[[#This Row],[PT &gt; 3 Pontos]]*$V$3</f>
        <v>0.18177800422705312</v>
      </c>
      <c r="Y521" s="39">
        <f>MIP_4[[#This Row],[HH disponível]]-MIP_4[[#This Row],[HH AC TOT]]</f>
        <v>0.26944444444444443</v>
      </c>
      <c r="Z521" s="38">
        <f ca="1">MIP_4[[#This Row],[HH Produtivo
Total]]/MIP_4[[#This Row],[HH Trabalhado]]</f>
        <v>0.67464001568803222</v>
      </c>
      <c r="AA521" s="38">
        <f ca="1">MIP_4[[#This Row],[HH Produtivo
Total]]/MIP_4[[#This Row],[HH disponível]]</f>
        <v>0.48564067919657966</v>
      </c>
      <c r="AB521" s="38">
        <f>MIP_4[[#This Row],[HH Trabalhado]]/MIP_4[[#This Row],[HH disponível]]</f>
        <v>0.71985157699443403</v>
      </c>
      <c r="AC521" s="37" t="str">
        <f>LEFT(MIP_4[[#This Row],[Equipe]], SEARCH("/",MIP_4[[#This Row],[Equipe]],1)-1)</f>
        <v xml:space="preserve">ADEMÁRIO </v>
      </c>
      <c r="AD521" s="37" t="str">
        <f>RIGHT(MIP_4[[#This Row],[Equipe]], LEN(MIP_4[[#This Row],[Equipe]])-SEARCH("/",MIP_4[[#This Row],[Equipe]],1))</f>
        <v xml:space="preserve"> RONALDO</v>
      </c>
      <c r="AE521" s="44">
        <f>COUNTIFS('[1]Tempo parado'!G:G,"&gt;="&amp;MIP_4[[#This Row],[S.B Sitrack]],'[1]Tempo parado'!H:H,"&lt;="&amp;MIP_4[[#This Row],[C.B Sitrack]],'[1]Tempo parado'!A:A,MIP_4[[#This Row],[Placa]])</f>
        <v>0</v>
      </c>
      <c r="AF521" s="36"/>
      <c r="AG521" s="35"/>
      <c r="AH521" s="34"/>
      <c r="AI521" s="34"/>
      <c r="AJ52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2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2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21" s="32" t="str">
        <f>IFERROR(MIP_4[[#This Row],[Tempo parado]]/(MIP_4[[#This Row],[C.B Sitrack]]-MIP_4[[#This Row],[S.B Sitrack]]),"")</f>
        <v/>
      </c>
      <c r="AN521" s="30"/>
      <c r="AO521" s="44">
        <f>IF(AND(MIP_4[Exc]=0,MIP_4[Previsto / Realizado]="Realizado"),MIP_4[Sem],0)</f>
        <v>37</v>
      </c>
      <c r="AP521" s="29">
        <f>IF(AND(MIP_4[Exc]=0,MIP_4[Previsto / Realizado]="Realizado",ISBLANK(MIP_4[[#This Row],[S.B Sitrack]])=FALSE,ISBLANK(MIP_4[[#This Row],[C.B Sitrack]])=FALSE),MIP_4[Sem],0)</f>
        <v>0</v>
      </c>
    </row>
    <row r="522" spans="1:42" ht="15.75" x14ac:dyDescent="0.25">
      <c r="A522" s="44">
        <f>WEEKNUM(MIP_4[[#This Row],[Data]])</f>
        <v>37</v>
      </c>
      <c r="B522" s="45">
        <v>42991</v>
      </c>
      <c r="C522" s="45"/>
      <c r="D522" s="35" t="s">
        <v>7</v>
      </c>
      <c r="E522" s="35" t="s">
        <v>5</v>
      </c>
      <c r="F522" s="35"/>
      <c r="G522" s="44">
        <v>2</v>
      </c>
      <c r="H522" s="44">
        <v>1</v>
      </c>
      <c r="I522" s="44">
        <v>0</v>
      </c>
      <c r="J522" s="44">
        <v>0</v>
      </c>
      <c r="K522" s="44">
        <v>0</v>
      </c>
      <c r="L522" s="43">
        <v>0.25625000000000003</v>
      </c>
      <c r="M522" s="43">
        <v>0.64583333333333337</v>
      </c>
      <c r="N522" s="43">
        <f>1+18/24/60</f>
        <v>1.0125</v>
      </c>
      <c r="O522" s="43">
        <f>1+48/24/60</f>
        <v>1.0333333333333334</v>
      </c>
      <c r="P522" s="39"/>
      <c r="Q522" s="42" t="s">
        <v>238</v>
      </c>
      <c r="R522" s="29">
        <f>MIP_4[[#This Row],[PT-1]]+MIP_4[[#This Row],[PT-2]]*2+MIP_4[[#This Row],[PT-3]]*3+MIP_4[[#This Row],[PT &gt; 3 Pontos]]</f>
        <v>1</v>
      </c>
      <c r="S52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0.41041666666666682</v>
      </c>
      <c r="T52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0.41041666666666682</v>
      </c>
      <c r="U522" s="41">
        <f ca="1">MIP_4[[#This Row],[Eficiência]]</f>
        <v>7.7002624489037497E-2</v>
      </c>
      <c r="V52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22" s="39">
        <f>IF(MIP_4[[#This Row],[P.S]]-MIP_4[[#This Row],[P.E]]&lt;0,1+MIP_4[[#This Row],[P.S]]-MIP_4[[#This Row],[P.E]]-1/24,MIP_4[[#This Row],[P.S]]-MIP_4[[#This Row],[P.E]]-1/24)</f>
        <v>0.73541666666666672</v>
      </c>
      <c r="X522" s="39">
        <f ca="1">MIP_4[[#This Row],[PT-1]]*$S$3+MIP_4[[#This Row],[PT-2]]*$T$3+MIP_4[[#This Row],[PT-3]]*$U$3+MIP_4[[#This Row],[PT &gt; 3 Pontos]]*$V$3</f>
        <v>2.5025852958937181E-2</v>
      </c>
      <c r="Y522" s="39">
        <f>MIP_4[[#This Row],[HH disponível]]-MIP_4[[#This Row],[HH AC TOT]]</f>
        <v>0.3249999999999999</v>
      </c>
      <c r="Z522" s="38">
        <f ca="1">MIP_4[[#This Row],[HH Produtivo
Total]]/MIP_4[[#This Row],[HH Trabalhado]]</f>
        <v>7.7002624489037497E-2</v>
      </c>
      <c r="AA522" s="38">
        <f ca="1">MIP_4[[#This Row],[HH Produtivo
Total]]/MIP_4[[#This Row],[HH disponível]]</f>
        <v>3.402948844274744E-2</v>
      </c>
      <c r="AB522" s="38">
        <f>MIP_4[[#This Row],[HH Trabalhado]]/MIP_4[[#This Row],[HH disponível]]</f>
        <v>0.44192634560906496</v>
      </c>
      <c r="AC522" s="37" t="str">
        <f>LEFT(MIP_4[[#This Row],[Equipe]], SEARCH("/",MIP_4[[#This Row],[Equipe]],1)-1)</f>
        <v xml:space="preserve">ANDERSON </v>
      </c>
      <c r="AD522" s="37" t="str">
        <f>RIGHT(MIP_4[[#This Row],[Equipe]], LEN(MIP_4[[#This Row],[Equipe]])-SEARCH("/",MIP_4[[#This Row],[Equipe]],1))</f>
        <v xml:space="preserve"> MARCO</v>
      </c>
      <c r="AE522" s="44">
        <f>COUNTIFS('[1]Tempo parado'!G:G,"&gt;="&amp;MIP_4[[#This Row],[S.B Sitrack]],'[1]Tempo parado'!H:H,"&lt;="&amp;MIP_4[[#This Row],[C.B Sitrack]],'[1]Tempo parado'!A:A,MIP_4[[#This Row],[Placa]])</f>
        <v>0</v>
      </c>
      <c r="AF522" s="36"/>
      <c r="AG522" s="35"/>
      <c r="AH522" s="34"/>
      <c r="AI522" s="34"/>
      <c r="AJ52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2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2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22" s="32" t="str">
        <f>IFERROR(MIP_4[[#This Row],[Tempo parado]]/(MIP_4[[#This Row],[C.B Sitrack]]-MIP_4[[#This Row],[S.B Sitrack]]),"")</f>
        <v/>
      </c>
      <c r="AN522" s="30"/>
      <c r="AO522" s="44">
        <f>IF(AND(MIP_4[Exc]=0,MIP_4[Previsto / Realizado]="Realizado"),MIP_4[Sem],0)</f>
        <v>0</v>
      </c>
      <c r="AP522" s="29">
        <f>IF(AND(MIP_4[Exc]=0,MIP_4[Previsto / Realizado]="Realizado",ISBLANK(MIP_4[[#This Row],[S.B Sitrack]])=FALSE,ISBLANK(MIP_4[[#This Row],[C.B Sitrack]])=FALSE),MIP_4[Sem],0)</f>
        <v>0</v>
      </c>
    </row>
    <row r="523" spans="1:42" ht="15.75" x14ac:dyDescent="0.25">
      <c r="A523" s="44">
        <f>WEEKNUM(MIP_4[[#This Row],[Data]])</f>
        <v>37</v>
      </c>
      <c r="B523" s="45">
        <v>42991</v>
      </c>
      <c r="C523" s="45"/>
      <c r="D523" s="35" t="s">
        <v>7</v>
      </c>
      <c r="E523" s="35" t="s">
        <v>2</v>
      </c>
      <c r="F523" s="35"/>
      <c r="G523" s="44">
        <v>2</v>
      </c>
      <c r="H523" s="44">
        <v>4</v>
      </c>
      <c r="I523" s="44">
        <v>2</v>
      </c>
      <c r="J523" s="44">
        <v>2</v>
      </c>
      <c r="K523" s="44">
        <v>0</v>
      </c>
      <c r="L523" s="43">
        <v>0.62152777777777779</v>
      </c>
      <c r="M523" s="43">
        <v>0.65625</v>
      </c>
      <c r="N523" s="43">
        <f>1+10/24/60</f>
        <v>1.0069444444444444</v>
      </c>
      <c r="O523" s="43">
        <f>1+49/24/60</f>
        <v>1.0340277777777778</v>
      </c>
      <c r="P523" s="39">
        <v>4.8611111111111112E-3</v>
      </c>
      <c r="Q523" s="42" t="s">
        <v>237</v>
      </c>
      <c r="R523" s="29">
        <f>MIP_4[[#This Row],[PT-1]]+MIP_4[[#This Row],[PT-2]]*2+MIP_4[[#This Row],[PT-3]]*3+MIP_4[[#This Row],[PT &gt; 3 Pontos]]</f>
        <v>14</v>
      </c>
      <c r="S52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6.6666666666666666E-2</v>
      </c>
      <c r="T52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6.1805555555555558E-2</v>
      </c>
      <c r="U523" s="41">
        <f ca="1">MIP_4[[#This Row],[Eficiência]]</f>
        <v>1.0306990768314472</v>
      </c>
      <c r="V52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23" s="39">
        <f>IF(MIP_4[[#This Row],[P.S]]-MIP_4[[#This Row],[P.E]]&lt;0,1+MIP_4[[#This Row],[P.S]]-MIP_4[[#This Row],[P.E]]-1/24,MIP_4[[#This Row],[P.S]]-MIP_4[[#This Row],[P.E]]-1/24)</f>
        <v>0.37083333333333329</v>
      </c>
      <c r="X523" s="39">
        <f ca="1">MIP_4[[#This Row],[PT-1]]*$S$3+MIP_4[[#This Row],[PT-2]]*$T$3+MIP_4[[#This Row],[PT-3]]*$U$3+MIP_4[[#This Row],[PT &gt; 3 Pontos]]*$V$3</f>
        <v>0.31350430253623185</v>
      </c>
      <c r="Y523" s="39">
        <f>MIP_4[[#This Row],[HH disponível]]-MIP_4[[#This Row],[HH AC TOT]]</f>
        <v>0.30416666666666664</v>
      </c>
      <c r="Z523" s="38">
        <f ca="1">MIP_4[[#This Row],[HH Produtivo
Total]]/MIP_4[[#This Row],[HH Trabalhado]]</f>
        <v>1.0306990768314472</v>
      </c>
      <c r="AA523" s="38">
        <f ca="1">MIP_4[[#This Row],[HH Produtivo
Total]]/MIP_4[[#This Row],[HH disponível]]</f>
        <v>0.84540486077186128</v>
      </c>
      <c r="AB523" s="38">
        <f>MIP_4[[#This Row],[HH Trabalhado]]/MIP_4[[#This Row],[HH disponível]]</f>
        <v>0.8202247191011236</v>
      </c>
      <c r="AC523" s="37" t="str">
        <f>LEFT(MIP_4[[#This Row],[Equipe]], SEARCH("/",MIP_4[[#This Row],[Equipe]],1)-1)</f>
        <v xml:space="preserve">ANDERSON </v>
      </c>
      <c r="AD523" s="37" t="str">
        <f>RIGHT(MIP_4[[#This Row],[Equipe]], LEN(MIP_4[[#This Row],[Equipe]])-SEARCH("/",MIP_4[[#This Row],[Equipe]],1))</f>
        <v xml:space="preserve"> MARCO</v>
      </c>
      <c r="AE523" s="44">
        <f>COUNTIFS('[1]Tempo parado'!G:G,"&gt;="&amp;MIP_4[[#This Row],[S.B Sitrack]],'[1]Tempo parado'!H:H,"&lt;="&amp;MIP_4[[#This Row],[C.B Sitrack]],'[1]Tempo parado'!A:A,MIP_4[[#This Row],[Placa]])</f>
        <v>0</v>
      </c>
      <c r="AF523" s="36"/>
      <c r="AG523" s="35"/>
      <c r="AH523" s="34"/>
      <c r="AI523" s="34"/>
      <c r="AJ52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2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2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23" s="32" t="str">
        <f>IFERROR(MIP_4[[#This Row],[Tempo parado]]/(MIP_4[[#This Row],[C.B Sitrack]]-MIP_4[[#This Row],[S.B Sitrack]]),"")</f>
        <v/>
      </c>
      <c r="AN523" s="30"/>
      <c r="AO523" s="44">
        <f>IF(AND(MIP_4[Exc]=0,MIP_4[Previsto / Realizado]="Realizado"),MIP_4[Sem],0)</f>
        <v>37</v>
      </c>
      <c r="AP523" s="29">
        <f>IF(AND(MIP_4[Exc]=0,MIP_4[Previsto / Realizado]="Realizado",ISBLANK(MIP_4[[#This Row],[S.B Sitrack]])=FALSE,ISBLANK(MIP_4[[#This Row],[C.B Sitrack]])=FALSE),MIP_4[Sem],0)</f>
        <v>0</v>
      </c>
    </row>
    <row r="524" spans="1:42" ht="15.75" x14ac:dyDescent="0.25">
      <c r="A524" s="44">
        <f>WEEKNUM(MIP_4[[#This Row],[Data]])</f>
        <v>37</v>
      </c>
      <c r="B524" s="45">
        <v>42992</v>
      </c>
      <c r="C524" s="45"/>
      <c r="D524" s="35" t="s">
        <v>33</v>
      </c>
      <c r="E524" s="35" t="s">
        <v>5</v>
      </c>
      <c r="F524" s="35"/>
      <c r="G524" s="44">
        <v>2</v>
      </c>
      <c r="H524" s="44">
        <v>4</v>
      </c>
      <c r="I524" s="44">
        <v>1</v>
      </c>
      <c r="J524" s="44">
        <v>0</v>
      </c>
      <c r="K524" s="44">
        <v>4</v>
      </c>
      <c r="L524" s="43">
        <v>0.25</v>
      </c>
      <c r="M524" s="43">
        <v>0.27083333333333331</v>
      </c>
      <c r="N524" s="43">
        <v>0.63750000000000007</v>
      </c>
      <c r="O524" s="43">
        <v>0.65833333333333333</v>
      </c>
      <c r="P524" s="39"/>
      <c r="Q524" s="42" t="s">
        <v>236</v>
      </c>
      <c r="R524" s="29">
        <f>MIP_4[[#This Row],[PT-1]]+MIP_4[[#This Row],[PT-2]]*2+MIP_4[[#This Row],[PT-3]]*3+MIP_4[[#This Row],[PT &gt; 3 Pontos]]</f>
        <v>10</v>
      </c>
      <c r="S52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52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524" s="41">
        <f ca="1">MIP_4[[#This Row],[Eficiência]]</f>
        <v>0.69232068142092273</v>
      </c>
      <c r="V52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24" s="39">
        <f>IF(MIP_4[[#This Row],[P.S]]-MIP_4[[#This Row],[P.E]]&lt;0,1+MIP_4[[#This Row],[P.S]]-MIP_4[[#This Row],[P.E]]-1/24,MIP_4[[#This Row],[P.S]]-MIP_4[[#This Row],[P.E]]-1/24)</f>
        <v>0.36666666666666664</v>
      </c>
      <c r="X524" s="39">
        <f ca="1">MIP_4[[#This Row],[PT-1]]*$S$3+MIP_4[[#This Row],[PT-2]]*$T$3+MIP_4[[#This Row],[PT-3]]*$U$3+MIP_4[[#This Row],[PT &gt; 3 Pontos]]*$V$3</f>
        <v>0.22500422146179994</v>
      </c>
      <c r="Y524" s="39">
        <f>MIP_4[[#This Row],[HH disponível]]-MIP_4[[#This Row],[HH AC TOT]]</f>
        <v>0.32500000000000007</v>
      </c>
      <c r="Z524" s="38">
        <f ca="1">MIP_4[[#This Row],[HH Produtivo
Total]]/MIP_4[[#This Row],[HH Trabalhado]]</f>
        <v>0.69232068142092273</v>
      </c>
      <c r="AA524" s="38">
        <f ca="1">MIP_4[[#This Row],[HH Produtivo
Total]]/MIP_4[[#This Row],[HH disponível]]</f>
        <v>0.6136478767139999</v>
      </c>
      <c r="AB524" s="38">
        <f>MIP_4[[#This Row],[HH Trabalhado]]/MIP_4[[#This Row],[HH disponível]]</f>
        <v>0.88636363636363658</v>
      </c>
      <c r="AC524" s="37" t="str">
        <f>LEFT(MIP_4[[#This Row],[Equipe]], SEARCH("/",MIP_4[[#This Row],[Equipe]],1)-1)</f>
        <v xml:space="preserve">JOILSON </v>
      </c>
      <c r="AD524" s="37" t="str">
        <f>RIGHT(MIP_4[[#This Row],[Equipe]], LEN(MIP_4[[#This Row],[Equipe]])-SEARCH("/",MIP_4[[#This Row],[Equipe]],1))</f>
        <v xml:space="preserve"> HERVAL</v>
      </c>
      <c r="AE524" s="44">
        <f>COUNTIFS('[1]Tempo parado'!G:G,"&gt;="&amp;MIP_4[[#This Row],[S.B Sitrack]],'[1]Tempo parado'!H:H,"&lt;="&amp;MIP_4[[#This Row],[C.B Sitrack]],'[1]Tempo parado'!A:A,MIP_4[[#This Row],[Placa]])</f>
        <v>0</v>
      </c>
      <c r="AF524" s="36"/>
      <c r="AG524" s="35"/>
      <c r="AH524" s="34"/>
      <c r="AI524" s="34"/>
      <c r="AJ52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2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2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24" s="32" t="str">
        <f>IFERROR(MIP_4[[#This Row],[Tempo parado]]/(MIP_4[[#This Row],[C.B Sitrack]]-MIP_4[[#This Row],[S.B Sitrack]]),"")</f>
        <v/>
      </c>
      <c r="AN524" s="30"/>
      <c r="AO524" s="44">
        <f>IF(AND(MIP_4[Exc]=0,MIP_4[Previsto / Realizado]="Realizado"),MIP_4[Sem],0)</f>
        <v>0</v>
      </c>
      <c r="AP524" s="29">
        <f>IF(AND(MIP_4[Exc]=0,MIP_4[Previsto / Realizado]="Realizado",ISBLANK(MIP_4[[#This Row],[S.B Sitrack]])=FALSE,ISBLANK(MIP_4[[#This Row],[C.B Sitrack]])=FALSE),MIP_4[Sem],0)</f>
        <v>0</v>
      </c>
    </row>
    <row r="525" spans="1:42" ht="15.75" x14ac:dyDescent="0.25">
      <c r="A525" s="44">
        <f>WEEKNUM(MIP_4[[#This Row],[Data]])</f>
        <v>37</v>
      </c>
      <c r="B525" s="45">
        <v>42992</v>
      </c>
      <c r="C525" s="45"/>
      <c r="D525" s="35" t="s">
        <v>33</v>
      </c>
      <c r="E525" s="35" t="s">
        <v>2</v>
      </c>
      <c r="F525" s="35"/>
      <c r="G525" s="44">
        <v>2</v>
      </c>
      <c r="H525" s="44">
        <v>6</v>
      </c>
      <c r="I525" s="44">
        <v>1</v>
      </c>
      <c r="J525" s="44">
        <v>0</v>
      </c>
      <c r="K525" s="44">
        <v>4</v>
      </c>
      <c r="L525" s="43">
        <v>0.25625000000000003</v>
      </c>
      <c r="M525" s="43">
        <v>0.28472222222222221</v>
      </c>
      <c r="N525" s="43">
        <v>0.67222222222222217</v>
      </c>
      <c r="O525" s="43">
        <v>0.7284722222222223</v>
      </c>
      <c r="P525" s="39"/>
      <c r="Q525" s="42" t="s">
        <v>235</v>
      </c>
      <c r="R525" s="29">
        <f>MIP_4[[#This Row],[PT-1]]+MIP_4[[#This Row],[PT-2]]*2+MIP_4[[#This Row],[PT-3]]*3+MIP_4[[#This Row],[PT &gt; 3 Pontos]]</f>
        <v>12</v>
      </c>
      <c r="S52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8.472222222222231E-2</v>
      </c>
      <c r="T52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8.472222222222231E-2</v>
      </c>
      <c r="U525" s="41">
        <f ca="1">MIP_4[[#This Row],[Eficiência]]</f>
        <v>0.79534244061592585</v>
      </c>
      <c r="V52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25" s="39">
        <f>IF(MIP_4[[#This Row],[P.S]]-MIP_4[[#This Row],[P.E]]&lt;0,1+MIP_4[[#This Row],[P.S]]-MIP_4[[#This Row],[P.E]]-1/24,MIP_4[[#This Row],[P.S]]-MIP_4[[#This Row],[P.E]]-1/24)</f>
        <v>0.43055555555555558</v>
      </c>
      <c r="X525" s="39">
        <f ca="1">MIP_4[[#This Row],[PT-1]]*$S$3+MIP_4[[#This Row],[PT-2]]*$T$3+MIP_4[[#This Row],[PT-3]]*$U$3+MIP_4[[#This Row],[PT &gt; 3 Pontos]]*$V$3</f>
        <v>0.27505592737967433</v>
      </c>
      <c r="Y525" s="39">
        <f>MIP_4[[#This Row],[HH disponível]]-MIP_4[[#This Row],[HH AC TOT]]</f>
        <v>0.34583333333333327</v>
      </c>
      <c r="Z525" s="38">
        <f ca="1">MIP_4[[#This Row],[HH Produtivo
Total]]/MIP_4[[#This Row],[HH Trabalhado]]</f>
        <v>0.79534244061592585</v>
      </c>
      <c r="AA525" s="38">
        <f ca="1">MIP_4[[#This Row],[HH Produtivo
Total]]/MIP_4[[#This Row],[HH disponível]]</f>
        <v>0.63883957326892093</v>
      </c>
      <c r="AB525" s="38">
        <f>MIP_4[[#This Row],[HH Trabalhado]]/MIP_4[[#This Row],[HH disponível]]</f>
        <v>0.80322580645161268</v>
      </c>
      <c r="AC525" s="37" t="str">
        <f>LEFT(MIP_4[[#This Row],[Equipe]], SEARCH("/",MIP_4[[#This Row],[Equipe]],1)-1)</f>
        <v xml:space="preserve">JOILSON </v>
      </c>
      <c r="AD525" s="37" t="str">
        <f>RIGHT(MIP_4[[#This Row],[Equipe]], LEN(MIP_4[[#This Row],[Equipe]])-SEARCH("/",MIP_4[[#This Row],[Equipe]],1))</f>
        <v xml:space="preserve"> HERVAL</v>
      </c>
      <c r="AE525" s="44">
        <f>COUNTIFS('[1]Tempo parado'!G:G,"&gt;="&amp;MIP_4[[#This Row],[S.B Sitrack]],'[1]Tempo parado'!H:H,"&lt;="&amp;MIP_4[[#This Row],[C.B Sitrack]],'[1]Tempo parado'!A:A,MIP_4[[#This Row],[Placa]])</f>
        <v>0</v>
      </c>
      <c r="AF525" s="36"/>
      <c r="AG525" s="35"/>
      <c r="AH525" s="34"/>
      <c r="AI525" s="34"/>
      <c r="AJ52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2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2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25" s="32" t="str">
        <f>IFERROR(MIP_4[[#This Row],[Tempo parado]]/(MIP_4[[#This Row],[C.B Sitrack]]-MIP_4[[#This Row],[S.B Sitrack]]),"")</f>
        <v/>
      </c>
      <c r="AN525" s="30"/>
      <c r="AO525" s="44">
        <f>IF(AND(MIP_4[Exc]=0,MIP_4[Previsto / Realizado]="Realizado"),MIP_4[Sem],0)</f>
        <v>37</v>
      </c>
      <c r="AP525" s="29">
        <f>IF(AND(MIP_4[Exc]=0,MIP_4[Previsto / Realizado]="Realizado",ISBLANK(MIP_4[[#This Row],[S.B Sitrack]])=FALSE,ISBLANK(MIP_4[[#This Row],[C.B Sitrack]])=FALSE),MIP_4[Sem],0)</f>
        <v>0</v>
      </c>
    </row>
    <row r="526" spans="1:42" ht="15.75" x14ac:dyDescent="0.25">
      <c r="A526" s="44">
        <f>WEEKNUM(MIP_4[[#This Row],[Data]])</f>
        <v>37</v>
      </c>
      <c r="B526" s="45">
        <v>42992</v>
      </c>
      <c r="C526" s="45"/>
      <c r="D526" s="35" t="s">
        <v>3</v>
      </c>
      <c r="E526" s="35" t="s">
        <v>5</v>
      </c>
      <c r="F526" s="35"/>
      <c r="G526" s="44">
        <v>2</v>
      </c>
      <c r="H526" s="44">
        <v>3</v>
      </c>
      <c r="I526" s="44">
        <v>2</v>
      </c>
      <c r="J526" s="44">
        <v>0</v>
      </c>
      <c r="K526" s="44">
        <v>4</v>
      </c>
      <c r="L526" s="43">
        <v>0.62222222222222223</v>
      </c>
      <c r="M526" s="43">
        <v>0.64583333333333337</v>
      </c>
      <c r="N526" s="43">
        <f>1+18/24/60</f>
        <v>1.0125</v>
      </c>
      <c r="O526" s="43">
        <f>1+48/24/60</f>
        <v>1.0333333333333334</v>
      </c>
      <c r="P526" s="39"/>
      <c r="Q526" s="42"/>
      <c r="R526" s="29">
        <f>MIP_4[[#This Row],[PT-1]]+MIP_4[[#This Row],[PT-2]]*2+MIP_4[[#This Row],[PT-3]]*3+MIP_4[[#This Row],[PT &gt; 3 Pontos]]</f>
        <v>11</v>
      </c>
      <c r="S52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4.444444444444462E-2</v>
      </c>
      <c r="T52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4.444444444444462E-2</v>
      </c>
      <c r="U526" s="41">
        <f ca="1">MIP_4[[#This Row],[Eficiência]]</f>
        <v>0.75042195263360745</v>
      </c>
      <c r="V52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26" s="39">
        <f>IF(MIP_4[[#This Row],[P.S]]-MIP_4[[#This Row],[P.E]]&lt;0,1+MIP_4[[#This Row],[P.S]]-MIP_4[[#This Row],[P.E]]-1/24,MIP_4[[#This Row],[P.S]]-MIP_4[[#This Row],[P.E]]-1/24)</f>
        <v>0.36944444444444452</v>
      </c>
      <c r="X526" s="39">
        <f ca="1">MIP_4[[#This Row],[PT-1]]*$S$3+MIP_4[[#This Row],[PT-2]]*$T$3+MIP_4[[#This Row],[PT-3]]*$U$3+MIP_4[[#This Row],[PT &gt; 3 Pontos]]*$V$3</f>
        <v>0.24388713460592235</v>
      </c>
      <c r="Y526" s="39">
        <f>MIP_4[[#This Row],[HH disponível]]-MIP_4[[#This Row],[HH AC TOT]]</f>
        <v>0.3249999999999999</v>
      </c>
      <c r="Z526" s="38">
        <f ca="1">MIP_4[[#This Row],[HH Produtivo
Total]]/MIP_4[[#This Row],[HH Trabalhado]]</f>
        <v>0.75042195263360745</v>
      </c>
      <c r="AA526" s="38">
        <f ca="1">MIP_4[[#This Row],[HH Produtivo
Total]]/MIP_4[[#This Row],[HH disponível]]</f>
        <v>0.66014562750475203</v>
      </c>
      <c r="AB526" s="38">
        <f>MIP_4[[#This Row],[HH Trabalhado]]/MIP_4[[#This Row],[HH disponível]]</f>
        <v>0.87969924812030031</v>
      </c>
      <c r="AC526" s="37" t="str">
        <f>LEFT(MIP_4[[#This Row],[Equipe]], SEARCH("/",MIP_4[[#This Row],[Equipe]],1)-1)</f>
        <v xml:space="preserve">EDILTON </v>
      </c>
      <c r="AD526" s="37" t="str">
        <f>RIGHT(MIP_4[[#This Row],[Equipe]], LEN(MIP_4[[#This Row],[Equipe]])-SEARCH("/",MIP_4[[#This Row],[Equipe]],1))</f>
        <v xml:space="preserve"> GECIVALDO</v>
      </c>
      <c r="AE526" s="44">
        <f>COUNTIFS('[1]Tempo parado'!G:G,"&gt;="&amp;MIP_4[[#This Row],[S.B Sitrack]],'[1]Tempo parado'!H:H,"&lt;="&amp;MIP_4[[#This Row],[C.B Sitrack]],'[1]Tempo parado'!A:A,MIP_4[[#This Row],[Placa]])</f>
        <v>0</v>
      </c>
      <c r="AF526" s="36"/>
      <c r="AG526" s="35"/>
      <c r="AH526" s="34"/>
      <c r="AI526" s="34"/>
      <c r="AJ52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2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2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26" s="32" t="str">
        <f>IFERROR(MIP_4[[#This Row],[Tempo parado]]/(MIP_4[[#This Row],[C.B Sitrack]]-MIP_4[[#This Row],[S.B Sitrack]]),"")</f>
        <v/>
      </c>
      <c r="AN526" s="30"/>
      <c r="AO526" s="44">
        <f>IF(AND(MIP_4[Exc]=0,MIP_4[Previsto / Realizado]="Realizado"),MIP_4[Sem],0)</f>
        <v>0</v>
      </c>
      <c r="AP526" s="29">
        <f>IF(AND(MIP_4[Exc]=0,MIP_4[Previsto / Realizado]="Realizado",ISBLANK(MIP_4[[#This Row],[S.B Sitrack]])=FALSE,ISBLANK(MIP_4[[#This Row],[C.B Sitrack]])=FALSE),MIP_4[Sem],0)</f>
        <v>0</v>
      </c>
    </row>
    <row r="527" spans="1:42" ht="15.75" x14ac:dyDescent="0.25">
      <c r="A527" s="44">
        <f>WEEKNUM(MIP_4[[#This Row],[Data]])</f>
        <v>37</v>
      </c>
      <c r="B527" s="45">
        <v>42992</v>
      </c>
      <c r="C527" s="45"/>
      <c r="D527" s="35" t="s">
        <v>3</v>
      </c>
      <c r="E527" s="35" t="s">
        <v>2</v>
      </c>
      <c r="F527" s="35"/>
      <c r="G527" s="44">
        <v>2</v>
      </c>
      <c r="H527" s="44">
        <v>4</v>
      </c>
      <c r="I527" s="44">
        <v>1</v>
      </c>
      <c r="J527" s="44">
        <v>0</v>
      </c>
      <c r="K527" s="44">
        <v>6</v>
      </c>
      <c r="L527" s="43">
        <v>0.6166666666666667</v>
      </c>
      <c r="M527" s="43">
        <v>0.67361111111111116</v>
      </c>
      <c r="N527" s="43">
        <v>0.99791666666666667</v>
      </c>
      <c r="O527" s="43">
        <f>1+55/24/60</f>
        <v>1.0381944444444444</v>
      </c>
      <c r="P527" s="39"/>
      <c r="Q527" s="42" t="s">
        <v>88</v>
      </c>
      <c r="R527" s="29">
        <f>MIP_4[[#This Row],[PT-1]]+MIP_4[[#This Row],[PT-2]]*2+MIP_4[[#This Row],[PT-3]]*3+MIP_4[[#This Row],[PT &gt; 3 Pontos]]</f>
        <v>12</v>
      </c>
      <c r="S52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9.722222222222221E-2</v>
      </c>
      <c r="T52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9.722222222222221E-2</v>
      </c>
      <c r="U527" s="41">
        <f ca="1">MIP_4[[#This Row],[Eficiência]]</f>
        <v>0.93936203990551825</v>
      </c>
      <c r="V52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27" s="39">
        <f>IF(MIP_4[[#This Row],[P.S]]-MIP_4[[#This Row],[P.E]]&lt;0,1+MIP_4[[#This Row],[P.S]]-MIP_4[[#This Row],[P.E]]-1/24,MIP_4[[#This Row],[P.S]]-MIP_4[[#This Row],[P.E]]-1/24)</f>
        <v>0.37986111111111104</v>
      </c>
      <c r="X527" s="39">
        <f ca="1">MIP_4[[#This Row],[PT-1]]*$S$3+MIP_4[[#This Row],[PT-2]]*$T$3+MIP_4[[#This Row],[PT-3]]*$U$3+MIP_4[[#This Row],[PT &gt; 3 Pontos]]*$V$3</f>
        <v>0.26550024322329574</v>
      </c>
      <c r="Y527" s="39">
        <f>MIP_4[[#This Row],[HH disponível]]-MIP_4[[#This Row],[HH AC TOT]]</f>
        <v>0.28263888888888883</v>
      </c>
      <c r="Z527" s="38">
        <f ca="1">MIP_4[[#This Row],[HH Produtivo
Total]]/MIP_4[[#This Row],[HH Trabalhado]]</f>
        <v>0.93936203990551825</v>
      </c>
      <c r="AA527" s="38">
        <f ca="1">MIP_4[[#This Row],[HH Produtivo
Total]]/MIP_4[[#This Row],[HH disponível]]</f>
        <v>0.69894031122768907</v>
      </c>
      <c r="AB527" s="38">
        <f>MIP_4[[#This Row],[HH Trabalhado]]/MIP_4[[#This Row],[HH disponível]]</f>
        <v>0.74405850091407677</v>
      </c>
      <c r="AC527" s="37" t="str">
        <f>LEFT(MIP_4[[#This Row],[Equipe]], SEARCH("/",MIP_4[[#This Row],[Equipe]],1)-1)</f>
        <v xml:space="preserve">EDILTON </v>
      </c>
      <c r="AD527" s="37" t="str">
        <f>RIGHT(MIP_4[[#This Row],[Equipe]], LEN(MIP_4[[#This Row],[Equipe]])-SEARCH("/",MIP_4[[#This Row],[Equipe]],1))</f>
        <v xml:space="preserve"> GECIVALDO</v>
      </c>
      <c r="AE527" s="44">
        <f>COUNTIFS('[1]Tempo parado'!G:G,"&gt;="&amp;MIP_4[[#This Row],[S.B Sitrack]],'[1]Tempo parado'!H:H,"&lt;="&amp;MIP_4[[#This Row],[C.B Sitrack]],'[1]Tempo parado'!A:A,MIP_4[[#This Row],[Placa]])</f>
        <v>0</v>
      </c>
      <c r="AF527" s="36"/>
      <c r="AG527" s="35"/>
      <c r="AH527" s="34"/>
      <c r="AI527" s="34"/>
      <c r="AJ52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2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2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27" s="32" t="str">
        <f>IFERROR(MIP_4[[#This Row],[Tempo parado]]/(MIP_4[[#This Row],[C.B Sitrack]]-MIP_4[[#This Row],[S.B Sitrack]]),"")</f>
        <v/>
      </c>
      <c r="AN527" s="30"/>
      <c r="AO527" s="44">
        <f>IF(AND(MIP_4[Exc]=0,MIP_4[Previsto / Realizado]="Realizado"),MIP_4[Sem],0)</f>
        <v>37</v>
      </c>
      <c r="AP527" s="29">
        <f>IF(AND(MIP_4[Exc]=0,MIP_4[Previsto / Realizado]="Realizado",ISBLANK(MIP_4[[#This Row],[S.B Sitrack]])=FALSE,ISBLANK(MIP_4[[#This Row],[C.B Sitrack]])=FALSE),MIP_4[Sem],0)</f>
        <v>0</v>
      </c>
    </row>
    <row r="528" spans="1:42" ht="15.75" x14ac:dyDescent="0.25">
      <c r="A528" s="44">
        <f>WEEKNUM(MIP_4[[#This Row],[Data]])</f>
        <v>37</v>
      </c>
      <c r="B528" s="45">
        <v>42992</v>
      </c>
      <c r="C528" s="45"/>
      <c r="D528" s="35" t="s">
        <v>7</v>
      </c>
      <c r="E528" s="35" t="s">
        <v>5</v>
      </c>
      <c r="F528" s="35"/>
      <c r="G528" s="44">
        <v>2</v>
      </c>
      <c r="H528" s="44">
        <v>0</v>
      </c>
      <c r="I528" s="44">
        <v>1</v>
      </c>
      <c r="J528" s="44">
        <v>2</v>
      </c>
      <c r="K528" s="44">
        <v>0</v>
      </c>
      <c r="L528" s="43">
        <v>0.6381944444444444</v>
      </c>
      <c r="M528" s="43">
        <v>0.64583333333333337</v>
      </c>
      <c r="N528" s="43">
        <f>1+18/24/60</f>
        <v>1.0125</v>
      </c>
      <c r="O528" s="43">
        <f>1+48/24/60</f>
        <v>1.0333333333333334</v>
      </c>
      <c r="P528" s="39"/>
      <c r="Q528" s="42"/>
      <c r="R528" s="29">
        <f>MIP_4[[#This Row],[PT-1]]+MIP_4[[#This Row],[PT-2]]*2+MIP_4[[#This Row],[PT-3]]*3+MIP_4[[#This Row],[PT &gt; 3 Pontos]]</f>
        <v>8</v>
      </c>
      <c r="S52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2.8472222222222454E-2</v>
      </c>
      <c r="T52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2.8472222222222454E-2</v>
      </c>
      <c r="U528" s="41">
        <f ca="1">MIP_4[[#This Row],[Eficiência]]</f>
        <v>0.52151422953053417</v>
      </c>
      <c r="V52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28" s="39">
        <f>IF(MIP_4[[#This Row],[P.S]]-MIP_4[[#This Row],[P.E]]&lt;0,1+MIP_4[[#This Row],[P.S]]-MIP_4[[#This Row],[P.E]]-1/24,MIP_4[[#This Row],[P.S]]-MIP_4[[#This Row],[P.E]]-1/24)</f>
        <v>0.35347222222222235</v>
      </c>
      <c r="X528" s="39">
        <f ca="1">MIP_4[[#This Row],[PT-1]]*$S$3+MIP_4[[#This Row],[PT-2]]*$T$3+MIP_4[[#This Row],[PT-3]]*$U$3+MIP_4[[#This Row],[PT &gt; 3 Pontos]]*$V$3</f>
        <v>0.16949212459742355</v>
      </c>
      <c r="Y528" s="39">
        <f>MIP_4[[#This Row],[HH disponível]]-MIP_4[[#This Row],[HH AC TOT]]</f>
        <v>0.3249999999999999</v>
      </c>
      <c r="Z528" s="38">
        <f ca="1">MIP_4[[#This Row],[HH Produtivo
Total]]/MIP_4[[#This Row],[HH Trabalhado]]</f>
        <v>0.52151422953053417</v>
      </c>
      <c r="AA528" s="38">
        <f ca="1">MIP_4[[#This Row],[HH Produtivo
Total]]/MIP_4[[#This Row],[HH disponível]]</f>
        <v>0.47950620711255365</v>
      </c>
      <c r="AB528" s="38">
        <f>MIP_4[[#This Row],[HH Trabalhado]]/MIP_4[[#This Row],[HH disponível]]</f>
        <v>0.91944990176817232</v>
      </c>
      <c r="AC528" s="37" t="str">
        <f>LEFT(MIP_4[[#This Row],[Equipe]], SEARCH("/",MIP_4[[#This Row],[Equipe]],1)-1)</f>
        <v xml:space="preserve">ANDERSON </v>
      </c>
      <c r="AD528" s="37" t="str">
        <f>RIGHT(MIP_4[[#This Row],[Equipe]], LEN(MIP_4[[#This Row],[Equipe]])-SEARCH("/",MIP_4[[#This Row],[Equipe]],1))</f>
        <v xml:space="preserve"> MARCO</v>
      </c>
      <c r="AE528" s="44">
        <f>COUNTIFS('[1]Tempo parado'!G:G,"&gt;="&amp;MIP_4[[#This Row],[S.B Sitrack]],'[1]Tempo parado'!H:H,"&lt;="&amp;MIP_4[[#This Row],[C.B Sitrack]],'[1]Tempo parado'!A:A,MIP_4[[#This Row],[Placa]])</f>
        <v>0</v>
      </c>
      <c r="AF528" s="36"/>
      <c r="AG528" s="35"/>
      <c r="AH528" s="34"/>
      <c r="AI528" s="34"/>
      <c r="AJ52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2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2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28" s="32" t="str">
        <f>IFERROR(MIP_4[[#This Row],[Tempo parado]]/(MIP_4[[#This Row],[C.B Sitrack]]-MIP_4[[#This Row],[S.B Sitrack]]),"")</f>
        <v/>
      </c>
      <c r="AN528" s="30"/>
      <c r="AO528" s="44">
        <f>IF(AND(MIP_4[Exc]=0,MIP_4[Previsto / Realizado]="Realizado"),MIP_4[Sem],0)</f>
        <v>0</v>
      </c>
      <c r="AP528" s="29">
        <f>IF(AND(MIP_4[Exc]=0,MIP_4[Previsto / Realizado]="Realizado",ISBLANK(MIP_4[[#This Row],[S.B Sitrack]])=FALSE,ISBLANK(MIP_4[[#This Row],[C.B Sitrack]])=FALSE),MIP_4[Sem],0)</f>
        <v>0</v>
      </c>
    </row>
    <row r="529" spans="1:42" ht="15.75" x14ac:dyDescent="0.25">
      <c r="A529" s="44">
        <f>WEEKNUM(MIP_4[[#This Row],[Data]])</f>
        <v>37</v>
      </c>
      <c r="B529" s="45">
        <v>42992</v>
      </c>
      <c r="C529" s="45"/>
      <c r="D529" s="35" t="s">
        <v>7</v>
      </c>
      <c r="E529" s="35" t="s">
        <v>2</v>
      </c>
      <c r="F529" s="35"/>
      <c r="G529" s="44">
        <v>2</v>
      </c>
      <c r="H529" s="44">
        <v>2</v>
      </c>
      <c r="I529" s="44">
        <v>2</v>
      </c>
      <c r="J529" s="44">
        <v>1</v>
      </c>
      <c r="K529" s="44">
        <v>0</v>
      </c>
      <c r="L529" s="43">
        <v>0.625</v>
      </c>
      <c r="M529" s="43">
        <v>0.65416666666666667</v>
      </c>
      <c r="N529" s="43">
        <f>1+58/24/60</f>
        <v>1.0402777777777779</v>
      </c>
      <c r="O529" s="43">
        <f>1+94/24/60</f>
        <v>1.0652777777777778</v>
      </c>
      <c r="P529" s="39">
        <v>0.11666666666666665</v>
      </c>
      <c r="Q529" s="42" t="s">
        <v>234</v>
      </c>
      <c r="R529" s="29">
        <f>MIP_4[[#This Row],[PT-1]]+MIP_4[[#This Row],[PT-2]]*2+MIP_4[[#This Row],[PT-3]]*3+MIP_4[[#This Row],[PT &gt; 3 Pontos]]</f>
        <v>9</v>
      </c>
      <c r="S52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0.17083333333333323</v>
      </c>
      <c r="T52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5.4166666666666585E-2</v>
      </c>
      <c r="U529" s="41">
        <f ca="1">MIP_4[[#This Row],[Eficiência]]</f>
        <v>0.88095036894662393</v>
      </c>
      <c r="V52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29" s="39">
        <f>IF(MIP_4[[#This Row],[P.S]]-MIP_4[[#This Row],[P.E]]&lt;0,1+MIP_4[[#This Row],[P.S]]-MIP_4[[#This Row],[P.E]]-1/24,MIP_4[[#This Row],[P.S]]-MIP_4[[#This Row],[P.E]]-1/24)</f>
        <v>0.39861111111111108</v>
      </c>
      <c r="X529" s="39">
        <f ca="1">MIP_4[[#This Row],[PT-1]]*$S$3+MIP_4[[#This Row],[PT-2]]*$T$3+MIP_4[[#This Row],[PT-3]]*$U$3+MIP_4[[#This Row],[PT &gt; 3 Pontos]]*$V$3</f>
        <v>0.20066091737117553</v>
      </c>
      <c r="Y529" s="39">
        <f>MIP_4[[#This Row],[HH disponível]]-MIP_4[[#This Row],[HH AC TOT]]</f>
        <v>0.22777777777777786</v>
      </c>
      <c r="Z529" s="38">
        <f ca="1">MIP_4[[#This Row],[HH Produtivo
Total]]/MIP_4[[#This Row],[HH Trabalhado]]</f>
        <v>0.88095036894662393</v>
      </c>
      <c r="AA529" s="38">
        <f ca="1">MIP_4[[#This Row],[HH Produtivo
Total]]/MIP_4[[#This Row],[HH disponível]]</f>
        <v>0.50340021082664244</v>
      </c>
      <c r="AB529" s="38">
        <f>MIP_4[[#This Row],[HH Trabalhado]]/MIP_4[[#This Row],[HH disponível]]</f>
        <v>0.57142857142857162</v>
      </c>
      <c r="AC529" s="37" t="str">
        <f>LEFT(MIP_4[[#This Row],[Equipe]], SEARCH("/",MIP_4[[#This Row],[Equipe]],1)-1)</f>
        <v xml:space="preserve">ANDERSON </v>
      </c>
      <c r="AD529" s="37" t="str">
        <f>RIGHT(MIP_4[[#This Row],[Equipe]], LEN(MIP_4[[#This Row],[Equipe]])-SEARCH("/",MIP_4[[#This Row],[Equipe]],1))</f>
        <v xml:space="preserve"> MARCO</v>
      </c>
      <c r="AE529" s="44">
        <f>COUNTIFS('[1]Tempo parado'!G:G,"&gt;="&amp;MIP_4[[#This Row],[S.B Sitrack]],'[1]Tempo parado'!H:H,"&lt;="&amp;MIP_4[[#This Row],[C.B Sitrack]],'[1]Tempo parado'!A:A,MIP_4[[#This Row],[Placa]])</f>
        <v>0</v>
      </c>
      <c r="AF529" s="36"/>
      <c r="AG529" s="35"/>
      <c r="AH529" s="34"/>
      <c r="AI529" s="34"/>
      <c r="AJ52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2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2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29" s="32" t="str">
        <f>IFERROR(MIP_4[[#This Row],[Tempo parado]]/(MIP_4[[#This Row],[C.B Sitrack]]-MIP_4[[#This Row],[S.B Sitrack]]),"")</f>
        <v/>
      </c>
      <c r="AN529" s="30"/>
      <c r="AO529" s="44">
        <f>IF(AND(MIP_4[Exc]=0,MIP_4[Previsto / Realizado]="Realizado"),MIP_4[Sem],0)</f>
        <v>37</v>
      </c>
      <c r="AP529" s="29">
        <f>IF(AND(MIP_4[Exc]=0,MIP_4[Previsto / Realizado]="Realizado",ISBLANK(MIP_4[[#This Row],[S.B Sitrack]])=FALSE,ISBLANK(MIP_4[[#This Row],[C.B Sitrack]])=FALSE),MIP_4[Sem],0)</f>
        <v>0</v>
      </c>
    </row>
    <row r="530" spans="1:42" ht="15.75" x14ac:dyDescent="0.25">
      <c r="A530" s="44">
        <f>WEEKNUM(MIP_4[[#This Row],[Data]])</f>
        <v>37</v>
      </c>
      <c r="B530" s="45">
        <v>42993</v>
      </c>
      <c r="C530" s="45"/>
      <c r="D530" s="35" t="s">
        <v>33</v>
      </c>
      <c r="E530" s="35" t="s">
        <v>5</v>
      </c>
      <c r="F530" s="35"/>
      <c r="G530" s="44">
        <v>2</v>
      </c>
      <c r="H530" s="44">
        <v>9</v>
      </c>
      <c r="I530" s="44">
        <v>1</v>
      </c>
      <c r="J530" s="44">
        <v>0</v>
      </c>
      <c r="K530" s="44">
        <v>0</v>
      </c>
      <c r="L530" s="43">
        <v>0.25</v>
      </c>
      <c r="M530" s="43">
        <v>0.27083333333333331</v>
      </c>
      <c r="N530" s="43">
        <v>0.63750000000000007</v>
      </c>
      <c r="O530" s="43">
        <v>0.65833333333333333</v>
      </c>
      <c r="P530" s="39"/>
      <c r="Q530" s="42"/>
      <c r="R530" s="29">
        <f>MIP_4[[#This Row],[PT-1]]+MIP_4[[#This Row],[PT-2]]*2+MIP_4[[#This Row],[PT-3]]*3+MIP_4[[#This Row],[PT &gt; 3 Pontos]]</f>
        <v>11</v>
      </c>
      <c r="S53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53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530" s="41">
        <f ca="1">MIP_4[[#This Row],[Eficiência]]</f>
        <v>0.82812751610305901</v>
      </c>
      <c r="V53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30" s="39">
        <f>IF(MIP_4[[#This Row],[P.S]]-MIP_4[[#This Row],[P.E]]&lt;0,1+MIP_4[[#This Row],[P.S]]-MIP_4[[#This Row],[P.E]]-1/24,MIP_4[[#This Row],[P.S]]-MIP_4[[#This Row],[P.E]]-1/24)</f>
        <v>0.36666666666666664</v>
      </c>
      <c r="X530" s="39">
        <f ca="1">MIP_4[[#This Row],[PT-1]]*$S$3+MIP_4[[#This Row],[PT-2]]*$T$3+MIP_4[[#This Row],[PT-3]]*$U$3+MIP_4[[#This Row],[PT &gt; 3 Pontos]]*$V$3</f>
        <v>0.26914144273349422</v>
      </c>
      <c r="Y530" s="39">
        <f>MIP_4[[#This Row],[HH disponível]]-MIP_4[[#This Row],[HH AC TOT]]</f>
        <v>0.32500000000000007</v>
      </c>
      <c r="Z530" s="38">
        <f ca="1">MIP_4[[#This Row],[HH Produtivo
Total]]/MIP_4[[#This Row],[HH Trabalhado]]</f>
        <v>0.82812751610305901</v>
      </c>
      <c r="AA530" s="38">
        <f ca="1">MIP_4[[#This Row],[HH Produtivo
Total]]/MIP_4[[#This Row],[HH disponível]]</f>
        <v>0.73402211654589333</v>
      </c>
      <c r="AB530" s="38">
        <f>MIP_4[[#This Row],[HH Trabalhado]]/MIP_4[[#This Row],[HH disponível]]</f>
        <v>0.88636363636363658</v>
      </c>
      <c r="AC530" s="37" t="str">
        <f>LEFT(MIP_4[[#This Row],[Equipe]], SEARCH("/",MIP_4[[#This Row],[Equipe]],1)-1)</f>
        <v xml:space="preserve">JOILSON </v>
      </c>
      <c r="AD530" s="37" t="str">
        <f>RIGHT(MIP_4[[#This Row],[Equipe]], LEN(MIP_4[[#This Row],[Equipe]])-SEARCH("/",MIP_4[[#This Row],[Equipe]],1))</f>
        <v xml:space="preserve"> HERVAL</v>
      </c>
      <c r="AE530" s="44">
        <f>COUNTIFS('[1]Tempo parado'!G:G,"&gt;="&amp;MIP_4[[#This Row],[S.B Sitrack]],'[1]Tempo parado'!H:H,"&lt;="&amp;MIP_4[[#This Row],[C.B Sitrack]],'[1]Tempo parado'!A:A,MIP_4[[#This Row],[Placa]])</f>
        <v>0</v>
      </c>
      <c r="AF530" s="36"/>
      <c r="AG530" s="35"/>
      <c r="AH530" s="34"/>
      <c r="AI530" s="34"/>
      <c r="AJ53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3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3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30" s="32" t="str">
        <f>IFERROR(MIP_4[[#This Row],[Tempo parado]]/(MIP_4[[#This Row],[C.B Sitrack]]-MIP_4[[#This Row],[S.B Sitrack]]),"")</f>
        <v/>
      </c>
      <c r="AN530" s="30"/>
      <c r="AO530" s="44">
        <f>IF(AND(MIP_4[Exc]=0,MIP_4[Previsto / Realizado]="Realizado"),MIP_4[Sem],0)</f>
        <v>0</v>
      </c>
      <c r="AP530" s="29">
        <f>IF(AND(MIP_4[Exc]=0,MIP_4[Previsto / Realizado]="Realizado",ISBLANK(MIP_4[[#This Row],[S.B Sitrack]])=FALSE,ISBLANK(MIP_4[[#This Row],[C.B Sitrack]])=FALSE),MIP_4[Sem],0)</f>
        <v>0</v>
      </c>
    </row>
    <row r="531" spans="1:42" ht="15.75" x14ac:dyDescent="0.25">
      <c r="A531" s="44">
        <f>WEEKNUM(MIP_4[[#This Row],[Data]])</f>
        <v>37</v>
      </c>
      <c r="B531" s="45">
        <v>42993</v>
      </c>
      <c r="C531" s="45"/>
      <c r="D531" s="35" t="s">
        <v>3</v>
      </c>
      <c r="E531" s="35" t="s">
        <v>5</v>
      </c>
      <c r="F531" s="35"/>
      <c r="G531" s="44">
        <v>2</v>
      </c>
      <c r="H531" s="44">
        <v>3</v>
      </c>
      <c r="I531" s="44">
        <v>2</v>
      </c>
      <c r="J531" s="44">
        <v>0</v>
      </c>
      <c r="K531" s="44">
        <v>6</v>
      </c>
      <c r="L531" s="43">
        <v>0.625</v>
      </c>
      <c r="M531" s="43">
        <v>0.64583333333333337</v>
      </c>
      <c r="N531" s="43">
        <f>1+18/24/60</f>
        <v>1.0125</v>
      </c>
      <c r="O531" s="43">
        <f>1+48/24/60</f>
        <v>1.0333333333333334</v>
      </c>
      <c r="P531" s="39"/>
      <c r="Q531" s="42"/>
      <c r="R531" s="29">
        <f>MIP_4[[#This Row],[PT-1]]+MIP_4[[#This Row],[PT-2]]*2+MIP_4[[#This Row],[PT-3]]*3+MIP_4[[#This Row],[PT &gt; 3 Pontos]]</f>
        <v>13</v>
      </c>
      <c r="S53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53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531" s="41">
        <f ca="1">MIP_4[[#This Row],[Eficiência]]</f>
        <v>0.87502509651513316</v>
      </c>
      <c r="V53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31" s="39">
        <f>IF(MIP_4[[#This Row],[P.S]]-MIP_4[[#This Row],[P.E]]&lt;0,1+MIP_4[[#This Row],[P.S]]-MIP_4[[#This Row],[P.E]]-1/24,MIP_4[[#This Row],[P.S]]-MIP_4[[#This Row],[P.E]]-1/24)</f>
        <v>0.36666666666666675</v>
      </c>
      <c r="X531" s="39">
        <f ca="1">MIP_4[[#This Row],[PT-1]]*$S$3+MIP_4[[#This Row],[PT-2]]*$T$3+MIP_4[[#This Row],[PT-3]]*$U$3+MIP_4[[#This Row],[PT &gt; 3 Pontos]]*$V$3</f>
        <v>0.28438315636741818</v>
      </c>
      <c r="Y531" s="39">
        <f>MIP_4[[#This Row],[HH disponível]]-MIP_4[[#This Row],[HH AC TOT]]</f>
        <v>0.3249999999999999</v>
      </c>
      <c r="Z531" s="38">
        <f ca="1">MIP_4[[#This Row],[HH Produtivo
Total]]/MIP_4[[#This Row],[HH Trabalhado]]</f>
        <v>0.87502509651513316</v>
      </c>
      <c r="AA531" s="38">
        <f ca="1">MIP_4[[#This Row],[HH Produtivo
Total]]/MIP_4[[#This Row],[HH disponível]]</f>
        <v>0.77559042645659482</v>
      </c>
      <c r="AB531" s="38">
        <f>MIP_4[[#This Row],[HH Trabalhado]]/MIP_4[[#This Row],[HH disponível]]</f>
        <v>0.88636363636363591</v>
      </c>
      <c r="AC531" s="37" t="str">
        <f>LEFT(MIP_4[[#This Row],[Equipe]], SEARCH("/",MIP_4[[#This Row],[Equipe]],1)-1)</f>
        <v xml:space="preserve">EDILTON </v>
      </c>
      <c r="AD531" s="37" t="str">
        <f>RIGHT(MIP_4[[#This Row],[Equipe]], LEN(MIP_4[[#This Row],[Equipe]])-SEARCH("/",MIP_4[[#This Row],[Equipe]],1))</f>
        <v xml:space="preserve"> GECIVALDO</v>
      </c>
      <c r="AE531" s="44">
        <f>COUNTIFS('[1]Tempo parado'!G:G,"&gt;="&amp;MIP_4[[#This Row],[S.B Sitrack]],'[1]Tempo parado'!H:H,"&lt;="&amp;MIP_4[[#This Row],[C.B Sitrack]],'[1]Tempo parado'!A:A,MIP_4[[#This Row],[Placa]])</f>
        <v>0</v>
      </c>
      <c r="AF531" s="36"/>
      <c r="AG531" s="35"/>
      <c r="AH531" s="34"/>
      <c r="AI531" s="34"/>
      <c r="AJ53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3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3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31" s="32" t="str">
        <f>IFERROR(MIP_4[[#This Row],[Tempo parado]]/(MIP_4[[#This Row],[C.B Sitrack]]-MIP_4[[#This Row],[S.B Sitrack]]),"")</f>
        <v/>
      </c>
      <c r="AN531" s="30"/>
      <c r="AO531" s="44">
        <f>IF(AND(MIP_4[Exc]=0,MIP_4[Previsto / Realizado]="Realizado"),MIP_4[Sem],0)</f>
        <v>0</v>
      </c>
      <c r="AP531" s="29">
        <f>IF(AND(MIP_4[Exc]=0,MIP_4[Previsto / Realizado]="Realizado",ISBLANK(MIP_4[[#This Row],[S.B Sitrack]])=FALSE,ISBLANK(MIP_4[[#This Row],[C.B Sitrack]])=FALSE),MIP_4[Sem],0)</f>
        <v>0</v>
      </c>
    </row>
    <row r="532" spans="1:42" ht="15.75" x14ac:dyDescent="0.25">
      <c r="A532" s="44">
        <f>WEEKNUM(MIP_4[[#This Row],[Data]])</f>
        <v>37</v>
      </c>
      <c r="B532" s="45">
        <v>42993</v>
      </c>
      <c r="C532" s="45"/>
      <c r="D532" s="35" t="s">
        <v>3</v>
      </c>
      <c r="E532" s="35" t="s">
        <v>2</v>
      </c>
      <c r="F532" s="35"/>
      <c r="G532" s="44">
        <v>2</v>
      </c>
      <c r="H532" s="44">
        <v>4</v>
      </c>
      <c r="I532" s="44">
        <v>2</v>
      </c>
      <c r="J532" s="44">
        <v>0</v>
      </c>
      <c r="K532" s="44">
        <v>6</v>
      </c>
      <c r="L532" s="43">
        <v>0.62222222222222223</v>
      </c>
      <c r="M532" s="43">
        <v>0.65277777777777779</v>
      </c>
      <c r="N532" s="43">
        <v>0.99930555555555556</v>
      </c>
      <c r="O532" s="43">
        <f>1+54/24/60</f>
        <v>1.0375000000000001</v>
      </c>
      <c r="P532" s="39"/>
      <c r="Q532" s="42"/>
      <c r="R532" s="29">
        <f>MIP_4[[#This Row],[PT-1]]+MIP_4[[#This Row],[PT-2]]*2+MIP_4[[#This Row],[PT-3]]*3+MIP_4[[#This Row],[PT &gt; 3 Pontos]]</f>
        <v>14</v>
      </c>
      <c r="S53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6.8750000000000089E-2</v>
      </c>
      <c r="T53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6.8750000000000089E-2</v>
      </c>
      <c r="U532" s="41">
        <f ca="1">MIP_4[[#This Row],[Eficiência]]</f>
        <v>1.0149179349201634</v>
      </c>
      <c r="V53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32" s="39">
        <f>IF(MIP_4[[#This Row],[P.S]]-MIP_4[[#This Row],[P.E]]&lt;0,1+MIP_4[[#This Row],[P.S]]-MIP_4[[#This Row],[P.E]]-1/24,MIP_4[[#This Row],[P.S]]-MIP_4[[#This Row],[P.E]]-1/24)</f>
        <v>0.37361111111111117</v>
      </c>
      <c r="X532" s="39">
        <f ca="1">MIP_4[[#This Row],[PT-1]]*$S$3+MIP_4[[#This Row],[PT-2]]*$T$3+MIP_4[[#This Row],[PT-3]]*$U$3+MIP_4[[#This Row],[PT &gt; 3 Pontos]]*$V$3</f>
        <v>0.30940900932635534</v>
      </c>
      <c r="Y532" s="39">
        <f>MIP_4[[#This Row],[HH disponível]]-MIP_4[[#This Row],[HH AC TOT]]</f>
        <v>0.30486111111111108</v>
      </c>
      <c r="Z532" s="38">
        <f ca="1">MIP_4[[#This Row],[HH Produtivo
Total]]/MIP_4[[#This Row],[HH Trabalhado]]</f>
        <v>1.0149179349201634</v>
      </c>
      <c r="AA532" s="38">
        <f ca="1">MIP_4[[#This Row],[HH Produtivo
Total]]/MIP_4[[#This Row],[HH disponível]]</f>
        <v>0.82815794317834879</v>
      </c>
      <c r="AB532" s="38">
        <f>MIP_4[[#This Row],[HH Trabalhado]]/MIP_4[[#This Row],[HH disponível]]</f>
        <v>0.81598513011152396</v>
      </c>
      <c r="AC532" s="37" t="str">
        <f>LEFT(MIP_4[[#This Row],[Equipe]], SEARCH("/",MIP_4[[#This Row],[Equipe]],1)-1)</f>
        <v xml:space="preserve">EDILTON </v>
      </c>
      <c r="AD532" s="37" t="str">
        <f>RIGHT(MIP_4[[#This Row],[Equipe]], LEN(MIP_4[[#This Row],[Equipe]])-SEARCH("/",MIP_4[[#This Row],[Equipe]],1))</f>
        <v xml:space="preserve"> GECIVALDO</v>
      </c>
      <c r="AE532" s="44">
        <f>COUNTIFS('[1]Tempo parado'!G:G,"&gt;="&amp;MIP_4[[#This Row],[S.B Sitrack]],'[1]Tempo parado'!H:H,"&lt;="&amp;MIP_4[[#This Row],[C.B Sitrack]],'[1]Tempo parado'!A:A,MIP_4[[#This Row],[Placa]])</f>
        <v>0</v>
      </c>
      <c r="AF532" s="36"/>
      <c r="AG532" s="35"/>
      <c r="AH532" s="34"/>
      <c r="AI532" s="34"/>
      <c r="AJ53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3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3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32" s="32" t="str">
        <f>IFERROR(MIP_4[[#This Row],[Tempo parado]]/(MIP_4[[#This Row],[C.B Sitrack]]-MIP_4[[#This Row],[S.B Sitrack]]),"")</f>
        <v/>
      </c>
      <c r="AN532" s="30"/>
      <c r="AO532" s="44">
        <f>IF(AND(MIP_4[Exc]=0,MIP_4[Previsto / Realizado]="Realizado"),MIP_4[Sem],0)</f>
        <v>37</v>
      </c>
      <c r="AP532" s="29">
        <f>IF(AND(MIP_4[Exc]=0,MIP_4[Previsto / Realizado]="Realizado",ISBLANK(MIP_4[[#This Row],[S.B Sitrack]])=FALSE,ISBLANK(MIP_4[[#This Row],[C.B Sitrack]])=FALSE),MIP_4[Sem],0)</f>
        <v>0</v>
      </c>
    </row>
    <row r="533" spans="1:42" ht="15.75" x14ac:dyDescent="0.25">
      <c r="A533" s="44">
        <f>WEEKNUM(MIP_4[[#This Row],[Data]])</f>
        <v>37</v>
      </c>
      <c r="B533" s="45">
        <v>42993</v>
      </c>
      <c r="C533" s="45"/>
      <c r="D533" s="35" t="s">
        <v>7</v>
      </c>
      <c r="E533" s="35" t="s">
        <v>5</v>
      </c>
      <c r="F533" s="35"/>
      <c r="G533" s="44">
        <v>2</v>
      </c>
      <c r="H533" s="44">
        <v>1</v>
      </c>
      <c r="I533" s="44">
        <v>0</v>
      </c>
      <c r="J533" s="44">
        <v>1</v>
      </c>
      <c r="K533" s="44">
        <v>0</v>
      </c>
      <c r="L533" s="43">
        <v>0.625</v>
      </c>
      <c r="M533" s="43">
        <v>0.64583333333333337</v>
      </c>
      <c r="N533" s="43">
        <f>1+18/24/60</f>
        <v>1.0125</v>
      </c>
      <c r="O533" s="43">
        <f>1+48/24/60</f>
        <v>1.0333333333333334</v>
      </c>
      <c r="P533" s="39"/>
      <c r="Q533" s="42"/>
      <c r="R533" s="29">
        <f>MIP_4[[#This Row],[PT-1]]+MIP_4[[#This Row],[PT-2]]*2+MIP_4[[#This Row],[PT-3]]*3+MIP_4[[#This Row],[PT &gt; 3 Pontos]]</f>
        <v>4</v>
      </c>
      <c r="S53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53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533" s="41">
        <f ca="1">MIP_4[[#This Row],[Eficiência]]</f>
        <v>0.2702077914034437</v>
      </c>
      <c r="V53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33" s="39">
        <f>IF(MIP_4[[#This Row],[P.S]]-MIP_4[[#This Row],[P.E]]&lt;0,1+MIP_4[[#This Row],[P.S]]-MIP_4[[#This Row],[P.E]]-1/24,MIP_4[[#This Row],[P.S]]-MIP_4[[#This Row],[P.E]]-1/24)</f>
        <v>0.36666666666666675</v>
      </c>
      <c r="X533" s="39">
        <f ca="1">MIP_4[[#This Row],[PT-1]]*$S$3+MIP_4[[#This Row],[PT-2]]*$T$3+MIP_4[[#This Row],[PT-3]]*$U$3+MIP_4[[#This Row],[PT &gt; 3 Pontos]]*$V$3</f>
        <v>8.7817532206119167E-2</v>
      </c>
      <c r="Y533" s="39">
        <f>MIP_4[[#This Row],[HH disponível]]-MIP_4[[#This Row],[HH AC TOT]]</f>
        <v>0.3249999999999999</v>
      </c>
      <c r="Z533" s="38">
        <f ca="1">MIP_4[[#This Row],[HH Produtivo
Total]]/MIP_4[[#This Row],[HH Trabalhado]]</f>
        <v>0.2702077914034437</v>
      </c>
      <c r="AA533" s="38">
        <f ca="1">MIP_4[[#This Row],[HH Produtivo
Total]]/MIP_4[[#This Row],[HH disponível]]</f>
        <v>0.23950236056214314</v>
      </c>
      <c r="AB533" s="38">
        <f>MIP_4[[#This Row],[HH Trabalhado]]/MIP_4[[#This Row],[HH disponível]]</f>
        <v>0.88636363636363591</v>
      </c>
      <c r="AC533" s="37" t="str">
        <f>LEFT(MIP_4[[#This Row],[Equipe]], SEARCH("/",MIP_4[[#This Row],[Equipe]],1)-1)</f>
        <v xml:space="preserve">ANDERSON </v>
      </c>
      <c r="AD533" s="37" t="str">
        <f>RIGHT(MIP_4[[#This Row],[Equipe]], LEN(MIP_4[[#This Row],[Equipe]])-SEARCH("/",MIP_4[[#This Row],[Equipe]],1))</f>
        <v xml:space="preserve"> MARCO</v>
      </c>
      <c r="AE533" s="44">
        <f>COUNTIFS('[1]Tempo parado'!G:G,"&gt;="&amp;MIP_4[[#This Row],[S.B Sitrack]],'[1]Tempo parado'!H:H,"&lt;="&amp;MIP_4[[#This Row],[C.B Sitrack]],'[1]Tempo parado'!A:A,MIP_4[[#This Row],[Placa]])</f>
        <v>0</v>
      </c>
      <c r="AF533" s="36"/>
      <c r="AG533" s="35"/>
      <c r="AH533" s="34"/>
      <c r="AI533" s="34"/>
      <c r="AJ53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3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3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33" s="32" t="str">
        <f>IFERROR(MIP_4[[#This Row],[Tempo parado]]/(MIP_4[[#This Row],[C.B Sitrack]]-MIP_4[[#This Row],[S.B Sitrack]]),"")</f>
        <v/>
      </c>
      <c r="AN533" s="30"/>
      <c r="AO533" s="44">
        <f>IF(AND(MIP_4[Exc]=0,MIP_4[Previsto / Realizado]="Realizado"),MIP_4[Sem],0)</f>
        <v>0</v>
      </c>
      <c r="AP533" s="29">
        <f>IF(AND(MIP_4[Exc]=0,MIP_4[Previsto / Realizado]="Realizado",ISBLANK(MIP_4[[#This Row],[S.B Sitrack]])=FALSE,ISBLANK(MIP_4[[#This Row],[C.B Sitrack]])=FALSE),MIP_4[Sem],0)</f>
        <v>0</v>
      </c>
    </row>
    <row r="534" spans="1:42" ht="15.75" x14ac:dyDescent="0.25">
      <c r="A534" s="44">
        <f>WEEKNUM(MIP_4[[#This Row],[Data]])</f>
        <v>37</v>
      </c>
      <c r="B534" s="45">
        <v>42993</v>
      </c>
      <c r="C534" s="45"/>
      <c r="D534" s="35" t="s">
        <v>7</v>
      </c>
      <c r="E534" s="35" t="s">
        <v>2</v>
      </c>
      <c r="F534" s="35"/>
      <c r="G534" s="44">
        <v>2</v>
      </c>
      <c r="H534" s="44">
        <v>3</v>
      </c>
      <c r="I534" s="44">
        <v>0</v>
      </c>
      <c r="J534" s="44">
        <v>1</v>
      </c>
      <c r="K534" s="44">
        <v>0</v>
      </c>
      <c r="L534" s="43">
        <v>0.62569444444444444</v>
      </c>
      <c r="M534" s="43">
        <v>0.67013888888888884</v>
      </c>
      <c r="N534" s="43">
        <f>1+15/24/60</f>
        <v>1.0104166666666667</v>
      </c>
      <c r="O534" s="43">
        <f>1+54/24/60</f>
        <v>1.0375000000000001</v>
      </c>
      <c r="P534" s="39"/>
      <c r="Q534" s="42"/>
      <c r="R534" s="29">
        <f>MIP_4[[#This Row],[PT-1]]+MIP_4[[#This Row],[PT-2]]*2+MIP_4[[#This Row],[PT-3]]*3+MIP_4[[#This Row],[PT &gt; 3 Pontos]]</f>
        <v>6</v>
      </c>
      <c r="S53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7.1527777777777746E-2</v>
      </c>
      <c r="T53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7.1527777777777746E-2</v>
      </c>
      <c r="U534" s="41">
        <f ca="1">MIP_4[[#This Row],[Eficiência]]</f>
        <v>0.46170163464779218</v>
      </c>
      <c r="V53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34" s="39">
        <f>IF(MIP_4[[#This Row],[P.S]]-MIP_4[[#This Row],[P.E]]&lt;0,1+MIP_4[[#This Row],[P.S]]-MIP_4[[#This Row],[P.E]]-1/24,MIP_4[[#This Row],[P.S]]-MIP_4[[#This Row],[P.E]]-1/24)</f>
        <v>0.37013888888888896</v>
      </c>
      <c r="X534" s="39">
        <f ca="1">MIP_4[[#This Row],[PT-1]]*$S$3+MIP_4[[#This Row],[PT-2]]*$T$3+MIP_4[[#This Row],[PT-3]]*$U$3+MIP_4[[#This Row],[PT &gt; 3 Pontos]]*$V$3</f>
        <v>0.13786923812399354</v>
      </c>
      <c r="Y534" s="39">
        <f>MIP_4[[#This Row],[HH disponível]]-MIP_4[[#This Row],[HH AC TOT]]</f>
        <v>0.29861111111111122</v>
      </c>
      <c r="Z534" s="38">
        <f ca="1">MIP_4[[#This Row],[HH Produtivo
Total]]/MIP_4[[#This Row],[HH Trabalhado]]</f>
        <v>0.46170163464779218</v>
      </c>
      <c r="AA534" s="38">
        <f ca="1">MIP_4[[#This Row],[HH Produtivo
Total]]/MIP_4[[#This Row],[HH disponível]]</f>
        <v>0.37247974277401624</v>
      </c>
      <c r="AB534" s="38">
        <f>MIP_4[[#This Row],[HH Trabalhado]]/MIP_4[[#This Row],[HH disponível]]</f>
        <v>0.80675422138836783</v>
      </c>
      <c r="AC534" s="37" t="str">
        <f>LEFT(MIP_4[[#This Row],[Equipe]], SEARCH("/",MIP_4[[#This Row],[Equipe]],1)-1)</f>
        <v xml:space="preserve">ANDERSON </v>
      </c>
      <c r="AD534" s="37" t="str">
        <f>RIGHT(MIP_4[[#This Row],[Equipe]], LEN(MIP_4[[#This Row],[Equipe]])-SEARCH("/",MIP_4[[#This Row],[Equipe]],1))</f>
        <v xml:space="preserve"> MARCO</v>
      </c>
      <c r="AE534" s="44">
        <f>COUNTIFS('[1]Tempo parado'!G:G,"&gt;="&amp;MIP_4[[#This Row],[S.B Sitrack]],'[1]Tempo parado'!H:H,"&lt;="&amp;MIP_4[[#This Row],[C.B Sitrack]],'[1]Tempo parado'!A:A,MIP_4[[#This Row],[Placa]])</f>
        <v>0</v>
      </c>
      <c r="AF534" s="36"/>
      <c r="AG534" s="35"/>
      <c r="AH534" s="34"/>
      <c r="AI534" s="34"/>
      <c r="AJ53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3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3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34" s="32" t="str">
        <f>IFERROR(MIP_4[[#This Row],[Tempo parado]]/(MIP_4[[#This Row],[C.B Sitrack]]-MIP_4[[#This Row],[S.B Sitrack]]),"")</f>
        <v/>
      </c>
      <c r="AN534" s="30"/>
      <c r="AO534" s="44">
        <f>IF(AND(MIP_4[Exc]=0,MIP_4[Previsto / Realizado]="Realizado"),MIP_4[Sem],0)</f>
        <v>37</v>
      </c>
      <c r="AP534" s="29">
        <f>IF(AND(MIP_4[Exc]=0,MIP_4[Previsto / Realizado]="Realizado",ISBLANK(MIP_4[[#This Row],[S.B Sitrack]])=FALSE,ISBLANK(MIP_4[[#This Row],[C.B Sitrack]])=FALSE),MIP_4[Sem],0)</f>
        <v>0</v>
      </c>
    </row>
    <row r="535" spans="1:42" ht="15.75" x14ac:dyDescent="0.25">
      <c r="A535" s="44">
        <f>WEEKNUM(MIP_4[[#This Row],[Data]])</f>
        <v>37</v>
      </c>
      <c r="B535" s="45">
        <v>42993</v>
      </c>
      <c r="C535" s="45"/>
      <c r="D535" s="35" t="s">
        <v>19</v>
      </c>
      <c r="E535" s="35" t="s">
        <v>5</v>
      </c>
      <c r="F535" s="35"/>
      <c r="G535" s="44">
        <v>2</v>
      </c>
      <c r="H535" s="44">
        <v>3</v>
      </c>
      <c r="I535" s="44">
        <v>2</v>
      </c>
      <c r="J535" s="44">
        <v>0</v>
      </c>
      <c r="K535" s="44">
        <v>4</v>
      </c>
      <c r="L535" s="43">
        <v>0.625</v>
      </c>
      <c r="M535" s="43">
        <v>0.64583333333333337</v>
      </c>
      <c r="N535" s="43">
        <f>1+18/24/60</f>
        <v>1.0125</v>
      </c>
      <c r="O535" s="43">
        <f>1+48/24/60</f>
        <v>1.0333333333333334</v>
      </c>
      <c r="P535" s="39"/>
      <c r="Q535" s="42"/>
      <c r="R535" s="29">
        <f>MIP_4[[#This Row],[PT-1]]+MIP_4[[#This Row],[PT-2]]*2+MIP_4[[#This Row],[PT-3]]*3+MIP_4[[#This Row],[PT &gt; 3 Pontos]]</f>
        <v>11</v>
      </c>
      <c r="S53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53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535" s="41">
        <f ca="1">MIP_4[[#This Row],[Eficiência]]</f>
        <v>0.75042195263360745</v>
      </c>
      <c r="V53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35" s="39">
        <f>IF(MIP_4[[#This Row],[P.S]]-MIP_4[[#This Row],[P.E]]&lt;0,1+MIP_4[[#This Row],[P.S]]-MIP_4[[#This Row],[P.E]]-1/24,MIP_4[[#This Row],[P.S]]-MIP_4[[#This Row],[P.E]]-1/24)</f>
        <v>0.36666666666666675</v>
      </c>
      <c r="X535" s="39">
        <f ca="1">MIP_4[[#This Row],[PT-1]]*$S$3+MIP_4[[#This Row],[PT-2]]*$T$3+MIP_4[[#This Row],[PT-3]]*$U$3+MIP_4[[#This Row],[PT &gt; 3 Pontos]]*$V$3</f>
        <v>0.24388713460592235</v>
      </c>
      <c r="Y535" s="39">
        <f>MIP_4[[#This Row],[HH disponível]]-MIP_4[[#This Row],[HH AC TOT]]</f>
        <v>0.3249999999999999</v>
      </c>
      <c r="Z535" s="38">
        <f ca="1">MIP_4[[#This Row],[HH Produtivo
Total]]/MIP_4[[#This Row],[HH Trabalhado]]</f>
        <v>0.75042195263360745</v>
      </c>
      <c r="AA535" s="38">
        <f ca="1">MIP_4[[#This Row],[HH Produtivo
Total]]/MIP_4[[#This Row],[HH disponível]]</f>
        <v>0.66514673074342445</v>
      </c>
      <c r="AB535" s="38">
        <f>MIP_4[[#This Row],[HH Trabalhado]]/MIP_4[[#This Row],[HH disponível]]</f>
        <v>0.88636363636363591</v>
      </c>
      <c r="AC535" s="37" t="str">
        <f>LEFT(MIP_4[[#This Row],[Equipe]], SEARCH("/",MIP_4[[#This Row],[Equipe]],1)-1)</f>
        <v xml:space="preserve">ADEMÁRIO </v>
      </c>
      <c r="AD535" s="37" t="str">
        <f>RIGHT(MIP_4[[#This Row],[Equipe]], LEN(MIP_4[[#This Row],[Equipe]])-SEARCH("/",MIP_4[[#This Row],[Equipe]],1))</f>
        <v xml:space="preserve"> RONALDO</v>
      </c>
      <c r="AE535" s="44">
        <f>COUNTIFS('[1]Tempo parado'!G:G,"&gt;="&amp;MIP_4[[#This Row],[S.B Sitrack]],'[1]Tempo parado'!H:H,"&lt;="&amp;MIP_4[[#This Row],[C.B Sitrack]],'[1]Tempo parado'!A:A,MIP_4[[#This Row],[Placa]])</f>
        <v>0</v>
      </c>
      <c r="AF535" s="36"/>
      <c r="AG535" s="35"/>
      <c r="AH535" s="34"/>
      <c r="AI535" s="34"/>
      <c r="AJ53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3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3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35" s="32" t="str">
        <f>IFERROR(MIP_4[[#This Row],[Tempo parado]]/(MIP_4[[#This Row],[C.B Sitrack]]-MIP_4[[#This Row],[S.B Sitrack]]),"")</f>
        <v/>
      </c>
      <c r="AN535" s="30"/>
      <c r="AO535" s="44">
        <f>IF(AND(MIP_4[Exc]=0,MIP_4[Previsto / Realizado]="Realizado"),MIP_4[Sem],0)</f>
        <v>0</v>
      </c>
      <c r="AP535" s="29">
        <f>IF(AND(MIP_4[Exc]=0,MIP_4[Previsto / Realizado]="Realizado",ISBLANK(MIP_4[[#This Row],[S.B Sitrack]])=FALSE,ISBLANK(MIP_4[[#This Row],[C.B Sitrack]])=FALSE),MIP_4[Sem],0)</f>
        <v>0</v>
      </c>
    </row>
    <row r="536" spans="1:42" ht="15.75" x14ac:dyDescent="0.25">
      <c r="A536" s="44">
        <f>WEEKNUM(MIP_4[[#This Row],[Data]])</f>
        <v>37</v>
      </c>
      <c r="B536" s="45">
        <v>42993</v>
      </c>
      <c r="C536" s="45"/>
      <c r="D536" s="35" t="s">
        <v>19</v>
      </c>
      <c r="E536" s="35" t="s">
        <v>2</v>
      </c>
      <c r="F536" s="35"/>
      <c r="G536" s="44">
        <v>2</v>
      </c>
      <c r="H536" s="44">
        <v>3</v>
      </c>
      <c r="I536" s="44">
        <v>1</v>
      </c>
      <c r="J536" s="44">
        <v>0</v>
      </c>
      <c r="K536" s="44">
        <v>4</v>
      </c>
      <c r="L536" s="43">
        <v>0.6381944444444444</v>
      </c>
      <c r="M536" s="43">
        <v>0.70138888888888884</v>
      </c>
      <c r="N536" s="43">
        <v>0.99930555555555556</v>
      </c>
      <c r="O536" s="43">
        <f>1+57/24/60</f>
        <v>1.0395833333333333</v>
      </c>
      <c r="P536" s="39"/>
      <c r="Q536" s="42"/>
      <c r="R536" s="29">
        <f>MIP_4[[#This Row],[PT-1]]+MIP_4[[#This Row],[PT-2]]*2+MIP_4[[#This Row],[PT-3]]*3+MIP_4[[#This Row],[PT &gt; 3 Pontos]]</f>
        <v>9</v>
      </c>
      <c r="S53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0.10347222222222219</v>
      </c>
      <c r="T53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0.10347222222222219</v>
      </c>
      <c r="U536" s="41">
        <f ca="1">MIP_4[[#This Row],[Eficiência]]</f>
        <v>0.7804033892794644</v>
      </c>
      <c r="V53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36" s="39">
        <f>IF(MIP_4[[#This Row],[P.S]]-MIP_4[[#This Row],[P.E]]&lt;0,1+MIP_4[[#This Row],[P.S]]-MIP_4[[#This Row],[P.E]]-1/24,MIP_4[[#This Row],[P.S]]-MIP_4[[#This Row],[P.E]]-1/24)</f>
        <v>0.35972222222222222</v>
      </c>
      <c r="X536" s="39">
        <f ca="1">MIP_4[[#This Row],[PT-1]]*$S$3+MIP_4[[#This Row],[PT-2]]*$T$3+MIP_4[[#This Row],[PT-3]]*$U$3+MIP_4[[#This Row],[PT &gt; 3 Pontos]]*$V$3</f>
        <v>0.19997836850286277</v>
      </c>
      <c r="Y536" s="39">
        <f>MIP_4[[#This Row],[HH disponível]]-MIP_4[[#This Row],[HH AC TOT]]</f>
        <v>0.25625000000000003</v>
      </c>
      <c r="Z536" s="38">
        <f ca="1">MIP_4[[#This Row],[HH Produtivo
Total]]/MIP_4[[#This Row],[HH Trabalhado]]</f>
        <v>0.7804033892794644</v>
      </c>
      <c r="AA536" s="38">
        <f ca="1">MIP_4[[#This Row],[HH Produtivo
Total]]/MIP_4[[#This Row],[HH disponível]]</f>
        <v>0.55592442209290038</v>
      </c>
      <c r="AB536" s="38">
        <f>MIP_4[[#This Row],[HH Trabalhado]]/MIP_4[[#This Row],[HH disponível]]</f>
        <v>0.71235521235521249</v>
      </c>
      <c r="AC536" s="37" t="str">
        <f>LEFT(MIP_4[[#This Row],[Equipe]], SEARCH("/",MIP_4[[#This Row],[Equipe]],1)-1)</f>
        <v xml:space="preserve">ADEMÁRIO </v>
      </c>
      <c r="AD536" s="37" t="str">
        <f>RIGHT(MIP_4[[#This Row],[Equipe]], LEN(MIP_4[[#This Row],[Equipe]])-SEARCH("/",MIP_4[[#This Row],[Equipe]],1))</f>
        <v xml:space="preserve"> RONALDO</v>
      </c>
      <c r="AE536" s="44">
        <f>COUNTIFS('[1]Tempo parado'!G:G,"&gt;="&amp;MIP_4[[#This Row],[S.B Sitrack]],'[1]Tempo parado'!H:H,"&lt;="&amp;MIP_4[[#This Row],[C.B Sitrack]],'[1]Tempo parado'!A:A,MIP_4[[#This Row],[Placa]])</f>
        <v>0</v>
      </c>
      <c r="AF536" s="36"/>
      <c r="AG536" s="35"/>
      <c r="AH536" s="34"/>
      <c r="AI536" s="34"/>
      <c r="AJ53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3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3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36" s="32" t="str">
        <f>IFERROR(MIP_4[[#This Row],[Tempo parado]]/(MIP_4[[#This Row],[C.B Sitrack]]-MIP_4[[#This Row],[S.B Sitrack]]),"")</f>
        <v/>
      </c>
      <c r="AN536" s="30"/>
      <c r="AO536" s="44">
        <f>IF(AND(MIP_4[Exc]=0,MIP_4[Previsto / Realizado]="Realizado"),MIP_4[Sem],0)</f>
        <v>37</v>
      </c>
      <c r="AP536" s="29">
        <f>IF(AND(MIP_4[Exc]=0,MIP_4[Previsto / Realizado]="Realizado",ISBLANK(MIP_4[[#This Row],[S.B Sitrack]])=FALSE,ISBLANK(MIP_4[[#This Row],[C.B Sitrack]])=FALSE),MIP_4[Sem],0)</f>
        <v>0</v>
      </c>
    </row>
    <row r="537" spans="1:42" ht="15.75" x14ac:dyDescent="0.25">
      <c r="A537" s="44">
        <f>WEEKNUM(MIP_4[[#This Row],[Data]])</f>
        <v>37</v>
      </c>
      <c r="B537" s="45">
        <v>42994</v>
      </c>
      <c r="C537" s="45"/>
      <c r="D537" s="35" t="s">
        <v>33</v>
      </c>
      <c r="E537" s="35" t="s">
        <v>5</v>
      </c>
      <c r="F537" s="35"/>
      <c r="G537" s="44">
        <v>2</v>
      </c>
      <c r="H537" s="44">
        <v>2</v>
      </c>
      <c r="I537" s="44">
        <v>1</v>
      </c>
      <c r="J537" s="44">
        <v>1</v>
      </c>
      <c r="K537" s="44">
        <v>0</v>
      </c>
      <c r="L537" s="43">
        <v>0.25</v>
      </c>
      <c r="M537" s="43">
        <v>0.27083333333333331</v>
      </c>
      <c r="N537" s="43">
        <v>0.63750000000000007</v>
      </c>
      <c r="O537" s="43">
        <v>0.65833333333333333</v>
      </c>
      <c r="P537" s="39"/>
      <c r="Q537" s="42"/>
      <c r="R537" s="29">
        <f>MIP_4[[#This Row],[PT-1]]+MIP_4[[#This Row],[PT-2]]*2+MIP_4[[#This Row],[PT-3]]*3+MIP_4[[#This Row],[PT &gt; 3 Pontos]]</f>
        <v>7</v>
      </c>
      <c r="S53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53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537" s="41">
        <f ca="1">MIP_4[[#This Row],[Eficiência]]</f>
        <v>0.48231431159420274</v>
      </c>
      <c r="V53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37" s="39">
        <f>IF(MIP_4[[#This Row],[P.S]]-MIP_4[[#This Row],[P.E]]&lt;0,1+MIP_4[[#This Row],[P.S]]-MIP_4[[#This Row],[P.E]]-1/24,MIP_4[[#This Row],[P.S]]-MIP_4[[#This Row],[P.E]]-1/24)</f>
        <v>0.36666666666666664</v>
      </c>
      <c r="X537" s="39">
        <f ca="1">MIP_4[[#This Row],[PT-1]]*$S$3+MIP_4[[#This Row],[PT-2]]*$T$3+MIP_4[[#This Row],[PT-3]]*$U$3+MIP_4[[#This Row],[PT &gt; 3 Pontos]]*$V$3</f>
        <v>0.15675215126811592</v>
      </c>
      <c r="Y537" s="39">
        <f>MIP_4[[#This Row],[HH disponível]]-MIP_4[[#This Row],[HH AC TOT]]</f>
        <v>0.32500000000000007</v>
      </c>
      <c r="Z537" s="38">
        <f ca="1">MIP_4[[#This Row],[HH Produtivo
Total]]/MIP_4[[#This Row],[HH Trabalhado]]</f>
        <v>0.48231431159420274</v>
      </c>
      <c r="AA537" s="38">
        <f ca="1">MIP_4[[#This Row],[HH Produtivo
Total]]/MIP_4[[#This Row],[HH disponível]]</f>
        <v>0.42750586709486166</v>
      </c>
      <c r="AB537" s="38">
        <f>MIP_4[[#This Row],[HH Trabalhado]]/MIP_4[[#This Row],[HH disponível]]</f>
        <v>0.88636363636363658</v>
      </c>
      <c r="AC537" s="37" t="str">
        <f>LEFT(MIP_4[[#This Row],[Equipe]], SEARCH("/",MIP_4[[#This Row],[Equipe]],1)-1)</f>
        <v xml:space="preserve">JOILSON </v>
      </c>
      <c r="AD537" s="37" t="str">
        <f>RIGHT(MIP_4[[#This Row],[Equipe]], LEN(MIP_4[[#This Row],[Equipe]])-SEARCH("/",MIP_4[[#This Row],[Equipe]],1))</f>
        <v xml:space="preserve"> HERVAL</v>
      </c>
      <c r="AE537" s="44">
        <f>COUNTIFS('[1]Tempo parado'!G:G,"&gt;="&amp;MIP_4[[#This Row],[S.B Sitrack]],'[1]Tempo parado'!H:H,"&lt;="&amp;MIP_4[[#This Row],[C.B Sitrack]],'[1]Tempo parado'!A:A,MIP_4[[#This Row],[Placa]])</f>
        <v>0</v>
      </c>
      <c r="AF537" s="36"/>
      <c r="AG537" s="35"/>
      <c r="AH537" s="34"/>
      <c r="AI537" s="34"/>
      <c r="AJ53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3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3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37" s="32" t="str">
        <f>IFERROR(MIP_4[[#This Row],[Tempo parado]]/(MIP_4[[#This Row],[C.B Sitrack]]-MIP_4[[#This Row],[S.B Sitrack]]),"")</f>
        <v/>
      </c>
      <c r="AN537" s="30"/>
      <c r="AO537" s="44">
        <f>IF(AND(MIP_4[Exc]=0,MIP_4[Previsto / Realizado]="Realizado"),MIP_4[Sem],0)</f>
        <v>0</v>
      </c>
      <c r="AP537" s="29">
        <f>IF(AND(MIP_4[Exc]=0,MIP_4[Previsto / Realizado]="Realizado",ISBLANK(MIP_4[[#This Row],[S.B Sitrack]])=FALSE,ISBLANK(MIP_4[[#This Row],[C.B Sitrack]])=FALSE),MIP_4[Sem],0)</f>
        <v>0</v>
      </c>
    </row>
    <row r="538" spans="1:42" ht="15.75" x14ac:dyDescent="0.25">
      <c r="A538" s="44">
        <f>WEEKNUM(MIP_4[[#This Row],[Data]])</f>
        <v>37</v>
      </c>
      <c r="B538" s="45">
        <v>42994</v>
      </c>
      <c r="C538" s="45"/>
      <c r="D538" s="35" t="s">
        <v>33</v>
      </c>
      <c r="E538" s="35" t="s">
        <v>2</v>
      </c>
      <c r="F538" s="35"/>
      <c r="G538" s="44">
        <v>2</v>
      </c>
      <c r="H538" s="44">
        <v>3</v>
      </c>
      <c r="I538" s="44">
        <v>1</v>
      </c>
      <c r="J538" s="44">
        <v>1</v>
      </c>
      <c r="K538" s="44">
        <v>0</v>
      </c>
      <c r="L538" s="43">
        <v>0.25833333333333336</v>
      </c>
      <c r="M538" s="43">
        <v>0.27777777777777779</v>
      </c>
      <c r="N538" s="43">
        <v>0.65277777777777779</v>
      </c>
      <c r="O538" s="43">
        <v>0.67361111111111116</v>
      </c>
      <c r="P538" s="39"/>
      <c r="Q538" s="42"/>
      <c r="R538" s="29">
        <f>MIP_4[[#This Row],[PT-1]]+MIP_4[[#This Row],[PT-2]]*2+MIP_4[[#This Row],[PT-3]]*3+MIP_4[[#This Row],[PT &gt; 3 Pontos]]</f>
        <v>8</v>
      </c>
      <c r="S53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4.0277777777777801E-2</v>
      </c>
      <c r="T53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4.0277777777777801E-2</v>
      </c>
      <c r="U538" s="41">
        <f ca="1">MIP_4[[#This Row],[Eficiência]]</f>
        <v>0.54533401268115944</v>
      </c>
      <c r="V53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38" s="39">
        <f>IF(MIP_4[[#This Row],[P.S]]-MIP_4[[#This Row],[P.E]]&lt;0,1+MIP_4[[#This Row],[P.S]]-MIP_4[[#This Row],[P.E]]-1/24,MIP_4[[#This Row],[P.S]]-MIP_4[[#This Row],[P.E]]-1/24)</f>
        <v>0.37361111111111112</v>
      </c>
      <c r="X538" s="39">
        <f ca="1">MIP_4[[#This Row],[PT-1]]*$S$3+MIP_4[[#This Row],[PT-2]]*$T$3+MIP_4[[#This Row],[PT-3]]*$U$3+MIP_4[[#This Row],[PT &gt; 3 Pontos]]*$V$3</f>
        <v>0.18177800422705312</v>
      </c>
      <c r="Y538" s="39">
        <f>MIP_4[[#This Row],[HH disponível]]-MIP_4[[#This Row],[HH AC TOT]]</f>
        <v>0.33333333333333331</v>
      </c>
      <c r="Z538" s="38">
        <f ca="1">MIP_4[[#This Row],[HH Produtivo
Total]]/MIP_4[[#This Row],[HH Trabalhado]]</f>
        <v>0.54533401268115944</v>
      </c>
      <c r="AA538" s="38">
        <f ca="1">MIP_4[[#This Row],[HH Produtivo
Total]]/MIP_4[[#This Row],[HH disponível]]</f>
        <v>0.48654335703895257</v>
      </c>
      <c r="AB538" s="38">
        <f>MIP_4[[#This Row],[HH Trabalhado]]/MIP_4[[#This Row],[HH disponível]]</f>
        <v>0.89219330855018586</v>
      </c>
      <c r="AC538" s="37" t="str">
        <f>LEFT(MIP_4[[#This Row],[Equipe]], SEARCH("/",MIP_4[[#This Row],[Equipe]],1)-1)</f>
        <v xml:space="preserve">JOILSON </v>
      </c>
      <c r="AD538" s="37" t="str">
        <f>RIGHT(MIP_4[[#This Row],[Equipe]], LEN(MIP_4[[#This Row],[Equipe]])-SEARCH("/",MIP_4[[#This Row],[Equipe]],1))</f>
        <v xml:space="preserve"> HERVAL</v>
      </c>
      <c r="AE538" s="44">
        <f>COUNTIFS('[1]Tempo parado'!G:G,"&gt;="&amp;MIP_4[[#This Row],[S.B Sitrack]],'[1]Tempo parado'!H:H,"&lt;="&amp;MIP_4[[#This Row],[C.B Sitrack]],'[1]Tempo parado'!A:A,MIP_4[[#This Row],[Placa]])</f>
        <v>0</v>
      </c>
      <c r="AF538" s="36"/>
      <c r="AG538" s="35"/>
      <c r="AH538" s="34"/>
      <c r="AI538" s="34"/>
      <c r="AJ53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3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3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38" s="32" t="str">
        <f>IFERROR(MIP_4[[#This Row],[Tempo parado]]/(MIP_4[[#This Row],[C.B Sitrack]]-MIP_4[[#This Row],[S.B Sitrack]]),"")</f>
        <v/>
      </c>
      <c r="AN538" s="30"/>
      <c r="AO538" s="44">
        <f>IF(AND(MIP_4[Exc]=0,MIP_4[Previsto / Realizado]="Realizado"),MIP_4[Sem],0)</f>
        <v>37</v>
      </c>
      <c r="AP538" s="29">
        <f>IF(AND(MIP_4[Exc]=0,MIP_4[Previsto / Realizado]="Realizado",ISBLANK(MIP_4[[#This Row],[S.B Sitrack]])=FALSE,ISBLANK(MIP_4[[#This Row],[C.B Sitrack]])=FALSE),MIP_4[Sem],0)</f>
        <v>0</v>
      </c>
    </row>
    <row r="539" spans="1:42" ht="15.75" x14ac:dyDescent="0.25">
      <c r="A539" s="44">
        <f>WEEKNUM(MIP_4[[#This Row],[Data]])</f>
        <v>37</v>
      </c>
      <c r="B539" s="45">
        <v>42994</v>
      </c>
      <c r="C539" s="45"/>
      <c r="D539" s="35" t="s">
        <v>19</v>
      </c>
      <c r="E539" s="35" t="s">
        <v>5</v>
      </c>
      <c r="F539" s="35"/>
      <c r="G539" s="44">
        <v>2</v>
      </c>
      <c r="H539" s="44">
        <v>2</v>
      </c>
      <c r="I539" s="44">
        <v>3</v>
      </c>
      <c r="J539" s="44">
        <v>0</v>
      </c>
      <c r="K539" s="44">
        <v>0</v>
      </c>
      <c r="L539" s="43">
        <v>0.625</v>
      </c>
      <c r="M539" s="43">
        <v>0.64583333333333337</v>
      </c>
      <c r="N539" s="43">
        <f>1+18/24/60</f>
        <v>1.0125</v>
      </c>
      <c r="O539" s="43">
        <f>1+48/24/60</f>
        <v>1.0333333333333334</v>
      </c>
      <c r="P539" s="39"/>
      <c r="Q539" s="42"/>
      <c r="R539" s="29">
        <f>MIP_4[[#This Row],[PT-1]]+MIP_4[[#This Row],[PT-2]]*2+MIP_4[[#This Row],[PT-3]]*3+MIP_4[[#This Row],[PT &gt; 3 Pontos]]</f>
        <v>8</v>
      </c>
      <c r="S53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53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539" s="41">
        <f ca="1">MIP_4[[#This Row],[Eficiência]]</f>
        <v>0.55931693608324051</v>
      </c>
      <c r="V53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39" s="39">
        <f>IF(MIP_4[[#This Row],[P.S]]-MIP_4[[#This Row],[P.E]]&lt;0,1+MIP_4[[#This Row],[P.S]]-MIP_4[[#This Row],[P.E]]-1/24,MIP_4[[#This Row],[P.S]]-MIP_4[[#This Row],[P.E]]-1/24)</f>
        <v>0.36666666666666675</v>
      </c>
      <c r="X539" s="39">
        <f ca="1">MIP_4[[#This Row],[PT-1]]*$S$3+MIP_4[[#This Row],[PT-2]]*$T$3+MIP_4[[#This Row],[PT-3]]*$U$3+MIP_4[[#This Row],[PT &gt; 3 Pontos]]*$V$3</f>
        <v>0.18177800422705312</v>
      </c>
      <c r="Y539" s="39">
        <f>MIP_4[[#This Row],[HH disponível]]-MIP_4[[#This Row],[HH AC TOT]]</f>
        <v>0.3249999999999999</v>
      </c>
      <c r="Z539" s="38">
        <f ca="1">MIP_4[[#This Row],[HH Produtivo
Total]]/MIP_4[[#This Row],[HH Trabalhado]]</f>
        <v>0.55931693608324051</v>
      </c>
      <c r="AA539" s="38">
        <f ca="1">MIP_4[[#This Row],[HH Produtivo
Total]]/MIP_4[[#This Row],[HH disponível]]</f>
        <v>0.49575819334650839</v>
      </c>
      <c r="AB539" s="38">
        <f>MIP_4[[#This Row],[HH Trabalhado]]/MIP_4[[#This Row],[HH disponível]]</f>
        <v>0.88636363636363591</v>
      </c>
      <c r="AC539" s="37" t="str">
        <f>LEFT(MIP_4[[#This Row],[Equipe]], SEARCH("/",MIP_4[[#This Row],[Equipe]],1)-1)</f>
        <v xml:space="preserve">ADEMÁRIO </v>
      </c>
      <c r="AD539" s="37" t="str">
        <f>RIGHT(MIP_4[[#This Row],[Equipe]], LEN(MIP_4[[#This Row],[Equipe]])-SEARCH("/",MIP_4[[#This Row],[Equipe]],1))</f>
        <v xml:space="preserve"> RONALDO</v>
      </c>
      <c r="AE539" s="44">
        <f>COUNTIFS('[1]Tempo parado'!G:G,"&gt;="&amp;MIP_4[[#This Row],[S.B Sitrack]],'[1]Tempo parado'!H:H,"&lt;="&amp;MIP_4[[#This Row],[C.B Sitrack]],'[1]Tempo parado'!A:A,MIP_4[[#This Row],[Placa]])</f>
        <v>0</v>
      </c>
      <c r="AF539" s="36"/>
      <c r="AG539" s="35"/>
      <c r="AH539" s="34"/>
      <c r="AI539" s="34"/>
      <c r="AJ53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3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3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39" s="32" t="str">
        <f>IFERROR(MIP_4[[#This Row],[Tempo parado]]/(MIP_4[[#This Row],[C.B Sitrack]]-MIP_4[[#This Row],[S.B Sitrack]]),"")</f>
        <v/>
      </c>
      <c r="AN539" s="30"/>
      <c r="AO539" s="44">
        <f>IF(AND(MIP_4[Exc]=0,MIP_4[Previsto / Realizado]="Realizado"),MIP_4[Sem],0)</f>
        <v>0</v>
      </c>
      <c r="AP539" s="29">
        <f>IF(AND(MIP_4[Exc]=0,MIP_4[Previsto / Realizado]="Realizado",ISBLANK(MIP_4[[#This Row],[S.B Sitrack]])=FALSE,ISBLANK(MIP_4[[#This Row],[C.B Sitrack]])=FALSE),MIP_4[Sem],0)</f>
        <v>0</v>
      </c>
    </row>
    <row r="540" spans="1:42" ht="15.75" x14ac:dyDescent="0.25">
      <c r="A540" s="44">
        <f>WEEKNUM(MIP_4[[#This Row],[Data]])</f>
        <v>37</v>
      </c>
      <c r="B540" s="45">
        <v>42994</v>
      </c>
      <c r="C540" s="45"/>
      <c r="D540" s="35" t="s">
        <v>19</v>
      </c>
      <c r="E540" s="35" t="s">
        <v>2</v>
      </c>
      <c r="F540" s="35"/>
      <c r="G540" s="44">
        <v>2</v>
      </c>
      <c r="H540" s="44">
        <v>4</v>
      </c>
      <c r="I540" s="44">
        <v>2</v>
      </c>
      <c r="J540" s="44">
        <v>0</v>
      </c>
      <c r="K540" s="44">
        <v>0</v>
      </c>
      <c r="L540" s="43">
        <v>0.64444444444444449</v>
      </c>
      <c r="M540" s="43">
        <v>0.67708333333333337</v>
      </c>
      <c r="N540" s="43">
        <f>1+12/24/60</f>
        <v>1.0083333333333333</v>
      </c>
      <c r="O540" s="43">
        <f>1+53/24/60</f>
        <v>1.0368055555555555</v>
      </c>
      <c r="P540" s="39"/>
      <c r="Q540" s="42"/>
      <c r="R540" s="29">
        <f>MIP_4[[#This Row],[PT-1]]+MIP_4[[#This Row],[PT-2]]*2+MIP_4[[#This Row],[PT-3]]*3+MIP_4[[#This Row],[PT &gt; 3 Pontos]]</f>
        <v>8</v>
      </c>
      <c r="S54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6.1111111111111116E-2</v>
      </c>
      <c r="T54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6.1111111111111116E-2</v>
      </c>
      <c r="U540" s="41">
        <f ca="1">MIP_4[[#This Row],[Eficiência]]</f>
        <v>0.64893563410141442</v>
      </c>
      <c r="V54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40" s="39">
        <f>IF(MIP_4[[#This Row],[P.S]]-MIP_4[[#This Row],[P.E]]&lt;0,1+MIP_4[[#This Row],[P.S]]-MIP_4[[#This Row],[P.E]]-1/24,MIP_4[[#This Row],[P.S]]-MIP_4[[#This Row],[P.E]]-1/24)</f>
        <v>0.35069444444444436</v>
      </c>
      <c r="X540" s="39">
        <f ca="1">MIP_4[[#This Row],[PT-1]]*$S$3+MIP_4[[#This Row],[PT-2]]*$T$3+MIP_4[[#This Row],[PT-3]]*$U$3+MIP_4[[#This Row],[PT &gt; 3 Pontos]]*$V$3</f>
        <v>0.18792094404186788</v>
      </c>
      <c r="Y540" s="39">
        <f>MIP_4[[#This Row],[HH disponível]]-MIP_4[[#This Row],[HH AC TOT]]</f>
        <v>0.28958333333333325</v>
      </c>
      <c r="Z540" s="38">
        <f ca="1">MIP_4[[#This Row],[HH Produtivo
Total]]/MIP_4[[#This Row],[HH Trabalhado]]</f>
        <v>0.64893563410141442</v>
      </c>
      <c r="AA540" s="38">
        <f ca="1">MIP_4[[#This Row],[HH Produtivo
Total]]/MIP_4[[#This Row],[HH disponível]]</f>
        <v>0.53585378103027681</v>
      </c>
      <c r="AB540" s="38">
        <f>MIP_4[[#This Row],[HH Trabalhado]]/MIP_4[[#This Row],[HH disponível]]</f>
        <v>0.8257425742574257</v>
      </c>
      <c r="AC540" s="37" t="str">
        <f>LEFT(MIP_4[[#This Row],[Equipe]], SEARCH("/",MIP_4[[#This Row],[Equipe]],1)-1)</f>
        <v xml:space="preserve">ADEMÁRIO </v>
      </c>
      <c r="AD540" s="37" t="str">
        <f>RIGHT(MIP_4[[#This Row],[Equipe]], LEN(MIP_4[[#This Row],[Equipe]])-SEARCH("/",MIP_4[[#This Row],[Equipe]],1))</f>
        <v xml:space="preserve"> RONALDO</v>
      </c>
      <c r="AE540" s="44">
        <f>COUNTIFS('[1]Tempo parado'!G:G,"&gt;="&amp;MIP_4[[#This Row],[S.B Sitrack]],'[1]Tempo parado'!H:H,"&lt;="&amp;MIP_4[[#This Row],[C.B Sitrack]],'[1]Tempo parado'!A:A,MIP_4[[#This Row],[Placa]])</f>
        <v>0</v>
      </c>
      <c r="AF540" s="36"/>
      <c r="AG540" s="35"/>
      <c r="AH540" s="34"/>
      <c r="AI540" s="34"/>
      <c r="AJ54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4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4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40" s="32" t="str">
        <f>IFERROR(MIP_4[[#This Row],[Tempo parado]]/(MIP_4[[#This Row],[C.B Sitrack]]-MIP_4[[#This Row],[S.B Sitrack]]),"")</f>
        <v/>
      </c>
      <c r="AN540" s="30"/>
      <c r="AO540" s="44">
        <f>IF(AND(MIP_4[Exc]=0,MIP_4[Previsto / Realizado]="Realizado"),MIP_4[Sem],0)</f>
        <v>37</v>
      </c>
      <c r="AP540" s="29">
        <f>IF(AND(MIP_4[Exc]=0,MIP_4[Previsto / Realizado]="Realizado",ISBLANK(MIP_4[[#This Row],[S.B Sitrack]])=FALSE,ISBLANK(MIP_4[[#This Row],[C.B Sitrack]])=FALSE),MIP_4[Sem],0)</f>
        <v>0</v>
      </c>
    </row>
    <row r="541" spans="1:42" ht="15.75" x14ac:dyDescent="0.25">
      <c r="A541" s="44">
        <f>WEEKNUM(MIP_4[[#This Row],[Data]])</f>
        <v>38</v>
      </c>
      <c r="B541" s="45">
        <v>42995</v>
      </c>
      <c r="C541" s="45"/>
      <c r="D541" s="35" t="s">
        <v>33</v>
      </c>
      <c r="E541" s="35" t="s">
        <v>5</v>
      </c>
      <c r="F541" s="35"/>
      <c r="G541" s="44">
        <v>2</v>
      </c>
      <c r="H541" s="44">
        <v>0</v>
      </c>
      <c r="I541" s="44">
        <v>0</v>
      </c>
      <c r="J541" s="44">
        <v>0</v>
      </c>
      <c r="K541" s="44">
        <v>4</v>
      </c>
      <c r="L541" s="43">
        <v>0.25</v>
      </c>
      <c r="M541" s="43">
        <v>0.27083333333333331</v>
      </c>
      <c r="N541" s="43">
        <v>0.63750000000000007</v>
      </c>
      <c r="O541" s="43">
        <v>0.65833333333333333</v>
      </c>
      <c r="P541" s="39"/>
      <c r="Q541" s="42"/>
      <c r="R541" s="29">
        <f>MIP_4[[#This Row],[PT-1]]+MIP_4[[#This Row],[PT-2]]*2+MIP_4[[#This Row],[PT-3]]*3+MIP_4[[#This Row],[PT &gt; 3 Pontos]]</f>
        <v>4</v>
      </c>
      <c r="S54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54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541" s="41">
        <f ca="1">MIP_4[[#This Row],[Eficiência]]</f>
        <v>0.24920628776305115</v>
      </c>
      <c r="V54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41" s="39">
        <f>IF(MIP_4[[#This Row],[P.S]]-MIP_4[[#This Row],[P.E]]&lt;0,1+MIP_4[[#This Row],[P.S]]-MIP_4[[#This Row],[P.E]]-1/24,MIP_4[[#This Row],[P.S]]-MIP_4[[#This Row],[P.E]]-1/24)</f>
        <v>0.36666666666666664</v>
      </c>
      <c r="X541" s="39">
        <f ca="1">MIP_4[[#This Row],[PT-1]]*$S$3+MIP_4[[#This Row],[PT-2]]*$T$3+MIP_4[[#This Row],[PT-3]]*$U$3+MIP_4[[#This Row],[PT &gt; 3 Pontos]]*$V$3</f>
        <v>8.0992043522991636E-2</v>
      </c>
      <c r="Y541" s="39">
        <f>MIP_4[[#This Row],[HH disponível]]-MIP_4[[#This Row],[HH AC TOT]]</f>
        <v>0.32500000000000007</v>
      </c>
      <c r="Z541" s="38">
        <f ca="1">MIP_4[[#This Row],[HH Produtivo
Total]]/MIP_4[[#This Row],[HH Trabalhado]]</f>
        <v>0.24920628776305115</v>
      </c>
      <c r="AA541" s="38">
        <f ca="1">MIP_4[[#This Row],[HH Produtivo
Total]]/MIP_4[[#This Row],[HH disponível]]</f>
        <v>0.22088739142634084</v>
      </c>
      <c r="AB541" s="38">
        <f>MIP_4[[#This Row],[HH Trabalhado]]/MIP_4[[#This Row],[HH disponível]]</f>
        <v>0.88636363636363658</v>
      </c>
      <c r="AC541" s="37" t="str">
        <f>LEFT(MIP_4[[#This Row],[Equipe]], SEARCH("/",MIP_4[[#This Row],[Equipe]],1)-1)</f>
        <v xml:space="preserve">JOILSON </v>
      </c>
      <c r="AD541" s="37" t="str">
        <f>RIGHT(MIP_4[[#This Row],[Equipe]], LEN(MIP_4[[#This Row],[Equipe]])-SEARCH("/",MIP_4[[#This Row],[Equipe]],1))</f>
        <v xml:space="preserve"> HERVAL</v>
      </c>
      <c r="AE541" s="44">
        <f>COUNTIFS('[1]Tempo parado'!G:G,"&gt;="&amp;MIP_4[[#This Row],[S.B Sitrack]],'[1]Tempo parado'!H:H,"&lt;="&amp;MIP_4[[#This Row],[C.B Sitrack]],'[1]Tempo parado'!A:A,MIP_4[[#This Row],[Placa]])</f>
        <v>0</v>
      </c>
      <c r="AF541" s="36"/>
      <c r="AG541" s="35"/>
      <c r="AH541" s="34"/>
      <c r="AI541" s="34"/>
      <c r="AJ54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4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4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41" s="32" t="str">
        <f>IFERROR(MIP_4[[#This Row],[Tempo parado]]/(MIP_4[[#This Row],[C.B Sitrack]]-MIP_4[[#This Row],[S.B Sitrack]]),"")</f>
        <v/>
      </c>
      <c r="AN541" s="30"/>
      <c r="AO541" s="44">
        <f>IF(AND(MIP_4[Exc]=0,MIP_4[Previsto / Realizado]="Realizado"),MIP_4[Sem],0)</f>
        <v>0</v>
      </c>
      <c r="AP541" s="29">
        <f>IF(AND(MIP_4[Exc]=0,MIP_4[Previsto / Realizado]="Realizado",ISBLANK(MIP_4[[#This Row],[S.B Sitrack]])=FALSE,ISBLANK(MIP_4[[#This Row],[C.B Sitrack]])=FALSE),MIP_4[Sem],0)</f>
        <v>0</v>
      </c>
    </row>
    <row r="542" spans="1:42" ht="15.75" x14ac:dyDescent="0.25">
      <c r="A542" s="44">
        <f>WEEKNUM(MIP_4[[#This Row],[Data]])</f>
        <v>38</v>
      </c>
      <c r="B542" s="45">
        <v>42995</v>
      </c>
      <c r="C542" s="45"/>
      <c r="D542" s="35" t="s">
        <v>33</v>
      </c>
      <c r="E542" s="35" t="s">
        <v>2</v>
      </c>
      <c r="F542" s="35"/>
      <c r="G542" s="44">
        <v>2</v>
      </c>
      <c r="H542" s="44">
        <v>0</v>
      </c>
      <c r="I542" s="44">
        <v>0</v>
      </c>
      <c r="J542" s="44">
        <v>0</v>
      </c>
      <c r="K542" s="44">
        <v>4</v>
      </c>
      <c r="L542" s="43">
        <v>0.25347222222222221</v>
      </c>
      <c r="M542" s="43">
        <v>0.27569444444444446</v>
      </c>
      <c r="N542" s="43">
        <v>0.58819444444444446</v>
      </c>
      <c r="O542" s="43">
        <v>0.66875000000000007</v>
      </c>
      <c r="P542" s="39"/>
      <c r="Q542" s="42"/>
      <c r="R542" s="29">
        <f>MIP_4[[#This Row],[PT-1]]+MIP_4[[#This Row],[PT-2]]*2+MIP_4[[#This Row],[PT-3]]*3+MIP_4[[#This Row],[PT &gt; 3 Pontos]]</f>
        <v>4</v>
      </c>
      <c r="S54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0.10277777777777786</v>
      </c>
      <c r="T54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0.10277777777777786</v>
      </c>
      <c r="U542" s="41">
        <f ca="1">MIP_4[[#This Row],[Eficiência]]</f>
        <v>0.29904754531566147</v>
      </c>
      <c r="V54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42" s="39">
        <f>IF(MIP_4[[#This Row],[P.S]]-MIP_4[[#This Row],[P.E]]&lt;0,1+MIP_4[[#This Row],[P.S]]-MIP_4[[#This Row],[P.E]]-1/24,MIP_4[[#This Row],[P.S]]-MIP_4[[#This Row],[P.E]]-1/24)</f>
        <v>0.37361111111111117</v>
      </c>
      <c r="X542" s="39">
        <f ca="1">MIP_4[[#This Row],[PT-1]]*$S$3+MIP_4[[#This Row],[PT-2]]*$T$3+MIP_4[[#This Row],[PT-3]]*$U$3+MIP_4[[#This Row],[PT &gt; 3 Pontos]]*$V$3</f>
        <v>8.0992043522991636E-2</v>
      </c>
      <c r="Y542" s="39">
        <f>MIP_4[[#This Row],[HH disponível]]-MIP_4[[#This Row],[HH AC TOT]]</f>
        <v>0.27083333333333331</v>
      </c>
      <c r="Z542" s="38">
        <f ca="1">MIP_4[[#This Row],[HH Produtivo
Total]]/MIP_4[[#This Row],[HH Trabalhado]]</f>
        <v>0.29904754531566147</v>
      </c>
      <c r="AA542" s="38">
        <f ca="1">MIP_4[[#This Row],[HH Produtivo
Total]]/MIP_4[[#This Row],[HH disponível]]</f>
        <v>0.21678167783105565</v>
      </c>
      <c r="AB542" s="38">
        <f>MIP_4[[#This Row],[HH Trabalhado]]/MIP_4[[#This Row],[HH disponível]]</f>
        <v>0.7249070631970258</v>
      </c>
      <c r="AC542" s="37" t="str">
        <f>LEFT(MIP_4[[#This Row],[Equipe]], SEARCH("/",MIP_4[[#This Row],[Equipe]],1)-1)</f>
        <v xml:space="preserve">JOILSON </v>
      </c>
      <c r="AD542" s="37" t="str">
        <f>RIGHT(MIP_4[[#This Row],[Equipe]], LEN(MIP_4[[#This Row],[Equipe]])-SEARCH("/",MIP_4[[#This Row],[Equipe]],1))</f>
        <v xml:space="preserve"> HERVAL</v>
      </c>
      <c r="AE542" s="44">
        <f>COUNTIFS('[1]Tempo parado'!G:G,"&gt;="&amp;MIP_4[[#This Row],[S.B Sitrack]],'[1]Tempo parado'!H:H,"&lt;="&amp;MIP_4[[#This Row],[C.B Sitrack]],'[1]Tempo parado'!A:A,MIP_4[[#This Row],[Placa]])</f>
        <v>0</v>
      </c>
      <c r="AF542" s="36"/>
      <c r="AG542" s="35"/>
      <c r="AH542" s="34"/>
      <c r="AI542" s="34"/>
      <c r="AJ54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4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4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42" s="32" t="str">
        <f>IFERROR(MIP_4[[#This Row],[Tempo parado]]/(MIP_4[[#This Row],[C.B Sitrack]]-MIP_4[[#This Row],[S.B Sitrack]]),"")</f>
        <v/>
      </c>
      <c r="AN542" s="30"/>
      <c r="AO542" s="44">
        <f>IF(AND(MIP_4[Exc]=0,MIP_4[Previsto / Realizado]="Realizado"),MIP_4[Sem],0)</f>
        <v>38</v>
      </c>
      <c r="AP542" s="29">
        <f>IF(AND(MIP_4[Exc]=0,MIP_4[Previsto / Realizado]="Realizado",ISBLANK(MIP_4[[#This Row],[S.B Sitrack]])=FALSE,ISBLANK(MIP_4[[#This Row],[C.B Sitrack]])=FALSE),MIP_4[Sem],0)</f>
        <v>0</v>
      </c>
    </row>
    <row r="543" spans="1:42" ht="15.75" x14ac:dyDescent="0.25">
      <c r="A543" s="44">
        <f>WEEKNUM(MIP_4[[#This Row],[Data]])</f>
        <v>38</v>
      </c>
      <c r="B543" s="45">
        <v>42995</v>
      </c>
      <c r="C543" s="45"/>
      <c r="D543" s="35" t="s">
        <v>19</v>
      </c>
      <c r="E543" s="35" t="s">
        <v>5</v>
      </c>
      <c r="F543" s="35"/>
      <c r="G543" s="44">
        <v>2</v>
      </c>
      <c r="H543" s="44">
        <v>0</v>
      </c>
      <c r="I543" s="44">
        <v>0</v>
      </c>
      <c r="J543" s="44">
        <v>0</v>
      </c>
      <c r="K543" s="44">
        <v>0</v>
      </c>
      <c r="L543" s="43">
        <v>0.625</v>
      </c>
      <c r="M543" s="43">
        <v>0.64583333333333337</v>
      </c>
      <c r="N543" s="43">
        <f>1+18/24/60</f>
        <v>1.0125</v>
      </c>
      <c r="O543" s="43">
        <f>1+48/24/60</f>
        <v>1.0333333333333334</v>
      </c>
      <c r="P543" s="39"/>
      <c r="Q543" s="42"/>
      <c r="R543" s="29">
        <f>MIP_4[[#This Row],[PT-1]]+MIP_4[[#This Row],[PT-2]]*2+MIP_4[[#This Row],[PT-3]]*3+MIP_4[[#This Row],[PT &gt; 3 Pontos]]</f>
        <v>0</v>
      </c>
      <c r="S54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54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543" s="41">
        <f ca="1">MIP_4[[#This Row],[Eficiência]]</f>
        <v>0</v>
      </c>
      <c r="V54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43" s="39">
        <f>IF(MIP_4[[#This Row],[P.S]]-MIP_4[[#This Row],[P.E]]&lt;0,1+MIP_4[[#This Row],[P.S]]-MIP_4[[#This Row],[P.E]]-1/24,MIP_4[[#This Row],[P.S]]-MIP_4[[#This Row],[P.E]]-1/24)</f>
        <v>0.36666666666666675</v>
      </c>
      <c r="X543" s="39">
        <f ca="1">MIP_4[[#This Row],[PT-1]]*$S$3+MIP_4[[#This Row],[PT-2]]*$T$3+MIP_4[[#This Row],[PT-3]]*$U$3+MIP_4[[#This Row],[PT &gt; 3 Pontos]]*$V$3</f>
        <v>0</v>
      </c>
      <c r="Y543" s="39">
        <f>MIP_4[[#This Row],[HH disponível]]-MIP_4[[#This Row],[HH AC TOT]]</f>
        <v>0.3249999999999999</v>
      </c>
      <c r="Z543" s="38">
        <f ca="1">MIP_4[[#This Row],[HH Produtivo
Total]]/MIP_4[[#This Row],[HH Trabalhado]]</f>
        <v>0</v>
      </c>
      <c r="AA543" s="38">
        <f ca="1">MIP_4[[#This Row],[HH Produtivo
Total]]/MIP_4[[#This Row],[HH disponível]]</f>
        <v>0</v>
      </c>
      <c r="AB543" s="38">
        <f>MIP_4[[#This Row],[HH Trabalhado]]/MIP_4[[#This Row],[HH disponível]]</f>
        <v>0.88636363636363591</v>
      </c>
      <c r="AC543" s="37" t="str">
        <f>LEFT(MIP_4[[#This Row],[Equipe]], SEARCH("/",MIP_4[[#This Row],[Equipe]],1)-1)</f>
        <v xml:space="preserve">ADEMÁRIO </v>
      </c>
      <c r="AD543" s="37" t="str">
        <f>RIGHT(MIP_4[[#This Row],[Equipe]], LEN(MIP_4[[#This Row],[Equipe]])-SEARCH("/",MIP_4[[#This Row],[Equipe]],1))</f>
        <v xml:space="preserve"> RONALDO</v>
      </c>
      <c r="AE543" s="44">
        <f>COUNTIFS('[1]Tempo parado'!G:G,"&gt;="&amp;MIP_4[[#This Row],[S.B Sitrack]],'[1]Tempo parado'!H:H,"&lt;="&amp;MIP_4[[#This Row],[C.B Sitrack]],'[1]Tempo parado'!A:A,MIP_4[[#This Row],[Placa]])</f>
        <v>0</v>
      </c>
      <c r="AF543" s="36"/>
      <c r="AG543" s="35"/>
      <c r="AH543" s="34"/>
      <c r="AI543" s="34"/>
      <c r="AJ54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4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4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43" s="32" t="str">
        <f>IFERROR(MIP_4[[#This Row],[Tempo parado]]/(MIP_4[[#This Row],[C.B Sitrack]]-MIP_4[[#This Row],[S.B Sitrack]]),"")</f>
        <v/>
      </c>
      <c r="AN543" s="30"/>
      <c r="AO543" s="44">
        <f>IF(AND(MIP_4[Exc]=0,MIP_4[Previsto / Realizado]="Realizado"),MIP_4[Sem],0)</f>
        <v>0</v>
      </c>
      <c r="AP543" s="29">
        <f>IF(AND(MIP_4[Exc]=0,MIP_4[Previsto / Realizado]="Realizado",ISBLANK(MIP_4[[#This Row],[S.B Sitrack]])=FALSE,ISBLANK(MIP_4[[#This Row],[C.B Sitrack]])=FALSE),MIP_4[Sem],0)</f>
        <v>0</v>
      </c>
    </row>
    <row r="544" spans="1:42" ht="15.75" x14ac:dyDescent="0.25">
      <c r="A544" s="44">
        <f>WEEKNUM(MIP_4[[#This Row],[Data]])</f>
        <v>38</v>
      </c>
      <c r="B544" s="45">
        <v>42995</v>
      </c>
      <c r="C544" s="45"/>
      <c r="D544" s="35" t="s">
        <v>19</v>
      </c>
      <c r="E544" s="35" t="s">
        <v>2</v>
      </c>
      <c r="F544" s="35"/>
      <c r="G544" s="44">
        <v>2</v>
      </c>
      <c r="H544" s="44">
        <v>1</v>
      </c>
      <c r="I544" s="44">
        <v>1</v>
      </c>
      <c r="J544" s="44">
        <v>0</v>
      </c>
      <c r="K544" s="44">
        <v>7</v>
      </c>
      <c r="L544" s="43">
        <v>0.64652777777777781</v>
      </c>
      <c r="M544" s="43">
        <v>0.66666666666666663</v>
      </c>
      <c r="N544" s="43">
        <f>1+10/24/60</f>
        <v>1.0069444444444444</v>
      </c>
      <c r="O544" s="43">
        <f>1+60/24/60</f>
        <v>1.0416666666666667</v>
      </c>
      <c r="P544" s="39"/>
      <c r="Q544" s="42"/>
      <c r="R544" s="29">
        <f>MIP_4[[#This Row],[PT-1]]+MIP_4[[#This Row],[PT-2]]*2+MIP_4[[#This Row],[PT-3]]*3+MIP_4[[#This Row],[PT &gt; 3 Pontos]]</f>
        <v>10</v>
      </c>
      <c r="S54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5.4861111111111138E-2</v>
      </c>
      <c r="T54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5.4861111111111138E-2</v>
      </c>
      <c r="U544" s="41">
        <f ca="1">MIP_4[[#This Row],[Eficiência]]</f>
        <v>0.70550186308654483</v>
      </c>
      <c r="V54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44" s="39">
        <f>IF(MIP_4[[#This Row],[P.S]]-MIP_4[[#This Row],[P.E]]&lt;0,1+MIP_4[[#This Row],[P.S]]-MIP_4[[#This Row],[P.E]]-1/24,MIP_4[[#This Row],[P.S]]-MIP_4[[#This Row],[P.E]]-1/24)</f>
        <v>0.35347222222222224</v>
      </c>
      <c r="X544" s="39">
        <f ca="1">MIP_4[[#This Row],[PT-1]]*$S$3+MIP_4[[#This Row],[PT-2]]*$T$3+MIP_4[[#This Row],[PT-3]]*$U$3+MIP_4[[#This Row],[PT &gt; 3 Pontos]]*$V$3</f>
        <v>0.21067069522723214</v>
      </c>
      <c r="Y544" s="39">
        <f>MIP_4[[#This Row],[HH disponível]]-MIP_4[[#This Row],[HH AC TOT]]</f>
        <v>0.2986111111111111</v>
      </c>
      <c r="Z544" s="38">
        <f ca="1">MIP_4[[#This Row],[HH Produtivo
Total]]/MIP_4[[#This Row],[HH Trabalhado]]</f>
        <v>0.70550186308654483</v>
      </c>
      <c r="AA544" s="38">
        <f ca="1">MIP_4[[#This Row],[HH Produtivo
Total]]/MIP_4[[#This Row],[HH disponível]]</f>
        <v>0.59600353856034238</v>
      </c>
      <c r="AB544" s="38">
        <f>MIP_4[[#This Row],[HH Trabalhado]]/MIP_4[[#This Row],[HH disponível]]</f>
        <v>0.84479371316306473</v>
      </c>
      <c r="AC544" s="37" t="str">
        <f>LEFT(MIP_4[[#This Row],[Equipe]], SEARCH("/",MIP_4[[#This Row],[Equipe]],1)-1)</f>
        <v xml:space="preserve">ADEMÁRIO </v>
      </c>
      <c r="AD544" s="37" t="str">
        <f>RIGHT(MIP_4[[#This Row],[Equipe]], LEN(MIP_4[[#This Row],[Equipe]])-SEARCH("/",MIP_4[[#This Row],[Equipe]],1))</f>
        <v xml:space="preserve"> RONALDO</v>
      </c>
      <c r="AE544" s="44">
        <f>COUNTIFS('[1]Tempo parado'!G:G,"&gt;="&amp;MIP_4[[#This Row],[S.B Sitrack]],'[1]Tempo parado'!H:H,"&lt;="&amp;MIP_4[[#This Row],[C.B Sitrack]],'[1]Tempo parado'!A:A,MIP_4[[#This Row],[Placa]])</f>
        <v>0</v>
      </c>
      <c r="AF544" s="36"/>
      <c r="AG544" s="35"/>
      <c r="AH544" s="34"/>
      <c r="AI544" s="34"/>
      <c r="AJ54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4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4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44" s="32" t="str">
        <f>IFERROR(MIP_4[[#This Row],[Tempo parado]]/(MIP_4[[#This Row],[C.B Sitrack]]-MIP_4[[#This Row],[S.B Sitrack]]),"")</f>
        <v/>
      </c>
      <c r="AN544" s="30"/>
      <c r="AO544" s="44">
        <f>IF(AND(MIP_4[Exc]=0,MIP_4[Previsto / Realizado]="Realizado"),MIP_4[Sem],0)</f>
        <v>38</v>
      </c>
      <c r="AP544" s="29">
        <f>IF(AND(MIP_4[Exc]=0,MIP_4[Previsto / Realizado]="Realizado",ISBLANK(MIP_4[[#This Row],[S.B Sitrack]])=FALSE,ISBLANK(MIP_4[[#This Row],[C.B Sitrack]])=FALSE),MIP_4[Sem],0)</f>
        <v>0</v>
      </c>
    </row>
    <row r="545" spans="1:42" ht="15.75" x14ac:dyDescent="0.25">
      <c r="A545" s="44">
        <f>WEEKNUM(MIP_4[[#This Row],[Data]])</f>
        <v>38</v>
      </c>
      <c r="B545" s="45">
        <v>42996</v>
      </c>
      <c r="C545" s="45"/>
      <c r="D545" s="35" t="s">
        <v>3</v>
      </c>
      <c r="E545" s="35" t="s">
        <v>5</v>
      </c>
      <c r="F545" s="35"/>
      <c r="G545" s="44">
        <v>2</v>
      </c>
      <c r="H545" s="44">
        <v>3</v>
      </c>
      <c r="I545" s="44">
        <v>1</v>
      </c>
      <c r="J545" s="44">
        <v>0</v>
      </c>
      <c r="K545" s="44">
        <v>4</v>
      </c>
      <c r="L545" s="43">
        <v>0.625</v>
      </c>
      <c r="M545" s="43">
        <v>0.64583333333333337</v>
      </c>
      <c r="N545" s="43">
        <f>1+18/24/60</f>
        <v>1.0125</v>
      </c>
      <c r="O545" s="43">
        <f>1+48/24/60</f>
        <v>1.0333333333333334</v>
      </c>
      <c r="P545" s="39"/>
      <c r="Q545" s="42"/>
      <c r="R545" s="29">
        <f>MIP_4[[#This Row],[PT-1]]+MIP_4[[#This Row],[PT-2]]*2+MIP_4[[#This Row],[PT-3]]*3+MIP_4[[#This Row],[PT &gt; 3 Pontos]]</f>
        <v>9</v>
      </c>
      <c r="S54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54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545" s="41">
        <f ca="1">MIP_4[[#This Row],[Eficiência]]</f>
        <v>0.61531805693188568</v>
      </c>
      <c r="V54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45" s="39">
        <f>IF(MIP_4[[#This Row],[P.S]]-MIP_4[[#This Row],[P.E]]&lt;0,1+MIP_4[[#This Row],[P.S]]-MIP_4[[#This Row],[P.E]]-1/24,MIP_4[[#This Row],[P.S]]-MIP_4[[#This Row],[P.E]]-1/24)</f>
        <v>0.36666666666666675</v>
      </c>
      <c r="X545" s="39">
        <f ca="1">MIP_4[[#This Row],[PT-1]]*$S$3+MIP_4[[#This Row],[PT-2]]*$T$3+MIP_4[[#This Row],[PT-3]]*$U$3+MIP_4[[#This Row],[PT &gt; 3 Pontos]]*$V$3</f>
        <v>0.19997836850286277</v>
      </c>
      <c r="Y545" s="39">
        <f>MIP_4[[#This Row],[HH disponível]]-MIP_4[[#This Row],[HH AC TOT]]</f>
        <v>0.3249999999999999</v>
      </c>
      <c r="Z545" s="38">
        <f ca="1">MIP_4[[#This Row],[HH Produtivo
Total]]/MIP_4[[#This Row],[HH Trabalhado]]</f>
        <v>0.61531805693188568</v>
      </c>
      <c r="AA545" s="38">
        <f ca="1">MIP_4[[#This Row],[HH Produtivo
Total]]/MIP_4[[#This Row],[HH disponível]]</f>
        <v>0.54539555046235288</v>
      </c>
      <c r="AB545" s="38">
        <f>MIP_4[[#This Row],[HH Trabalhado]]/MIP_4[[#This Row],[HH disponível]]</f>
        <v>0.88636363636363591</v>
      </c>
      <c r="AC545" s="37" t="str">
        <f>LEFT(MIP_4[[#This Row],[Equipe]], SEARCH("/",MIP_4[[#This Row],[Equipe]],1)-1)</f>
        <v xml:space="preserve">EDILTON </v>
      </c>
      <c r="AD545" s="37" t="str">
        <f>RIGHT(MIP_4[[#This Row],[Equipe]], LEN(MIP_4[[#This Row],[Equipe]])-SEARCH("/",MIP_4[[#This Row],[Equipe]],1))</f>
        <v xml:space="preserve"> GECIVALDO</v>
      </c>
      <c r="AE545" s="44">
        <f>COUNTIFS('[1]Tempo parado'!G:G,"&gt;="&amp;MIP_4[[#This Row],[S.B Sitrack]],'[1]Tempo parado'!H:H,"&lt;="&amp;MIP_4[[#This Row],[C.B Sitrack]],'[1]Tempo parado'!A:A,MIP_4[[#This Row],[Placa]])</f>
        <v>0</v>
      </c>
      <c r="AF545" s="36"/>
      <c r="AG545" s="35"/>
      <c r="AH545" s="34"/>
      <c r="AI545" s="34"/>
      <c r="AJ54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4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4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45" s="32" t="str">
        <f>IFERROR(MIP_4[[#This Row],[Tempo parado]]/(MIP_4[[#This Row],[C.B Sitrack]]-MIP_4[[#This Row],[S.B Sitrack]]),"")</f>
        <v/>
      </c>
      <c r="AN545" s="30"/>
      <c r="AO545" s="44">
        <f>IF(AND(MIP_4[Exc]=0,MIP_4[Previsto / Realizado]="Realizado"),MIP_4[Sem],0)</f>
        <v>0</v>
      </c>
      <c r="AP545" s="29">
        <f>IF(AND(MIP_4[Exc]=0,MIP_4[Previsto / Realizado]="Realizado",ISBLANK(MIP_4[[#This Row],[S.B Sitrack]])=FALSE,ISBLANK(MIP_4[[#This Row],[C.B Sitrack]])=FALSE),MIP_4[Sem],0)</f>
        <v>0</v>
      </c>
    </row>
    <row r="546" spans="1:42" ht="15.75" x14ac:dyDescent="0.25">
      <c r="A546" s="44">
        <f>WEEKNUM(MIP_4[[#This Row],[Data]])</f>
        <v>38</v>
      </c>
      <c r="B546" s="45">
        <v>42996</v>
      </c>
      <c r="C546" s="45"/>
      <c r="D546" s="35" t="s">
        <v>3</v>
      </c>
      <c r="E546" s="35" t="s">
        <v>2</v>
      </c>
      <c r="F546" s="35"/>
      <c r="G546" s="44">
        <v>2</v>
      </c>
      <c r="H546" s="44">
        <v>4</v>
      </c>
      <c r="I546" s="44">
        <v>3</v>
      </c>
      <c r="J546" s="44">
        <v>0</v>
      </c>
      <c r="K546" s="44">
        <v>4</v>
      </c>
      <c r="L546" s="43">
        <v>0.6166666666666667</v>
      </c>
      <c r="M546" s="43">
        <v>0.67986111111111114</v>
      </c>
      <c r="N546" s="43">
        <v>0.99444444444444446</v>
      </c>
      <c r="O546" s="43">
        <f>1+48/24/60</f>
        <v>1.0333333333333334</v>
      </c>
      <c r="P546" s="39"/>
      <c r="Q546" s="42"/>
      <c r="R546" s="29">
        <f>MIP_4[[#This Row],[PT-1]]+MIP_4[[#This Row],[PT-2]]*2+MIP_4[[#This Row],[PT-3]]*3+MIP_4[[#This Row],[PT &gt; 3 Pontos]]</f>
        <v>14</v>
      </c>
      <c r="S54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0.10208333333333341</v>
      </c>
      <c r="T54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0.10208333333333341</v>
      </c>
      <c r="U546" s="41">
        <f ca="1">MIP_4[[#This Row],[Eficiência]]</f>
        <v>1.146217112676345</v>
      </c>
      <c r="V54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46" s="39">
        <f>IF(MIP_4[[#This Row],[P.S]]-MIP_4[[#This Row],[P.E]]&lt;0,1+MIP_4[[#This Row],[P.S]]-MIP_4[[#This Row],[P.E]]-1/24,MIP_4[[#This Row],[P.S]]-MIP_4[[#This Row],[P.E]]-1/24)</f>
        <v>0.37500000000000006</v>
      </c>
      <c r="X546" s="39">
        <f ca="1">MIP_4[[#This Row],[PT-1]]*$S$3+MIP_4[[#This Row],[PT-2]]*$T$3+MIP_4[[#This Row],[PT-3]]*$U$3+MIP_4[[#This Row],[PT &gt; 3 Pontos]]*$V$3</f>
        <v>0.31282175366791909</v>
      </c>
      <c r="Y546" s="39">
        <f>MIP_4[[#This Row],[HH disponível]]-MIP_4[[#This Row],[HH AC TOT]]</f>
        <v>0.27291666666666664</v>
      </c>
      <c r="Z546" s="38">
        <f ca="1">MIP_4[[#This Row],[HH Produtivo
Total]]/MIP_4[[#This Row],[HH Trabalhado]]</f>
        <v>1.146217112676345</v>
      </c>
      <c r="AA546" s="38">
        <f ca="1">MIP_4[[#This Row],[HH Produtivo
Total]]/MIP_4[[#This Row],[HH disponível]]</f>
        <v>0.83419134311445076</v>
      </c>
      <c r="AB546" s="38">
        <f>MIP_4[[#This Row],[HH Trabalhado]]/MIP_4[[#This Row],[HH disponível]]</f>
        <v>0.72777777777777763</v>
      </c>
      <c r="AC546" s="37" t="str">
        <f>LEFT(MIP_4[[#This Row],[Equipe]], SEARCH("/",MIP_4[[#This Row],[Equipe]],1)-1)</f>
        <v xml:space="preserve">EDILTON </v>
      </c>
      <c r="AD546" s="37" t="str">
        <f>RIGHT(MIP_4[[#This Row],[Equipe]], LEN(MIP_4[[#This Row],[Equipe]])-SEARCH("/",MIP_4[[#This Row],[Equipe]],1))</f>
        <v xml:space="preserve"> GECIVALDO</v>
      </c>
      <c r="AE546" s="44">
        <f>COUNTIFS('[1]Tempo parado'!G:G,"&gt;="&amp;MIP_4[[#This Row],[S.B Sitrack]],'[1]Tempo parado'!H:H,"&lt;="&amp;MIP_4[[#This Row],[C.B Sitrack]],'[1]Tempo parado'!A:A,MIP_4[[#This Row],[Placa]])</f>
        <v>0</v>
      </c>
      <c r="AF546" s="36"/>
      <c r="AG546" s="35"/>
      <c r="AH546" s="34"/>
      <c r="AI546" s="34"/>
      <c r="AJ54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4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4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46" s="32" t="str">
        <f>IFERROR(MIP_4[[#This Row],[Tempo parado]]/(MIP_4[[#This Row],[C.B Sitrack]]-MIP_4[[#This Row],[S.B Sitrack]]),"")</f>
        <v/>
      </c>
      <c r="AN546" s="30"/>
      <c r="AO546" s="44">
        <f>IF(AND(MIP_4[Exc]=0,MIP_4[Previsto / Realizado]="Realizado"),MIP_4[Sem],0)</f>
        <v>38</v>
      </c>
      <c r="AP546" s="29">
        <f>IF(AND(MIP_4[Exc]=0,MIP_4[Previsto / Realizado]="Realizado",ISBLANK(MIP_4[[#This Row],[S.B Sitrack]])=FALSE,ISBLANK(MIP_4[[#This Row],[C.B Sitrack]])=FALSE),MIP_4[Sem],0)</f>
        <v>0</v>
      </c>
    </row>
    <row r="547" spans="1:42" ht="15.75" x14ac:dyDescent="0.25">
      <c r="A547" s="44">
        <f>WEEKNUM(MIP_4[[#This Row],[Data]])</f>
        <v>38</v>
      </c>
      <c r="B547" s="45">
        <v>42996</v>
      </c>
      <c r="C547" s="45"/>
      <c r="D547" s="35" t="s">
        <v>7</v>
      </c>
      <c r="E547" s="35" t="s">
        <v>5</v>
      </c>
      <c r="F547" s="35"/>
      <c r="G547" s="44">
        <v>2</v>
      </c>
      <c r="H547" s="44">
        <v>3</v>
      </c>
      <c r="I547" s="44">
        <v>1</v>
      </c>
      <c r="J547" s="44">
        <v>0</v>
      </c>
      <c r="K547" s="44">
        <v>5</v>
      </c>
      <c r="L547" s="43">
        <v>0.625</v>
      </c>
      <c r="M547" s="43">
        <v>0.64583333333333337</v>
      </c>
      <c r="N547" s="43">
        <f>1+18/24/60</f>
        <v>1.0125</v>
      </c>
      <c r="O547" s="43">
        <f>1+48/24/60</f>
        <v>1.0333333333333334</v>
      </c>
      <c r="P547" s="39"/>
      <c r="Q547" s="42"/>
      <c r="R547" s="29">
        <f>MIP_4[[#This Row],[PT-1]]+MIP_4[[#This Row],[PT-2]]*2+MIP_4[[#This Row],[PT-3]]*3+MIP_4[[#This Row],[PT &gt; 3 Pontos]]</f>
        <v>10</v>
      </c>
      <c r="S54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54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547" s="41">
        <f ca="1">MIP_4[[#This Row],[Eficiência]]</f>
        <v>0.67761962887264837</v>
      </c>
      <c r="V54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47" s="39">
        <f>IF(MIP_4[[#This Row],[P.S]]-MIP_4[[#This Row],[P.E]]&lt;0,1+MIP_4[[#This Row],[P.S]]-MIP_4[[#This Row],[P.E]]-1/24,MIP_4[[#This Row],[P.S]]-MIP_4[[#This Row],[P.E]]-1/24)</f>
        <v>0.36666666666666675</v>
      </c>
      <c r="X547" s="39">
        <f ca="1">MIP_4[[#This Row],[PT-1]]*$S$3+MIP_4[[#This Row],[PT-2]]*$T$3+MIP_4[[#This Row],[PT-3]]*$U$3+MIP_4[[#This Row],[PT &gt; 3 Pontos]]*$V$3</f>
        <v>0.22022637938361067</v>
      </c>
      <c r="Y547" s="39">
        <f>MIP_4[[#This Row],[HH disponível]]-MIP_4[[#This Row],[HH AC TOT]]</f>
        <v>0.3249999999999999</v>
      </c>
      <c r="Z547" s="38">
        <f ca="1">MIP_4[[#This Row],[HH Produtivo
Total]]/MIP_4[[#This Row],[HH Trabalhado]]</f>
        <v>0.67761962887264837</v>
      </c>
      <c r="AA547" s="38">
        <f ca="1">MIP_4[[#This Row],[HH Produtivo
Total]]/MIP_4[[#This Row],[HH disponível]]</f>
        <v>0.60061739831893801</v>
      </c>
      <c r="AB547" s="38">
        <f>MIP_4[[#This Row],[HH Trabalhado]]/MIP_4[[#This Row],[HH disponível]]</f>
        <v>0.88636363636363591</v>
      </c>
      <c r="AC547" s="37" t="str">
        <f>LEFT(MIP_4[[#This Row],[Equipe]], SEARCH("/",MIP_4[[#This Row],[Equipe]],1)-1)</f>
        <v xml:space="preserve">ANDERSON </v>
      </c>
      <c r="AD547" s="37" t="str">
        <f>RIGHT(MIP_4[[#This Row],[Equipe]], LEN(MIP_4[[#This Row],[Equipe]])-SEARCH("/",MIP_4[[#This Row],[Equipe]],1))</f>
        <v xml:space="preserve"> MARCO</v>
      </c>
      <c r="AE547" s="44">
        <f>COUNTIFS('[1]Tempo parado'!G:G,"&gt;="&amp;MIP_4[[#This Row],[S.B Sitrack]],'[1]Tempo parado'!H:H,"&lt;="&amp;MIP_4[[#This Row],[C.B Sitrack]],'[1]Tempo parado'!A:A,MIP_4[[#This Row],[Placa]])</f>
        <v>0</v>
      </c>
      <c r="AF547" s="36"/>
      <c r="AG547" s="35"/>
      <c r="AH547" s="34"/>
      <c r="AI547" s="34"/>
      <c r="AJ54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4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4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47" s="32" t="str">
        <f>IFERROR(MIP_4[[#This Row],[Tempo parado]]/(MIP_4[[#This Row],[C.B Sitrack]]-MIP_4[[#This Row],[S.B Sitrack]]),"")</f>
        <v/>
      </c>
      <c r="AN547" s="30"/>
      <c r="AO547" s="44">
        <f>IF(AND(MIP_4[Exc]=0,MIP_4[Previsto / Realizado]="Realizado"),MIP_4[Sem],0)</f>
        <v>0</v>
      </c>
      <c r="AP547" s="29">
        <f>IF(AND(MIP_4[Exc]=0,MIP_4[Previsto / Realizado]="Realizado",ISBLANK(MIP_4[[#This Row],[S.B Sitrack]])=FALSE,ISBLANK(MIP_4[[#This Row],[C.B Sitrack]])=FALSE),MIP_4[Sem],0)</f>
        <v>0</v>
      </c>
    </row>
    <row r="548" spans="1:42" ht="15.75" x14ac:dyDescent="0.25">
      <c r="A548" s="44">
        <f>WEEKNUM(MIP_4[[#This Row],[Data]])</f>
        <v>38</v>
      </c>
      <c r="B548" s="45">
        <v>42996</v>
      </c>
      <c r="C548" s="45"/>
      <c r="D548" s="35" t="s">
        <v>7</v>
      </c>
      <c r="E548" s="35" t="s">
        <v>2</v>
      </c>
      <c r="F548" s="35"/>
      <c r="G548" s="44">
        <v>2</v>
      </c>
      <c r="H548" s="44">
        <v>10</v>
      </c>
      <c r="I548" s="44">
        <v>2</v>
      </c>
      <c r="J548" s="44">
        <v>0</v>
      </c>
      <c r="K548" s="44">
        <v>5</v>
      </c>
      <c r="L548" s="43">
        <v>0.62083333333333335</v>
      </c>
      <c r="M548" s="43">
        <v>0.66805555555555562</v>
      </c>
      <c r="N548" s="43">
        <f>1+25/24/60</f>
        <v>1.0173611111111112</v>
      </c>
      <c r="O548" s="43">
        <f>1+48/24/60</f>
        <v>1.0333333333333334</v>
      </c>
      <c r="P548" s="39"/>
      <c r="Q548" s="42"/>
      <c r="R548" s="29">
        <f>MIP_4[[#This Row],[PT-1]]+MIP_4[[#This Row],[PT-2]]*2+MIP_4[[#This Row],[PT-3]]*3+MIP_4[[#This Row],[PT &gt; 3 Pontos]]</f>
        <v>19</v>
      </c>
      <c r="S54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6.3194444444444553E-2</v>
      </c>
      <c r="T54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6.3194444444444553E-2</v>
      </c>
      <c r="U548" s="41">
        <f ca="1">MIP_4[[#This Row],[Eficiência]]</f>
        <v>1.4280252987063025</v>
      </c>
      <c r="V54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48" s="39">
        <f>IF(MIP_4[[#This Row],[P.S]]-MIP_4[[#This Row],[P.E]]&lt;0,1+MIP_4[[#This Row],[P.S]]-MIP_4[[#This Row],[P.E]]-1/24,MIP_4[[#This Row],[P.S]]-MIP_4[[#This Row],[P.E]]-1/24)</f>
        <v>0.3708333333333334</v>
      </c>
      <c r="X548" s="39">
        <f ca="1">MIP_4[[#This Row],[PT-1]]*$S$3+MIP_4[[#This Row],[PT-2]]*$T$3+MIP_4[[#This Row],[PT-3]]*$U$3+MIP_4[[#This Row],[PT &gt; 3 Pontos]]*$V$3</f>
        <v>0.4393161161992305</v>
      </c>
      <c r="Y548" s="39">
        <f>MIP_4[[#This Row],[HH disponível]]-MIP_4[[#This Row],[HH AC TOT]]</f>
        <v>0.30763888888888885</v>
      </c>
      <c r="Z548" s="38">
        <f ca="1">MIP_4[[#This Row],[HH Produtivo
Total]]/MIP_4[[#This Row],[HH Trabalhado]]</f>
        <v>1.4280252987063025</v>
      </c>
      <c r="AA548" s="38">
        <f ca="1">MIP_4[[#This Row],[HH Produtivo
Total]]/MIP_4[[#This Row],[HH disponível]]</f>
        <v>1.1846726728968011</v>
      </c>
      <c r="AB548" s="38">
        <f>MIP_4[[#This Row],[HH Trabalhado]]/MIP_4[[#This Row],[HH disponível]]</f>
        <v>0.8295880149812731</v>
      </c>
      <c r="AC548" s="37" t="str">
        <f>LEFT(MIP_4[[#This Row],[Equipe]], SEARCH("/",MIP_4[[#This Row],[Equipe]],1)-1)</f>
        <v xml:space="preserve">ANDERSON </v>
      </c>
      <c r="AD548" s="37" t="str">
        <f>RIGHT(MIP_4[[#This Row],[Equipe]], LEN(MIP_4[[#This Row],[Equipe]])-SEARCH("/",MIP_4[[#This Row],[Equipe]],1))</f>
        <v xml:space="preserve"> MARCO</v>
      </c>
      <c r="AE548" s="44">
        <f>COUNTIFS('[1]Tempo parado'!G:G,"&gt;="&amp;MIP_4[[#This Row],[S.B Sitrack]],'[1]Tempo parado'!H:H,"&lt;="&amp;MIP_4[[#This Row],[C.B Sitrack]],'[1]Tempo parado'!A:A,MIP_4[[#This Row],[Placa]])</f>
        <v>0</v>
      </c>
      <c r="AF548" s="36"/>
      <c r="AG548" s="35"/>
      <c r="AH548" s="34"/>
      <c r="AI548" s="34"/>
      <c r="AJ54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4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4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48" s="32" t="str">
        <f>IFERROR(MIP_4[[#This Row],[Tempo parado]]/(MIP_4[[#This Row],[C.B Sitrack]]-MIP_4[[#This Row],[S.B Sitrack]]),"")</f>
        <v/>
      </c>
      <c r="AN548" s="30"/>
      <c r="AO548" s="44">
        <f>IF(AND(MIP_4[Exc]=0,MIP_4[Previsto / Realizado]="Realizado"),MIP_4[Sem],0)</f>
        <v>38</v>
      </c>
      <c r="AP548" s="29">
        <f>IF(AND(MIP_4[Exc]=0,MIP_4[Previsto / Realizado]="Realizado",ISBLANK(MIP_4[[#This Row],[S.B Sitrack]])=FALSE,ISBLANK(MIP_4[[#This Row],[C.B Sitrack]])=FALSE),MIP_4[Sem],0)</f>
        <v>0</v>
      </c>
    </row>
    <row r="549" spans="1:42" ht="15.75" x14ac:dyDescent="0.25">
      <c r="A549" s="44">
        <f>WEEKNUM(MIP_4[[#This Row],[Data]])</f>
        <v>38</v>
      </c>
      <c r="B549" s="45">
        <v>42996</v>
      </c>
      <c r="C549" s="45"/>
      <c r="D549" s="35" t="s">
        <v>19</v>
      </c>
      <c r="E549" s="35" t="s">
        <v>5</v>
      </c>
      <c r="F549" s="35"/>
      <c r="G549" s="44">
        <v>2</v>
      </c>
      <c r="H549" s="44">
        <v>0</v>
      </c>
      <c r="I549" s="44">
        <v>0</v>
      </c>
      <c r="J549" s="44">
        <v>0</v>
      </c>
      <c r="K549" s="44">
        <v>0</v>
      </c>
      <c r="L549" s="43">
        <v>0.625</v>
      </c>
      <c r="M549" s="43">
        <v>0.64583333333333337</v>
      </c>
      <c r="N549" s="43">
        <f>1+18/24/60</f>
        <v>1.0125</v>
      </c>
      <c r="O549" s="43">
        <f>1+48/24/60</f>
        <v>1.0333333333333334</v>
      </c>
      <c r="P549" s="39"/>
      <c r="Q549" s="42"/>
      <c r="R549" s="29">
        <f>MIP_4[[#This Row],[PT-1]]+MIP_4[[#This Row],[PT-2]]*2+MIP_4[[#This Row],[PT-3]]*3+MIP_4[[#This Row],[PT &gt; 3 Pontos]]</f>
        <v>0</v>
      </c>
      <c r="S54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54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549" s="41">
        <f ca="1">MIP_4[[#This Row],[Eficiência]]</f>
        <v>0</v>
      </c>
      <c r="V54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49" s="39">
        <f>IF(MIP_4[[#This Row],[P.S]]-MIP_4[[#This Row],[P.E]]&lt;0,1+MIP_4[[#This Row],[P.S]]-MIP_4[[#This Row],[P.E]]-1/24,MIP_4[[#This Row],[P.S]]-MIP_4[[#This Row],[P.E]]-1/24)</f>
        <v>0.36666666666666675</v>
      </c>
      <c r="X549" s="39">
        <f ca="1">MIP_4[[#This Row],[PT-1]]*$S$3+MIP_4[[#This Row],[PT-2]]*$T$3+MIP_4[[#This Row],[PT-3]]*$U$3+MIP_4[[#This Row],[PT &gt; 3 Pontos]]*$V$3</f>
        <v>0</v>
      </c>
      <c r="Y549" s="39">
        <f>MIP_4[[#This Row],[HH disponível]]-MIP_4[[#This Row],[HH AC TOT]]</f>
        <v>0.3249999999999999</v>
      </c>
      <c r="Z549" s="38">
        <f ca="1">MIP_4[[#This Row],[HH Produtivo
Total]]/MIP_4[[#This Row],[HH Trabalhado]]</f>
        <v>0</v>
      </c>
      <c r="AA549" s="38">
        <f ca="1">MIP_4[[#This Row],[HH Produtivo
Total]]/MIP_4[[#This Row],[HH disponível]]</f>
        <v>0</v>
      </c>
      <c r="AB549" s="38">
        <f>MIP_4[[#This Row],[HH Trabalhado]]/MIP_4[[#This Row],[HH disponível]]</f>
        <v>0.88636363636363591</v>
      </c>
      <c r="AC549" s="37" t="str">
        <f>LEFT(MIP_4[[#This Row],[Equipe]], SEARCH("/",MIP_4[[#This Row],[Equipe]],1)-1)</f>
        <v xml:space="preserve">ADEMÁRIO </v>
      </c>
      <c r="AD549" s="37" t="str">
        <f>RIGHT(MIP_4[[#This Row],[Equipe]], LEN(MIP_4[[#This Row],[Equipe]])-SEARCH("/",MIP_4[[#This Row],[Equipe]],1))</f>
        <v xml:space="preserve"> RONALDO</v>
      </c>
      <c r="AE549" s="44">
        <f>COUNTIFS('[1]Tempo parado'!G:G,"&gt;="&amp;MIP_4[[#This Row],[S.B Sitrack]],'[1]Tempo parado'!H:H,"&lt;="&amp;MIP_4[[#This Row],[C.B Sitrack]],'[1]Tempo parado'!A:A,MIP_4[[#This Row],[Placa]])</f>
        <v>0</v>
      </c>
      <c r="AF549" s="36"/>
      <c r="AG549" s="35"/>
      <c r="AH549" s="34"/>
      <c r="AI549" s="34"/>
      <c r="AJ54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4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4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49" s="32" t="str">
        <f>IFERROR(MIP_4[[#This Row],[Tempo parado]]/(MIP_4[[#This Row],[C.B Sitrack]]-MIP_4[[#This Row],[S.B Sitrack]]),"")</f>
        <v/>
      </c>
      <c r="AN549" s="30"/>
      <c r="AO549" s="44">
        <f>IF(AND(MIP_4[Exc]=0,MIP_4[Previsto / Realizado]="Realizado"),MIP_4[Sem],0)</f>
        <v>0</v>
      </c>
      <c r="AP549" s="29">
        <f>IF(AND(MIP_4[Exc]=0,MIP_4[Previsto / Realizado]="Realizado",ISBLANK(MIP_4[[#This Row],[S.B Sitrack]])=FALSE,ISBLANK(MIP_4[[#This Row],[C.B Sitrack]])=FALSE),MIP_4[Sem],0)</f>
        <v>0</v>
      </c>
    </row>
    <row r="550" spans="1:42" ht="15.75" x14ac:dyDescent="0.25">
      <c r="A550" s="44">
        <f>WEEKNUM(MIP_4[[#This Row],[Data]])</f>
        <v>38</v>
      </c>
      <c r="B550" s="45">
        <v>42996</v>
      </c>
      <c r="C550" s="45"/>
      <c r="D550" s="35" t="s">
        <v>19</v>
      </c>
      <c r="E550" s="35" t="s">
        <v>2</v>
      </c>
      <c r="F550" s="35"/>
      <c r="G550" s="44">
        <v>2</v>
      </c>
      <c r="H550" s="44">
        <v>0</v>
      </c>
      <c r="I550" s="44">
        <v>0</v>
      </c>
      <c r="J550" s="44">
        <v>0</v>
      </c>
      <c r="K550" s="44">
        <v>17</v>
      </c>
      <c r="L550" s="43">
        <v>0.64374999999999993</v>
      </c>
      <c r="M550" s="43">
        <v>0.66666666666666663</v>
      </c>
      <c r="N550" s="43">
        <f>1+32/24/60</f>
        <v>1.0222222222222221</v>
      </c>
      <c r="O550" s="43">
        <f>1+64/24/60</f>
        <v>1.0444444444444445</v>
      </c>
      <c r="P550" s="39"/>
      <c r="Q550" s="42"/>
      <c r="R550" s="29">
        <f>MIP_4[[#This Row],[PT-1]]+MIP_4[[#This Row],[PT-2]]*2+MIP_4[[#This Row],[PT-3]]*3+MIP_4[[#This Row],[PT &gt; 3 Pontos]]</f>
        <v>17</v>
      </c>
      <c r="S55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4.5138888888889062E-2</v>
      </c>
      <c r="T55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4.5138888888889062E-2</v>
      </c>
      <c r="U550" s="41">
        <f ca="1">MIP_4[[#This Row],[Eficiência]]</f>
        <v>1.0966179344263471</v>
      </c>
      <c r="V55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50" s="39">
        <f>IF(MIP_4[[#This Row],[P.S]]-MIP_4[[#This Row],[P.E]]&lt;0,1+MIP_4[[#This Row],[P.S]]-MIP_4[[#This Row],[P.E]]-1/24,MIP_4[[#This Row],[P.S]]-MIP_4[[#This Row],[P.E]]-1/24)</f>
        <v>0.35902777777777789</v>
      </c>
      <c r="X550" s="39">
        <f ca="1">MIP_4[[#This Row],[PT-1]]*$S$3+MIP_4[[#This Row],[PT-2]]*$T$3+MIP_4[[#This Row],[PT-3]]*$U$3+MIP_4[[#This Row],[PT &gt; 3 Pontos]]*$V$3</f>
        <v>0.34421618497271445</v>
      </c>
      <c r="Y550" s="39">
        <f>MIP_4[[#This Row],[HH disponível]]-MIP_4[[#This Row],[HH AC TOT]]</f>
        <v>0.31388888888888883</v>
      </c>
      <c r="Z550" s="38">
        <f ca="1">MIP_4[[#This Row],[HH Produtivo
Total]]/MIP_4[[#This Row],[HH Trabalhado]]</f>
        <v>1.0966179344263471</v>
      </c>
      <c r="AA550" s="38">
        <f ca="1">MIP_4[[#This Row],[HH Produtivo
Total]]/MIP_4[[#This Row],[HH disponível]]</f>
        <v>0.9587452734249684</v>
      </c>
      <c r="AB550" s="38">
        <f>MIP_4[[#This Row],[HH Trabalhado]]/MIP_4[[#This Row],[HH disponível]]</f>
        <v>0.87427466150870359</v>
      </c>
      <c r="AC550" s="37" t="str">
        <f>LEFT(MIP_4[[#This Row],[Equipe]], SEARCH("/",MIP_4[[#This Row],[Equipe]],1)-1)</f>
        <v xml:space="preserve">ADEMÁRIO </v>
      </c>
      <c r="AD550" s="37" t="str">
        <f>RIGHT(MIP_4[[#This Row],[Equipe]], LEN(MIP_4[[#This Row],[Equipe]])-SEARCH("/",MIP_4[[#This Row],[Equipe]],1))</f>
        <v xml:space="preserve"> RONALDO</v>
      </c>
      <c r="AE550" s="44">
        <f>COUNTIFS('[1]Tempo parado'!G:G,"&gt;="&amp;MIP_4[[#This Row],[S.B Sitrack]],'[1]Tempo parado'!H:H,"&lt;="&amp;MIP_4[[#This Row],[C.B Sitrack]],'[1]Tempo parado'!A:A,MIP_4[[#This Row],[Placa]])</f>
        <v>0</v>
      </c>
      <c r="AF550" s="36"/>
      <c r="AG550" s="35"/>
      <c r="AH550" s="34"/>
      <c r="AI550" s="34"/>
      <c r="AJ55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5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5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50" s="32" t="str">
        <f>IFERROR(MIP_4[[#This Row],[Tempo parado]]/(MIP_4[[#This Row],[C.B Sitrack]]-MIP_4[[#This Row],[S.B Sitrack]]),"")</f>
        <v/>
      </c>
      <c r="AN550" s="30"/>
      <c r="AO550" s="44">
        <f>IF(AND(MIP_4[Exc]=0,MIP_4[Previsto / Realizado]="Realizado"),MIP_4[Sem],0)</f>
        <v>38</v>
      </c>
      <c r="AP550" s="29">
        <f>IF(AND(MIP_4[Exc]=0,MIP_4[Previsto / Realizado]="Realizado",ISBLANK(MIP_4[[#This Row],[S.B Sitrack]])=FALSE,ISBLANK(MIP_4[[#This Row],[C.B Sitrack]])=FALSE),MIP_4[Sem],0)</f>
        <v>0</v>
      </c>
    </row>
    <row r="551" spans="1:42" ht="15.75" x14ac:dyDescent="0.25">
      <c r="A551" s="44">
        <f>WEEKNUM(MIP_4[[#This Row],[Data]])</f>
        <v>38</v>
      </c>
      <c r="B551" s="45">
        <v>42997</v>
      </c>
      <c r="C551" s="45"/>
      <c r="D551" s="35" t="s">
        <v>33</v>
      </c>
      <c r="E551" s="35" t="s">
        <v>5</v>
      </c>
      <c r="F551" s="35"/>
      <c r="G551" s="44">
        <v>2</v>
      </c>
      <c r="H551" s="44">
        <v>3</v>
      </c>
      <c r="I551" s="44">
        <v>1</v>
      </c>
      <c r="J551" s="44">
        <v>0</v>
      </c>
      <c r="K551" s="44">
        <v>0</v>
      </c>
      <c r="L551" s="43">
        <v>0.25</v>
      </c>
      <c r="M551" s="43">
        <v>0.27083333333333331</v>
      </c>
      <c r="N551" s="43">
        <v>0.63750000000000007</v>
      </c>
      <c r="O551" s="43">
        <v>0.65833333333333333</v>
      </c>
      <c r="P551" s="39"/>
      <c r="Q551" s="42" t="s">
        <v>233</v>
      </c>
      <c r="R551" s="29">
        <f>MIP_4[[#This Row],[PT-1]]+MIP_4[[#This Row],[PT-2]]*2+MIP_4[[#This Row],[PT-3]]*3+MIP_4[[#This Row],[PT &gt; 3 Pontos]]</f>
        <v>5</v>
      </c>
      <c r="S55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55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551" s="41">
        <f ca="1">MIP_4[[#This Row],[Eficiência]]</f>
        <v>0.3661117691688342</v>
      </c>
      <c r="V55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51" s="39">
        <f>IF(MIP_4[[#This Row],[P.S]]-MIP_4[[#This Row],[P.E]]&lt;0,1+MIP_4[[#This Row],[P.S]]-MIP_4[[#This Row],[P.E]]-1/24,MIP_4[[#This Row],[P.S]]-MIP_4[[#This Row],[P.E]]-1/24)</f>
        <v>0.36666666666666664</v>
      </c>
      <c r="X551" s="39">
        <f ca="1">MIP_4[[#This Row],[PT-1]]*$S$3+MIP_4[[#This Row],[PT-2]]*$T$3+MIP_4[[#This Row],[PT-3]]*$U$3+MIP_4[[#This Row],[PT &gt; 3 Pontos]]*$V$3</f>
        <v>0.11898632497987113</v>
      </c>
      <c r="Y551" s="39">
        <f>MIP_4[[#This Row],[HH disponível]]-MIP_4[[#This Row],[HH AC TOT]]</f>
        <v>0.32500000000000007</v>
      </c>
      <c r="Z551" s="38">
        <f ca="1">MIP_4[[#This Row],[HH Produtivo
Total]]/MIP_4[[#This Row],[HH Trabalhado]]</f>
        <v>0.3661117691688342</v>
      </c>
      <c r="AA551" s="38">
        <f ca="1">MIP_4[[#This Row],[HH Produtivo
Total]]/MIP_4[[#This Row],[HH disponível]]</f>
        <v>0.32450815903601221</v>
      </c>
      <c r="AB551" s="38">
        <f>MIP_4[[#This Row],[HH Trabalhado]]/MIP_4[[#This Row],[HH disponível]]</f>
        <v>0.88636363636363658</v>
      </c>
      <c r="AC551" s="37" t="str">
        <f>LEFT(MIP_4[[#This Row],[Equipe]], SEARCH("/",MIP_4[[#This Row],[Equipe]],1)-1)</f>
        <v xml:space="preserve">JOILSON </v>
      </c>
      <c r="AD551" s="37" t="str">
        <f>RIGHT(MIP_4[[#This Row],[Equipe]], LEN(MIP_4[[#This Row],[Equipe]])-SEARCH("/",MIP_4[[#This Row],[Equipe]],1))</f>
        <v xml:space="preserve"> HERVAL</v>
      </c>
      <c r="AE551" s="44">
        <f>COUNTIFS('[1]Tempo parado'!G:G,"&gt;="&amp;MIP_4[[#This Row],[S.B Sitrack]],'[1]Tempo parado'!H:H,"&lt;="&amp;MIP_4[[#This Row],[C.B Sitrack]],'[1]Tempo parado'!A:A,MIP_4[[#This Row],[Placa]])</f>
        <v>0</v>
      </c>
      <c r="AF551" s="36"/>
      <c r="AG551" s="35"/>
      <c r="AH551" s="34"/>
      <c r="AI551" s="34"/>
      <c r="AJ55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5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5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51" s="32" t="str">
        <f>IFERROR(MIP_4[[#This Row],[Tempo parado]]/(MIP_4[[#This Row],[C.B Sitrack]]-MIP_4[[#This Row],[S.B Sitrack]]),"")</f>
        <v/>
      </c>
      <c r="AN551" s="30"/>
      <c r="AO551" s="44">
        <f>IF(AND(MIP_4[Exc]=0,MIP_4[Previsto / Realizado]="Realizado"),MIP_4[Sem],0)</f>
        <v>0</v>
      </c>
      <c r="AP551" s="29">
        <f>IF(AND(MIP_4[Exc]=0,MIP_4[Previsto / Realizado]="Realizado",ISBLANK(MIP_4[[#This Row],[S.B Sitrack]])=FALSE,ISBLANK(MIP_4[[#This Row],[C.B Sitrack]])=FALSE),MIP_4[Sem],0)</f>
        <v>0</v>
      </c>
    </row>
    <row r="552" spans="1:42" ht="15.75" x14ac:dyDescent="0.25">
      <c r="A552" s="44">
        <f>WEEKNUM(MIP_4[[#This Row],[Data]])</f>
        <v>38</v>
      </c>
      <c r="B552" s="45">
        <v>42997</v>
      </c>
      <c r="C552" s="45"/>
      <c r="D552" s="35" t="s">
        <v>33</v>
      </c>
      <c r="E552" s="35" t="s">
        <v>2</v>
      </c>
      <c r="F552" s="35"/>
      <c r="G552" s="44">
        <v>2</v>
      </c>
      <c r="H552" s="44">
        <v>3</v>
      </c>
      <c r="I552" s="44">
        <v>0</v>
      </c>
      <c r="J552" s="44">
        <v>0</v>
      </c>
      <c r="K552" s="44">
        <v>0</v>
      </c>
      <c r="L552" s="43">
        <v>0.26041666666666669</v>
      </c>
      <c r="M552" s="43">
        <v>0.28819444444444448</v>
      </c>
      <c r="N552" s="43">
        <v>0.59166666666666667</v>
      </c>
      <c r="O552" s="43">
        <v>0.66249999999999998</v>
      </c>
      <c r="P552" s="39">
        <v>6.6666666666666666E-2</v>
      </c>
      <c r="Q552" s="42" t="s">
        <v>232</v>
      </c>
      <c r="R552" s="29">
        <f>MIP_4[[#This Row],[PT-1]]+MIP_4[[#This Row],[PT-2]]*2+MIP_4[[#This Row],[PT-3]]*3+MIP_4[[#This Row],[PT &gt; 3 Pontos]]</f>
        <v>3</v>
      </c>
      <c r="S55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0.16527777777777775</v>
      </c>
      <c r="T55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9.8611111111111094E-2</v>
      </c>
      <c r="U552" s="41">
        <f ca="1">MIP_4[[#This Row],[Eficiência]]</f>
        <v>0.38473909175305565</v>
      </c>
      <c r="V55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52" s="39">
        <f>IF(MIP_4[[#This Row],[P.S]]-MIP_4[[#This Row],[P.E]]&lt;0,1+MIP_4[[#This Row],[P.S]]-MIP_4[[#This Row],[P.E]]-1/24,MIP_4[[#This Row],[P.S]]-MIP_4[[#This Row],[P.E]]-1/24)</f>
        <v>0.36041666666666661</v>
      </c>
      <c r="X552" s="39">
        <f ca="1">MIP_4[[#This Row],[PT-1]]*$S$3+MIP_4[[#This Row],[PT-2]]*$T$3+MIP_4[[#This Row],[PT-3]]*$U$3+MIP_4[[#This Row],[PT &gt; 3 Pontos]]*$V$3</f>
        <v>7.5077558876811543E-2</v>
      </c>
      <c r="Y552" s="39">
        <f>MIP_4[[#This Row],[HH disponível]]-MIP_4[[#This Row],[HH AC TOT]]</f>
        <v>0.19513888888888886</v>
      </c>
      <c r="Z552" s="38">
        <f ca="1">MIP_4[[#This Row],[HH Produtivo
Total]]/MIP_4[[#This Row],[HH Trabalhado]]</f>
        <v>0.38473909175305565</v>
      </c>
      <c r="AA552" s="38">
        <f ca="1">MIP_4[[#This Row],[HH Produtivo
Total]]/MIP_4[[#This Row],[HH disponível]]</f>
        <v>0.20830767780849449</v>
      </c>
      <c r="AB552" s="38">
        <f>MIP_4[[#This Row],[HH Trabalhado]]/MIP_4[[#This Row],[HH disponível]]</f>
        <v>0.54142581888246633</v>
      </c>
      <c r="AC552" s="37" t="str">
        <f>LEFT(MIP_4[[#This Row],[Equipe]], SEARCH("/",MIP_4[[#This Row],[Equipe]],1)-1)</f>
        <v xml:space="preserve">JOILSON </v>
      </c>
      <c r="AD552" s="37" t="str">
        <f>RIGHT(MIP_4[[#This Row],[Equipe]], LEN(MIP_4[[#This Row],[Equipe]])-SEARCH("/",MIP_4[[#This Row],[Equipe]],1))</f>
        <v xml:space="preserve"> HERVAL</v>
      </c>
      <c r="AE552" s="44">
        <f>COUNTIFS('[1]Tempo parado'!G:G,"&gt;="&amp;MIP_4[[#This Row],[S.B Sitrack]],'[1]Tempo parado'!H:H,"&lt;="&amp;MIP_4[[#This Row],[C.B Sitrack]],'[1]Tempo parado'!A:A,MIP_4[[#This Row],[Placa]])</f>
        <v>0</v>
      </c>
      <c r="AF552" s="36"/>
      <c r="AG552" s="35"/>
      <c r="AH552" s="34"/>
      <c r="AI552" s="34"/>
      <c r="AJ55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5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5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52" s="32" t="str">
        <f>IFERROR(MIP_4[[#This Row],[Tempo parado]]/(MIP_4[[#This Row],[C.B Sitrack]]-MIP_4[[#This Row],[S.B Sitrack]]),"")</f>
        <v/>
      </c>
      <c r="AN552" s="30"/>
      <c r="AO552" s="44">
        <f>IF(AND(MIP_4[Exc]=0,MIP_4[Previsto / Realizado]="Realizado"),MIP_4[Sem],0)</f>
        <v>38</v>
      </c>
      <c r="AP552" s="29">
        <f>IF(AND(MIP_4[Exc]=0,MIP_4[Previsto / Realizado]="Realizado",ISBLANK(MIP_4[[#This Row],[S.B Sitrack]])=FALSE,ISBLANK(MIP_4[[#This Row],[C.B Sitrack]])=FALSE),MIP_4[Sem],0)</f>
        <v>0</v>
      </c>
    </row>
    <row r="553" spans="1:42" ht="15.75" x14ac:dyDescent="0.25">
      <c r="A553" s="44">
        <f>WEEKNUM(MIP_4[[#This Row],[Data]])</f>
        <v>38</v>
      </c>
      <c r="B553" s="45">
        <v>42997</v>
      </c>
      <c r="C553" s="45"/>
      <c r="D553" s="35" t="s">
        <v>3</v>
      </c>
      <c r="E553" s="35" t="s">
        <v>5</v>
      </c>
      <c r="F553" s="35"/>
      <c r="G553" s="44">
        <v>2</v>
      </c>
      <c r="H553" s="44">
        <v>7</v>
      </c>
      <c r="I553" s="44">
        <v>2</v>
      </c>
      <c r="J553" s="44">
        <v>1</v>
      </c>
      <c r="K553" s="44">
        <v>0</v>
      </c>
      <c r="L553" s="43">
        <v>0.625</v>
      </c>
      <c r="M553" s="43">
        <v>0.64583333333333337</v>
      </c>
      <c r="N553" s="43">
        <f>1+18/24/60</f>
        <v>1.0125</v>
      </c>
      <c r="O553" s="43">
        <f>1+48/24/60</f>
        <v>1.0333333333333334</v>
      </c>
      <c r="P553" s="39"/>
      <c r="Q553" s="42" t="s">
        <v>36</v>
      </c>
      <c r="R553" s="29">
        <f>MIP_4[[#This Row],[PT-1]]+MIP_4[[#This Row],[PT-2]]*2+MIP_4[[#This Row],[PT-3]]*3+MIP_4[[#This Row],[PT &gt; 3 Pontos]]</f>
        <v>14</v>
      </c>
      <c r="S55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55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553" s="41">
        <f ca="1">MIP_4[[#This Row],[Eficiência]]</f>
        <v>1.0024313297411123</v>
      </c>
      <c r="V55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53" s="39">
        <f>IF(MIP_4[[#This Row],[P.S]]-MIP_4[[#This Row],[P.E]]&lt;0,1+MIP_4[[#This Row],[P.S]]-MIP_4[[#This Row],[P.E]]-1/24,MIP_4[[#This Row],[P.S]]-MIP_4[[#This Row],[P.E]]-1/24)</f>
        <v>0.36666666666666675</v>
      </c>
      <c r="X553" s="39">
        <f ca="1">MIP_4[[#This Row],[PT-1]]*$S$3+MIP_4[[#This Row],[PT-2]]*$T$3+MIP_4[[#This Row],[PT-3]]*$U$3+MIP_4[[#This Row],[PT &gt; 3 Pontos]]*$V$3</f>
        <v>0.32579018216586142</v>
      </c>
      <c r="Y553" s="39">
        <f>MIP_4[[#This Row],[HH disponível]]-MIP_4[[#This Row],[HH AC TOT]]</f>
        <v>0.3249999999999999</v>
      </c>
      <c r="Z553" s="38">
        <f ca="1">MIP_4[[#This Row],[HH Produtivo
Total]]/MIP_4[[#This Row],[HH Trabalhado]]</f>
        <v>1.0024313297411123</v>
      </c>
      <c r="AA553" s="38">
        <f ca="1">MIP_4[[#This Row],[HH Produtivo
Total]]/MIP_4[[#This Row],[HH disponível]]</f>
        <v>0.88851867863416734</v>
      </c>
      <c r="AB553" s="38">
        <f>MIP_4[[#This Row],[HH Trabalhado]]/MIP_4[[#This Row],[HH disponível]]</f>
        <v>0.88636363636363591</v>
      </c>
      <c r="AC553" s="37" t="str">
        <f>LEFT(MIP_4[[#This Row],[Equipe]], SEARCH("/",MIP_4[[#This Row],[Equipe]],1)-1)</f>
        <v xml:space="preserve">EDILTON </v>
      </c>
      <c r="AD553" s="37" t="str">
        <f>RIGHT(MIP_4[[#This Row],[Equipe]], LEN(MIP_4[[#This Row],[Equipe]])-SEARCH("/",MIP_4[[#This Row],[Equipe]],1))</f>
        <v xml:space="preserve"> GECIVALDO</v>
      </c>
      <c r="AE553" s="44">
        <f>COUNTIFS('[1]Tempo parado'!G:G,"&gt;="&amp;MIP_4[[#This Row],[S.B Sitrack]],'[1]Tempo parado'!H:H,"&lt;="&amp;MIP_4[[#This Row],[C.B Sitrack]],'[1]Tempo parado'!A:A,MIP_4[[#This Row],[Placa]])</f>
        <v>0</v>
      </c>
      <c r="AF553" s="36"/>
      <c r="AG553" s="35"/>
      <c r="AH553" s="34"/>
      <c r="AI553" s="34"/>
      <c r="AJ55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5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5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53" s="32" t="str">
        <f>IFERROR(MIP_4[[#This Row],[Tempo parado]]/(MIP_4[[#This Row],[C.B Sitrack]]-MIP_4[[#This Row],[S.B Sitrack]]),"")</f>
        <v/>
      </c>
      <c r="AN553" s="30"/>
      <c r="AO553" s="44">
        <f>IF(AND(MIP_4[Exc]=0,MIP_4[Previsto / Realizado]="Realizado"),MIP_4[Sem],0)</f>
        <v>0</v>
      </c>
      <c r="AP553" s="29">
        <f>IF(AND(MIP_4[Exc]=0,MIP_4[Previsto / Realizado]="Realizado",ISBLANK(MIP_4[[#This Row],[S.B Sitrack]])=FALSE,ISBLANK(MIP_4[[#This Row],[C.B Sitrack]])=FALSE),MIP_4[Sem],0)</f>
        <v>0</v>
      </c>
    </row>
    <row r="554" spans="1:42" ht="15.75" x14ac:dyDescent="0.25">
      <c r="A554" s="44">
        <f>WEEKNUM(MIP_4[[#This Row],[Data]])</f>
        <v>38</v>
      </c>
      <c r="B554" s="45">
        <v>42997</v>
      </c>
      <c r="C554" s="45"/>
      <c r="D554" s="35" t="s">
        <v>3</v>
      </c>
      <c r="E554" s="35" t="s">
        <v>2</v>
      </c>
      <c r="F554" s="35"/>
      <c r="G554" s="44">
        <v>2</v>
      </c>
      <c r="H554" s="44">
        <v>7</v>
      </c>
      <c r="I554" s="44">
        <v>2</v>
      </c>
      <c r="J554" s="44">
        <v>1</v>
      </c>
      <c r="K554" s="44">
        <v>0</v>
      </c>
      <c r="L554" s="43">
        <v>0.62430555555555556</v>
      </c>
      <c r="M554" s="43">
        <v>0.66319444444444442</v>
      </c>
      <c r="N554" s="43">
        <f>1+17/24/60</f>
        <v>1.0118055555555556</v>
      </c>
      <c r="O554" s="43">
        <f>1+44/24/60</f>
        <v>1.0305555555555554</v>
      </c>
      <c r="P554" s="39"/>
      <c r="Q554" s="42"/>
      <c r="R554" s="29">
        <f>MIP_4[[#This Row],[PT-1]]+MIP_4[[#This Row],[PT-2]]*2+MIP_4[[#This Row],[PT-3]]*3+MIP_4[[#This Row],[PT &gt; 3 Pontos]]</f>
        <v>14</v>
      </c>
      <c r="S55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5.7638888888888684E-2</v>
      </c>
      <c r="T55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5.7638888888888684E-2</v>
      </c>
      <c r="U554" s="41">
        <f ca="1">MIP_4[[#This Row],[Eficiência]]</f>
        <v>1.0613978785494125</v>
      </c>
      <c r="V55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54" s="39">
        <f>IF(MIP_4[[#This Row],[P.S]]-MIP_4[[#This Row],[P.E]]&lt;0,1+MIP_4[[#This Row],[P.S]]-MIP_4[[#This Row],[P.E]]-1/24,MIP_4[[#This Row],[P.S]]-MIP_4[[#This Row],[P.E]]-1/24)</f>
        <v>0.3645833333333332</v>
      </c>
      <c r="X554" s="39">
        <f ca="1">MIP_4[[#This Row],[PT-1]]*$S$3+MIP_4[[#This Row],[PT-2]]*$T$3+MIP_4[[#This Row],[PT-3]]*$U$3+MIP_4[[#This Row],[PT &gt; 3 Pontos]]*$V$3</f>
        <v>0.32579018216586142</v>
      </c>
      <c r="Y554" s="39">
        <f>MIP_4[[#This Row],[HH disponível]]-MIP_4[[#This Row],[HH AC TOT]]</f>
        <v>0.30694444444444452</v>
      </c>
      <c r="Z554" s="38">
        <f ca="1">MIP_4[[#This Row],[HH Produtivo
Total]]/MIP_4[[#This Row],[HH Trabalhado]]</f>
        <v>1.0613978785494125</v>
      </c>
      <c r="AA554" s="38">
        <f ca="1">MIP_4[[#This Row],[HH Produtivo
Total]]/MIP_4[[#This Row],[HH disponível]]</f>
        <v>0.89359592822636302</v>
      </c>
      <c r="AB554" s="38">
        <f>MIP_4[[#This Row],[HH Trabalhado]]/MIP_4[[#This Row],[HH disponível]]</f>
        <v>0.84190476190476238</v>
      </c>
      <c r="AC554" s="37" t="str">
        <f>LEFT(MIP_4[[#This Row],[Equipe]], SEARCH("/",MIP_4[[#This Row],[Equipe]],1)-1)</f>
        <v xml:space="preserve">EDILTON </v>
      </c>
      <c r="AD554" s="37" t="str">
        <f>RIGHT(MIP_4[[#This Row],[Equipe]], LEN(MIP_4[[#This Row],[Equipe]])-SEARCH("/",MIP_4[[#This Row],[Equipe]],1))</f>
        <v xml:space="preserve"> GECIVALDO</v>
      </c>
      <c r="AE554" s="44">
        <f>COUNTIFS('[1]Tempo parado'!G:G,"&gt;="&amp;MIP_4[[#This Row],[S.B Sitrack]],'[1]Tempo parado'!H:H,"&lt;="&amp;MIP_4[[#This Row],[C.B Sitrack]],'[1]Tempo parado'!A:A,MIP_4[[#This Row],[Placa]])</f>
        <v>0</v>
      </c>
      <c r="AF554" s="36"/>
      <c r="AG554" s="35"/>
      <c r="AH554" s="34"/>
      <c r="AI554" s="34"/>
      <c r="AJ55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5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5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54" s="32" t="str">
        <f>IFERROR(MIP_4[[#This Row],[Tempo parado]]/(MIP_4[[#This Row],[C.B Sitrack]]-MIP_4[[#This Row],[S.B Sitrack]]),"")</f>
        <v/>
      </c>
      <c r="AN554" s="30"/>
      <c r="AO554" s="44">
        <f>IF(AND(MIP_4[Exc]=0,MIP_4[Previsto / Realizado]="Realizado"),MIP_4[Sem],0)</f>
        <v>38</v>
      </c>
      <c r="AP554" s="29">
        <f>IF(AND(MIP_4[Exc]=0,MIP_4[Previsto / Realizado]="Realizado",ISBLANK(MIP_4[[#This Row],[S.B Sitrack]])=FALSE,ISBLANK(MIP_4[[#This Row],[C.B Sitrack]])=FALSE),MIP_4[Sem],0)</f>
        <v>0</v>
      </c>
    </row>
    <row r="555" spans="1:42" ht="15.75" x14ac:dyDescent="0.25">
      <c r="A555" s="44">
        <f>WEEKNUM(MIP_4[[#This Row],[Data]])</f>
        <v>38</v>
      </c>
      <c r="B555" s="45">
        <v>42997</v>
      </c>
      <c r="C555" s="45"/>
      <c r="D555" s="35" t="s">
        <v>7</v>
      </c>
      <c r="E555" s="35" t="s">
        <v>5</v>
      </c>
      <c r="F555" s="35"/>
      <c r="G555" s="44">
        <v>2</v>
      </c>
      <c r="H555" s="44">
        <v>1</v>
      </c>
      <c r="I555" s="44">
        <v>3</v>
      </c>
      <c r="J555" s="44">
        <v>0</v>
      </c>
      <c r="K555" s="44">
        <v>4</v>
      </c>
      <c r="L555" s="43">
        <v>0.625</v>
      </c>
      <c r="M555" s="43">
        <v>0.64583333333333337</v>
      </c>
      <c r="N555" s="43">
        <f>1+18/24/60</f>
        <v>1.0125</v>
      </c>
      <c r="O555" s="43">
        <f>1+48/24/60</f>
        <v>1.0333333333333334</v>
      </c>
      <c r="P555" s="39"/>
      <c r="Q555" s="42" t="s">
        <v>36</v>
      </c>
      <c r="R555" s="29">
        <f>MIP_4[[#This Row],[PT-1]]+MIP_4[[#This Row],[PT-2]]*2+MIP_4[[#This Row],[PT-3]]*3+MIP_4[[#This Row],[PT &gt; 3 Pontos]]</f>
        <v>11</v>
      </c>
      <c r="S55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55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555" s="41">
        <f ca="1">MIP_4[[#This Row],[Eficiência]]</f>
        <v>0.73152059935725422</v>
      </c>
      <c r="V55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55" s="39">
        <f>IF(MIP_4[[#This Row],[P.S]]-MIP_4[[#This Row],[P.E]]&lt;0,1+MIP_4[[#This Row],[P.S]]-MIP_4[[#This Row],[P.E]]-1/24,MIP_4[[#This Row],[P.S]]-MIP_4[[#This Row],[P.E]]-1/24)</f>
        <v>0.36666666666666675</v>
      </c>
      <c r="X555" s="39">
        <f ca="1">MIP_4[[#This Row],[PT-1]]*$S$3+MIP_4[[#This Row],[PT-2]]*$T$3+MIP_4[[#This Row],[PT-3]]*$U$3+MIP_4[[#This Row],[PT &gt; 3 Pontos]]*$V$3</f>
        <v>0.23774419479110756</v>
      </c>
      <c r="Y555" s="39">
        <f>MIP_4[[#This Row],[HH disponível]]-MIP_4[[#This Row],[HH AC TOT]]</f>
        <v>0.3249999999999999</v>
      </c>
      <c r="Z555" s="38">
        <f ca="1">MIP_4[[#This Row],[HH Produtivo
Total]]/MIP_4[[#This Row],[HH Trabalhado]]</f>
        <v>0.73152059935725422</v>
      </c>
      <c r="AA555" s="38">
        <f ca="1">MIP_4[[#This Row],[HH Produtivo
Total]]/MIP_4[[#This Row],[HH disponível]]</f>
        <v>0.64839325852120233</v>
      </c>
      <c r="AB555" s="38">
        <f>MIP_4[[#This Row],[HH Trabalhado]]/MIP_4[[#This Row],[HH disponível]]</f>
        <v>0.88636363636363591</v>
      </c>
      <c r="AC555" s="37" t="str">
        <f>LEFT(MIP_4[[#This Row],[Equipe]], SEARCH("/",MIP_4[[#This Row],[Equipe]],1)-1)</f>
        <v xml:space="preserve">ANDERSON </v>
      </c>
      <c r="AD555" s="37" t="str">
        <f>RIGHT(MIP_4[[#This Row],[Equipe]], LEN(MIP_4[[#This Row],[Equipe]])-SEARCH("/",MIP_4[[#This Row],[Equipe]],1))</f>
        <v xml:space="preserve"> MARCO</v>
      </c>
      <c r="AE555" s="44">
        <f>COUNTIFS('[1]Tempo parado'!G:G,"&gt;="&amp;MIP_4[[#This Row],[S.B Sitrack]],'[1]Tempo parado'!H:H,"&lt;="&amp;MIP_4[[#This Row],[C.B Sitrack]],'[1]Tempo parado'!A:A,MIP_4[[#This Row],[Placa]])</f>
        <v>0</v>
      </c>
      <c r="AF555" s="36"/>
      <c r="AG555" s="35"/>
      <c r="AH555" s="34"/>
      <c r="AI555" s="34"/>
      <c r="AJ55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5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5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55" s="32" t="str">
        <f>IFERROR(MIP_4[[#This Row],[Tempo parado]]/(MIP_4[[#This Row],[C.B Sitrack]]-MIP_4[[#This Row],[S.B Sitrack]]),"")</f>
        <v/>
      </c>
      <c r="AN555" s="30"/>
      <c r="AO555" s="44">
        <f>IF(AND(MIP_4[Exc]=0,MIP_4[Previsto / Realizado]="Realizado"),MIP_4[Sem],0)</f>
        <v>0</v>
      </c>
      <c r="AP555" s="29">
        <f>IF(AND(MIP_4[Exc]=0,MIP_4[Previsto / Realizado]="Realizado",ISBLANK(MIP_4[[#This Row],[S.B Sitrack]])=FALSE,ISBLANK(MIP_4[[#This Row],[C.B Sitrack]])=FALSE),MIP_4[Sem],0)</f>
        <v>0</v>
      </c>
    </row>
    <row r="556" spans="1:42" ht="15.75" x14ac:dyDescent="0.25">
      <c r="A556" s="44">
        <f>WEEKNUM(MIP_4[[#This Row],[Data]])</f>
        <v>38</v>
      </c>
      <c r="B556" s="45">
        <v>42997</v>
      </c>
      <c r="C556" s="45"/>
      <c r="D556" s="35" t="s">
        <v>7</v>
      </c>
      <c r="E556" s="35" t="s">
        <v>2</v>
      </c>
      <c r="F556" s="35"/>
      <c r="G556" s="44">
        <v>2</v>
      </c>
      <c r="H556" s="44">
        <v>2</v>
      </c>
      <c r="I556" s="44">
        <v>4</v>
      </c>
      <c r="J556" s="44">
        <v>0</v>
      </c>
      <c r="K556" s="44">
        <v>4</v>
      </c>
      <c r="L556" s="43">
        <v>0.6333333333333333</v>
      </c>
      <c r="M556" s="43">
        <v>0.65972222222222221</v>
      </c>
      <c r="N556" s="43">
        <f>1+10/24/60</f>
        <v>1.0069444444444444</v>
      </c>
      <c r="O556" s="43">
        <f>1+48/24/60</f>
        <v>1.0333333333333334</v>
      </c>
      <c r="P556" s="39"/>
      <c r="Q556" s="42" t="s">
        <v>34</v>
      </c>
      <c r="R556" s="29">
        <f>MIP_4[[#This Row],[PT-1]]+MIP_4[[#This Row],[PT-2]]*2+MIP_4[[#This Row],[PT-3]]*3+MIP_4[[#This Row],[PT &gt; 3 Pontos]]</f>
        <v>14</v>
      </c>
      <c r="S55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5.2777777777777923E-2</v>
      </c>
      <c r="T55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5.2777777777777923E-2</v>
      </c>
      <c r="U556" s="41">
        <f ca="1">MIP_4[[#This Row],[Eficiência]]</f>
        <v>1.0036761180647054</v>
      </c>
      <c r="V55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56" s="39">
        <f>IF(MIP_4[[#This Row],[P.S]]-MIP_4[[#This Row],[P.E]]&lt;0,1+MIP_4[[#This Row],[P.S]]-MIP_4[[#This Row],[P.E]]-1/24,MIP_4[[#This Row],[P.S]]-MIP_4[[#This Row],[P.E]]-1/24)</f>
        <v>0.35833333333333345</v>
      </c>
      <c r="X556" s="39">
        <f ca="1">MIP_4[[#This Row],[PT-1]]*$S$3+MIP_4[[#This Row],[PT-2]]*$T$3+MIP_4[[#This Row],[PT-3]]*$U$3+MIP_4[[#This Row],[PT &gt; 3 Pontos]]*$V$3</f>
        <v>0.30667881385310436</v>
      </c>
      <c r="Y556" s="39">
        <f>MIP_4[[#This Row],[HH disponível]]-MIP_4[[#This Row],[HH AC TOT]]</f>
        <v>0.30555555555555552</v>
      </c>
      <c r="Z556" s="38">
        <f ca="1">MIP_4[[#This Row],[HH Produtivo
Total]]/MIP_4[[#This Row],[HH Trabalhado]]</f>
        <v>1.0036761180647054</v>
      </c>
      <c r="AA556" s="38">
        <f ca="1">MIP_4[[#This Row],[HH Produtivo
Total]]/MIP_4[[#This Row],[HH disponível]]</f>
        <v>0.8558478526133142</v>
      </c>
      <c r="AB556" s="38">
        <f>MIP_4[[#This Row],[HH Trabalhado]]/MIP_4[[#This Row],[HH disponível]]</f>
        <v>0.85271317829457327</v>
      </c>
      <c r="AC556" s="37" t="str">
        <f>LEFT(MIP_4[[#This Row],[Equipe]], SEARCH("/",MIP_4[[#This Row],[Equipe]],1)-1)</f>
        <v xml:space="preserve">ANDERSON </v>
      </c>
      <c r="AD556" s="37" t="str">
        <f>RIGHT(MIP_4[[#This Row],[Equipe]], LEN(MIP_4[[#This Row],[Equipe]])-SEARCH("/",MIP_4[[#This Row],[Equipe]],1))</f>
        <v xml:space="preserve"> MARCO</v>
      </c>
      <c r="AE556" s="44">
        <f>COUNTIFS('[1]Tempo parado'!G:G,"&gt;="&amp;MIP_4[[#This Row],[S.B Sitrack]],'[1]Tempo parado'!H:H,"&lt;="&amp;MIP_4[[#This Row],[C.B Sitrack]],'[1]Tempo parado'!A:A,MIP_4[[#This Row],[Placa]])</f>
        <v>0</v>
      </c>
      <c r="AF556" s="36"/>
      <c r="AG556" s="35"/>
      <c r="AH556" s="34"/>
      <c r="AI556" s="34"/>
      <c r="AJ55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5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5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56" s="32" t="str">
        <f>IFERROR(MIP_4[[#This Row],[Tempo parado]]/(MIP_4[[#This Row],[C.B Sitrack]]-MIP_4[[#This Row],[S.B Sitrack]]),"")</f>
        <v/>
      </c>
      <c r="AN556" s="30"/>
      <c r="AO556" s="44">
        <f>IF(AND(MIP_4[Exc]=0,MIP_4[Previsto / Realizado]="Realizado"),MIP_4[Sem],0)</f>
        <v>38</v>
      </c>
      <c r="AP556" s="29">
        <f>IF(AND(MIP_4[Exc]=0,MIP_4[Previsto / Realizado]="Realizado",ISBLANK(MIP_4[[#This Row],[S.B Sitrack]])=FALSE,ISBLANK(MIP_4[[#This Row],[C.B Sitrack]])=FALSE),MIP_4[Sem],0)</f>
        <v>0</v>
      </c>
    </row>
    <row r="557" spans="1:42" ht="15.75" x14ac:dyDescent="0.25">
      <c r="A557" s="44">
        <f>WEEKNUM(MIP_4[[#This Row],[Data]])</f>
        <v>38</v>
      </c>
      <c r="B557" s="45">
        <v>42998</v>
      </c>
      <c r="C557" s="45"/>
      <c r="D557" s="35" t="s">
        <v>33</v>
      </c>
      <c r="E557" s="35" t="s">
        <v>5</v>
      </c>
      <c r="F557" s="35"/>
      <c r="G557" s="44">
        <v>2</v>
      </c>
      <c r="H557" s="44">
        <v>3</v>
      </c>
      <c r="I557" s="44">
        <v>0</v>
      </c>
      <c r="J557" s="44">
        <v>0</v>
      </c>
      <c r="K557" s="44">
        <v>0</v>
      </c>
      <c r="L557" s="43">
        <v>0.25</v>
      </c>
      <c r="M557" s="43">
        <v>0.27083333333333331</v>
      </c>
      <c r="N557" s="43">
        <v>0.63750000000000007</v>
      </c>
      <c r="O557" s="43">
        <v>0.65833333333333333</v>
      </c>
      <c r="P557" s="39"/>
      <c r="Q557" s="42" t="s">
        <v>231</v>
      </c>
      <c r="R557" s="29">
        <f>MIP_4[[#This Row],[PT-1]]+MIP_4[[#This Row],[PT-2]]*2+MIP_4[[#This Row],[PT-3]]*3+MIP_4[[#This Row],[PT &gt; 3 Pontos]]</f>
        <v>3</v>
      </c>
      <c r="S55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55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557" s="41">
        <f ca="1">MIP_4[[#This Row],[Eficiência]]</f>
        <v>0.23100787346711238</v>
      </c>
      <c r="V55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57" s="39">
        <f>IF(MIP_4[[#This Row],[P.S]]-MIP_4[[#This Row],[P.E]]&lt;0,1+MIP_4[[#This Row],[P.S]]-MIP_4[[#This Row],[P.E]]-1/24,MIP_4[[#This Row],[P.S]]-MIP_4[[#This Row],[P.E]]-1/24)</f>
        <v>0.36666666666666664</v>
      </c>
      <c r="X557" s="39">
        <f ca="1">MIP_4[[#This Row],[PT-1]]*$S$3+MIP_4[[#This Row],[PT-2]]*$T$3+MIP_4[[#This Row],[PT-3]]*$U$3+MIP_4[[#This Row],[PT &gt; 3 Pontos]]*$V$3</f>
        <v>7.5077558876811543E-2</v>
      </c>
      <c r="Y557" s="39">
        <f>MIP_4[[#This Row],[HH disponível]]-MIP_4[[#This Row],[HH AC TOT]]</f>
        <v>0.32500000000000007</v>
      </c>
      <c r="Z557" s="38">
        <f ca="1">MIP_4[[#This Row],[HH Produtivo
Total]]/MIP_4[[#This Row],[HH Trabalhado]]</f>
        <v>0.23100787346711238</v>
      </c>
      <c r="AA557" s="38">
        <f ca="1">MIP_4[[#This Row],[HH Produtivo
Total]]/MIP_4[[#This Row],[HH disponível]]</f>
        <v>0.20475697875494059</v>
      </c>
      <c r="AB557" s="38">
        <f>MIP_4[[#This Row],[HH Trabalhado]]/MIP_4[[#This Row],[HH disponível]]</f>
        <v>0.88636363636363658</v>
      </c>
      <c r="AC557" s="37" t="str">
        <f>LEFT(MIP_4[[#This Row],[Equipe]], SEARCH("/",MIP_4[[#This Row],[Equipe]],1)-1)</f>
        <v xml:space="preserve">JOILSON </v>
      </c>
      <c r="AD557" s="37" t="str">
        <f>RIGHT(MIP_4[[#This Row],[Equipe]], LEN(MIP_4[[#This Row],[Equipe]])-SEARCH("/",MIP_4[[#This Row],[Equipe]],1))</f>
        <v xml:space="preserve"> HERVAL</v>
      </c>
      <c r="AE557" s="44">
        <f>COUNTIFS('[1]Tempo parado'!G:G,"&gt;="&amp;MIP_4[[#This Row],[S.B Sitrack]],'[1]Tempo parado'!H:H,"&lt;="&amp;MIP_4[[#This Row],[C.B Sitrack]],'[1]Tempo parado'!A:A,MIP_4[[#This Row],[Placa]])</f>
        <v>0</v>
      </c>
      <c r="AF557" s="36"/>
      <c r="AG557" s="35"/>
      <c r="AH557" s="34"/>
      <c r="AI557" s="34"/>
      <c r="AJ55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5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5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57" s="32" t="str">
        <f>IFERROR(MIP_4[[#This Row],[Tempo parado]]/(MIP_4[[#This Row],[C.B Sitrack]]-MIP_4[[#This Row],[S.B Sitrack]]),"")</f>
        <v/>
      </c>
      <c r="AN557" s="30"/>
      <c r="AO557" s="44">
        <f>IF(AND(MIP_4[Exc]=0,MIP_4[Previsto / Realizado]="Realizado"),MIP_4[Sem],0)</f>
        <v>0</v>
      </c>
      <c r="AP557" s="29">
        <f>IF(AND(MIP_4[Exc]=0,MIP_4[Previsto / Realizado]="Realizado",ISBLANK(MIP_4[[#This Row],[S.B Sitrack]])=FALSE,ISBLANK(MIP_4[[#This Row],[C.B Sitrack]])=FALSE),MIP_4[Sem],0)</f>
        <v>0</v>
      </c>
    </row>
    <row r="558" spans="1:42" ht="15.75" x14ac:dyDescent="0.25">
      <c r="A558" s="44">
        <f>WEEKNUM(MIP_4[[#This Row],[Data]])</f>
        <v>38</v>
      </c>
      <c r="B558" s="45">
        <v>42998</v>
      </c>
      <c r="C558" s="45"/>
      <c r="D558" s="35" t="s">
        <v>33</v>
      </c>
      <c r="E558" s="35" t="s">
        <v>2</v>
      </c>
      <c r="F558" s="35"/>
      <c r="G558" s="44">
        <v>2</v>
      </c>
      <c r="H558" s="44">
        <v>5</v>
      </c>
      <c r="I558" s="44">
        <v>0</v>
      </c>
      <c r="J558" s="44">
        <v>0</v>
      </c>
      <c r="K558" s="44">
        <v>11</v>
      </c>
      <c r="L558" s="43">
        <v>0.25069444444444444</v>
      </c>
      <c r="M558" s="43">
        <v>0.27777777777777779</v>
      </c>
      <c r="N558" s="43">
        <v>0.62013888888888891</v>
      </c>
      <c r="O558" s="43">
        <v>0.65486111111111112</v>
      </c>
      <c r="P558" s="39"/>
      <c r="Q558" s="42" t="s">
        <v>144</v>
      </c>
      <c r="R558" s="29">
        <f>MIP_4[[#This Row],[PT-1]]+MIP_4[[#This Row],[PT-2]]*2+MIP_4[[#This Row],[PT-3]]*3+MIP_4[[#This Row],[PT &gt; 3 Pontos]]</f>
        <v>16</v>
      </c>
      <c r="S55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6.1805555555555558E-2</v>
      </c>
      <c r="T55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6.1805555555555558E-2</v>
      </c>
      <c r="U558" s="41">
        <f ca="1">MIP_4[[#This Row],[Eficiência]]</f>
        <v>1.1568467289962925</v>
      </c>
      <c r="V55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58" s="39">
        <f>IF(MIP_4[[#This Row],[P.S]]-MIP_4[[#This Row],[P.E]]&lt;0,1+MIP_4[[#This Row],[P.S]]-MIP_4[[#This Row],[P.E]]-1/24,MIP_4[[#This Row],[P.S]]-MIP_4[[#This Row],[P.E]]-1/24)</f>
        <v>0.36249999999999999</v>
      </c>
      <c r="X558" s="39">
        <f ca="1">MIP_4[[#This Row],[PT-1]]*$S$3+MIP_4[[#This Row],[PT-2]]*$T$3+MIP_4[[#This Row],[PT-3]]*$U$3+MIP_4[[#This Row],[PT &gt; 3 Pontos]]*$V$3</f>
        <v>0.34785738448291292</v>
      </c>
      <c r="Y558" s="39">
        <f>MIP_4[[#This Row],[HH disponível]]-MIP_4[[#This Row],[HH AC TOT]]</f>
        <v>0.30069444444444443</v>
      </c>
      <c r="Z558" s="38">
        <f ca="1">MIP_4[[#This Row],[HH Produtivo
Total]]/MIP_4[[#This Row],[HH Trabalhado]]</f>
        <v>1.1568467289962925</v>
      </c>
      <c r="AA558" s="38">
        <f ca="1">MIP_4[[#This Row],[HH Produtivo
Total]]/MIP_4[[#This Row],[HH disponível]]</f>
        <v>0.9596065778838978</v>
      </c>
      <c r="AB558" s="38">
        <f>MIP_4[[#This Row],[HH Trabalhado]]/MIP_4[[#This Row],[HH disponível]]</f>
        <v>0.82950191570881227</v>
      </c>
      <c r="AC558" s="37" t="str">
        <f>LEFT(MIP_4[[#This Row],[Equipe]], SEARCH("/",MIP_4[[#This Row],[Equipe]],1)-1)</f>
        <v xml:space="preserve">JOILSON </v>
      </c>
      <c r="AD558" s="37" t="str">
        <f>RIGHT(MIP_4[[#This Row],[Equipe]], LEN(MIP_4[[#This Row],[Equipe]])-SEARCH("/",MIP_4[[#This Row],[Equipe]],1))</f>
        <v xml:space="preserve"> HERVAL</v>
      </c>
      <c r="AE558" s="44">
        <f>COUNTIFS('[1]Tempo parado'!G:G,"&gt;="&amp;MIP_4[[#This Row],[S.B Sitrack]],'[1]Tempo parado'!H:H,"&lt;="&amp;MIP_4[[#This Row],[C.B Sitrack]],'[1]Tempo parado'!A:A,MIP_4[[#This Row],[Placa]])</f>
        <v>0</v>
      </c>
      <c r="AF558" s="36"/>
      <c r="AG558" s="35"/>
      <c r="AH558" s="34"/>
      <c r="AI558" s="34"/>
      <c r="AJ55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5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5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58" s="32" t="str">
        <f>IFERROR(MIP_4[[#This Row],[Tempo parado]]/(MIP_4[[#This Row],[C.B Sitrack]]-MIP_4[[#This Row],[S.B Sitrack]]),"")</f>
        <v/>
      </c>
      <c r="AN558" s="30"/>
      <c r="AO558" s="44">
        <f>IF(AND(MIP_4[Exc]=0,MIP_4[Previsto / Realizado]="Realizado"),MIP_4[Sem],0)</f>
        <v>38</v>
      </c>
      <c r="AP558" s="29">
        <f>IF(AND(MIP_4[Exc]=0,MIP_4[Previsto / Realizado]="Realizado",ISBLANK(MIP_4[[#This Row],[S.B Sitrack]])=FALSE,ISBLANK(MIP_4[[#This Row],[C.B Sitrack]])=FALSE),MIP_4[Sem],0)</f>
        <v>0</v>
      </c>
    </row>
    <row r="559" spans="1:42" ht="15.75" x14ac:dyDescent="0.25">
      <c r="A559" s="44">
        <f>WEEKNUM(MIP_4[[#This Row],[Data]])</f>
        <v>38</v>
      </c>
      <c r="B559" s="45">
        <v>42998</v>
      </c>
      <c r="C559" s="45"/>
      <c r="D559" s="35" t="s">
        <v>3</v>
      </c>
      <c r="E559" s="35" t="s">
        <v>5</v>
      </c>
      <c r="F559" s="35"/>
      <c r="G559" s="44">
        <v>2</v>
      </c>
      <c r="H559" s="44">
        <v>2</v>
      </c>
      <c r="I559" s="44">
        <v>1</v>
      </c>
      <c r="J559" s="44">
        <v>0</v>
      </c>
      <c r="K559" s="44">
        <v>4</v>
      </c>
      <c r="L559" s="43">
        <v>0.625</v>
      </c>
      <c r="M559" s="43">
        <v>0.64583333333333337</v>
      </c>
      <c r="N559" s="43">
        <f>1+18/24/60</f>
        <v>1.0125</v>
      </c>
      <c r="O559" s="43">
        <f>1+48/24/60</f>
        <v>1.0333333333333334</v>
      </c>
      <c r="P559" s="39"/>
      <c r="Q559" s="42" t="s">
        <v>36</v>
      </c>
      <c r="R559" s="29">
        <f>MIP_4[[#This Row],[PT-1]]+MIP_4[[#This Row],[PT-2]]*2+MIP_4[[#This Row],[PT-3]]*3+MIP_4[[#This Row],[PT &gt; 3 Pontos]]</f>
        <v>8</v>
      </c>
      <c r="S55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55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559" s="41">
        <f ca="1">MIP_4[[#This Row],[Eficiência]]</f>
        <v>0.53831543244284807</v>
      </c>
      <c r="V55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59" s="39">
        <f>IF(MIP_4[[#This Row],[P.S]]-MIP_4[[#This Row],[P.E]]&lt;0,1+MIP_4[[#This Row],[P.S]]-MIP_4[[#This Row],[P.E]]-1/24,MIP_4[[#This Row],[P.S]]-MIP_4[[#This Row],[P.E]]-1/24)</f>
        <v>0.36666666666666675</v>
      </c>
      <c r="X559" s="39">
        <f ca="1">MIP_4[[#This Row],[PT-1]]*$S$3+MIP_4[[#This Row],[PT-2]]*$T$3+MIP_4[[#This Row],[PT-3]]*$U$3+MIP_4[[#This Row],[PT &gt; 3 Pontos]]*$V$3</f>
        <v>0.17495251554392557</v>
      </c>
      <c r="Y559" s="39">
        <f>MIP_4[[#This Row],[HH disponível]]-MIP_4[[#This Row],[HH AC TOT]]</f>
        <v>0.3249999999999999</v>
      </c>
      <c r="Z559" s="38">
        <f ca="1">MIP_4[[#This Row],[HH Produtivo
Total]]/MIP_4[[#This Row],[HH Trabalhado]]</f>
        <v>0.53831543244284807</v>
      </c>
      <c r="AA559" s="38">
        <f ca="1">MIP_4[[#This Row],[HH Produtivo
Total]]/MIP_4[[#This Row],[HH disponível]]</f>
        <v>0.47714322421070599</v>
      </c>
      <c r="AB559" s="38">
        <f>MIP_4[[#This Row],[HH Trabalhado]]/MIP_4[[#This Row],[HH disponível]]</f>
        <v>0.88636363636363591</v>
      </c>
      <c r="AC559" s="37" t="str">
        <f>LEFT(MIP_4[[#This Row],[Equipe]], SEARCH("/",MIP_4[[#This Row],[Equipe]],1)-1)</f>
        <v xml:space="preserve">EDILTON </v>
      </c>
      <c r="AD559" s="37" t="str">
        <f>RIGHT(MIP_4[[#This Row],[Equipe]], LEN(MIP_4[[#This Row],[Equipe]])-SEARCH("/",MIP_4[[#This Row],[Equipe]],1))</f>
        <v xml:space="preserve"> GECIVALDO</v>
      </c>
      <c r="AE559" s="44">
        <f>COUNTIFS('[1]Tempo parado'!G:G,"&gt;="&amp;MIP_4[[#This Row],[S.B Sitrack]],'[1]Tempo parado'!H:H,"&lt;="&amp;MIP_4[[#This Row],[C.B Sitrack]],'[1]Tempo parado'!A:A,MIP_4[[#This Row],[Placa]])</f>
        <v>0</v>
      </c>
      <c r="AF559" s="36"/>
      <c r="AG559" s="35"/>
      <c r="AH559" s="34"/>
      <c r="AI559" s="34"/>
      <c r="AJ55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5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5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59" s="32" t="str">
        <f>IFERROR(MIP_4[[#This Row],[Tempo parado]]/(MIP_4[[#This Row],[C.B Sitrack]]-MIP_4[[#This Row],[S.B Sitrack]]),"")</f>
        <v/>
      </c>
      <c r="AN559" s="30"/>
      <c r="AO559" s="44">
        <f>IF(AND(MIP_4[Exc]=0,MIP_4[Previsto / Realizado]="Realizado"),MIP_4[Sem],0)</f>
        <v>0</v>
      </c>
      <c r="AP559" s="29">
        <f>IF(AND(MIP_4[Exc]=0,MIP_4[Previsto / Realizado]="Realizado",ISBLANK(MIP_4[[#This Row],[S.B Sitrack]])=FALSE,ISBLANK(MIP_4[[#This Row],[C.B Sitrack]])=FALSE),MIP_4[Sem],0)</f>
        <v>0</v>
      </c>
    </row>
    <row r="560" spans="1:42" ht="15.75" x14ac:dyDescent="0.25">
      <c r="A560" s="44">
        <f>WEEKNUM(MIP_4[[#This Row],[Data]])</f>
        <v>38</v>
      </c>
      <c r="B560" s="45">
        <v>42998</v>
      </c>
      <c r="C560" s="45"/>
      <c r="D560" s="35" t="s">
        <v>3</v>
      </c>
      <c r="E560" s="35" t="s">
        <v>2</v>
      </c>
      <c r="F560" s="35"/>
      <c r="G560" s="44">
        <v>2</v>
      </c>
      <c r="H560" s="44">
        <v>2</v>
      </c>
      <c r="I560" s="44">
        <v>2</v>
      </c>
      <c r="J560" s="44">
        <v>0</v>
      </c>
      <c r="K560" s="44">
        <v>8</v>
      </c>
      <c r="L560" s="43">
        <v>0.63124999999999998</v>
      </c>
      <c r="M560" s="43">
        <v>0.66666666666666663</v>
      </c>
      <c r="N560" s="43">
        <v>0.99722222222222223</v>
      </c>
      <c r="O560" s="43">
        <f>1+52/24/60</f>
        <v>1.0361111111111112</v>
      </c>
      <c r="P560" s="39"/>
      <c r="Q560" s="42" t="s">
        <v>17</v>
      </c>
      <c r="R560" s="29">
        <f>MIP_4[[#This Row],[PT-1]]+MIP_4[[#This Row],[PT-2]]*2+MIP_4[[#This Row],[PT-3]]*3+MIP_4[[#This Row],[PT &gt; 3 Pontos]]</f>
        <v>14</v>
      </c>
      <c r="S56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7.4305555555555625E-2</v>
      </c>
      <c r="T56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7.4305555555555625E-2</v>
      </c>
      <c r="U560" s="41">
        <f ca="1">MIP_4[[#This Row],[Eficiência]]</f>
        <v>1.0379538178960734</v>
      </c>
      <c r="V56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60" s="39">
        <f>IF(MIP_4[[#This Row],[P.S]]-MIP_4[[#This Row],[P.E]]&lt;0,1+MIP_4[[#This Row],[P.S]]-MIP_4[[#This Row],[P.E]]-1/24,MIP_4[[#This Row],[P.S]]-MIP_4[[#This Row],[P.E]]-1/24)</f>
        <v>0.36319444444444454</v>
      </c>
      <c r="X560" s="39">
        <f ca="1">MIP_4[[#This Row],[PT-1]]*$S$3+MIP_4[[#This Row],[PT-2]]*$T$3+MIP_4[[#This Row],[PT-3]]*$U$3+MIP_4[[#This Row],[PT &gt; 3 Pontos]]*$V$3</f>
        <v>0.29985332516997681</v>
      </c>
      <c r="Y560" s="39">
        <f>MIP_4[[#This Row],[HH disponível]]-MIP_4[[#This Row],[HH AC TOT]]</f>
        <v>0.28888888888888892</v>
      </c>
      <c r="Z560" s="38">
        <f ca="1">MIP_4[[#This Row],[HH Produtivo
Total]]/MIP_4[[#This Row],[HH Trabalhado]]</f>
        <v>1.0379538178960734</v>
      </c>
      <c r="AA560" s="38">
        <f ca="1">MIP_4[[#This Row],[HH Produtivo
Total]]/MIP_4[[#This Row],[HH disponível]]</f>
        <v>0.82559997752345415</v>
      </c>
      <c r="AB560" s="38">
        <f>MIP_4[[#This Row],[HH Trabalhado]]/MIP_4[[#This Row],[HH disponível]]</f>
        <v>0.79541108986615661</v>
      </c>
      <c r="AC560" s="37" t="str">
        <f>LEFT(MIP_4[[#This Row],[Equipe]], SEARCH("/",MIP_4[[#This Row],[Equipe]],1)-1)</f>
        <v xml:space="preserve">EDILTON </v>
      </c>
      <c r="AD560" s="37" t="str">
        <f>RIGHT(MIP_4[[#This Row],[Equipe]], LEN(MIP_4[[#This Row],[Equipe]])-SEARCH("/",MIP_4[[#This Row],[Equipe]],1))</f>
        <v xml:space="preserve"> GECIVALDO</v>
      </c>
      <c r="AE560" s="44">
        <f>COUNTIFS('[1]Tempo parado'!G:G,"&gt;="&amp;MIP_4[[#This Row],[S.B Sitrack]],'[1]Tempo parado'!H:H,"&lt;="&amp;MIP_4[[#This Row],[C.B Sitrack]],'[1]Tempo parado'!A:A,MIP_4[[#This Row],[Placa]])</f>
        <v>0</v>
      </c>
      <c r="AF560" s="36"/>
      <c r="AG560" s="35"/>
      <c r="AH560" s="34"/>
      <c r="AI560" s="34"/>
      <c r="AJ56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6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6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60" s="32" t="str">
        <f>IFERROR(MIP_4[[#This Row],[Tempo parado]]/(MIP_4[[#This Row],[C.B Sitrack]]-MIP_4[[#This Row],[S.B Sitrack]]),"")</f>
        <v/>
      </c>
      <c r="AN560" s="30"/>
      <c r="AO560" s="44">
        <f>IF(AND(MIP_4[Exc]=0,MIP_4[Previsto / Realizado]="Realizado"),MIP_4[Sem],0)</f>
        <v>38</v>
      </c>
      <c r="AP560" s="29">
        <f>IF(AND(MIP_4[Exc]=0,MIP_4[Previsto / Realizado]="Realizado",ISBLANK(MIP_4[[#This Row],[S.B Sitrack]])=FALSE,ISBLANK(MIP_4[[#This Row],[C.B Sitrack]])=FALSE),MIP_4[Sem],0)</f>
        <v>0</v>
      </c>
    </row>
    <row r="561" spans="1:42" ht="15.75" x14ac:dyDescent="0.25">
      <c r="A561" s="44">
        <f>WEEKNUM(MIP_4[[#This Row],[Data]])</f>
        <v>38</v>
      </c>
      <c r="B561" s="45">
        <v>42998</v>
      </c>
      <c r="C561" s="45"/>
      <c r="D561" s="35" t="s">
        <v>19</v>
      </c>
      <c r="E561" s="35" t="s">
        <v>5</v>
      </c>
      <c r="F561" s="35"/>
      <c r="G561" s="44">
        <v>2</v>
      </c>
      <c r="H561" s="44">
        <v>0</v>
      </c>
      <c r="I561" s="44">
        <v>0</v>
      </c>
      <c r="J561" s="44">
        <v>0</v>
      </c>
      <c r="K561" s="44">
        <v>0</v>
      </c>
      <c r="L561" s="43">
        <v>0.625</v>
      </c>
      <c r="M561" s="43">
        <v>0.64583333333333337</v>
      </c>
      <c r="N561" s="43">
        <f>1+18/24/60</f>
        <v>1.0125</v>
      </c>
      <c r="O561" s="43">
        <f>1+48/24/60</f>
        <v>1.0333333333333334</v>
      </c>
      <c r="P561" s="39"/>
      <c r="Q561" s="42" t="s">
        <v>36</v>
      </c>
      <c r="R561" s="29">
        <f>MIP_4[[#This Row],[PT-1]]+MIP_4[[#This Row],[PT-2]]*2+MIP_4[[#This Row],[PT-3]]*3+MIP_4[[#This Row],[PT &gt; 3 Pontos]]</f>
        <v>0</v>
      </c>
      <c r="S56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56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561" s="41">
        <f ca="1">MIP_4[[#This Row],[Eficiência]]</f>
        <v>0</v>
      </c>
      <c r="V56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61" s="39">
        <f>IF(MIP_4[[#This Row],[P.S]]-MIP_4[[#This Row],[P.E]]&lt;0,1+MIP_4[[#This Row],[P.S]]-MIP_4[[#This Row],[P.E]]-1/24,MIP_4[[#This Row],[P.S]]-MIP_4[[#This Row],[P.E]]-1/24)</f>
        <v>0.36666666666666675</v>
      </c>
      <c r="X561" s="39">
        <f ca="1">MIP_4[[#This Row],[PT-1]]*$S$3+MIP_4[[#This Row],[PT-2]]*$T$3+MIP_4[[#This Row],[PT-3]]*$U$3+MIP_4[[#This Row],[PT &gt; 3 Pontos]]*$V$3</f>
        <v>0</v>
      </c>
      <c r="Y561" s="39">
        <f>MIP_4[[#This Row],[HH disponível]]-MIP_4[[#This Row],[HH AC TOT]]</f>
        <v>0.3249999999999999</v>
      </c>
      <c r="Z561" s="38">
        <f ca="1">MIP_4[[#This Row],[HH Produtivo
Total]]/MIP_4[[#This Row],[HH Trabalhado]]</f>
        <v>0</v>
      </c>
      <c r="AA561" s="38">
        <f ca="1">MIP_4[[#This Row],[HH Produtivo
Total]]/MIP_4[[#This Row],[HH disponível]]</f>
        <v>0</v>
      </c>
      <c r="AB561" s="38">
        <f>MIP_4[[#This Row],[HH Trabalhado]]/MIP_4[[#This Row],[HH disponível]]</f>
        <v>0.88636363636363591</v>
      </c>
      <c r="AC561" s="37" t="str">
        <f>LEFT(MIP_4[[#This Row],[Equipe]], SEARCH("/",MIP_4[[#This Row],[Equipe]],1)-1)</f>
        <v xml:space="preserve">ADEMÁRIO </v>
      </c>
      <c r="AD561" s="37" t="str">
        <f>RIGHT(MIP_4[[#This Row],[Equipe]], LEN(MIP_4[[#This Row],[Equipe]])-SEARCH("/",MIP_4[[#This Row],[Equipe]],1))</f>
        <v xml:space="preserve"> RONALDO</v>
      </c>
      <c r="AE561" s="44">
        <f>COUNTIFS('[1]Tempo parado'!G:G,"&gt;="&amp;MIP_4[[#This Row],[S.B Sitrack]],'[1]Tempo parado'!H:H,"&lt;="&amp;MIP_4[[#This Row],[C.B Sitrack]],'[1]Tempo parado'!A:A,MIP_4[[#This Row],[Placa]])</f>
        <v>0</v>
      </c>
      <c r="AF561" s="36"/>
      <c r="AG561" s="35"/>
      <c r="AH561" s="34"/>
      <c r="AI561" s="34"/>
      <c r="AJ56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6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6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61" s="32" t="str">
        <f>IFERROR(MIP_4[[#This Row],[Tempo parado]]/(MIP_4[[#This Row],[C.B Sitrack]]-MIP_4[[#This Row],[S.B Sitrack]]),"")</f>
        <v/>
      </c>
      <c r="AN561" s="30"/>
      <c r="AO561" s="44">
        <f>IF(AND(MIP_4[Exc]=0,MIP_4[Previsto / Realizado]="Realizado"),MIP_4[Sem],0)</f>
        <v>0</v>
      </c>
      <c r="AP561" s="29">
        <f>IF(AND(MIP_4[Exc]=0,MIP_4[Previsto / Realizado]="Realizado",ISBLANK(MIP_4[[#This Row],[S.B Sitrack]])=FALSE,ISBLANK(MIP_4[[#This Row],[C.B Sitrack]])=FALSE),MIP_4[Sem],0)</f>
        <v>0</v>
      </c>
    </row>
    <row r="562" spans="1:42" ht="15.75" x14ac:dyDescent="0.25">
      <c r="A562" s="44">
        <f>WEEKNUM(MIP_4[[#This Row],[Data]])</f>
        <v>38</v>
      </c>
      <c r="B562" s="45">
        <v>42998</v>
      </c>
      <c r="C562" s="45"/>
      <c r="D562" s="35" t="s">
        <v>19</v>
      </c>
      <c r="E562" s="35" t="s">
        <v>2</v>
      </c>
      <c r="F562" s="35"/>
      <c r="G562" s="44">
        <v>2</v>
      </c>
      <c r="H562" s="44">
        <v>0</v>
      </c>
      <c r="I562" s="44">
        <v>0</v>
      </c>
      <c r="J562" s="44">
        <v>0</v>
      </c>
      <c r="K562" s="44">
        <v>10</v>
      </c>
      <c r="L562" s="43">
        <v>0.63402777777777775</v>
      </c>
      <c r="M562" s="43">
        <v>0.67013888888888884</v>
      </c>
      <c r="N562" s="43">
        <v>0.97013888888888899</v>
      </c>
      <c r="O562" s="43">
        <f>1+78/24/60</f>
        <v>1.0541666666666667</v>
      </c>
      <c r="P562" s="39">
        <v>6.25E-2</v>
      </c>
      <c r="Q562" s="42" t="s">
        <v>230</v>
      </c>
      <c r="R562" s="29">
        <f>MIP_4[[#This Row],[PT-1]]+MIP_4[[#This Row],[PT-2]]*2+MIP_4[[#This Row],[PT-3]]*3+MIP_4[[#This Row],[PT &gt; 3 Pontos]]</f>
        <v>10</v>
      </c>
      <c r="S56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0.1826388888888888</v>
      </c>
      <c r="T56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0.1201388888888888</v>
      </c>
      <c r="U562" s="41">
        <f ca="1">MIP_4[[#This Row],[Eficiência]]</f>
        <v>1.0339409811445732</v>
      </c>
      <c r="V56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62" s="39">
        <f>IF(MIP_4[[#This Row],[P.S]]-MIP_4[[#This Row],[P.E]]&lt;0,1+MIP_4[[#This Row],[P.S]]-MIP_4[[#This Row],[P.E]]-1/24,MIP_4[[#This Row],[P.S]]-MIP_4[[#This Row],[P.E]]-1/24)</f>
        <v>0.37847222222222227</v>
      </c>
      <c r="X562" s="39">
        <f ca="1">MIP_4[[#This Row],[PT-1]]*$S$3+MIP_4[[#This Row],[PT-2]]*$T$3+MIP_4[[#This Row],[PT-3]]*$U$3+MIP_4[[#This Row],[PT &gt; 3 Pontos]]*$V$3</f>
        <v>0.20248010880747908</v>
      </c>
      <c r="Y562" s="39">
        <f>MIP_4[[#This Row],[HH disponível]]-MIP_4[[#This Row],[HH AC TOT]]</f>
        <v>0.19583333333333347</v>
      </c>
      <c r="Z562" s="38">
        <f ca="1">MIP_4[[#This Row],[HH Produtivo
Total]]/MIP_4[[#This Row],[HH Trabalhado]]</f>
        <v>1.0339409811445732</v>
      </c>
      <c r="AA562" s="38">
        <f ca="1">MIP_4[[#This Row],[HH Produtivo
Total]]/MIP_4[[#This Row],[HH disponível]]</f>
        <v>0.53499331501425662</v>
      </c>
      <c r="AB562" s="38">
        <f>MIP_4[[#This Row],[HH Trabalhado]]/MIP_4[[#This Row],[HH disponível]]</f>
        <v>0.51743119266055071</v>
      </c>
      <c r="AC562" s="37" t="str">
        <f>LEFT(MIP_4[[#This Row],[Equipe]], SEARCH("/",MIP_4[[#This Row],[Equipe]],1)-1)</f>
        <v xml:space="preserve">ADEMÁRIO </v>
      </c>
      <c r="AD562" s="37" t="str">
        <f>RIGHT(MIP_4[[#This Row],[Equipe]], LEN(MIP_4[[#This Row],[Equipe]])-SEARCH("/",MIP_4[[#This Row],[Equipe]],1))</f>
        <v xml:space="preserve"> RONALDO</v>
      </c>
      <c r="AE562" s="44">
        <f>COUNTIFS('[1]Tempo parado'!G:G,"&gt;="&amp;MIP_4[[#This Row],[S.B Sitrack]],'[1]Tempo parado'!H:H,"&lt;="&amp;MIP_4[[#This Row],[C.B Sitrack]],'[1]Tempo parado'!A:A,MIP_4[[#This Row],[Placa]])</f>
        <v>0</v>
      </c>
      <c r="AF562" s="36"/>
      <c r="AG562" s="35"/>
      <c r="AH562" s="34"/>
      <c r="AI562" s="34"/>
      <c r="AJ56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6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6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62" s="32" t="str">
        <f>IFERROR(MIP_4[[#This Row],[Tempo parado]]/(MIP_4[[#This Row],[C.B Sitrack]]-MIP_4[[#This Row],[S.B Sitrack]]),"")</f>
        <v/>
      </c>
      <c r="AN562" s="30"/>
      <c r="AO562" s="44">
        <f>IF(AND(MIP_4[Exc]=0,MIP_4[Previsto / Realizado]="Realizado"),MIP_4[Sem],0)</f>
        <v>38</v>
      </c>
      <c r="AP562" s="29">
        <f>IF(AND(MIP_4[Exc]=0,MIP_4[Previsto / Realizado]="Realizado",ISBLANK(MIP_4[[#This Row],[S.B Sitrack]])=FALSE,ISBLANK(MIP_4[[#This Row],[C.B Sitrack]])=FALSE),MIP_4[Sem],0)</f>
        <v>0</v>
      </c>
    </row>
    <row r="563" spans="1:42" ht="15.75" x14ac:dyDescent="0.25">
      <c r="A563" s="44">
        <f>WEEKNUM(MIP_4[[#This Row],[Data]])</f>
        <v>38</v>
      </c>
      <c r="B563" s="45">
        <v>42999</v>
      </c>
      <c r="C563" s="45"/>
      <c r="D563" s="35" t="s">
        <v>33</v>
      </c>
      <c r="E563" s="35" t="s">
        <v>5</v>
      </c>
      <c r="F563" s="35"/>
      <c r="G563" s="44">
        <v>2</v>
      </c>
      <c r="H563" s="44">
        <v>3</v>
      </c>
      <c r="I563" s="44">
        <v>1</v>
      </c>
      <c r="J563" s="44">
        <v>1</v>
      </c>
      <c r="K563" s="44">
        <v>0</v>
      </c>
      <c r="L563" s="43">
        <v>0.25</v>
      </c>
      <c r="M563" s="43">
        <v>0.27083333333333331</v>
      </c>
      <c r="N563" s="43">
        <v>0.63750000000000007</v>
      </c>
      <c r="O563" s="43">
        <v>0.65833333333333333</v>
      </c>
      <c r="P563" s="39"/>
      <c r="Q563" s="42" t="s">
        <v>36</v>
      </c>
      <c r="R563" s="29">
        <f>MIP_4[[#This Row],[PT-1]]+MIP_4[[#This Row],[PT-2]]*2+MIP_4[[#This Row],[PT-3]]*3+MIP_4[[#This Row],[PT &gt; 3 Pontos]]</f>
        <v>8</v>
      </c>
      <c r="S56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56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563" s="41">
        <f ca="1">MIP_4[[#This Row],[Eficiência]]</f>
        <v>0.55931693608324029</v>
      </c>
      <c r="V56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63" s="39">
        <f>IF(MIP_4[[#This Row],[P.S]]-MIP_4[[#This Row],[P.E]]&lt;0,1+MIP_4[[#This Row],[P.S]]-MIP_4[[#This Row],[P.E]]-1/24,MIP_4[[#This Row],[P.S]]-MIP_4[[#This Row],[P.E]]-1/24)</f>
        <v>0.36666666666666664</v>
      </c>
      <c r="X563" s="39">
        <f ca="1">MIP_4[[#This Row],[PT-1]]*$S$3+MIP_4[[#This Row],[PT-2]]*$T$3+MIP_4[[#This Row],[PT-3]]*$U$3+MIP_4[[#This Row],[PT &gt; 3 Pontos]]*$V$3</f>
        <v>0.18177800422705312</v>
      </c>
      <c r="Y563" s="39">
        <f>MIP_4[[#This Row],[HH disponível]]-MIP_4[[#This Row],[HH AC TOT]]</f>
        <v>0.32500000000000007</v>
      </c>
      <c r="Z563" s="38">
        <f ca="1">MIP_4[[#This Row],[HH Produtivo
Total]]/MIP_4[[#This Row],[HH Trabalhado]]</f>
        <v>0.55931693608324029</v>
      </c>
      <c r="AA563" s="38">
        <f ca="1">MIP_4[[#This Row],[HH Produtivo
Total]]/MIP_4[[#This Row],[HH disponível]]</f>
        <v>0.49575819334650856</v>
      </c>
      <c r="AB563" s="38">
        <f>MIP_4[[#This Row],[HH Trabalhado]]/MIP_4[[#This Row],[HH disponível]]</f>
        <v>0.88636363636363658</v>
      </c>
      <c r="AC563" s="37" t="str">
        <f>LEFT(MIP_4[[#This Row],[Equipe]], SEARCH("/",MIP_4[[#This Row],[Equipe]],1)-1)</f>
        <v xml:space="preserve">JOILSON </v>
      </c>
      <c r="AD563" s="37" t="str">
        <f>RIGHT(MIP_4[[#This Row],[Equipe]], LEN(MIP_4[[#This Row],[Equipe]])-SEARCH("/",MIP_4[[#This Row],[Equipe]],1))</f>
        <v xml:space="preserve"> HERVAL</v>
      </c>
      <c r="AE563" s="44">
        <f>COUNTIFS('[1]Tempo parado'!G:G,"&gt;="&amp;MIP_4[[#This Row],[S.B Sitrack]],'[1]Tempo parado'!H:H,"&lt;="&amp;MIP_4[[#This Row],[C.B Sitrack]],'[1]Tempo parado'!A:A,MIP_4[[#This Row],[Placa]])</f>
        <v>0</v>
      </c>
      <c r="AF563" s="36"/>
      <c r="AG563" s="35"/>
      <c r="AH563" s="34"/>
      <c r="AI563" s="34"/>
      <c r="AJ56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6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6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63" s="32" t="str">
        <f>IFERROR(MIP_4[[#This Row],[Tempo parado]]/(MIP_4[[#This Row],[C.B Sitrack]]-MIP_4[[#This Row],[S.B Sitrack]]),"")</f>
        <v/>
      </c>
      <c r="AN563" s="30"/>
      <c r="AO563" s="44">
        <f>IF(AND(MIP_4[Exc]=0,MIP_4[Previsto / Realizado]="Realizado"),MIP_4[Sem],0)</f>
        <v>0</v>
      </c>
      <c r="AP563" s="29">
        <f>IF(AND(MIP_4[Exc]=0,MIP_4[Previsto / Realizado]="Realizado",ISBLANK(MIP_4[[#This Row],[S.B Sitrack]])=FALSE,ISBLANK(MIP_4[[#This Row],[C.B Sitrack]])=FALSE),MIP_4[Sem],0)</f>
        <v>0</v>
      </c>
    </row>
    <row r="564" spans="1:42" ht="15.75" x14ac:dyDescent="0.25">
      <c r="A564" s="44">
        <f>WEEKNUM(MIP_4[[#This Row],[Data]])</f>
        <v>38</v>
      </c>
      <c r="B564" s="45">
        <v>42999</v>
      </c>
      <c r="C564" s="45"/>
      <c r="D564" s="35" t="s">
        <v>33</v>
      </c>
      <c r="E564" s="35" t="s">
        <v>2</v>
      </c>
      <c r="F564" s="35"/>
      <c r="G564" s="44">
        <v>2</v>
      </c>
      <c r="H564" s="44">
        <v>6</v>
      </c>
      <c r="I564" s="44">
        <v>2</v>
      </c>
      <c r="J564" s="44">
        <v>1</v>
      </c>
      <c r="K564" s="44">
        <v>0</v>
      </c>
      <c r="L564" s="43">
        <v>0.25347222222222221</v>
      </c>
      <c r="M564" s="43">
        <v>0.29166666666666669</v>
      </c>
      <c r="N564" s="43">
        <v>0.62638888888888888</v>
      </c>
      <c r="O564" s="43">
        <v>0.65833333333333333</v>
      </c>
      <c r="P564" s="39"/>
      <c r="Q564" s="42" t="s">
        <v>9</v>
      </c>
      <c r="R564" s="29">
        <f>MIP_4[[#This Row],[PT-1]]+MIP_4[[#This Row],[PT-2]]*2+MIP_4[[#This Row],[PT-3]]*3+MIP_4[[#This Row],[PT &gt; 3 Pontos]]</f>
        <v>13</v>
      </c>
      <c r="S56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7.0138888888888917E-2</v>
      </c>
      <c r="T56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7.0138888888888917E-2</v>
      </c>
      <c r="U564" s="41">
        <f ca="1">MIP_4[[#This Row],[Eficiência]]</f>
        <v>1.0263048200425853</v>
      </c>
      <c r="V56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64" s="39">
        <f>IF(MIP_4[[#This Row],[P.S]]-MIP_4[[#This Row],[P.E]]&lt;0,1+MIP_4[[#This Row],[P.S]]-MIP_4[[#This Row],[P.E]]-1/24,MIP_4[[#This Row],[P.S]]-MIP_4[[#This Row],[P.E]]-1/24)</f>
        <v>0.36319444444444443</v>
      </c>
      <c r="X564" s="39">
        <f ca="1">MIP_4[[#This Row],[PT-1]]*$S$3+MIP_4[[#This Row],[PT-2]]*$T$3+MIP_4[[#This Row],[PT-3]]*$U$3+MIP_4[[#This Row],[PT &gt; 3 Pontos]]*$V$3</f>
        <v>0.30076432920692425</v>
      </c>
      <c r="Y564" s="39">
        <f>MIP_4[[#This Row],[HH disponível]]-MIP_4[[#This Row],[HH AC TOT]]</f>
        <v>0.29305555555555551</v>
      </c>
      <c r="Z564" s="38">
        <f ca="1">MIP_4[[#This Row],[HH Produtivo
Total]]/MIP_4[[#This Row],[HH Trabalhado]]</f>
        <v>1.0263048200425853</v>
      </c>
      <c r="AA564" s="38">
        <f ca="1">MIP_4[[#This Row],[HH Produtivo
Total]]/MIP_4[[#This Row],[HH disponível]]</f>
        <v>0.82810828691772642</v>
      </c>
      <c r="AB564" s="38">
        <f>MIP_4[[#This Row],[HH Trabalhado]]/MIP_4[[#This Row],[HH disponível]]</f>
        <v>0.80688336520076476</v>
      </c>
      <c r="AC564" s="37" t="str">
        <f>LEFT(MIP_4[[#This Row],[Equipe]], SEARCH("/",MIP_4[[#This Row],[Equipe]],1)-1)</f>
        <v xml:space="preserve">JOILSON </v>
      </c>
      <c r="AD564" s="37" t="str">
        <f>RIGHT(MIP_4[[#This Row],[Equipe]], LEN(MIP_4[[#This Row],[Equipe]])-SEARCH("/",MIP_4[[#This Row],[Equipe]],1))</f>
        <v xml:space="preserve"> HERVAL</v>
      </c>
      <c r="AE564" s="44">
        <f>COUNTIFS('[1]Tempo parado'!G:G,"&gt;="&amp;MIP_4[[#This Row],[S.B Sitrack]],'[1]Tempo parado'!H:H,"&lt;="&amp;MIP_4[[#This Row],[C.B Sitrack]],'[1]Tempo parado'!A:A,MIP_4[[#This Row],[Placa]])</f>
        <v>0</v>
      </c>
      <c r="AF564" s="36"/>
      <c r="AG564" s="35"/>
      <c r="AH564" s="34"/>
      <c r="AI564" s="34"/>
      <c r="AJ56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6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6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64" s="32" t="str">
        <f>IFERROR(MIP_4[[#This Row],[Tempo parado]]/(MIP_4[[#This Row],[C.B Sitrack]]-MIP_4[[#This Row],[S.B Sitrack]]),"")</f>
        <v/>
      </c>
      <c r="AN564" s="30"/>
      <c r="AO564" s="44">
        <f>IF(AND(MIP_4[Exc]=0,MIP_4[Previsto / Realizado]="Realizado"),MIP_4[Sem],0)</f>
        <v>38</v>
      </c>
      <c r="AP564" s="29">
        <f>IF(AND(MIP_4[Exc]=0,MIP_4[Previsto / Realizado]="Realizado",ISBLANK(MIP_4[[#This Row],[S.B Sitrack]])=FALSE,ISBLANK(MIP_4[[#This Row],[C.B Sitrack]])=FALSE),MIP_4[Sem],0)</f>
        <v>0</v>
      </c>
    </row>
    <row r="565" spans="1:42" ht="15.75" x14ac:dyDescent="0.25">
      <c r="A565" s="44">
        <f>WEEKNUM(MIP_4[[#This Row],[Data]])</f>
        <v>38</v>
      </c>
      <c r="B565" s="45">
        <v>42999</v>
      </c>
      <c r="C565" s="45"/>
      <c r="D565" s="35" t="s">
        <v>19</v>
      </c>
      <c r="E565" s="35" t="s">
        <v>5</v>
      </c>
      <c r="F565" s="35"/>
      <c r="G565" s="44">
        <v>2</v>
      </c>
      <c r="H565" s="44">
        <v>0</v>
      </c>
      <c r="I565" s="44">
        <v>0</v>
      </c>
      <c r="J565" s="44">
        <v>0</v>
      </c>
      <c r="K565" s="44">
        <v>8</v>
      </c>
      <c r="L565" s="43">
        <v>0.625</v>
      </c>
      <c r="M565" s="43">
        <v>0.64583333333333337</v>
      </c>
      <c r="N565" s="43">
        <f>1+18/24/60</f>
        <v>1.0125</v>
      </c>
      <c r="O565" s="43">
        <f>1+48/24/60</f>
        <v>1.0333333333333334</v>
      </c>
      <c r="P565" s="39"/>
      <c r="Q565" s="42"/>
      <c r="R565" s="29">
        <f>MIP_4[[#This Row],[PT-1]]+MIP_4[[#This Row],[PT-2]]*2+MIP_4[[#This Row],[PT-3]]*3+MIP_4[[#This Row],[PT &gt; 3 Pontos]]</f>
        <v>8</v>
      </c>
      <c r="S56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56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565" s="41">
        <f ca="1">MIP_4[[#This Row],[Eficiência]]</f>
        <v>0.49841257552610252</v>
      </c>
      <c r="V56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65" s="39">
        <f>IF(MIP_4[[#This Row],[P.S]]-MIP_4[[#This Row],[P.E]]&lt;0,1+MIP_4[[#This Row],[P.S]]-MIP_4[[#This Row],[P.E]]-1/24,MIP_4[[#This Row],[P.S]]-MIP_4[[#This Row],[P.E]]-1/24)</f>
        <v>0.36666666666666675</v>
      </c>
      <c r="X565" s="39">
        <f ca="1">MIP_4[[#This Row],[PT-1]]*$S$3+MIP_4[[#This Row],[PT-2]]*$T$3+MIP_4[[#This Row],[PT-3]]*$U$3+MIP_4[[#This Row],[PT &gt; 3 Pontos]]*$V$3</f>
        <v>0.16198408704598327</v>
      </c>
      <c r="Y565" s="39">
        <f>MIP_4[[#This Row],[HH disponível]]-MIP_4[[#This Row],[HH AC TOT]]</f>
        <v>0.3249999999999999</v>
      </c>
      <c r="Z565" s="38">
        <f ca="1">MIP_4[[#This Row],[HH Produtivo
Total]]/MIP_4[[#This Row],[HH Trabalhado]]</f>
        <v>0.49841257552610252</v>
      </c>
      <c r="AA565" s="38">
        <f ca="1">MIP_4[[#This Row],[HH Produtivo
Total]]/MIP_4[[#This Row],[HH disponível]]</f>
        <v>0.44177478285268157</v>
      </c>
      <c r="AB565" s="38">
        <f>MIP_4[[#This Row],[HH Trabalhado]]/MIP_4[[#This Row],[HH disponível]]</f>
        <v>0.88636363636363591</v>
      </c>
      <c r="AC565" s="37" t="str">
        <f>LEFT(MIP_4[[#This Row],[Equipe]], SEARCH("/",MIP_4[[#This Row],[Equipe]],1)-1)</f>
        <v xml:space="preserve">ADEMÁRIO </v>
      </c>
      <c r="AD565" s="37" t="str">
        <f>RIGHT(MIP_4[[#This Row],[Equipe]], LEN(MIP_4[[#This Row],[Equipe]])-SEARCH("/",MIP_4[[#This Row],[Equipe]],1))</f>
        <v xml:space="preserve"> RONALDO</v>
      </c>
      <c r="AE565" s="44">
        <f>COUNTIFS('[1]Tempo parado'!G:G,"&gt;="&amp;MIP_4[[#This Row],[S.B Sitrack]],'[1]Tempo parado'!H:H,"&lt;="&amp;MIP_4[[#This Row],[C.B Sitrack]],'[1]Tempo parado'!A:A,MIP_4[[#This Row],[Placa]])</f>
        <v>0</v>
      </c>
      <c r="AF565" s="36"/>
      <c r="AG565" s="35"/>
      <c r="AH565" s="34"/>
      <c r="AI565" s="34"/>
      <c r="AJ56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6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6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65" s="32" t="str">
        <f>IFERROR(MIP_4[[#This Row],[Tempo parado]]/(MIP_4[[#This Row],[C.B Sitrack]]-MIP_4[[#This Row],[S.B Sitrack]]),"")</f>
        <v/>
      </c>
      <c r="AN565" s="30"/>
      <c r="AO565" s="44">
        <f>IF(AND(MIP_4[Exc]=0,MIP_4[Previsto / Realizado]="Realizado"),MIP_4[Sem],0)</f>
        <v>0</v>
      </c>
      <c r="AP565" s="29">
        <f>IF(AND(MIP_4[Exc]=0,MIP_4[Previsto / Realizado]="Realizado",ISBLANK(MIP_4[[#This Row],[S.B Sitrack]])=FALSE,ISBLANK(MIP_4[[#This Row],[C.B Sitrack]])=FALSE),MIP_4[Sem],0)</f>
        <v>0</v>
      </c>
    </row>
    <row r="566" spans="1:42" ht="15.75" x14ac:dyDescent="0.25">
      <c r="A566" s="44">
        <f>WEEKNUM(MIP_4[[#This Row],[Data]])</f>
        <v>38</v>
      </c>
      <c r="B566" s="45">
        <v>42999</v>
      </c>
      <c r="C566" s="45"/>
      <c r="D566" s="35" t="s">
        <v>19</v>
      </c>
      <c r="E566" s="35" t="s">
        <v>2</v>
      </c>
      <c r="F566" s="35"/>
      <c r="G566" s="44">
        <v>2</v>
      </c>
      <c r="H566" s="44">
        <v>0</v>
      </c>
      <c r="I566" s="44">
        <v>0</v>
      </c>
      <c r="J566" s="44">
        <v>0</v>
      </c>
      <c r="K566" s="44">
        <v>8</v>
      </c>
      <c r="L566" s="43">
        <v>0.62986111111111109</v>
      </c>
      <c r="M566" s="43">
        <v>0.66666666666666663</v>
      </c>
      <c r="N566" s="43">
        <f>1+10/24/60</f>
        <v>1.0069444444444444</v>
      </c>
      <c r="O566" s="43">
        <f>1+62/24/60</f>
        <v>1.0430555555555556</v>
      </c>
      <c r="P566" s="39">
        <v>9.5833333333333326E-2</v>
      </c>
      <c r="Q566" s="42" t="s">
        <v>229</v>
      </c>
      <c r="R566" s="29">
        <f>MIP_4[[#This Row],[PT-1]]+MIP_4[[#This Row],[PT-2]]*2+MIP_4[[#This Row],[PT-3]]*3+MIP_4[[#This Row],[PT &gt; 3 Pontos]]</f>
        <v>8</v>
      </c>
      <c r="S56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0.16875000000000007</v>
      </c>
      <c r="T56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7.2916666666666741E-2</v>
      </c>
      <c r="U566" s="41">
        <f ca="1">MIP_4[[#This Row],[Eficiência]]</f>
        <v>0.79882563474731472</v>
      </c>
      <c r="V56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66" s="39">
        <f>IF(MIP_4[[#This Row],[P.S]]-MIP_4[[#This Row],[P.E]]&lt;0,1+MIP_4[[#This Row],[P.S]]-MIP_4[[#This Row],[P.E]]-1/24,MIP_4[[#This Row],[P.S]]-MIP_4[[#This Row],[P.E]]-1/24)</f>
        <v>0.37152777777777785</v>
      </c>
      <c r="X566" s="39">
        <f ca="1">MIP_4[[#This Row],[PT-1]]*$S$3+MIP_4[[#This Row],[PT-2]]*$T$3+MIP_4[[#This Row],[PT-3]]*$U$3+MIP_4[[#This Row],[PT &gt; 3 Pontos]]*$V$3</f>
        <v>0.16198408704598327</v>
      </c>
      <c r="Y566" s="39">
        <f>MIP_4[[#This Row],[HH disponível]]-MIP_4[[#This Row],[HH AC TOT]]</f>
        <v>0.20277777777777778</v>
      </c>
      <c r="Z566" s="38">
        <f ca="1">MIP_4[[#This Row],[HH Produtivo
Total]]/MIP_4[[#This Row],[HH Trabalhado]]</f>
        <v>0.79882563474731472</v>
      </c>
      <c r="AA566" s="38">
        <f ca="1">MIP_4[[#This Row],[HH Produtivo
Total]]/MIP_4[[#This Row],[HH disponível]]</f>
        <v>0.43599455204900162</v>
      </c>
      <c r="AB566" s="38">
        <f>MIP_4[[#This Row],[HH Trabalhado]]/MIP_4[[#This Row],[HH disponível]]</f>
        <v>0.54579439252336437</v>
      </c>
      <c r="AC566" s="37" t="str">
        <f>LEFT(MIP_4[[#This Row],[Equipe]], SEARCH("/",MIP_4[[#This Row],[Equipe]],1)-1)</f>
        <v xml:space="preserve">ADEMÁRIO </v>
      </c>
      <c r="AD566" s="37" t="str">
        <f>RIGHT(MIP_4[[#This Row],[Equipe]], LEN(MIP_4[[#This Row],[Equipe]])-SEARCH("/",MIP_4[[#This Row],[Equipe]],1))</f>
        <v xml:space="preserve"> RONALDO</v>
      </c>
      <c r="AE566" s="44">
        <f>COUNTIFS('[1]Tempo parado'!G:G,"&gt;="&amp;MIP_4[[#This Row],[S.B Sitrack]],'[1]Tempo parado'!H:H,"&lt;="&amp;MIP_4[[#This Row],[C.B Sitrack]],'[1]Tempo parado'!A:A,MIP_4[[#This Row],[Placa]])</f>
        <v>0</v>
      </c>
      <c r="AF566" s="36"/>
      <c r="AG566" s="35"/>
      <c r="AH566" s="34"/>
      <c r="AI566" s="34"/>
      <c r="AJ56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6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6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66" s="32" t="str">
        <f>IFERROR(MIP_4[[#This Row],[Tempo parado]]/(MIP_4[[#This Row],[C.B Sitrack]]-MIP_4[[#This Row],[S.B Sitrack]]),"")</f>
        <v/>
      </c>
      <c r="AN566" s="30"/>
      <c r="AO566" s="44">
        <f>IF(AND(MIP_4[Exc]=0,MIP_4[Previsto / Realizado]="Realizado"),MIP_4[Sem],0)</f>
        <v>38</v>
      </c>
      <c r="AP566" s="29">
        <f>IF(AND(MIP_4[Exc]=0,MIP_4[Previsto / Realizado]="Realizado",ISBLANK(MIP_4[[#This Row],[S.B Sitrack]])=FALSE,ISBLANK(MIP_4[[#This Row],[C.B Sitrack]])=FALSE),MIP_4[Sem],0)</f>
        <v>0</v>
      </c>
    </row>
    <row r="567" spans="1:42" ht="15.75" x14ac:dyDescent="0.25">
      <c r="A567" s="44">
        <f>WEEKNUM(MIP_4[[#This Row],[Data]])</f>
        <v>38</v>
      </c>
      <c r="B567" s="45">
        <v>42999</v>
      </c>
      <c r="C567" s="45"/>
      <c r="D567" s="35" t="s">
        <v>7</v>
      </c>
      <c r="E567" s="35" t="s">
        <v>5</v>
      </c>
      <c r="F567" s="35"/>
      <c r="G567" s="44">
        <v>2</v>
      </c>
      <c r="H567" s="44">
        <v>0</v>
      </c>
      <c r="I567" s="44">
        <v>0</v>
      </c>
      <c r="J567" s="44">
        <v>1</v>
      </c>
      <c r="K567" s="44">
        <v>5</v>
      </c>
      <c r="L567" s="43">
        <v>0.625</v>
      </c>
      <c r="M567" s="43">
        <v>0.64583333333333337</v>
      </c>
      <c r="N567" s="43">
        <f>1+18/24/60</f>
        <v>1.0125</v>
      </c>
      <c r="O567" s="43">
        <f>1+48/24/60</f>
        <v>1.0333333333333334</v>
      </c>
      <c r="P567" s="39"/>
      <c r="Q567" s="42" t="s">
        <v>228</v>
      </c>
      <c r="R567" s="29">
        <f>MIP_4[[#This Row],[PT-1]]+MIP_4[[#This Row],[PT-2]]*2+MIP_4[[#This Row],[PT-3]]*3+MIP_4[[#This Row],[PT &gt; 3 Pontos]]</f>
        <v>8</v>
      </c>
      <c r="S56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56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567" s="41">
        <f ca="1">MIP_4[[#This Row],[Eficiência]]</f>
        <v>0.50471302661822026</v>
      </c>
      <c r="V56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67" s="39">
        <f>IF(MIP_4[[#This Row],[P.S]]-MIP_4[[#This Row],[P.E]]&lt;0,1+MIP_4[[#This Row],[P.S]]-MIP_4[[#This Row],[P.E]]-1/24,MIP_4[[#This Row],[P.S]]-MIP_4[[#This Row],[P.E]]-1/24)</f>
        <v>0.36666666666666675</v>
      </c>
      <c r="X567" s="39">
        <f ca="1">MIP_4[[#This Row],[PT-1]]*$S$3+MIP_4[[#This Row],[PT-2]]*$T$3+MIP_4[[#This Row],[PT-3]]*$U$3+MIP_4[[#This Row],[PT &gt; 3 Pontos]]*$V$3</f>
        <v>0.16403173365092152</v>
      </c>
      <c r="Y567" s="39">
        <f>MIP_4[[#This Row],[HH disponível]]-MIP_4[[#This Row],[HH AC TOT]]</f>
        <v>0.3249999999999999</v>
      </c>
      <c r="Z567" s="38">
        <f ca="1">MIP_4[[#This Row],[HH Produtivo
Total]]/MIP_4[[#This Row],[HH Trabalhado]]</f>
        <v>0.50471302661822026</v>
      </c>
      <c r="AA567" s="38">
        <f ca="1">MIP_4[[#This Row],[HH Produtivo
Total]]/MIP_4[[#This Row],[HH disponível]]</f>
        <v>0.44735927359342226</v>
      </c>
      <c r="AB567" s="38">
        <f>MIP_4[[#This Row],[HH Trabalhado]]/MIP_4[[#This Row],[HH disponível]]</f>
        <v>0.88636363636363591</v>
      </c>
      <c r="AC567" s="37" t="str">
        <f>LEFT(MIP_4[[#This Row],[Equipe]], SEARCH("/",MIP_4[[#This Row],[Equipe]],1)-1)</f>
        <v xml:space="preserve">ANDERSON </v>
      </c>
      <c r="AD567" s="37" t="str">
        <f>RIGHT(MIP_4[[#This Row],[Equipe]], LEN(MIP_4[[#This Row],[Equipe]])-SEARCH("/",MIP_4[[#This Row],[Equipe]],1))</f>
        <v xml:space="preserve"> MARCO</v>
      </c>
      <c r="AE567" s="44">
        <f>COUNTIFS('[1]Tempo parado'!G:G,"&gt;="&amp;MIP_4[[#This Row],[S.B Sitrack]],'[1]Tempo parado'!H:H,"&lt;="&amp;MIP_4[[#This Row],[C.B Sitrack]],'[1]Tempo parado'!A:A,MIP_4[[#This Row],[Placa]])</f>
        <v>0</v>
      </c>
      <c r="AF567" s="36"/>
      <c r="AG567" s="35"/>
      <c r="AH567" s="34"/>
      <c r="AI567" s="34"/>
      <c r="AJ56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6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6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67" s="32" t="str">
        <f>IFERROR(MIP_4[[#This Row],[Tempo parado]]/(MIP_4[[#This Row],[C.B Sitrack]]-MIP_4[[#This Row],[S.B Sitrack]]),"")</f>
        <v/>
      </c>
      <c r="AN567" s="30"/>
      <c r="AO567" s="44">
        <f>IF(AND(MIP_4[Exc]=0,MIP_4[Previsto / Realizado]="Realizado"),MIP_4[Sem],0)</f>
        <v>0</v>
      </c>
      <c r="AP567" s="29">
        <f>IF(AND(MIP_4[Exc]=0,MIP_4[Previsto / Realizado]="Realizado",ISBLANK(MIP_4[[#This Row],[S.B Sitrack]])=FALSE,ISBLANK(MIP_4[[#This Row],[C.B Sitrack]])=FALSE),MIP_4[Sem],0)</f>
        <v>0</v>
      </c>
    </row>
    <row r="568" spans="1:42" ht="15.75" x14ac:dyDescent="0.25">
      <c r="A568" s="44">
        <f>WEEKNUM(MIP_4[[#This Row],[Data]])</f>
        <v>38</v>
      </c>
      <c r="B568" s="45">
        <v>42999</v>
      </c>
      <c r="C568" s="45"/>
      <c r="D568" s="35" t="s">
        <v>7</v>
      </c>
      <c r="E568" s="35" t="s">
        <v>2</v>
      </c>
      <c r="F568" s="35"/>
      <c r="G568" s="44">
        <v>2</v>
      </c>
      <c r="H568" s="44">
        <v>2</v>
      </c>
      <c r="I568" s="44">
        <v>1</v>
      </c>
      <c r="J568" s="44">
        <v>1</v>
      </c>
      <c r="K568" s="44">
        <v>5</v>
      </c>
      <c r="L568" s="43">
        <v>0.62222222222222223</v>
      </c>
      <c r="M568" s="43">
        <v>0.66319444444444442</v>
      </c>
      <c r="N568" s="43">
        <f>1+10/24/60</f>
        <v>1.0069444444444444</v>
      </c>
      <c r="O568" s="43">
        <f>1+48/24/60</f>
        <v>1.0333333333333334</v>
      </c>
      <c r="P568" s="39">
        <v>3.125E-2</v>
      </c>
      <c r="Q568" s="42" t="s">
        <v>227</v>
      </c>
      <c r="R568" s="29">
        <f>MIP_4[[#This Row],[PT-1]]+MIP_4[[#This Row],[PT-2]]*2+MIP_4[[#This Row],[PT-3]]*3+MIP_4[[#This Row],[PT &gt; 3 Pontos]]</f>
        <v>12</v>
      </c>
      <c r="S56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9.8611111111111205E-2</v>
      </c>
      <c r="T56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6.7361111111111205E-2</v>
      </c>
      <c r="U568" s="41">
        <f ca="1">MIP_4[[#This Row],[Eficiência]]</f>
        <v>0.95258660555762009</v>
      </c>
      <c r="V56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68" s="39">
        <f>IF(MIP_4[[#This Row],[P.S]]-MIP_4[[#This Row],[P.E]]&lt;0,1+MIP_4[[#This Row],[P.S]]-MIP_4[[#This Row],[P.E]]-1/24,MIP_4[[#This Row],[P.S]]-MIP_4[[#This Row],[P.E]]-1/24)</f>
        <v>0.36944444444444452</v>
      </c>
      <c r="X568" s="39">
        <f ca="1">MIP_4[[#This Row],[PT-1]]*$S$3+MIP_4[[#This Row],[PT-2]]*$T$3+MIP_4[[#This Row],[PT-3]]*$U$3+MIP_4[[#This Row],[PT &gt; 3 Pontos]]*$V$3</f>
        <v>0.25799220567185543</v>
      </c>
      <c r="Y568" s="39">
        <f>MIP_4[[#This Row],[HH disponível]]-MIP_4[[#This Row],[HH AC TOT]]</f>
        <v>0.27083333333333331</v>
      </c>
      <c r="Z568" s="38">
        <f ca="1">MIP_4[[#This Row],[HH Produtivo
Total]]/MIP_4[[#This Row],[HH Trabalhado]]</f>
        <v>0.95258660555762009</v>
      </c>
      <c r="AA568" s="38">
        <f ca="1">MIP_4[[#This Row],[HH Produtivo
Total]]/MIP_4[[#This Row],[HH disponível]]</f>
        <v>0.6983247672320898</v>
      </c>
      <c r="AB568" s="38">
        <f>MIP_4[[#This Row],[HH Trabalhado]]/MIP_4[[#This Row],[HH disponível]]</f>
        <v>0.73308270676691711</v>
      </c>
      <c r="AC568" s="37" t="str">
        <f>LEFT(MIP_4[[#This Row],[Equipe]], SEARCH("/",MIP_4[[#This Row],[Equipe]],1)-1)</f>
        <v xml:space="preserve">ANDERSON </v>
      </c>
      <c r="AD568" s="37" t="str">
        <f>RIGHT(MIP_4[[#This Row],[Equipe]], LEN(MIP_4[[#This Row],[Equipe]])-SEARCH("/",MIP_4[[#This Row],[Equipe]],1))</f>
        <v xml:space="preserve"> MARCO</v>
      </c>
      <c r="AE568" s="44">
        <f>COUNTIFS('[1]Tempo parado'!G:G,"&gt;="&amp;MIP_4[[#This Row],[S.B Sitrack]],'[1]Tempo parado'!H:H,"&lt;="&amp;MIP_4[[#This Row],[C.B Sitrack]],'[1]Tempo parado'!A:A,MIP_4[[#This Row],[Placa]])</f>
        <v>0</v>
      </c>
      <c r="AF568" s="36"/>
      <c r="AG568" s="35"/>
      <c r="AH568" s="34"/>
      <c r="AI568" s="34"/>
      <c r="AJ56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6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6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68" s="32" t="str">
        <f>IFERROR(MIP_4[[#This Row],[Tempo parado]]/(MIP_4[[#This Row],[C.B Sitrack]]-MIP_4[[#This Row],[S.B Sitrack]]),"")</f>
        <v/>
      </c>
      <c r="AN568" s="30"/>
      <c r="AO568" s="44">
        <f>IF(AND(MIP_4[Exc]=0,MIP_4[Previsto / Realizado]="Realizado"),MIP_4[Sem],0)</f>
        <v>38</v>
      </c>
      <c r="AP568" s="29">
        <f>IF(AND(MIP_4[Exc]=0,MIP_4[Previsto / Realizado]="Realizado",ISBLANK(MIP_4[[#This Row],[S.B Sitrack]])=FALSE,ISBLANK(MIP_4[[#This Row],[C.B Sitrack]])=FALSE),MIP_4[Sem],0)</f>
        <v>0</v>
      </c>
    </row>
    <row r="569" spans="1:42" ht="15.75" x14ac:dyDescent="0.25">
      <c r="A569" s="44">
        <f>WEEKNUM(MIP_4[[#This Row],[Data]])</f>
        <v>38</v>
      </c>
      <c r="B569" s="45">
        <v>43000</v>
      </c>
      <c r="C569" s="45"/>
      <c r="D569" s="35" t="s">
        <v>3</v>
      </c>
      <c r="E569" s="35" t="s">
        <v>5</v>
      </c>
      <c r="F569" s="35"/>
      <c r="G569" s="44">
        <v>2</v>
      </c>
      <c r="H569" s="44">
        <v>5</v>
      </c>
      <c r="I569" s="44">
        <v>3</v>
      </c>
      <c r="J569" s="44">
        <v>0</v>
      </c>
      <c r="K569" s="44">
        <v>0</v>
      </c>
      <c r="L569" s="43">
        <v>0.625</v>
      </c>
      <c r="M569" s="43">
        <v>0.64583333333333337</v>
      </c>
      <c r="N569" s="43">
        <f>1+18/24/60</f>
        <v>1.0125</v>
      </c>
      <c r="O569" s="43">
        <f>1+48/24/60</f>
        <v>1.0333333333333334</v>
      </c>
      <c r="P569" s="39"/>
      <c r="Q569" s="42" t="s">
        <v>36</v>
      </c>
      <c r="R569" s="29">
        <f>MIP_4[[#This Row],[PT-1]]+MIP_4[[#This Row],[PT-2]]*2+MIP_4[[#This Row],[PT-3]]*3+MIP_4[[#This Row],[PT &gt; 3 Pontos]]</f>
        <v>11</v>
      </c>
      <c r="S56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56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569" s="41">
        <f ca="1">MIP_4[[#This Row],[Eficiência]]</f>
        <v>0.790324809550353</v>
      </c>
      <c r="V56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69" s="39">
        <f>IF(MIP_4[[#This Row],[P.S]]-MIP_4[[#This Row],[P.E]]&lt;0,1+MIP_4[[#This Row],[P.S]]-MIP_4[[#This Row],[P.E]]-1/24,MIP_4[[#This Row],[P.S]]-MIP_4[[#This Row],[P.E]]-1/24)</f>
        <v>0.36666666666666675</v>
      </c>
      <c r="X569" s="39">
        <f ca="1">MIP_4[[#This Row],[PT-1]]*$S$3+MIP_4[[#This Row],[PT-2]]*$T$3+MIP_4[[#This Row],[PT-3]]*$U$3+MIP_4[[#This Row],[PT &gt; 3 Pontos]]*$V$3</f>
        <v>0.25685556310386465</v>
      </c>
      <c r="Y569" s="39">
        <f>MIP_4[[#This Row],[HH disponível]]-MIP_4[[#This Row],[HH AC TOT]]</f>
        <v>0.3249999999999999</v>
      </c>
      <c r="Z569" s="38">
        <f ca="1">MIP_4[[#This Row],[HH Produtivo
Total]]/MIP_4[[#This Row],[HH Trabalhado]]</f>
        <v>0.790324809550353</v>
      </c>
      <c r="AA569" s="38">
        <f ca="1">MIP_4[[#This Row],[HH Produtivo
Total]]/MIP_4[[#This Row],[HH disponível]]</f>
        <v>0.70051517210144887</v>
      </c>
      <c r="AB569" s="38">
        <f>MIP_4[[#This Row],[HH Trabalhado]]/MIP_4[[#This Row],[HH disponível]]</f>
        <v>0.88636363636363591</v>
      </c>
      <c r="AC569" s="37" t="str">
        <f>LEFT(MIP_4[[#This Row],[Equipe]], SEARCH("/",MIP_4[[#This Row],[Equipe]],1)-1)</f>
        <v xml:space="preserve">EDILTON </v>
      </c>
      <c r="AD569" s="37" t="str">
        <f>RIGHT(MIP_4[[#This Row],[Equipe]], LEN(MIP_4[[#This Row],[Equipe]])-SEARCH("/",MIP_4[[#This Row],[Equipe]],1))</f>
        <v xml:space="preserve"> GECIVALDO</v>
      </c>
      <c r="AE569" s="44">
        <f>COUNTIFS('[1]Tempo parado'!G:G,"&gt;="&amp;MIP_4[[#This Row],[S.B Sitrack]],'[1]Tempo parado'!H:H,"&lt;="&amp;MIP_4[[#This Row],[C.B Sitrack]],'[1]Tempo parado'!A:A,MIP_4[[#This Row],[Placa]])</f>
        <v>0</v>
      </c>
      <c r="AF569" s="36"/>
      <c r="AG569" s="35"/>
      <c r="AH569" s="34"/>
      <c r="AI569" s="34"/>
      <c r="AJ56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6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6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69" s="32" t="str">
        <f>IFERROR(MIP_4[[#This Row],[Tempo parado]]/(MIP_4[[#This Row],[C.B Sitrack]]-MIP_4[[#This Row],[S.B Sitrack]]),"")</f>
        <v/>
      </c>
      <c r="AN569" s="30"/>
      <c r="AO569" s="44">
        <f>IF(AND(MIP_4[Exc]=0,MIP_4[Previsto / Realizado]="Realizado"),MIP_4[Sem],0)</f>
        <v>0</v>
      </c>
      <c r="AP569" s="29">
        <f>IF(AND(MIP_4[Exc]=0,MIP_4[Previsto / Realizado]="Realizado",ISBLANK(MIP_4[[#This Row],[S.B Sitrack]])=FALSE,ISBLANK(MIP_4[[#This Row],[C.B Sitrack]])=FALSE),MIP_4[Sem],0)</f>
        <v>0</v>
      </c>
    </row>
    <row r="570" spans="1:42" ht="15.75" x14ac:dyDescent="0.25">
      <c r="A570" s="44">
        <f>WEEKNUM(MIP_4[[#This Row],[Data]])</f>
        <v>38</v>
      </c>
      <c r="B570" s="45">
        <v>43000</v>
      </c>
      <c r="C570" s="45"/>
      <c r="D570" s="35" t="s">
        <v>3</v>
      </c>
      <c r="E570" s="35" t="s">
        <v>2</v>
      </c>
      <c r="F570" s="35"/>
      <c r="G570" s="44">
        <v>2</v>
      </c>
      <c r="H570" s="44">
        <v>10</v>
      </c>
      <c r="I570" s="44">
        <v>2</v>
      </c>
      <c r="J570" s="44">
        <v>0</v>
      </c>
      <c r="K570" s="44">
        <v>0</v>
      </c>
      <c r="L570" s="43">
        <v>0.61458333333333337</v>
      </c>
      <c r="M570" s="43">
        <v>0.67361111111111116</v>
      </c>
      <c r="N570" s="43">
        <v>0.99861111111111101</v>
      </c>
      <c r="O570" s="43">
        <f>1+49/24/60</f>
        <v>1.0340277777777778</v>
      </c>
      <c r="P570" s="39"/>
      <c r="Q570" s="42" t="s">
        <v>9</v>
      </c>
      <c r="R570" s="29">
        <f>MIP_4[[#This Row],[PT-1]]+MIP_4[[#This Row],[PT-2]]*2+MIP_4[[#This Row],[PT-3]]*3+MIP_4[[#This Row],[PT &gt; 3 Pontos]]</f>
        <v>14</v>
      </c>
      <c r="S57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9.4444444444444553E-2</v>
      </c>
      <c r="T57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9.4444444444444553E-2</v>
      </c>
      <c r="U570" s="41">
        <f ca="1">MIP_4[[#This Row],[Eficiência]]</f>
        <v>1.1932096298664394</v>
      </c>
      <c r="V57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70" s="39">
        <f>IF(MIP_4[[#This Row],[P.S]]-MIP_4[[#This Row],[P.E]]&lt;0,1+MIP_4[[#This Row],[P.S]]-MIP_4[[#This Row],[P.E]]-1/24,MIP_4[[#This Row],[P.S]]-MIP_4[[#This Row],[P.E]]-1/24)</f>
        <v>0.37777777777777771</v>
      </c>
      <c r="X570" s="39">
        <f ca="1">MIP_4[[#This Row],[PT-1]]*$S$3+MIP_4[[#This Row],[PT-2]]*$T$3+MIP_4[[#This Row],[PT-3]]*$U$3+MIP_4[[#This Row],[PT &gt; 3 Pontos]]*$V$3</f>
        <v>0.33807606179549093</v>
      </c>
      <c r="Y570" s="39">
        <f>MIP_4[[#This Row],[HH disponível]]-MIP_4[[#This Row],[HH AC TOT]]</f>
        <v>0.28333333333333316</v>
      </c>
      <c r="Z570" s="38">
        <f ca="1">MIP_4[[#This Row],[HH Produtivo
Total]]/MIP_4[[#This Row],[HH Trabalhado]]</f>
        <v>1.1932096298664394</v>
      </c>
      <c r="AA570" s="38">
        <f ca="1">MIP_4[[#This Row],[HH Produtivo
Total]]/MIP_4[[#This Row],[HH disponível]]</f>
        <v>0.89490722239982912</v>
      </c>
      <c r="AB570" s="38">
        <f>MIP_4[[#This Row],[HH Trabalhado]]/MIP_4[[#This Row],[HH disponível]]</f>
        <v>0.74999999999999967</v>
      </c>
      <c r="AC570" s="37" t="str">
        <f>LEFT(MIP_4[[#This Row],[Equipe]], SEARCH("/",MIP_4[[#This Row],[Equipe]],1)-1)</f>
        <v xml:space="preserve">EDILTON </v>
      </c>
      <c r="AD570" s="37" t="str">
        <f>RIGHT(MIP_4[[#This Row],[Equipe]], LEN(MIP_4[[#This Row],[Equipe]])-SEARCH("/",MIP_4[[#This Row],[Equipe]],1))</f>
        <v xml:space="preserve"> GECIVALDO</v>
      </c>
      <c r="AE570" s="44">
        <f>COUNTIFS('[1]Tempo parado'!G:G,"&gt;="&amp;MIP_4[[#This Row],[S.B Sitrack]],'[1]Tempo parado'!H:H,"&lt;="&amp;MIP_4[[#This Row],[C.B Sitrack]],'[1]Tempo parado'!A:A,MIP_4[[#This Row],[Placa]])</f>
        <v>0</v>
      </c>
      <c r="AF570" s="36"/>
      <c r="AG570" s="35"/>
      <c r="AH570" s="34"/>
      <c r="AI570" s="34"/>
      <c r="AJ57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7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7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70" s="32" t="str">
        <f>IFERROR(MIP_4[[#This Row],[Tempo parado]]/(MIP_4[[#This Row],[C.B Sitrack]]-MIP_4[[#This Row],[S.B Sitrack]]),"")</f>
        <v/>
      </c>
      <c r="AN570" s="30"/>
      <c r="AO570" s="44">
        <f>IF(AND(MIP_4[Exc]=0,MIP_4[Previsto / Realizado]="Realizado"),MIP_4[Sem],0)</f>
        <v>38</v>
      </c>
      <c r="AP570" s="29">
        <f>IF(AND(MIP_4[Exc]=0,MIP_4[Previsto / Realizado]="Realizado",ISBLANK(MIP_4[[#This Row],[S.B Sitrack]])=FALSE,ISBLANK(MIP_4[[#This Row],[C.B Sitrack]])=FALSE),MIP_4[Sem],0)</f>
        <v>0</v>
      </c>
    </row>
    <row r="571" spans="1:42" ht="15.75" x14ac:dyDescent="0.25">
      <c r="A571" s="44">
        <f>WEEKNUM(MIP_4[[#This Row],[Data]])</f>
        <v>38</v>
      </c>
      <c r="B571" s="45">
        <v>43000</v>
      </c>
      <c r="C571" s="45"/>
      <c r="D571" s="35" t="s">
        <v>19</v>
      </c>
      <c r="E571" s="35" t="s">
        <v>5</v>
      </c>
      <c r="F571" s="35"/>
      <c r="G571" s="44">
        <v>2</v>
      </c>
      <c r="H571" s="44">
        <v>8</v>
      </c>
      <c r="I571" s="44">
        <v>1</v>
      </c>
      <c r="J571" s="44">
        <v>1</v>
      </c>
      <c r="K571" s="44">
        <v>0</v>
      </c>
      <c r="L571" s="43">
        <v>0.625</v>
      </c>
      <c r="M571" s="43">
        <v>0.64583333333333337</v>
      </c>
      <c r="N571" s="43">
        <f>1+18/24/60</f>
        <v>1.0125</v>
      </c>
      <c r="O571" s="43">
        <f>1+48/24/60</f>
        <v>1.0333333333333334</v>
      </c>
      <c r="P571" s="39"/>
      <c r="Q571" s="42"/>
      <c r="R571" s="29">
        <f>MIP_4[[#This Row],[PT-1]]+MIP_4[[#This Row],[PT-2]]*2+MIP_4[[#This Row],[PT-3]]*3+MIP_4[[#This Row],[PT &gt; 3 Pontos]]</f>
        <v>13</v>
      </c>
      <c r="S57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57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571" s="41">
        <f ca="1">MIP_4[[#This Row],[Eficiência]]</f>
        <v>0.94433005852842811</v>
      </c>
      <c r="V57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71" s="39">
        <f>IF(MIP_4[[#This Row],[P.S]]-MIP_4[[#This Row],[P.E]]&lt;0,1+MIP_4[[#This Row],[P.S]]-MIP_4[[#This Row],[P.E]]-1/24,MIP_4[[#This Row],[P.S]]-MIP_4[[#This Row],[P.E]]-1/24)</f>
        <v>0.36666666666666675</v>
      </c>
      <c r="X571" s="39">
        <f ca="1">MIP_4[[#This Row],[PT-1]]*$S$3+MIP_4[[#This Row],[PT-2]]*$T$3+MIP_4[[#This Row],[PT-3]]*$U$3+MIP_4[[#This Row],[PT &gt; 3 Pontos]]*$V$3</f>
        <v>0.30690726902173904</v>
      </c>
      <c r="Y571" s="39">
        <f>MIP_4[[#This Row],[HH disponível]]-MIP_4[[#This Row],[HH AC TOT]]</f>
        <v>0.3249999999999999</v>
      </c>
      <c r="Z571" s="38">
        <f ca="1">MIP_4[[#This Row],[HH Produtivo
Total]]/MIP_4[[#This Row],[HH Trabalhado]]</f>
        <v>0.94433005852842811</v>
      </c>
      <c r="AA571" s="38">
        <f ca="1">MIP_4[[#This Row],[HH Produtivo
Total]]/MIP_4[[#This Row],[HH disponível]]</f>
        <v>0.83701982460474267</v>
      </c>
      <c r="AB571" s="38">
        <f>MIP_4[[#This Row],[HH Trabalhado]]/MIP_4[[#This Row],[HH disponível]]</f>
        <v>0.88636363636363591</v>
      </c>
      <c r="AC571" s="37" t="str">
        <f>LEFT(MIP_4[[#This Row],[Equipe]], SEARCH("/",MIP_4[[#This Row],[Equipe]],1)-1)</f>
        <v xml:space="preserve">ADEMÁRIO </v>
      </c>
      <c r="AD571" s="37" t="str">
        <f>RIGHT(MIP_4[[#This Row],[Equipe]], LEN(MIP_4[[#This Row],[Equipe]])-SEARCH("/",MIP_4[[#This Row],[Equipe]],1))</f>
        <v xml:space="preserve"> RONALDO</v>
      </c>
      <c r="AE571" s="44">
        <f>COUNTIFS('[1]Tempo parado'!G:G,"&gt;="&amp;MIP_4[[#This Row],[S.B Sitrack]],'[1]Tempo parado'!H:H,"&lt;="&amp;MIP_4[[#This Row],[C.B Sitrack]],'[1]Tempo parado'!A:A,MIP_4[[#This Row],[Placa]])</f>
        <v>0</v>
      </c>
      <c r="AF571" s="36"/>
      <c r="AG571" s="35"/>
      <c r="AH571" s="34"/>
      <c r="AI571" s="34"/>
      <c r="AJ57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7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7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71" s="32" t="str">
        <f>IFERROR(MIP_4[[#This Row],[Tempo parado]]/(MIP_4[[#This Row],[C.B Sitrack]]-MIP_4[[#This Row],[S.B Sitrack]]),"")</f>
        <v/>
      </c>
      <c r="AN571" s="30"/>
      <c r="AO571" s="44">
        <f>IF(AND(MIP_4[Exc]=0,MIP_4[Previsto / Realizado]="Realizado"),MIP_4[Sem],0)</f>
        <v>0</v>
      </c>
      <c r="AP571" s="29">
        <f>IF(AND(MIP_4[Exc]=0,MIP_4[Previsto / Realizado]="Realizado",ISBLANK(MIP_4[[#This Row],[S.B Sitrack]])=FALSE,ISBLANK(MIP_4[[#This Row],[C.B Sitrack]])=FALSE),MIP_4[Sem],0)</f>
        <v>0</v>
      </c>
    </row>
    <row r="572" spans="1:42" ht="15.75" x14ac:dyDescent="0.25">
      <c r="A572" s="44">
        <f>WEEKNUM(MIP_4[[#This Row],[Data]])</f>
        <v>38</v>
      </c>
      <c r="B572" s="45">
        <v>43000</v>
      </c>
      <c r="C572" s="45"/>
      <c r="D572" s="35" t="s">
        <v>19</v>
      </c>
      <c r="E572" s="35" t="s">
        <v>2</v>
      </c>
      <c r="F572" s="35"/>
      <c r="G572" s="44">
        <v>2</v>
      </c>
      <c r="H572" s="44">
        <v>8</v>
      </c>
      <c r="I572" s="44">
        <v>1</v>
      </c>
      <c r="J572" s="44">
        <v>1</v>
      </c>
      <c r="K572" s="44">
        <v>0</v>
      </c>
      <c r="L572" s="43">
        <v>0.62777777777777777</v>
      </c>
      <c r="M572" s="43">
        <v>0.67361111111111116</v>
      </c>
      <c r="N572" s="43">
        <f>1+21/24/60</f>
        <v>1.0145833333333334</v>
      </c>
      <c r="O572" s="43">
        <f>1+53/24/60</f>
        <v>1.0368055555555555</v>
      </c>
      <c r="P572" s="39"/>
      <c r="Q572" s="42"/>
      <c r="R572" s="29">
        <f>MIP_4[[#This Row],[PT-1]]+MIP_4[[#This Row],[PT-2]]*2+MIP_4[[#This Row],[PT-3]]*3+MIP_4[[#This Row],[PT &gt; 3 Pontos]]</f>
        <v>13</v>
      </c>
      <c r="S57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6.8055555555555536E-2</v>
      </c>
      <c r="T57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6.8055555555555536E-2</v>
      </c>
      <c r="U572" s="41">
        <f ca="1">MIP_4[[#This Row],[Eficiência]]</f>
        <v>1.0253978361747198</v>
      </c>
      <c r="V57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72" s="39">
        <f>IF(MIP_4[[#This Row],[P.S]]-MIP_4[[#This Row],[P.E]]&lt;0,1+MIP_4[[#This Row],[P.S]]-MIP_4[[#This Row],[P.E]]-1/24,MIP_4[[#This Row],[P.S]]-MIP_4[[#This Row],[P.E]]-1/24)</f>
        <v>0.36736111111111108</v>
      </c>
      <c r="X572" s="39">
        <f ca="1">MIP_4[[#This Row],[PT-1]]*$S$3+MIP_4[[#This Row],[PT-2]]*$T$3+MIP_4[[#This Row],[PT-3]]*$U$3+MIP_4[[#This Row],[PT &gt; 3 Pontos]]*$V$3</f>
        <v>0.30690726902173904</v>
      </c>
      <c r="Y572" s="39">
        <f>MIP_4[[#This Row],[HH disponível]]-MIP_4[[#This Row],[HH AC TOT]]</f>
        <v>0.29930555555555555</v>
      </c>
      <c r="Z572" s="38">
        <f ca="1">MIP_4[[#This Row],[HH Produtivo
Total]]/MIP_4[[#This Row],[HH Trabalhado]]</f>
        <v>1.0253978361747198</v>
      </c>
      <c r="AA572" s="38">
        <f ca="1">MIP_4[[#This Row],[HH Produtivo
Total]]/MIP_4[[#This Row],[HH disponível]]</f>
        <v>0.83543755650530105</v>
      </c>
      <c r="AB572" s="38">
        <f>MIP_4[[#This Row],[HH Trabalhado]]/MIP_4[[#This Row],[HH disponível]]</f>
        <v>0.81474480151228734</v>
      </c>
      <c r="AC572" s="37" t="str">
        <f>LEFT(MIP_4[[#This Row],[Equipe]], SEARCH("/",MIP_4[[#This Row],[Equipe]],1)-1)</f>
        <v xml:space="preserve">ADEMÁRIO </v>
      </c>
      <c r="AD572" s="37" t="str">
        <f>RIGHT(MIP_4[[#This Row],[Equipe]], LEN(MIP_4[[#This Row],[Equipe]])-SEARCH("/",MIP_4[[#This Row],[Equipe]],1))</f>
        <v xml:space="preserve"> RONALDO</v>
      </c>
      <c r="AE572" s="44">
        <f>COUNTIFS('[1]Tempo parado'!G:G,"&gt;="&amp;MIP_4[[#This Row],[S.B Sitrack]],'[1]Tempo parado'!H:H,"&lt;="&amp;MIP_4[[#This Row],[C.B Sitrack]],'[1]Tempo parado'!A:A,MIP_4[[#This Row],[Placa]])</f>
        <v>0</v>
      </c>
      <c r="AF572" s="36"/>
      <c r="AG572" s="35"/>
      <c r="AH572" s="34"/>
      <c r="AI572" s="34"/>
      <c r="AJ57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7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7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72" s="32" t="str">
        <f>IFERROR(MIP_4[[#This Row],[Tempo parado]]/(MIP_4[[#This Row],[C.B Sitrack]]-MIP_4[[#This Row],[S.B Sitrack]]),"")</f>
        <v/>
      </c>
      <c r="AN572" s="30"/>
      <c r="AO572" s="44">
        <f>IF(AND(MIP_4[Exc]=0,MIP_4[Previsto / Realizado]="Realizado"),MIP_4[Sem],0)</f>
        <v>38</v>
      </c>
      <c r="AP572" s="29">
        <f>IF(AND(MIP_4[Exc]=0,MIP_4[Previsto / Realizado]="Realizado",ISBLANK(MIP_4[[#This Row],[S.B Sitrack]])=FALSE,ISBLANK(MIP_4[[#This Row],[C.B Sitrack]])=FALSE),MIP_4[Sem],0)</f>
        <v>0</v>
      </c>
    </row>
    <row r="573" spans="1:42" ht="15.75" x14ac:dyDescent="0.25">
      <c r="A573" s="44">
        <f>WEEKNUM(MIP_4[[#This Row],[Data]])</f>
        <v>38</v>
      </c>
      <c r="B573" s="45">
        <v>43000</v>
      </c>
      <c r="C573" s="45"/>
      <c r="D573" s="35" t="s">
        <v>7</v>
      </c>
      <c r="E573" s="35" t="s">
        <v>5</v>
      </c>
      <c r="F573" s="35"/>
      <c r="G573" s="44">
        <v>2</v>
      </c>
      <c r="H573" s="44">
        <v>0</v>
      </c>
      <c r="I573" s="44">
        <v>0</v>
      </c>
      <c r="J573" s="44">
        <v>0</v>
      </c>
      <c r="K573" s="44">
        <v>0</v>
      </c>
      <c r="L573" s="43">
        <v>0.625</v>
      </c>
      <c r="M573" s="43">
        <v>0.64583333333333337</v>
      </c>
      <c r="N573" s="43">
        <f>1+18/24/60</f>
        <v>1.0125</v>
      </c>
      <c r="O573" s="43">
        <f>1+48/24/60</f>
        <v>1.0333333333333334</v>
      </c>
      <c r="P573" s="39"/>
      <c r="Q573" s="42" t="s">
        <v>226</v>
      </c>
      <c r="R573" s="29">
        <f>MIP_4[[#This Row],[PT-1]]+MIP_4[[#This Row],[PT-2]]*2+MIP_4[[#This Row],[PT-3]]*3+MIP_4[[#This Row],[PT &gt; 3 Pontos]]</f>
        <v>0</v>
      </c>
      <c r="S57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57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573" s="41">
        <f ca="1">MIP_4[[#This Row],[Eficiência]]</f>
        <v>0</v>
      </c>
      <c r="V57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73" s="39">
        <f>IF(MIP_4[[#This Row],[P.S]]-MIP_4[[#This Row],[P.E]]&lt;0,1+MIP_4[[#This Row],[P.S]]-MIP_4[[#This Row],[P.E]]-1/24,MIP_4[[#This Row],[P.S]]-MIP_4[[#This Row],[P.E]]-1/24)</f>
        <v>0.36666666666666675</v>
      </c>
      <c r="X573" s="39">
        <f ca="1">MIP_4[[#This Row],[PT-1]]*$S$3+MIP_4[[#This Row],[PT-2]]*$T$3+MIP_4[[#This Row],[PT-3]]*$U$3+MIP_4[[#This Row],[PT &gt; 3 Pontos]]*$V$3</f>
        <v>0</v>
      </c>
      <c r="Y573" s="39">
        <f>MIP_4[[#This Row],[HH disponível]]-MIP_4[[#This Row],[HH AC TOT]]</f>
        <v>0.3249999999999999</v>
      </c>
      <c r="Z573" s="38">
        <f ca="1">MIP_4[[#This Row],[HH Produtivo
Total]]/MIP_4[[#This Row],[HH Trabalhado]]</f>
        <v>0</v>
      </c>
      <c r="AA573" s="38">
        <f ca="1">MIP_4[[#This Row],[HH Produtivo
Total]]/MIP_4[[#This Row],[HH disponível]]</f>
        <v>0</v>
      </c>
      <c r="AB573" s="38">
        <f>MIP_4[[#This Row],[HH Trabalhado]]/MIP_4[[#This Row],[HH disponível]]</f>
        <v>0.88636363636363591</v>
      </c>
      <c r="AC573" s="37" t="str">
        <f>LEFT(MIP_4[[#This Row],[Equipe]], SEARCH("/",MIP_4[[#This Row],[Equipe]],1)-1)</f>
        <v xml:space="preserve">ANDERSON </v>
      </c>
      <c r="AD573" s="37" t="str">
        <f>RIGHT(MIP_4[[#This Row],[Equipe]], LEN(MIP_4[[#This Row],[Equipe]])-SEARCH("/",MIP_4[[#This Row],[Equipe]],1))</f>
        <v xml:space="preserve"> MARCO</v>
      </c>
      <c r="AE573" s="44">
        <f>COUNTIFS('[1]Tempo parado'!G:G,"&gt;="&amp;MIP_4[[#This Row],[S.B Sitrack]],'[1]Tempo parado'!H:H,"&lt;="&amp;MIP_4[[#This Row],[C.B Sitrack]],'[1]Tempo parado'!A:A,MIP_4[[#This Row],[Placa]])</f>
        <v>0</v>
      </c>
      <c r="AF573" s="36"/>
      <c r="AG573" s="35"/>
      <c r="AH573" s="34"/>
      <c r="AI573" s="34"/>
      <c r="AJ57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7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7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73" s="32" t="str">
        <f>IFERROR(MIP_4[[#This Row],[Tempo parado]]/(MIP_4[[#This Row],[C.B Sitrack]]-MIP_4[[#This Row],[S.B Sitrack]]),"")</f>
        <v/>
      </c>
      <c r="AN573" s="30"/>
      <c r="AO573" s="44">
        <f>IF(AND(MIP_4[Exc]=0,MIP_4[Previsto / Realizado]="Realizado"),MIP_4[Sem],0)</f>
        <v>0</v>
      </c>
      <c r="AP573" s="29">
        <f>IF(AND(MIP_4[Exc]=0,MIP_4[Previsto / Realizado]="Realizado",ISBLANK(MIP_4[[#This Row],[S.B Sitrack]])=FALSE,ISBLANK(MIP_4[[#This Row],[C.B Sitrack]])=FALSE),MIP_4[Sem],0)</f>
        <v>0</v>
      </c>
    </row>
    <row r="574" spans="1:42" ht="15.75" x14ac:dyDescent="0.25">
      <c r="A574" s="44">
        <f>WEEKNUM(MIP_4[[#This Row],[Data]])</f>
        <v>38</v>
      </c>
      <c r="B574" s="45">
        <v>43000</v>
      </c>
      <c r="C574" s="45"/>
      <c r="D574" s="35" t="s">
        <v>7</v>
      </c>
      <c r="E574" s="35" t="s">
        <v>2</v>
      </c>
      <c r="F574" s="35"/>
      <c r="G574" s="44">
        <v>2</v>
      </c>
      <c r="H574" s="44">
        <v>4</v>
      </c>
      <c r="I574" s="44">
        <v>2</v>
      </c>
      <c r="J574" s="44">
        <v>1</v>
      </c>
      <c r="K574" s="44">
        <v>0</v>
      </c>
      <c r="L574" s="43">
        <v>0.62708333333333333</v>
      </c>
      <c r="M574" s="43">
        <v>0.67361111111111116</v>
      </c>
      <c r="N574" s="43">
        <f>1+25/24/60</f>
        <v>1.0173611111111112</v>
      </c>
      <c r="O574" s="43">
        <f>1+50/24/60</f>
        <v>1.0347222222222223</v>
      </c>
      <c r="P574" s="39">
        <v>0.1111111111111111</v>
      </c>
      <c r="Q574" s="42" t="s">
        <v>225</v>
      </c>
      <c r="R574" s="29">
        <f>MIP_4[[#This Row],[PT-1]]+MIP_4[[#This Row],[PT-2]]*2+MIP_4[[#This Row],[PT-3]]*3+MIP_4[[#This Row],[PT &gt; 3 Pontos]]</f>
        <v>11</v>
      </c>
      <c r="S57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0.1750000000000001</v>
      </c>
      <c r="T57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6.3888888888888995E-2</v>
      </c>
      <c r="U574" s="41">
        <f ca="1">MIP_4[[#This Row],[Eficiência]]</f>
        <v>1.3128224637681156</v>
      </c>
      <c r="V57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74" s="39">
        <f>IF(MIP_4[[#This Row],[P.S]]-MIP_4[[#This Row],[P.E]]&lt;0,1+MIP_4[[#This Row],[P.S]]-MIP_4[[#This Row],[P.E]]-1/24,MIP_4[[#This Row],[P.S]]-MIP_4[[#This Row],[P.E]]-1/24)</f>
        <v>0.36597222222222231</v>
      </c>
      <c r="X574" s="39">
        <f ca="1">MIP_4[[#This Row],[PT-1]]*$S$3+MIP_4[[#This Row],[PT-2]]*$T$3+MIP_4[[#This Row],[PT-3]]*$U$3+MIP_4[[#This Row],[PT &gt; 3 Pontos]]*$V$3</f>
        <v>0.25071262328904986</v>
      </c>
      <c r="Y574" s="39">
        <f>MIP_4[[#This Row],[HH disponível]]-MIP_4[[#This Row],[HH AC TOT]]</f>
        <v>0.19097222222222221</v>
      </c>
      <c r="Z574" s="38">
        <f ca="1">MIP_4[[#This Row],[HH Produtivo
Total]]/MIP_4[[#This Row],[HH Trabalhado]]</f>
        <v>1.3128224637681156</v>
      </c>
      <c r="AA574" s="38">
        <f ca="1">MIP_4[[#This Row],[HH Produtivo
Total]]/MIP_4[[#This Row],[HH disponível]]</f>
        <v>0.6850591604103069</v>
      </c>
      <c r="AB574" s="38">
        <f>MIP_4[[#This Row],[HH Trabalhado]]/MIP_4[[#This Row],[HH disponível]]</f>
        <v>0.52182163187855768</v>
      </c>
      <c r="AC574" s="37" t="str">
        <f>LEFT(MIP_4[[#This Row],[Equipe]], SEARCH("/",MIP_4[[#This Row],[Equipe]],1)-1)</f>
        <v xml:space="preserve">ANDERSON </v>
      </c>
      <c r="AD574" s="37" t="str">
        <f>RIGHT(MIP_4[[#This Row],[Equipe]], LEN(MIP_4[[#This Row],[Equipe]])-SEARCH("/",MIP_4[[#This Row],[Equipe]],1))</f>
        <v xml:space="preserve"> MARCO</v>
      </c>
      <c r="AE574" s="44">
        <f>COUNTIFS('[1]Tempo parado'!G:G,"&gt;="&amp;MIP_4[[#This Row],[S.B Sitrack]],'[1]Tempo parado'!H:H,"&lt;="&amp;MIP_4[[#This Row],[C.B Sitrack]],'[1]Tempo parado'!A:A,MIP_4[[#This Row],[Placa]])</f>
        <v>0</v>
      </c>
      <c r="AF574" s="36"/>
      <c r="AG574" s="35"/>
      <c r="AH574" s="34"/>
      <c r="AI574" s="34"/>
      <c r="AJ57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7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7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74" s="32" t="str">
        <f>IFERROR(MIP_4[[#This Row],[Tempo parado]]/(MIP_4[[#This Row],[C.B Sitrack]]-MIP_4[[#This Row],[S.B Sitrack]]),"")</f>
        <v/>
      </c>
      <c r="AN574" s="30"/>
      <c r="AO574" s="44">
        <f>IF(AND(MIP_4[Exc]=0,MIP_4[Previsto / Realizado]="Realizado"),MIP_4[Sem],0)</f>
        <v>38</v>
      </c>
      <c r="AP574" s="29">
        <f>IF(AND(MIP_4[Exc]=0,MIP_4[Previsto / Realizado]="Realizado",ISBLANK(MIP_4[[#This Row],[S.B Sitrack]])=FALSE,ISBLANK(MIP_4[[#This Row],[C.B Sitrack]])=FALSE),MIP_4[Sem],0)</f>
        <v>0</v>
      </c>
    </row>
    <row r="575" spans="1:42" ht="15.75" x14ac:dyDescent="0.25">
      <c r="A575" s="44">
        <f>WEEKNUM(MIP_4[[#This Row],[Data]])</f>
        <v>38</v>
      </c>
      <c r="B575" s="45">
        <v>43001</v>
      </c>
      <c r="C575" s="45"/>
      <c r="D575" s="35" t="s">
        <v>3</v>
      </c>
      <c r="E575" s="35" t="s">
        <v>5</v>
      </c>
      <c r="F575" s="35"/>
      <c r="G575" s="44">
        <v>2</v>
      </c>
      <c r="H575" s="44">
        <v>0</v>
      </c>
      <c r="I575" s="44">
        <v>0</v>
      </c>
      <c r="J575" s="44">
        <v>0</v>
      </c>
      <c r="K575" s="44">
        <v>0</v>
      </c>
      <c r="L575" s="43">
        <v>0.625</v>
      </c>
      <c r="M575" s="43">
        <v>0.64583333333333337</v>
      </c>
      <c r="N575" s="43">
        <f>1+18/24/60</f>
        <v>1.0125</v>
      </c>
      <c r="O575" s="43">
        <f>1+48/24/60</f>
        <v>1.0333333333333334</v>
      </c>
      <c r="P575" s="39"/>
      <c r="Q575" s="42" t="s">
        <v>36</v>
      </c>
      <c r="R575" s="29">
        <f>MIP_4[[#This Row],[PT-1]]+MIP_4[[#This Row],[PT-2]]*2+MIP_4[[#This Row],[PT-3]]*3+MIP_4[[#This Row],[PT &gt; 3 Pontos]]</f>
        <v>0</v>
      </c>
      <c r="S57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57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575" s="41">
        <f ca="1">MIP_4[[#This Row],[Eficiência]]</f>
        <v>0</v>
      </c>
      <c r="V57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75" s="39">
        <f>IF(MIP_4[[#This Row],[P.S]]-MIP_4[[#This Row],[P.E]]&lt;0,1+MIP_4[[#This Row],[P.S]]-MIP_4[[#This Row],[P.E]]-1/24,MIP_4[[#This Row],[P.S]]-MIP_4[[#This Row],[P.E]]-1/24)</f>
        <v>0.36666666666666675</v>
      </c>
      <c r="X575" s="39">
        <f ca="1">MIP_4[[#This Row],[PT-1]]*$S$3+MIP_4[[#This Row],[PT-2]]*$T$3+MIP_4[[#This Row],[PT-3]]*$U$3+MIP_4[[#This Row],[PT &gt; 3 Pontos]]*$V$3</f>
        <v>0</v>
      </c>
      <c r="Y575" s="39">
        <f>MIP_4[[#This Row],[HH disponível]]-MIP_4[[#This Row],[HH AC TOT]]</f>
        <v>0.3249999999999999</v>
      </c>
      <c r="Z575" s="38">
        <f ca="1">MIP_4[[#This Row],[HH Produtivo
Total]]/MIP_4[[#This Row],[HH Trabalhado]]</f>
        <v>0</v>
      </c>
      <c r="AA575" s="38">
        <f ca="1">MIP_4[[#This Row],[HH Produtivo
Total]]/MIP_4[[#This Row],[HH disponível]]</f>
        <v>0</v>
      </c>
      <c r="AB575" s="38">
        <f>MIP_4[[#This Row],[HH Trabalhado]]/MIP_4[[#This Row],[HH disponível]]</f>
        <v>0.88636363636363591</v>
      </c>
      <c r="AC575" s="37" t="str">
        <f>LEFT(MIP_4[[#This Row],[Equipe]], SEARCH("/",MIP_4[[#This Row],[Equipe]],1)-1)</f>
        <v xml:space="preserve">EDILTON </v>
      </c>
      <c r="AD575" s="37" t="str">
        <f>RIGHT(MIP_4[[#This Row],[Equipe]], LEN(MIP_4[[#This Row],[Equipe]])-SEARCH("/",MIP_4[[#This Row],[Equipe]],1))</f>
        <v xml:space="preserve"> GECIVALDO</v>
      </c>
      <c r="AE575" s="44">
        <f>COUNTIFS('[1]Tempo parado'!G:G,"&gt;="&amp;MIP_4[[#This Row],[S.B Sitrack]],'[1]Tempo parado'!H:H,"&lt;="&amp;MIP_4[[#This Row],[C.B Sitrack]],'[1]Tempo parado'!A:A,MIP_4[[#This Row],[Placa]])</f>
        <v>0</v>
      </c>
      <c r="AF575" s="36"/>
      <c r="AG575" s="35"/>
      <c r="AH575" s="34"/>
      <c r="AI575" s="34"/>
      <c r="AJ57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7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7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75" s="32" t="str">
        <f>IFERROR(MIP_4[[#This Row],[Tempo parado]]/(MIP_4[[#This Row],[C.B Sitrack]]-MIP_4[[#This Row],[S.B Sitrack]]),"")</f>
        <v/>
      </c>
      <c r="AN575" s="30"/>
      <c r="AO575" s="44">
        <f>IF(AND(MIP_4[Exc]=0,MIP_4[Previsto / Realizado]="Realizado"),MIP_4[Sem],0)</f>
        <v>0</v>
      </c>
      <c r="AP575" s="29">
        <f>IF(AND(MIP_4[Exc]=0,MIP_4[Previsto / Realizado]="Realizado",ISBLANK(MIP_4[[#This Row],[S.B Sitrack]])=FALSE,ISBLANK(MIP_4[[#This Row],[C.B Sitrack]])=FALSE),MIP_4[Sem],0)</f>
        <v>0</v>
      </c>
    </row>
    <row r="576" spans="1:42" ht="15.75" x14ac:dyDescent="0.25">
      <c r="A576" s="44">
        <f>WEEKNUM(MIP_4[[#This Row],[Data]])</f>
        <v>38</v>
      </c>
      <c r="B576" s="45">
        <v>43001</v>
      </c>
      <c r="C576" s="45"/>
      <c r="D576" s="35" t="s">
        <v>3</v>
      </c>
      <c r="E576" s="35" t="s">
        <v>2</v>
      </c>
      <c r="F576" s="35"/>
      <c r="G576" s="44">
        <v>2</v>
      </c>
      <c r="H576" s="44">
        <v>7</v>
      </c>
      <c r="I576" s="44">
        <v>2</v>
      </c>
      <c r="J576" s="44">
        <v>1</v>
      </c>
      <c r="K576" s="44">
        <v>0</v>
      </c>
      <c r="L576" s="43">
        <v>0.61111111111111105</v>
      </c>
      <c r="M576" s="43">
        <v>0.63888888888888895</v>
      </c>
      <c r="N576" s="43">
        <f>1+31/24/60</f>
        <v>1.0215277777777778</v>
      </c>
      <c r="O576" s="43">
        <f>1+48/24/60</f>
        <v>1.0333333333333334</v>
      </c>
      <c r="P576" s="39"/>
      <c r="Q576" s="42" t="s">
        <v>92</v>
      </c>
      <c r="R576" s="29">
        <f>MIP_4[[#This Row],[PT-1]]+MIP_4[[#This Row],[PT-2]]*2+MIP_4[[#This Row],[PT-3]]*3+MIP_4[[#This Row],[PT &gt; 3 Pontos]]</f>
        <v>14</v>
      </c>
      <c r="S57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3.9583333333333526E-2</v>
      </c>
      <c r="T57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3.9583333333333526E-2</v>
      </c>
      <c r="U576" s="41">
        <f ca="1">MIP_4[[#This Row],[Eficiência]]</f>
        <v>0.955474261341834</v>
      </c>
      <c r="V57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76" s="39">
        <f>IF(MIP_4[[#This Row],[P.S]]-MIP_4[[#This Row],[P.E]]&lt;0,1+MIP_4[[#This Row],[P.S]]-MIP_4[[#This Row],[P.E]]-1/24,MIP_4[[#This Row],[P.S]]-MIP_4[[#This Row],[P.E]]-1/24)</f>
        <v>0.3805555555555557</v>
      </c>
      <c r="X576" s="39">
        <f ca="1">MIP_4[[#This Row],[PT-1]]*$S$3+MIP_4[[#This Row],[PT-2]]*$T$3+MIP_4[[#This Row],[PT-3]]*$U$3+MIP_4[[#This Row],[PT &gt; 3 Pontos]]*$V$3</f>
        <v>0.32579018216586142</v>
      </c>
      <c r="Y576" s="39">
        <f>MIP_4[[#This Row],[HH disponível]]-MIP_4[[#This Row],[HH AC TOT]]</f>
        <v>0.34097222222222218</v>
      </c>
      <c r="Z576" s="38">
        <f ca="1">MIP_4[[#This Row],[HH Produtivo
Total]]/MIP_4[[#This Row],[HH Trabalhado]]</f>
        <v>0.955474261341834</v>
      </c>
      <c r="AA576" s="38">
        <f ca="1">MIP_4[[#This Row],[HH Produtivo
Total]]/MIP_4[[#This Row],[HH disponível]]</f>
        <v>0.85609098963292019</v>
      </c>
      <c r="AB576" s="38">
        <f>MIP_4[[#This Row],[HH Trabalhado]]/MIP_4[[#This Row],[HH disponível]]</f>
        <v>0.8959854014598535</v>
      </c>
      <c r="AC576" s="37" t="str">
        <f>LEFT(MIP_4[[#This Row],[Equipe]], SEARCH("/",MIP_4[[#This Row],[Equipe]],1)-1)</f>
        <v xml:space="preserve">EDILTON </v>
      </c>
      <c r="AD576" s="37" t="str">
        <f>RIGHT(MIP_4[[#This Row],[Equipe]], LEN(MIP_4[[#This Row],[Equipe]])-SEARCH("/",MIP_4[[#This Row],[Equipe]],1))</f>
        <v xml:space="preserve"> GECIVALDO</v>
      </c>
      <c r="AE576" s="44">
        <f>COUNTIFS('[1]Tempo parado'!G:G,"&gt;="&amp;MIP_4[[#This Row],[S.B Sitrack]],'[1]Tempo parado'!H:H,"&lt;="&amp;MIP_4[[#This Row],[C.B Sitrack]],'[1]Tempo parado'!A:A,MIP_4[[#This Row],[Placa]])</f>
        <v>0</v>
      </c>
      <c r="AF576" s="36"/>
      <c r="AG576" s="35"/>
      <c r="AH576" s="34"/>
      <c r="AI576" s="34"/>
      <c r="AJ57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7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7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76" s="32" t="str">
        <f>IFERROR(MIP_4[[#This Row],[Tempo parado]]/(MIP_4[[#This Row],[C.B Sitrack]]-MIP_4[[#This Row],[S.B Sitrack]]),"")</f>
        <v/>
      </c>
      <c r="AN576" s="30"/>
      <c r="AO576" s="44">
        <f>IF(AND(MIP_4[Exc]=0,MIP_4[Previsto / Realizado]="Realizado"),MIP_4[Sem],0)</f>
        <v>38</v>
      </c>
      <c r="AP576" s="29">
        <f>IF(AND(MIP_4[Exc]=0,MIP_4[Previsto / Realizado]="Realizado",ISBLANK(MIP_4[[#This Row],[S.B Sitrack]])=FALSE,ISBLANK(MIP_4[[#This Row],[C.B Sitrack]])=FALSE),MIP_4[Sem],0)</f>
        <v>0</v>
      </c>
    </row>
    <row r="577" spans="1:42" ht="15.75" x14ac:dyDescent="0.25">
      <c r="A577" s="44">
        <f>WEEKNUM(MIP_4[[#This Row],[Data]])</f>
        <v>38</v>
      </c>
      <c r="B577" s="45">
        <v>43001</v>
      </c>
      <c r="C577" s="45"/>
      <c r="D577" s="35" t="s">
        <v>156</v>
      </c>
      <c r="E577" s="35" t="s">
        <v>5</v>
      </c>
      <c r="F577" s="35"/>
      <c r="G577" s="44">
        <v>2</v>
      </c>
      <c r="H577" s="44">
        <v>0</v>
      </c>
      <c r="I577" s="44">
        <v>1</v>
      </c>
      <c r="J577" s="44">
        <v>1</v>
      </c>
      <c r="K577" s="44">
        <v>0</v>
      </c>
      <c r="L577" s="43">
        <v>0.625</v>
      </c>
      <c r="M577" s="43">
        <v>0.64583333333333337</v>
      </c>
      <c r="N577" s="43">
        <f>1+18/24/60</f>
        <v>1.0125</v>
      </c>
      <c r="O577" s="43">
        <f>1+48/24/60</f>
        <v>1.0333333333333334</v>
      </c>
      <c r="P577" s="39"/>
      <c r="Q577" s="42" t="s">
        <v>36</v>
      </c>
      <c r="R577" s="29">
        <f>MIP_4[[#This Row],[PT-1]]+MIP_4[[#This Row],[PT-2]]*2+MIP_4[[#This Row],[PT-3]]*3+MIP_4[[#This Row],[PT &gt; 3 Pontos]]</f>
        <v>5</v>
      </c>
      <c r="S57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57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577" s="41">
        <f ca="1">MIP_4[[#This Row],[Eficiência]]</f>
        <v>0.32830906261612797</v>
      </c>
      <c r="V57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77" s="39">
        <f>IF(MIP_4[[#This Row],[P.S]]-MIP_4[[#This Row],[P.E]]&lt;0,1+MIP_4[[#This Row],[P.S]]-MIP_4[[#This Row],[P.E]]-1/24,MIP_4[[#This Row],[P.S]]-MIP_4[[#This Row],[P.E]]-1/24)</f>
        <v>0.36666666666666675</v>
      </c>
      <c r="X577" s="39">
        <f ca="1">MIP_4[[#This Row],[PT-1]]*$S$3+MIP_4[[#This Row],[PT-2]]*$T$3+MIP_4[[#This Row],[PT-3]]*$U$3+MIP_4[[#This Row],[PT &gt; 3 Pontos]]*$V$3</f>
        <v>0.10670044535024156</v>
      </c>
      <c r="Y577" s="39">
        <f>MIP_4[[#This Row],[HH disponível]]-MIP_4[[#This Row],[HH AC TOT]]</f>
        <v>0.3249999999999999</v>
      </c>
      <c r="Z577" s="38">
        <f ca="1">MIP_4[[#This Row],[HH Produtivo
Total]]/MIP_4[[#This Row],[HH Trabalhado]]</f>
        <v>0.32830906261612797</v>
      </c>
      <c r="AA577" s="38">
        <f ca="1">MIP_4[[#This Row],[HH Produtivo
Total]]/MIP_4[[#This Row],[HH disponível]]</f>
        <v>0.29100121459156786</v>
      </c>
      <c r="AB577" s="38">
        <f>MIP_4[[#This Row],[HH Trabalhado]]/MIP_4[[#This Row],[HH disponível]]</f>
        <v>0.88636363636363591</v>
      </c>
      <c r="AC577" s="37" t="str">
        <f>LEFT(MIP_4[[#This Row],[Equipe]], SEARCH("/",MIP_4[[#This Row],[Equipe]],1)-1)</f>
        <v xml:space="preserve">ADEMÁRIO </v>
      </c>
      <c r="AD577" s="37" t="str">
        <f>RIGHT(MIP_4[[#This Row],[Equipe]], LEN(MIP_4[[#This Row],[Equipe]])-SEARCH("/",MIP_4[[#This Row],[Equipe]],1))</f>
        <v xml:space="preserve"> MARCO</v>
      </c>
      <c r="AE577" s="44">
        <f>COUNTIFS('[1]Tempo parado'!G:G,"&gt;="&amp;MIP_4[[#This Row],[S.B Sitrack]],'[1]Tempo parado'!H:H,"&lt;="&amp;MIP_4[[#This Row],[C.B Sitrack]],'[1]Tempo parado'!A:A,MIP_4[[#This Row],[Placa]])</f>
        <v>0</v>
      </c>
      <c r="AF577" s="36"/>
      <c r="AG577" s="35"/>
      <c r="AH577" s="34"/>
      <c r="AI577" s="34"/>
      <c r="AJ57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7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7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77" s="32" t="str">
        <f>IFERROR(MIP_4[[#This Row],[Tempo parado]]/(MIP_4[[#This Row],[C.B Sitrack]]-MIP_4[[#This Row],[S.B Sitrack]]),"")</f>
        <v/>
      </c>
      <c r="AN577" s="30"/>
      <c r="AO577" s="44">
        <f>IF(AND(MIP_4[Exc]=0,MIP_4[Previsto / Realizado]="Realizado"),MIP_4[Sem],0)</f>
        <v>0</v>
      </c>
      <c r="AP577" s="29">
        <f>IF(AND(MIP_4[Exc]=0,MIP_4[Previsto / Realizado]="Realizado",ISBLANK(MIP_4[[#This Row],[S.B Sitrack]])=FALSE,ISBLANK(MIP_4[[#This Row],[C.B Sitrack]])=FALSE),MIP_4[Sem],0)</f>
        <v>0</v>
      </c>
    </row>
    <row r="578" spans="1:42" ht="15.75" x14ac:dyDescent="0.25">
      <c r="A578" s="44">
        <f>WEEKNUM(MIP_4[[#This Row],[Data]])</f>
        <v>38</v>
      </c>
      <c r="B578" s="45">
        <v>43001</v>
      </c>
      <c r="C578" s="45"/>
      <c r="D578" s="35" t="s">
        <v>156</v>
      </c>
      <c r="E578" s="35" t="s">
        <v>2</v>
      </c>
      <c r="F578" s="35"/>
      <c r="G578" s="44">
        <v>2</v>
      </c>
      <c r="H578" s="44">
        <v>1</v>
      </c>
      <c r="I578" s="44">
        <v>2</v>
      </c>
      <c r="J578" s="44">
        <v>1</v>
      </c>
      <c r="K578" s="44">
        <v>5</v>
      </c>
      <c r="L578" s="43">
        <v>0.6479166666666667</v>
      </c>
      <c r="M578" s="43">
        <v>0.66666666666666663</v>
      </c>
      <c r="N578" s="43">
        <f>1+19/24/60</f>
        <v>1.0131944444444445</v>
      </c>
      <c r="O578" s="43">
        <f>1+50/24/60</f>
        <v>1.0347222222222223</v>
      </c>
      <c r="P578" s="39"/>
      <c r="Q578" s="42" t="s">
        <v>224</v>
      </c>
      <c r="R578" s="29">
        <f>MIP_4[[#This Row],[PT-1]]+MIP_4[[#This Row],[PT-2]]*2+MIP_4[[#This Row],[PT-3]]*3+MIP_4[[#This Row],[PT &gt; 3 Pontos]]</f>
        <v>13</v>
      </c>
      <c r="S57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4.0277777777777746E-2</v>
      </c>
      <c r="T57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4.0277777777777746E-2</v>
      </c>
      <c r="U578" s="41">
        <f ca="1">MIP_4[[#This Row],[Eficiência]]</f>
        <v>0.90820084531892487</v>
      </c>
      <c r="V57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78" s="39">
        <f>IF(MIP_4[[#This Row],[P.S]]-MIP_4[[#This Row],[P.E]]&lt;0,1+MIP_4[[#This Row],[P.S]]-MIP_4[[#This Row],[P.E]]-1/24,MIP_4[[#This Row],[P.S]]-MIP_4[[#This Row],[P.E]]-1/24)</f>
        <v>0.34513888888888894</v>
      </c>
      <c r="X578" s="39">
        <f ca="1">MIP_4[[#This Row],[PT-1]]*$S$3+MIP_4[[#This Row],[PT-2]]*$T$3+MIP_4[[#This Row],[PT-3]]*$U$3+MIP_4[[#This Row],[PT &gt; 3 Pontos]]*$V$3</f>
        <v>0.27687511881597787</v>
      </c>
      <c r="Y578" s="39">
        <f>MIP_4[[#This Row],[HH disponível]]-MIP_4[[#This Row],[HH AC TOT]]</f>
        <v>0.30486111111111119</v>
      </c>
      <c r="Z578" s="38">
        <f ca="1">MIP_4[[#This Row],[HH Produtivo
Total]]/MIP_4[[#This Row],[HH Trabalhado]]</f>
        <v>0.90820084531892487</v>
      </c>
      <c r="AA578" s="38">
        <f ca="1">MIP_4[[#This Row],[HH Produtivo
Total]]/MIP_4[[#This Row],[HH disponível]]</f>
        <v>0.80221362393361784</v>
      </c>
      <c r="AB578" s="38">
        <f>MIP_4[[#This Row],[HH Trabalhado]]/MIP_4[[#This Row],[HH disponível]]</f>
        <v>0.88329979879275666</v>
      </c>
      <c r="AC578" s="37" t="str">
        <f>LEFT(MIP_4[[#This Row],[Equipe]], SEARCH("/",MIP_4[[#This Row],[Equipe]],1)-1)</f>
        <v xml:space="preserve">ADEMÁRIO </v>
      </c>
      <c r="AD578" s="37" t="str">
        <f>RIGHT(MIP_4[[#This Row],[Equipe]], LEN(MIP_4[[#This Row],[Equipe]])-SEARCH("/",MIP_4[[#This Row],[Equipe]],1))</f>
        <v xml:space="preserve"> MARCO</v>
      </c>
      <c r="AE578" s="44">
        <f>COUNTIFS('[1]Tempo parado'!G:G,"&gt;="&amp;MIP_4[[#This Row],[S.B Sitrack]],'[1]Tempo parado'!H:H,"&lt;="&amp;MIP_4[[#This Row],[C.B Sitrack]],'[1]Tempo parado'!A:A,MIP_4[[#This Row],[Placa]])</f>
        <v>0</v>
      </c>
      <c r="AF578" s="36"/>
      <c r="AG578" s="35"/>
      <c r="AH578" s="34"/>
      <c r="AI578" s="34"/>
      <c r="AJ57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7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7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78" s="32" t="str">
        <f>IFERROR(MIP_4[[#This Row],[Tempo parado]]/(MIP_4[[#This Row],[C.B Sitrack]]-MIP_4[[#This Row],[S.B Sitrack]]),"")</f>
        <v/>
      </c>
      <c r="AN578" s="30"/>
      <c r="AO578" s="44">
        <f>IF(AND(MIP_4[Exc]=0,MIP_4[Previsto / Realizado]="Realizado"),MIP_4[Sem],0)</f>
        <v>38</v>
      </c>
      <c r="AP578" s="29">
        <f>IF(AND(MIP_4[Exc]=0,MIP_4[Previsto / Realizado]="Realizado",ISBLANK(MIP_4[[#This Row],[S.B Sitrack]])=FALSE,ISBLANK(MIP_4[[#This Row],[C.B Sitrack]])=FALSE),MIP_4[Sem],0)</f>
        <v>0</v>
      </c>
    </row>
    <row r="579" spans="1:42" ht="15.75" x14ac:dyDescent="0.25">
      <c r="A579" s="44">
        <f>WEEKNUM(MIP_4[[#This Row],[Data]])</f>
        <v>39</v>
      </c>
      <c r="B579" s="45">
        <v>43002</v>
      </c>
      <c r="C579" s="45"/>
      <c r="D579" s="35" t="s">
        <v>7</v>
      </c>
      <c r="E579" s="35" t="s">
        <v>5</v>
      </c>
      <c r="F579" s="35"/>
      <c r="G579" s="44">
        <v>2</v>
      </c>
      <c r="H579" s="44">
        <v>0</v>
      </c>
      <c r="I579" s="44">
        <v>0</v>
      </c>
      <c r="J579" s="44">
        <v>0</v>
      </c>
      <c r="K579" s="44">
        <v>0</v>
      </c>
      <c r="L579" s="43">
        <v>0.625</v>
      </c>
      <c r="M579" s="43">
        <v>0.64583333333333337</v>
      </c>
      <c r="N579" s="43">
        <f>1+18/24/60</f>
        <v>1.0125</v>
      </c>
      <c r="O579" s="43">
        <f>1+48/24/60</f>
        <v>1.0333333333333334</v>
      </c>
      <c r="P579" s="39"/>
      <c r="Q579" s="42" t="s">
        <v>36</v>
      </c>
      <c r="R579" s="29">
        <f>MIP_4[[#This Row],[PT-1]]+MIP_4[[#This Row],[PT-2]]*2+MIP_4[[#This Row],[PT-3]]*3+MIP_4[[#This Row],[PT &gt; 3 Pontos]]</f>
        <v>0</v>
      </c>
      <c r="S57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57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579" s="41">
        <f ca="1">MIP_4[[#This Row],[Eficiência]]</f>
        <v>0</v>
      </c>
      <c r="V57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79" s="39">
        <f>IF(MIP_4[[#This Row],[P.S]]-MIP_4[[#This Row],[P.E]]&lt;0,1+MIP_4[[#This Row],[P.S]]-MIP_4[[#This Row],[P.E]]-1/24,MIP_4[[#This Row],[P.S]]-MIP_4[[#This Row],[P.E]]-1/24)</f>
        <v>0.36666666666666675</v>
      </c>
      <c r="X579" s="39">
        <f ca="1">MIP_4[[#This Row],[PT-1]]*$S$3+MIP_4[[#This Row],[PT-2]]*$T$3+MIP_4[[#This Row],[PT-3]]*$U$3+MIP_4[[#This Row],[PT &gt; 3 Pontos]]*$V$3</f>
        <v>0</v>
      </c>
      <c r="Y579" s="39">
        <f>MIP_4[[#This Row],[HH disponível]]-MIP_4[[#This Row],[HH AC TOT]]</f>
        <v>0.3249999999999999</v>
      </c>
      <c r="Z579" s="38">
        <f ca="1">MIP_4[[#This Row],[HH Produtivo
Total]]/MIP_4[[#This Row],[HH Trabalhado]]</f>
        <v>0</v>
      </c>
      <c r="AA579" s="38">
        <f ca="1">MIP_4[[#This Row],[HH Produtivo
Total]]/MIP_4[[#This Row],[HH disponível]]</f>
        <v>0</v>
      </c>
      <c r="AB579" s="38">
        <f>MIP_4[[#This Row],[HH Trabalhado]]/MIP_4[[#This Row],[HH disponível]]</f>
        <v>0.88636363636363591</v>
      </c>
      <c r="AC579" s="37" t="str">
        <f>LEFT(MIP_4[[#This Row],[Equipe]], SEARCH("/",MIP_4[[#This Row],[Equipe]],1)-1)</f>
        <v xml:space="preserve">ANDERSON </v>
      </c>
      <c r="AD579" s="37" t="str">
        <f>RIGHT(MIP_4[[#This Row],[Equipe]], LEN(MIP_4[[#This Row],[Equipe]])-SEARCH("/",MIP_4[[#This Row],[Equipe]],1))</f>
        <v xml:space="preserve"> MARCO</v>
      </c>
      <c r="AE579" s="44">
        <f>COUNTIFS('[1]Tempo parado'!G:G,"&gt;="&amp;MIP_4[[#This Row],[S.B Sitrack]],'[1]Tempo parado'!H:H,"&lt;="&amp;MIP_4[[#This Row],[C.B Sitrack]],'[1]Tempo parado'!A:A,MIP_4[[#This Row],[Placa]])</f>
        <v>0</v>
      </c>
      <c r="AF579" s="36"/>
      <c r="AG579" s="35"/>
      <c r="AH579" s="34"/>
      <c r="AI579" s="34"/>
      <c r="AJ57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7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7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79" s="32" t="str">
        <f>IFERROR(MIP_4[[#This Row],[Tempo parado]]/(MIP_4[[#This Row],[C.B Sitrack]]-MIP_4[[#This Row],[S.B Sitrack]]),"")</f>
        <v/>
      </c>
      <c r="AN579" s="30"/>
      <c r="AO579" s="44">
        <f>IF(AND(MIP_4[Exc]=0,MIP_4[Previsto / Realizado]="Realizado"),MIP_4[Sem],0)</f>
        <v>0</v>
      </c>
      <c r="AP579" s="29">
        <f>IF(AND(MIP_4[Exc]=0,MIP_4[Previsto / Realizado]="Realizado",ISBLANK(MIP_4[[#This Row],[S.B Sitrack]])=FALSE,ISBLANK(MIP_4[[#This Row],[C.B Sitrack]])=FALSE),MIP_4[Sem],0)</f>
        <v>0</v>
      </c>
    </row>
    <row r="580" spans="1:42" ht="15.75" x14ac:dyDescent="0.25">
      <c r="A580" s="44">
        <f>WEEKNUM(MIP_4[[#This Row],[Data]])</f>
        <v>39</v>
      </c>
      <c r="B580" s="45">
        <v>43002</v>
      </c>
      <c r="C580" s="45"/>
      <c r="D580" s="35" t="s">
        <v>7</v>
      </c>
      <c r="E580" s="35" t="s">
        <v>2</v>
      </c>
      <c r="F580" s="35"/>
      <c r="G580" s="44">
        <v>2</v>
      </c>
      <c r="H580" s="44">
        <v>8</v>
      </c>
      <c r="I580" s="44">
        <v>2</v>
      </c>
      <c r="J580" s="44">
        <v>0</v>
      </c>
      <c r="K580" s="44">
        <v>0</v>
      </c>
      <c r="L580" s="43">
        <v>0.62847222222222221</v>
      </c>
      <c r="M580" s="43">
        <v>0.64583333333333337</v>
      </c>
      <c r="N580" s="43">
        <f>1+15/24/60</f>
        <v>1.0104166666666667</v>
      </c>
      <c r="O580" s="43">
        <f>1+48/24/60</f>
        <v>1.0333333333333334</v>
      </c>
      <c r="P580" s="39"/>
      <c r="Q580" s="42" t="s">
        <v>21</v>
      </c>
      <c r="R580" s="29">
        <f>MIP_4[[#This Row],[PT-1]]+MIP_4[[#This Row],[PT-2]]*2+MIP_4[[#This Row],[PT-3]]*3+MIP_4[[#This Row],[PT &gt; 3 Pontos]]</f>
        <v>12</v>
      </c>
      <c r="S58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4.0277777777777857E-2</v>
      </c>
      <c r="T58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4.0277777777777857E-2</v>
      </c>
      <c r="U580" s="41">
        <f ca="1">MIP_4[[#This Row],[Eficiência]]</f>
        <v>0.89194639239519979</v>
      </c>
      <c r="V58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80" s="39">
        <f>IF(MIP_4[[#This Row],[P.S]]-MIP_4[[#This Row],[P.E]]&lt;0,1+MIP_4[[#This Row],[P.S]]-MIP_4[[#This Row],[P.E]]-1/24,MIP_4[[#This Row],[P.S]]-MIP_4[[#This Row],[P.E]]-1/24)</f>
        <v>0.36319444444444454</v>
      </c>
      <c r="X580" s="39">
        <f ca="1">MIP_4[[#This Row],[PT-1]]*$S$3+MIP_4[[#This Row],[PT-2]]*$T$3+MIP_4[[#This Row],[PT-3]]*$U$3+MIP_4[[#This Row],[PT &gt; 3 Pontos]]*$V$3</f>
        <v>0.2880243558776166</v>
      </c>
      <c r="Y580" s="39">
        <f>MIP_4[[#This Row],[HH disponível]]-MIP_4[[#This Row],[HH AC TOT]]</f>
        <v>0.32291666666666669</v>
      </c>
      <c r="Z580" s="38">
        <f ca="1">MIP_4[[#This Row],[HH Produtivo
Total]]/MIP_4[[#This Row],[HH Trabalhado]]</f>
        <v>0.89194639239519979</v>
      </c>
      <c r="AA580" s="38">
        <f ca="1">MIP_4[[#This Row],[HH Produtivo
Total]]/MIP_4[[#This Row],[HH disponível]]</f>
        <v>0.79303073128827495</v>
      </c>
      <c r="AB580" s="38">
        <f>MIP_4[[#This Row],[HH Trabalhado]]/MIP_4[[#This Row],[HH disponível]]</f>
        <v>0.88910133843212213</v>
      </c>
      <c r="AC580" s="37" t="str">
        <f>LEFT(MIP_4[[#This Row],[Equipe]], SEARCH("/",MIP_4[[#This Row],[Equipe]],1)-1)</f>
        <v xml:space="preserve">ANDERSON </v>
      </c>
      <c r="AD580" s="37" t="str">
        <f>RIGHT(MIP_4[[#This Row],[Equipe]], LEN(MIP_4[[#This Row],[Equipe]])-SEARCH("/",MIP_4[[#This Row],[Equipe]],1))</f>
        <v xml:space="preserve"> MARCO</v>
      </c>
      <c r="AE580" s="44">
        <f>COUNTIFS('[1]Tempo parado'!G:G,"&gt;="&amp;MIP_4[[#This Row],[S.B Sitrack]],'[1]Tempo parado'!H:H,"&lt;="&amp;MIP_4[[#This Row],[C.B Sitrack]],'[1]Tempo parado'!A:A,MIP_4[[#This Row],[Placa]])</f>
        <v>0</v>
      </c>
      <c r="AF580" s="36"/>
      <c r="AG580" s="35"/>
      <c r="AH580" s="34"/>
      <c r="AI580" s="34"/>
      <c r="AJ58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8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8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80" s="32" t="str">
        <f>IFERROR(MIP_4[[#This Row],[Tempo parado]]/(MIP_4[[#This Row],[C.B Sitrack]]-MIP_4[[#This Row],[S.B Sitrack]]),"")</f>
        <v/>
      </c>
      <c r="AN580" s="30"/>
      <c r="AO580" s="44">
        <f>IF(AND(MIP_4[Exc]=0,MIP_4[Previsto / Realizado]="Realizado"),MIP_4[Sem],0)</f>
        <v>39</v>
      </c>
      <c r="AP580" s="29">
        <f>IF(AND(MIP_4[Exc]=0,MIP_4[Previsto / Realizado]="Realizado",ISBLANK(MIP_4[[#This Row],[S.B Sitrack]])=FALSE,ISBLANK(MIP_4[[#This Row],[C.B Sitrack]])=FALSE),MIP_4[Sem],0)</f>
        <v>0</v>
      </c>
    </row>
    <row r="581" spans="1:42" ht="15.75" x14ac:dyDescent="0.25">
      <c r="A581" s="44">
        <f>WEEKNUM(MIP_4[[#This Row],[Data]])</f>
        <v>39</v>
      </c>
      <c r="B581" s="45">
        <v>43002</v>
      </c>
      <c r="C581" s="45"/>
      <c r="D581" s="35" t="s">
        <v>3</v>
      </c>
      <c r="E581" s="35" t="s">
        <v>5</v>
      </c>
      <c r="F581" s="35"/>
      <c r="G581" s="44">
        <v>2</v>
      </c>
      <c r="H581" s="44">
        <v>0</v>
      </c>
      <c r="I581" s="44">
        <v>0</v>
      </c>
      <c r="J581" s="44">
        <v>0</v>
      </c>
      <c r="K581" s="44">
        <v>0</v>
      </c>
      <c r="L581" s="43">
        <v>0.625</v>
      </c>
      <c r="M581" s="43">
        <v>0.64583333333333337</v>
      </c>
      <c r="N581" s="43">
        <f>1+18/24/60</f>
        <v>1.0125</v>
      </c>
      <c r="O581" s="43">
        <f>1+48/24/60</f>
        <v>1.0333333333333334</v>
      </c>
      <c r="P581" s="39"/>
      <c r="Q581" s="42"/>
      <c r="R581" s="29">
        <f>MIP_4[[#This Row],[PT-1]]+MIP_4[[#This Row],[PT-2]]*2+MIP_4[[#This Row],[PT-3]]*3+MIP_4[[#This Row],[PT &gt; 3 Pontos]]</f>
        <v>0</v>
      </c>
      <c r="S58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58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581" s="41">
        <f ca="1">MIP_4[[#This Row],[Eficiência]]</f>
        <v>0</v>
      </c>
      <c r="V58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81" s="39">
        <f>IF(MIP_4[[#This Row],[P.S]]-MIP_4[[#This Row],[P.E]]&lt;0,1+MIP_4[[#This Row],[P.S]]-MIP_4[[#This Row],[P.E]]-1/24,MIP_4[[#This Row],[P.S]]-MIP_4[[#This Row],[P.E]]-1/24)</f>
        <v>0.36666666666666675</v>
      </c>
      <c r="X581" s="39">
        <f ca="1">MIP_4[[#This Row],[PT-1]]*$S$3+MIP_4[[#This Row],[PT-2]]*$T$3+MIP_4[[#This Row],[PT-3]]*$U$3+MIP_4[[#This Row],[PT &gt; 3 Pontos]]*$V$3</f>
        <v>0</v>
      </c>
      <c r="Y581" s="39">
        <f>MIP_4[[#This Row],[HH disponível]]-MIP_4[[#This Row],[HH AC TOT]]</f>
        <v>0.3249999999999999</v>
      </c>
      <c r="Z581" s="38">
        <f ca="1">MIP_4[[#This Row],[HH Produtivo
Total]]/MIP_4[[#This Row],[HH Trabalhado]]</f>
        <v>0</v>
      </c>
      <c r="AA581" s="38">
        <f ca="1">MIP_4[[#This Row],[HH Produtivo
Total]]/MIP_4[[#This Row],[HH disponível]]</f>
        <v>0</v>
      </c>
      <c r="AB581" s="38">
        <f>MIP_4[[#This Row],[HH Trabalhado]]/MIP_4[[#This Row],[HH disponível]]</f>
        <v>0.88636363636363591</v>
      </c>
      <c r="AC581" s="37" t="str">
        <f>LEFT(MIP_4[[#This Row],[Equipe]], SEARCH("/",MIP_4[[#This Row],[Equipe]],1)-1)</f>
        <v xml:space="preserve">EDILTON </v>
      </c>
      <c r="AD581" s="37" t="str">
        <f>RIGHT(MIP_4[[#This Row],[Equipe]], LEN(MIP_4[[#This Row],[Equipe]])-SEARCH("/",MIP_4[[#This Row],[Equipe]],1))</f>
        <v xml:space="preserve"> GECIVALDO</v>
      </c>
      <c r="AE581" s="44">
        <f>COUNTIFS('[1]Tempo parado'!G:G,"&gt;="&amp;MIP_4[[#This Row],[S.B Sitrack]],'[1]Tempo parado'!H:H,"&lt;="&amp;MIP_4[[#This Row],[C.B Sitrack]],'[1]Tempo parado'!A:A,MIP_4[[#This Row],[Placa]])</f>
        <v>0</v>
      </c>
      <c r="AF581" s="36"/>
      <c r="AG581" s="35"/>
      <c r="AH581" s="34"/>
      <c r="AI581" s="34"/>
      <c r="AJ58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8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8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81" s="32" t="str">
        <f>IFERROR(MIP_4[[#This Row],[Tempo parado]]/(MIP_4[[#This Row],[C.B Sitrack]]-MIP_4[[#This Row],[S.B Sitrack]]),"")</f>
        <v/>
      </c>
      <c r="AN581" s="30"/>
      <c r="AO581" s="44">
        <f>IF(AND(MIP_4[Exc]=0,MIP_4[Previsto / Realizado]="Realizado"),MIP_4[Sem],0)</f>
        <v>0</v>
      </c>
      <c r="AP581" s="29">
        <f>IF(AND(MIP_4[Exc]=0,MIP_4[Previsto / Realizado]="Realizado",ISBLANK(MIP_4[[#This Row],[S.B Sitrack]])=FALSE,ISBLANK(MIP_4[[#This Row],[C.B Sitrack]])=FALSE),MIP_4[Sem],0)</f>
        <v>0</v>
      </c>
    </row>
    <row r="582" spans="1:42" ht="15.75" x14ac:dyDescent="0.25">
      <c r="A582" s="44">
        <f>WEEKNUM(MIP_4[[#This Row],[Data]])</f>
        <v>39</v>
      </c>
      <c r="B582" s="45">
        <v>43002</v>
      </c>
      <c r="C582" s="45"/>
      <c r="D582" s="35" t="s">
        <v>3</v>
      </c>
      <c r="E582" s="35" t="s">
        <v>2</v>
      </c>
      <c r="F582" s="35"/>
      <c r="G582" s="44">
        <v>2</v>
      </c>
      <c r="H582" s="44">
        <v>9</v>
      </c>
      <c r="I582" s="44">
        <v>1</v>
      </c>
      <c r="J582" s="44">
        <v>1</v>
      </c>
      <c r="K582" s="44">
        <v>0</v>
      </c>
      <c r="L582" s="43">
        <v>0.6118055555555556</v>
      </c>
      <c r="M582" s="43">
        <v>0.625</v>
      </c>
      <c r="N582" s="43">
        <f>1+18/24/60</f>
        <v>1.0125</v>
      </c>
      <c r="O582" s="43">
        <f>1+48/24/60</f>
        <v>1.0333333333333334</v>
      </c>
      <c r="P582" s="39"/>
      <c r="Q582" s="42"/>
      <c r="R582" s="29">
        <f>MIP_4[[#This Row],[PT-1]]+MIP_4[[#This Row],[PT-2]]*2+MIP_4[[#This Row],[PT-3]]*3+MIP_4[[#This Row],[PT &gt; 3 Pontos]]</f>
        <v>14</v>
      </c>
      <c r="S58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3.4027777777777879E-2</v>
      </c>
      <c r="T58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3.4027777777777879E-2</v>
      </c>
      <c r="U582" s="41">
        <f ca="1">MIP_4[[#This Row],[Eficiência]]</f>
        <v>0.9598066177754494</v>
      </c>
      <c r="V58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82" s="39">
        <f>IF(MIP_4[[#This Row],[P.S]]-MIP_4[[#This Row],[P.E]]&lt;0,1+MIP_4[[#This Row],[P.S]]-MIP_4[[#This Row],[P.E]]-1/24,MIP_4[[#This Row],[P.S]]-MIP_4[[#This Row],[P.E]]-1/24)</f>
        <v>0.37986111111111115</v>
      </c>
      <c r="X582" s="39">
        <f ca="1">MIP_4[[#This Row],[PT-1]]*$S$3+MIP_4[[#This Row],[PT-2]]*$T$3+MIP_4[[#This Row],[PT-3]]*$U$3+MIP_4[[#This Row],[PT &gt; 3 Pontos]]*$V$3</f>
        <v>0.3319331219806762</v>
      </c>
      <c r="Y582" s="39">
        <f>MIP_4[[#This Row],[HH disponível]]-MIP_4[[#This Row],[HH AC TOT]]</f>
        <v>0.34583333333333327</v>
      </c>
      <c r="Z582" s="38">
        <f ca="1">MIP_4[[#This Row],[HH Produtivo
Total]]/MIP_4[[#This Row],[HH Trabalhado]]</f>
        <v>0.9598066177754494</v>
      </c>
      <c r="AA582" s="38">
        <f ca="1">MIP_4[[#This Row],[HH Produtivo
Total]]/MIP_4[[#This Row],[HH disponível]]</f>
        <v>0.87382759717033576</v>
      </c>
      <c r="AB582" s="38">
        <f>MIP_4[[#This Row],[HH Trabalhado]]/MIP_4[[#This Row],[HH disponível]]</f>
        <v>0.91042047531992665</v>
      </c>
      <c r="AC582" s="37" t="str">
        <f>LEFT(MIP_4[[#This Row],[Equipe]], SEARCH("/",MIP_4[[#This Row],[Equipe]],1)-1)</f>
        <v xml:space="preserve">EDILTON </v>
      </c>
      <c r="AD582" s="37" t="str">
        <f>RIGHT(MIP_4[[#This Row],[Equipe]], LEN(MIP_4[[#This Row],[Equipe]])-SEARCH("/",MIP_4[[#This Row],[Equipe]],1))</f>
        <v xml:space="preserve"> GECIVALDO</v>
      </c>
      <c r="AE582" s="44">
        <f>COUNTIFS('[1]Tempo parado'!G:G,"&gt;="&amp;MIP_4[[#This Row],[S.B Sitrack]],'[1]Tempo parado'!H:H,"&lt;="&amp;MIP_4[[#This Row],[C.B Sitrack]],'[1]Tempo parado'!A:A,MIP_4[[#This Row],[Placa]])</f>
        <v>0</v>
      </c>
      <c r="AF582" s="36"/>
      <c r="AG582" s="35"/>
      <c r="AH582" s="34"/>
      <c r="AI582" s="34"/>
      <c r="AJ58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8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8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82" s="32" t="str">
        <f>IFERROR(MIP_4[[#This Row],[Tempo parado]]/(MIP_4[[#This Row],[C.B Sitrack]]-MIP_4[[#This Row],[S.B Sitrack]]),"")</f>
        <v/>
      </c>
      <c r="AN582" s="30"/>
      <c r="AO582" s="44">
        <f>IF(AND(MIP_4[Exc]=0,MIP_4[Previsto / Realizado]="Realizado"),MIP_4[Sem],0)</f>
        <v>39</v>
      </c>
      <c r="AP582" s="29">
        <f>IF(AND(MIP_4[Exc]=0,MIP_4[Previsto / Realizado]="Realizado",ISBLANK(MIP_4[[#This Row],[S.B Sitrack]])=FALSE,ISBLANK(MIP_4[[#This Row],[C.B Sitrack]])=FALSE),MIP_4[Sem],0)</f>
        <v>0</v>
      </c>
    </row>
    <row r="583" spans="1:42" ht="15.75" x14ac:dyDescent="0.25">
      <c r="A583" s="44">
        <f>WEEKNUM(MIP_4[[#This Row],[Data]])</f>
        <v>39</v>
      </c>
      <c r="B583" s="45">
        <v>43003</v>
      </c>
      <c r="C583" s="45"/>
      <c r="D583" s="35" t="s">
        <v>33</v>
      </c>
      <c r="E583" s="35" t="s">
        <v>5</v>
      </c>
      <c r="F583" s="35"/>
      <c r="G583" s="44">
        <v>2</v>
      </c>
      <c r="H583" s="44">
        <v>5</v>
      </c>
      <c r="I583" s="44">
        <v>1</v>
      </c>
      <c r="J583" s="44">
        <v>0</v>
      </c>
      <c r="K583" s="44">
        <v>0</v>
      </c>
      <c r="L583" s="43">
        <v>0.25</v>
      </c>
      <c r="M583" s="43">
        <v>0.27083333333333331</v>
      </c>
      <c r="N583" s="43">
        <v>0.63750000000000007</v>
      </c>
      <c r="O583" s="43">
        <v>0.65833333333333333</v>
      </c>
      <c r="P583" s="39"/>
      <c r="Q583" s="42" t="s">
        <v>70</v>
      </c>
      <c r="R583" s="29">
        <f>MIP_4[[#This Row],[PT-1]]+MIP_4[[#This Row],[PT-2]]*2+MIP_4[[#This Row],[PT-3]]*3+MIP_4[[#This Row],[PT &gt; 3 Pontos]]</f>
        <v>7</v>
      </c>
      <c r="S58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58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583" s="41">
        <f ca="1">MIP_4[[#This Row],[Eficiência]]</f>
        <v>0.52011701814690903</v>
      </c>
      <c r="V58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83" s="39">
        <f>IF(MIP_4[[#This Row],[P.S]]-MIP_4[[#This Row],[P.E]]&lt;0,1+MIP_4[[#This Row],[P.S]]-MIP_4[[#This Row],[P.E]]-1/24,MIP_4[[#This Row],[P.S]]-MIP_4[[#This Row],[P.E]]-1/24)</f>
        <v>0.36666666666666664</v>
      </c>
      <c r="X583" s="39">
        <f ca="1">MIP_4[[#This Row],[PT-1]]*$S$3+MIP_4[[#This Row],[PT-2]]*$T$3+MIP_4[[#This Row],[PT-3]]*$U$3+MIP_4[[#This Row],[PT &gt; 3 Pontos]]*$V$3</f>
        <v>0.16903803089774547</v>
      </c>
      <c r="Y583" s="39">
        <f>MIP_4[[#This Row],[HH disponível]]-MIP_4[[#This Row],[HH AC TOT]]</f>
        <v>0.32500000000000007</v>
      </c>
      <c r="Z583" s="38">
        <f ca="1">MIP_4[[#This Row],[HH Produtivo
Total]]/MIP_4[[#This Row],[HH Trabalhado]]</f>
        <v>0.52011701814690903</v>
      </c>
      <c r="AA583" s="38">
        <f ca="1">MIP_4[[#This Row],[HH Produtivo
Total]]/MIP_4[[#This Row],[HH disponível]]</f>
        <v>0.46101281153930584</v>
      </c>
      <c r="AB583" s="38">
        <f>MIP_4[[#This Row],[HH Trabalhado]]/MIP_4[[#This Row],[HH disponível]]</f>
        <v>0.88636363636363658</v>
      </c>
      <c r="AC583" s="37" t="str">
        <f>LEFT(MIP_4[[#This Row],[Equipe]], SEARCH("/",MIP_4[[#This Row],[Equipe]],1)-1)</f>
        <v xml:space="preserve">JOILSON </v>
      </c>
      <c r="AD583" s="37" t="str">
        <f>RIGHT(MIP_4[[#This Row],[Equipe]], LEN(MIP_4[[#This Row],[Equipe]])-SEARCH("/",MIP_4[[#This Row],[Equipe]],1))</f>
        <v xml:space="preserve"> HERVAL</v>
      </c>
      <c r="AE583" s="44">
        <f>COUNTIFS('[1]Tempo parado'!G:G,"&gt;="&amp;MIP_4[[#This Row],[S.B Sitrack]],'[1]Tempo parado'!H:H,"&lt;="&amp;MIP_4[[#This Row],[C.B Sitrack]],'[1]Tempo parado'!A:A,MIP_4[[#This Row],[Placa]])</f>
        <v>0</v>
      </c>
      <c r="AF583" s="36"/>
      <c r="AG583" s="35"/>
      <c r="AH583" s="34"/>
      <c r="AI583" s="34"/>
      <c r="AJ58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8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8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83" s="32" t="str">
        <f>IFERROR(MIP_4[[#This Row],[Tempo parado]]/(MIP_4[[#This Row],[C.B Sitrack]]-MIP_4[[#This Row],[S.B Sitrack]]),"")</f>
        <v/>
      </c>
      <c r="AN583" s="30"/>
      <c r="AO583" s="44">
        <f>IF(AND(MIP_4[Exc]=0,MIP_4[Previsto / Realizado]="Realizado"),MIP_4[Sem],0)</f>
        <v>0</v>
      </c>
      <c r="AP583" s="29">
        <f>IF(AND(MIP_4[Exc]=0,MIP_4[Previsto / Realizado]="Realizado",ISBLANK(MIP_4[[#This Row],[S.B Sitrack]])=FALSE,ISBLANK(MIP_4[[#This Row],[C.B Sitrack]])=FALSE),MIP_4[Sem],0)</f>
        <v>0</v>
      </c>
    </row>
    <row r="584" spans="1:42" ht="15.75" x14ac:dyDescent="0.25">
      <c r="A584" s="44">
        <f>WEEKNUM(MIP_4[[#This Row],[Data]])</f>
        <v>39</v>
      </c>
      <c r="B584" s="45">
        <v>43003</v>
      </c>
      <c r="C584" s="45"/>
      <c r="D584" s="35" t="s">
        <v>33</v>
      </c>
      <c r="E584" s="35" t="s">
        <v>2</v>
      </c>
      <c r="F584" s="35"/>
      <c r="G584" s="44">
        <v>2</v>
      </c>
      <c r="H584" s="44">
        <v>6</v>
      </c>
      <c r="I584" s="44">
        <v>1</v>
      </c>
      <c r="J584" s="44">
        <v>0</v>
      </c>
      <c r="K584" s="44">
        <v>0</v>
      </c>
      <c r="L584" s="43">
        <v>0.24861111111111112</v>
      </c>
      <c r="M584" s="43">
        <v>0.28472222222222221</v>
      </c>
      <c r="N584" s="43">
        <v>0.63750000000000007</v>
      </c>
      <c r="O584" s="43">
        <v>0.68055555555555547</v>
      </c>
      <c r="P584" s="39"/>
      <c r="Q584" s="42"/>
      <c r="R584" s="29">
        <f>MIP_4[[#This Row],[PT-1]]+MIP_4[[#This Row],[PT-2]]*2+MIP_4[[#This Row],[PT-3]]*3+MIP_4[[#This Row],[PT &gt; 3 Pontos]]</f>
        <v>8</v>
      </c>
      <c r="S58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7.9166666666666496E-2</v>
      </c>
      <c r="T58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7.9166666666666496E-2</v>
      </c>
      <c r="U584" s="41">
        <f ca="1">MIP_4[[#This Row],[Eficiência]]</f>
        <v>0.62377676953933703</v>
      </c>
      <c r="V58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84" s="39">
        <f>IF(MIP_4[[#This Row],[P.S]]-MIP_4[[#This Row],[P.E]]&lt;0,1+MIP_4[[#This Row],[P.S]]-MIP_4[[#This Row],[P.E]]-1/24,MIP_4[[#This Row],[P.S]]-MIP_4[[#This Row],[P.E]]-1/24)</f>
        <v>0.39027777777777767</v>
      </c>
      <c r="X584" s="39">
        <f ca="1">MIP_4[[#This Row],[PT-1]]*$S$3+MIP_4[[#This Row],[PT-2]]*$T$3+MIP_4[[#This Row],[PT-3]]*$U$3+MIP_4[[#This Row],[PT &gt; 3 Pontos]]*$V$3</f>
        <v>0.19406388385668266</v>
      </c>
      <c r="Y584" s="39">
        <f>MIP_4[[#This Row],[HH disponível]]-MIP_4[[#This Row],[HH AC TOT]]</f>
        <v>0.31111111111111117</v>
      </c>
      <c r="Z584" s="38">
        <f ca="1">MIP_4[[#This Row],[HH Produtivo
Total]]/MIP_4[[#This Row],[HH Trabalhado]]</f>
        <v>0.62377676953933703</v>
      </c>
      <c r="AA584" s="38">
        <f ca="1">MIP_4[[#This Row],[HH Produtivo
Total]]/MIP_4[[#This Row],[HH disponível]]</f>
        <v>0.49724553870751442</v>
      </c>
      <c r="AB584" s="38">
        <f>MIP_4[[#This Row],[HH Trabalhado]]/MIP_4[[#This Row],[HH disponível]]</f>
        <v>0.79715302491103246</v>
      </c>
      <c r="AC584" s="37" t="str">
        <f>LEFT(MIP_4[[#This Row],[Equipe]], SEARCH("/",MIP_4[[#This Row],[Equipe]],1)-1)</f>
        <v xml:space="preserve">JOILSON </v>
      </c>
      <c r="AD584" s="37" t="str">
        <f>RIGHT(MIP_4[[#This Row],[Equipe]], LEN(MIP_4[[#This Row],[Equipe]])-SEARCH("/",MIP_4[[#This Row],[Equipe]],1))</f>
        <v xml:space="preserve"> HERVAL</v>
      </c>
      <c r="AE584" s="44">
        <f>COUNTIFS('[1]Tempo parado'!G:G,"&gt;="&amp;MIP_4[[#This Row],[S.B Sitrack]],'[1]Tempo parado'!H:H,"&lt;="&amp;MIP_4[[#This Row],[C.B Sitrack]],'[1]Tempo parado'!A:A,MIP_4[[#This Row],[Placa]])</f>
        <v>0</v>
      </c>
      <c r="AF584" s="36"/>
      <c r="AG584" s="35"/>
      <c r="AH584" s="34"/>
      <c r="AI584" s="34"/>
      <c r="AJ58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8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8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84" s="32" t="str">
        <f>IFERROR(MIP_4[[#This Row],[Tempo parado]]/(MIP_4[[#This Row],[C.B Sitrack]]-MIP_4[[#This Row],[S.B Sitrack]]),"")</f>
        <v/>
      </c>
      <c r="AN584" s="30"/>
      <c r="AO584" s="44">
        <f>IF(AND(MIP_4[Exc]=0,MIP_4[Previsto / Realizado]="Realizado"),MIP_4[Sem],0)</f>
        <v>39</v>
      </c>
      <c r="AP584" s="29">
        <f>IF(AND(MIP_4[Exc]=0,MIP_4[Previsto / Realizado]="Realizado",ISBLANK(MIP_4[[#This Row],[S.B Sitrack]])=FALSE,ISBLANK(MIP_4[[#This Row],[C.B Sitrack]])=FALSE),MIP_4[Sem],0)</f>
        <v>0</v>
      </c>
    </row>
    <row r="585" spans="1:42" ht="15.75" x14ac:dyDescent="0.25">
      <c r="A585" s="44">
        <f>WEEKNUM(MIP_4[[#This Row],[Data]])</f>
        <v>39</v>
      </c>
      <c r="B585" s="45">
        <v>43003</v>
      </c>
      <c r="C585" s="45"/>
      <c r="D585" s="35" t="s">
        <v>19</v>
      </c>
      <c r="E585" s="35" t="s">
        <v>5</v>
      </c>
      <c r="F585" s="35"/>
      <c r="G585" s="44">
        <v>2</v>
      </c>
      <c r="H585" s="44">
        <v>3</v>
      </c>
      <c r="I585" s="44">
        <v>1</v>
      </c>
      <c r="J585" s="44">
        <v>0</v>
      </c>
      <c r="K585" s="44">
        <v>10</v>
      </c>
      <c r="L585" s="43">
        <v>0.625</v>
      </c>
      <c r="M585" s="43">
        <v>0.64583333333333337</v>
      </c>
      <c r="N585" s="43">
        <v>1.0125</v>
      </c>
      <c r="O585" s="43">
        <v>1.0333333333333334</v>
      </c>
      <c r="P585" s="39"/>
      <c r="Q585" s="42"/>
      <c r="R585" s="29">
        <f>MIP_4[[#This Row],[PT-1]]+MIP_4[[#This Row],[PT-2]]*2+MIP_4[[#This Row],[PT-3]]*3+MIP_4[[#This Row],[PT &gt; 3 Pontos]]</f>
        <v>15</v>
      </c>
      <c r="S58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58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585" s="41">
        <f ca="1">MIP_4[[#This Row],[Eficiência]]</f>
        <v>0.98912748857646238</v>
      </c>
      <c r="V58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85" s="39">
        <f>IF(MIP_4[[#This Row],[P.S]]-MIP_4[[#This Row],[P.E]]&lt;0,1+MIP_4[[#This Row],[P.S]]-MIP_4[[#This Row],[P.E]]-1/24,MIP_4[[#This Row],[P.S]]-MIP_4[[#This Row],[P.E]]-1/24)</f>
        <v>0.36666666666666675</v>
      </c>
      <c r="X585" s="39">
        <f ca="1">MIP_4[[#This Row],[PT-1]]*$S$3+MIP_4[[#This Row],[PT-2]]*$T$3+MIP_4[[#This Row],[PT-3]]*$U$3+MIP_4[[#This Row],[PT &gt; 3 Pontos]]*$V$3</f>
        <v>0.32146643378735018</v>
      </c>
      <c r="Y585" s="39">
        <f>MIP_4[[#This Row],[HH disponível]]-MIP_4[[#This Row],[HH AC TOT]]</f>
        <v>0.3249999999999999</v>
      </c>
      <c r="Z585" s="38">
        <f ca="1">MIP_4[[#This Row],[HH Produtivo
Total]]/MIP_4[[#This Row],[HH Trabalhado]]</f>
        <v>0.98912748857646238</v>
      </c>
      <c r="AA585" s="38">
        <f ca="1">MIP_4[[#This Row],[HH Produtivo
Total]]/MIP_4[[#This Row],[HH disponível]]</f>
        <v>0.87672663760186398</v>
      </c>
      <c r="AB585" s="38">
        <f>MIP_4[[#This Row],[HH Trabalhado]]/MIP_4[[#This Row],[HH disponível]]</f>
        <v>0.88636363636363591</v>
      </c>
      <c r="AC585" s="37" t="str">
        <f>LEFT(MIP_4[[#This Row],[Equipe]], SEARCH("/",MIP_4[[#This Row],[Equipe]],1)-1)</f>
        <v xml:space="preserve">ADEMÁRIO </v>
      </c>
      <c r="AD585" s="37" t="str">
        <f>RIGHT(MIP_4[[#This Row],[Equipe]], LEN(MIP_4[[#This Row],[Equipe]])-SEARCH("/",MIP_4[[#This Row],[Equipe]],1))</f>
        <v xml:space="preserve"> RONALDO</v>
      </c>
      <c r="AE585" s="44">
        <f>COUNTIFS('[1]Tempo parado'!G:G,"&gt;="&amp;MIP_4[[#This Row],[S.B Sitrack]],'[1]Tempo parado'!H:H,"&lt;="&amp;MIP_4[[#This Row],[C.B Sitrack]],'[1]Tempo parado'!A:A,MIP_4[[#This Row],[Placa]])</f>
        <v>0</v>
      </c>
      <c r="AF585" s="36"/>
      <c r="AG585" s="35"/>
      <c r="AH585" s="34"/>
      <c r="AI585" s="34"/>
      <c r="AJ58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8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8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85" s="32" t="str">
        <f>IFERROR(MIP_4[[#This Row],[Tempo parado]]/(MIP_4[[#This Row],[C.B Sitrack]]-MIP_4[[#This Row],[S.B Sitrack]]),"")</f>
        <v/>
      </c>
      <c r="AN585" s="30"/>
      <c r="AO585" s="44">
        <f>IF(AND(MIP_4[Exc]=0,MIP_4[Previsto / Realizado]="Realizado"),MIP_4[Sem],0)</f>
        <v>0</v>
      </c>
      <c r="AP585" s="29">
        <f>IF(AND(MIP_4[Exc]=0,MIP_4[Previsto / Realizado]="Realizado",ISBLANK(MIP_4[[#This Row],[S.B Sitrack]])=FALSE,ISBLANK(MIP_4[[#This Row],[C.B Sitrack]])=FALSE),MIP_4[Sem],0)</f>
        <v>0</v>
      </c>
    </row>
    <row r="586" spans="1:42" ht="15.75" x14ac:dyDescent="0.25">
      <c r="A586" s="44">
        <f>WEEKNUM(MIP_4[[#This Row],[Data]])</f>
        <v>39</v>
      </c>
      <c r="B586" s="45">
        <v>43003</v>
      </c>
      <c r="C586" s="45"/>
      <c r="D586" s="35" t="s">
        <v>19</v>
      </c>
      <c r="E586" s="35" t="s">
        <v>2</v>
      </c>
      <c r="F586" s="35"/>
      <c r="G586" s="44">
        <v>2</v>
      </c>
      <c r="H586" s="44">
        <v>2</v>
      </c>
      <c r="I586" s="44">
        <v>3</v>
      </c>
      <c r="J586" s="44">
        <v>1</v>
      </c>
      <c r="K586" s="44">
        <v>2</v>
      </c>
      <c r="L586" s="43">
        <v>0.63055555555555554</v>
      </c>
      <c r="M586" s="43">
        <v>0.66666666666666663</v>
      </c>
      <c r="N586" s="43">
        <v>1.0131944444444445</v>
      </c>
      <c r="O586" s="43">
        <v>1.0395833333333333</v>
      </c>
      <c r="P586" s="39"/>
      <c r="Q586" s="42"/>
      <c r="R586" s="29">
        <f>MIP_4[[#This Row],[PT-1]]+MIP_4[[#This Row],[PT-2]]*2+MIP_4[[#This Row],[PT-3]]*3+MIP_4[[#This Row],[PT &gt; 3 Pontos]]</f>
        <v>13</v>
      </c>
      <c r="S58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6.2499999999999889E-2</v>
      </c>
      <c r="T58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6.2499999999999889E-2</v>
      </c>
      <c r="U586" s="41">
        <f ca="1">MIP_4[[#This Row],[Eficiência]]</f>
        <v>0.93506746136549534</v>
      </c>
      <c r="V58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86" s="39">
        <f>IF(MIP_4[[#This Row],[P.S]]-MIP_4[[#This Row],[P.E]]&lt;0,1+MIP_4[[#This Row],[P.S]]-MIP_4[[#This Row],[P.E]]-1/24,MIP_4[[#This Row],[P.S]]-MIP_4[[#This Row],[P.E]]-1/24)</f>
        <v>0.36736111111111108</v>
      </c>
      <c r="X586" s="39">
        <f ca="1">MIP_4[[#This Row],[PT-1]]*$S$3+MIP_4[[#This Row],[PT-2]]*$T$3+MIP_4[[#This Row],[PT-3]]*$U$3+MIP_4[[#This Row],[PT &gt; 3 Pontos]]*$V$3</f>
        <v>0.28506570523573094</v>
      </c>
      <c r="Y586" s="39">
        <f>MIP_4[[#This Row],[HH disponível]]-MIP_4[[#This Row],[HH AC TOT]]</f>
        <v>0.30486111111111119</v>
      </c>
      <c r="Z586" s="38">
        <f ca="1">MIP_4[[#This Row],[HH Produtivo
Total]]/MIP_4[[#This Row],[HH Trabalhado]]</f>
        <v>0.93506746136549534</v>
      </c>
      <c r="AA586" s="38">
        <f ca="1">MIP_4[[#This Row],[HH Produtivo
Total]]/MIP_4[[#This Row],[HH disponível]]</f>
        <v>0.7759822599989652</v>
      </c>
      <c r="AB586" s="38">
        <f>MIP_4[[#This Row],[HH Trabalhado]]/MIP_4[[#This Row],[HH disponível]]</f>
        <v>0.82986767485822333</v>
      </c>
      <c r="AC586" s="37" t="str">
        <f>LEFT(MIP_4[[#This Row],[Equipe]], SEARCH("/",MIP_4[[#This Row],[Equipe]],1)-1)</f>
        <v xml:space="preserve">ADEMÁRIO </v>
      </c>
      <c r="AD586" s="37" t="str">
        <f>RIGHT(MIP_4[[#This Row],[Equipe]], LEN(MIP_4[[#This Row],[Equipe]])-SEARCH("/",MIP_4[[#This Row],[Equipe]],1))</f>
        <v xml:space="preserve"> RONALDO</v>
      </c>
      <c r="AE586" s="44">
        <f>COUNTIFS('[1]Tempo parado'!G:G,"&gt;="&amp;MIP_4[[#This Row],[S.B Sitrack]],'[1]Tempo parado'!H:H,"&lt;="&amp;MIP_4[[#This Row],[C.B Sitrack]],'[1]Tempo parado'!A:A,MIP_4[[#This Row],[Placa]])</f>
        <v>0</v>
      </c>
      <c r="AF586" s="36"/>
      <c r="AG586" s="35"/>
      <c r="AH586" s="34"/>
      <c r="AI586" s="34"/>
      <c r="AJ58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8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8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86" s="32" t="str">
        <f>IFERROR(MIP_4[[#This Row],[Tempo parado]]/(MIP_4[[#This Row],[C.B Sitrack]]-MIP_4[[#This Row],[S.B Sitrack]]),"")</f>
        <v/>
      </c>
      <c r="AN586" s="30"/>
      <c r="AO586" s="44">
        <f>IF(AND(MIP_4[Exc]=0,MIP_4[Previsto / Realizado]="Realizado"),MIP_4[Sem],0)</f>
        <v>39</v>
      </c>
      <c r="AP586" s="29">
        <f>IF(AND(MIP_4[Exc]=0,MIP_4[Previsto / Realizado]="Realizado",ISBLANK(MIP_4[[#This Row],[S.B Sitrack]])=FALSE,ISBLANK(MIP_4[[#This Row],[C.B Sitrack]])=FALSE),MIP_4[Sem],0)</f>
        <v>0</v>
      </c>
    </row>
    <row r="587" spans="1:42" ht="15.75" x14ac:dyDescent="0.25">
      <c r="A587" s="44">
        <f>WEEKNUM(MIP_4[[#This Row],[Data]])</f>
        <v>39</v>
      </c>
      <c r="B587" s="45">
        <v>43003</v>
      </c>
      <c r="C587" s="45"/>
      <c r="D587" s="35" t="s">
        <v>7</v>
      </c>
      <c r="E587" s="35" t="s">
        <v>5</v>
      </c>
      <c r="F587" s="35"/>
      <c r="G587" s="44">
        <v>2</v>
      </c>
      <c r="H587" s="44">
        <v>8</v>
      </c>
      <c r="I587" s="44">
        <v>0</v>
      </c>
      <c r="J587" s="44">
        <v>0</v>
      </c>
      <c r="K587" s="44">
        <v>8</v>
      </c>
      <c r="L587" s="43">
        <v>0.625</v>
      </c>
      <c r="M587" s="43">
        <v>0.64583333333333337</v>
      </c>
      <c r="N587" s="43">
        <v>1.0125</v>
      </c>
      <c r="O587" s="43">
        <v>1.0333333333333334</v>
      </c>
      <c r="P587" s="39"/>
      <c r="Q587" s="42"/>
      <c r="R587" s="29">
        <f>MIP_4[[#This Row],[PT-1]]+MIP_4[[#This Row],[PT-2]]*2+MIP_4[[#This Row],[PT-3]]*3+MIP_4[[#This Row],[PT &gt; 3 Pontos]]</f>
        <v>16</v>
      </c>
      <c r="S58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58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587" s="41">
        <f ca="1">MIP_4[[#This Row],[Eficiência]]</f>
        <v>1.1144335714384026</v>
      </c>
      <c r="V58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87" s="39">
        <f>IF(MIP_4[[#This Row],[P.S]]-MIP_4[[#This Row],[P.E]]&lt;0,1+MIP_4[[#This Row],[P.S]]-MIP_4[[#This Row],[P.E]]-1/24,MIP_4[[#This Row],[P.S]]-MIP_4[[#This Row],[P.E]]-1/24)</f>
        <v>0.36666666666666675</v>
      </c>
      <c r="X587" s="39">
        <f ca="1">MIP_4[[#This Row],[PT-1]]*$S$3+MIP_4[[#This Row],[PT-2]]*$T$3+MIP_4[[#This Row],[PT-3]]*$U$3+MIP_4[[#This Row],[PT &gt; 3 Pontos]]*$V$3</f>
        <v>0.36219091071748072</v>
      </c>
      <c r="Y587" s="39">
        <f>MIP_4[[#This Row],[HH disponível]]-MIP_4[[#This Row],[HH AC TOT]]</f>
        <v>0.3249999999999999</v>
      </c>
      <c r="Z587" s="38">
        <f ca="1">MIP_4[[#This Row],[HH Produtivo
Total]]/MIP_4[[#This Row],[HH Trabalhado]]</f>
        <v>1.1144335714384026</v>
      </c>
      <c r="AA587" s="38">
        <f ca="1">MIP_4[[#This Row],[HH Produtivo
Total]]/MIP_4[[#This Row],[HH disponível]]</f>
        <v>0.98779339286585632</v>
      </c>
      <c r="AB587" s="38">
        <f>MIP_4[[#This Row],[HH Trabalhado]]/MIP_4[[#This Row],[HH disponível]]</f>
        <v>0.88636363636363591</v>
      </c>
      <c r="AC587" s="37" t="str">
        <f>LEFT(MIP_4[[#This Row],[Equipe]], SEARCH("/",MIP_4[[#This Row],[Equipe]],1)-1)</f>
        <v xml:space="preserve">ANDERSON </v>
      </c>
      <c r="AD587" s="37" t="str">
        <f>RIGHT(MIP_4[[#This Row],[Equipe]], LEN(MIP_4[[#This Row],[Equipe]])-SEARCH("/",MIP_4[[#This Row],[Equipe]],1))</f>
        <v xml:space="preserve"> MARCO</v>
      </c>
      <c r="AE587" s="44">
        <f>COUNTIFS('[1]Tempo parado'!G:G,"&gt;="&amp;MIP_4[[#This Row],[S.B Sitrack]],'[1]Tempo parado'!H:H,"&lt;="&amp;MIP_4[[#This Row],[C.B Sitrack]],'[1]Tempo parado'!A:A,MIP_4[[#This Row],[Placa]])</f>
        <v>0</v>
      </c>
      <c r="AF587" s="36"/>
      <c r="AG587" s="35"/>
      <c r="AH587" s="34"/>
      <c r="AI587" s="34"/>
      <c r="AJ58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8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8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87" s="32" t="str">
        <f>IFERROR(MIP_4[[#This Row],[Tempo parado]]/(MIP_4[[#This Row],[C.B Sitrack]]-MIP_4[[#This Row],[S.B Sitrack]]),"")</f>
        <v/>
      </c>
      <c r="AN587" s="30"/>
      <c r="AO587" s="44">
        <f>IF(AND(MIP_4[Exc]=0,MIP_4[Previsto / Realizado]="Realizado"),MIP_4[Sem],0)</f>
        <v>0</v>
      </c>
      <c r="AP587" s="29">
        <f>IF(AND(MIP_4[Exc]=0,MIP_4[Previsto / Realizado]="Realizado",ISBLANK(MIP_4[[#This Row],[S.B Sitrack]])=FALSE,ISBLANK(MIP_4[[#This Row],[C.B Sitrack]])=FALSE),MIP_4[Sem],0)</f>
        <v>0</v>
      </c>
    </row>
    <row r="588" spans="1:42" ht="15.75" x14ac:dyDescent="0.25">
      <c r="A588" s="44">
        <f>WEEKNUM(MIP_4[[#This Row],[Data]])</f>
        <v>39</v>
      </c>
      <c r="B588" s="45">
        <v>43003</v>
      </c>
      <c r="C588" s="45"/>
      <c r="D588" s="35" t="s">
        <v>7</v>
      </c>
      <c r="E588" s="35" t="s">
        <v>2</v>
      </c>
      <c r="F588" s="35"/>
      <c r="G588" s="44">
        <v>2</v>
      </c>
      <c r="H588" s="44">
        <v>8</v>
      </c>
      <c r="I588" s="44">
        <v>1</v>
      </c>
      <c r="J588" s="44">
        <v>0</v>
      </c>
      <c r="K588" s="44">
        <v>4</v>
      </c>
      <c r="L588" s="43">
        <v>0.62638888888888888</v>
      </c>
      <c r="M588" s="43">
        <v>0.68541666666666667</v>
      </c>
      <c r="N588" s="43">
        <v>1.0104166666666667</v>
      </c>
      <c r="O588" s="43">
        <v>1.0395833333333333</v>
      </c>
      <c r="P588" s="39"/>
      <c r="Q588" s="42"/>
      <c r="R588" s="29">
        <f>MIP_4[[#This Row],[PT-1]]+MIP_4[[#This Row],[PT-2]]*2+MIP_4[[#This Row],[PT-3]]*3+MIP_4[[#This Row],[PT &gt; 3 Pontos]]</f>
        <v>14</v>
      </c>
      <c r="S58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8.8194444444444353E-2</v>
      </c>
      <c r="T58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8.8194444444444353E-2</v>
      </c>
      <c r="U588" s="41">
        <f ca="1">MIP_4[[#This Row],[Eficiência]]</f>
        <v>1.147438705756054</v>
      </c>
      <c r="V58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88" s="39">
        <f>IF(MIP_4[[#This Row],[P.S]]-MIP_4[[#This Row],[P.E]]&lt;0,1+MIP_4[[#This Row],[P.S]]-MIP_4[[#This Row],[P.E]]-1/24,MIP_4[[#This Row],[P.S]]-MIP_4[[#This Row],[P.E]]-1/24)</f>
        <v>0.37152777777777773</v>
      </c>
      <c r="X588" s="39">
        <f ca="1">MIP_4[[#This Row],[PT-1]]*$S$3+MIP_4[[#This Row],[PT-2]]*$T$3+MIP_4[[#This Row],[PT-3]]*$U$3+MIP_4[[#This Row],[PT &gt; 3 Pontos]]*$V$3</f>
        <v>0.32510763329754866</v>
      </c>
      <c r="Y588" s="39">
        <f>MIP_4[[#This Row],[HH disponível]]-MIP_4[[#This Row],[HH AC TOT]]</f>
        <v>0.28333333333333338</v>
      </c>
      <c r="Z588" s="38">
        <f ca="1">MIP_4[[#This Row],[HH Produtivo
Total]]/MIP_4[[#This Row],[HH Trabalhado]]</f>
        <v>1.147438705756054</v>
      </c>
      <c r="AA588" s="38">
        <f ca="1">MIP_4[[#This Row],[HH Produtivo
Total]]/MIP_4[[#This Row],[HH disponível]]</f>
        <v>0.87505605971676659</v>
      </c>
      <c r="AB588" s="38">
        <f>MIP_4[[#This Row],[HH Trabalhado]]/MIP_4[[#This Row],[HH disponível]]</f>
        <v>0.7626168224299068</v>
      </c>
      <c r="AC588" s="37" t="str">
        <f>LEFT(MIP_4[[#This Row],[Equipe]], SEARCH("/",MIP_4[[#This Row],[Equipe]],1)-1)</f>
        <v xml:space="preserve">ANDERSON </v>
      </c>
      <c r="AD588" s="37" t="str">
        <f>RIGHT(MIP_4[[#This Row],[Equipe]], LEN(MIP_4[[#This Row],[Equipe]])-SEARCH("/",MIP_4[[#This Row],[Equipe]],1))</f>
        <v xml:space="preserve"> MARCO</v>
      </c>
      <c r="AE588" s="44">
        <f>COUNTIFS('[1]Tempo parado'!G:G,"&gt;="&amp;MIP_4[[#This Row],[S.B Sitrack]],'[1]Tempo parado'!H:H,"&lt;="&amp;MIP_4[[#This Row],[C.B Sitrack]],'[1]Tempo parado'!A:A,MIP_4[[#This Row],[Placa]])</f>
        <v>0</v>
      </c>
      <c r="AF588" s="36"/>
      <c r="AG588" s="35"/>
      <c r="AH588" s="34"/>
      <c r="AI588" s="34"/>
      <c r="AJ58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8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8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88" s="32" t="str">
        <f>IFERROR(MIP_4[[#This Row],[Tempo parado]]/(MIP_4[[#This Row],[C.B Sitrack]]-MIP_4[[#This Row],[S.B Sitrack]]),"")</f>
        <v/>
      </c>
      <c r="AN588" s="30"/>
      <c r="AO588" s="44">
        <f>IF(AND(MIP_4[Exc]=0,MIP_4[Previsto / Realizado]="Realizado"),MIP_4[Sem],0)</f>
        <v>39</v>
      </c>
      <c r="AP588" s="29">
        <f>IF(AND(MIP_4[Exc]=0,MIP_4[Previsto / Realizado]="Realizado",ISBLANK(MIP_4[[#This Row],[S.B Sitrack]])=FALSE,ISBLANK(MIP_4[[#This Row],[C.B Sitrack]])=FALSE),MIP_4[Sem],0)</f>
        <v>0</v>
      </c>
    </row>
    <row r="589" spans="1:42" ht="15.75" x14ac:dyDescent="0.25">
      <c r="A589" s="44">
        <f>WEEKNUM(MIP_4[[#This Row],[Data]])</f>
        <v>39</v>
      </c>
      <c r="B589" s="45">
        <v>43004</v>
      </c>
      <c r="C589" s="45"/>
      <c r="D589" s="35" t="s">
        <v>33</v>
      </c>
      <c r="E589" s="35" t="s">
        <v>5</v>
      </c>
      <c r="F589" s="35"/>
      <c r="G589" s="44">
        <v>2</v>
      </c>
      <c r="H589" s="44">
        <v>4</v>
      </c>
      <c r="I589" s="44">
        <v>0</v>
      </c>
      <c r="J589" s="44">
        <v>0</v>
      </c>
      <c r="K589" s="44">
        <v>5</v>
      </c>
      <c r="L589" s="43">
        <v>0.25</v>
      </c>
      <c r="M589" s="43">
        <v>0.27083333333333331</v>
      </c>
      <c r="N589" s="43">
        <v>0.63750000000000007</v>
      </c>
      <c r="O589" s="43">
        <v>0.65833333333333333</v>
      </c>
      <c r="P589" s="39"/>
      <c r="Q589" s="42" t="s">
        <v>223</v>
      </c>
      <c r="R589" s="29">
        <f>MIP_4[[#This Row],[PT-1]]+MIP_4[[#This Row],[PT-2]]*2+MIP_4[[#This Row],[PT-3]]*3+MIP_4[[#This Row],[PT &gt; 3 Pontos]]</f>
        <v>9</v>
      </c>
      <c r="S58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58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589" s="41">
        <f ca="1">MIP_4[[#This Row],[Eficiência]]</f>
        <v>0.61951835765996377</v>
      </c>
      <c r="V58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89" s="39">
        <f>IF(MIP_4[[#This Row],[P.S]]-MIP_4[[#This Row],[P.E]]&lt;0,1+MIP_4[[#This Row],[P.S]]-MIP_4[[#This Row],[P.E]]-1/24,MIP_4[[#This Row],[P.S]]-MIP_4[[#This Row],[P.E]]-1/24)</f>
        <v>0.36666666666666664</v>
      </c>
      <c r="X589" s="39">
        <f ca="1">MIP_4[[#This Row],[PT-1]]*$S$3+MIP_4[[#This Row],[PT-2]]*$T$3+MIP_4[[#This Row],[PT-3]]*$U$3+MIP_4[[#This Row],[PT &gt; 3 Pontos]]*$V$3</f>
        <v>0.20134346623948826</v>
      </c>
      <c r="Y589" s="39">
        <f>MIP_4[[#This Row],[HH disponível]]-MIP_4[[#This Row],[HH AC TOT]]</f>
        <v>0.32500000000000007</v>
      </c>
      <c r="Z589" s="38">
        <f ca="1">MIP_4[[#This Row],[HH Produtivo
Total]]/MIP_4[[#This Row],[HH Trabalhado]]</f>
        <v>0.61951835765996377</v>
      </c>
      <c r="AA589" s="38">
        <f ca="1">MIP_4[[#This Row],[HH Produtivo
Total]]/MIP_4[[#This Row],[HH disponível]]</f>
        <v>0.54911854428951345</v>
      </c>
      <c r="AB589" s="38">
        <f>MIP_4[[#This Row],[HH Trabalhado]]/MIP_4[[#This Row],[HH disponível]]</f>
        <v>0.88636363636363658</v>
      </c>
      <c r="AC589" s="37" t="str">
        <f>LEFT(MIP_4[[#This Row],[Equipe]], SEARCH("/",MIP_4[[#This Row],[Equipe]],1)-1)</f>
        <v xml:space="preserve">JOILSON </v>
      </c>
      <c r="AD589" s="37" t="str">
        <f>RIGHT(MIP_4[[#This Row],[Equipe]], LEN(MIP_4[[#This Row],[Equipe]])-SEARCH("/",MIP_4[[#This Row],[Equipe]],1))</f>
        <v xml:space="preserve"> HERVAL</v>
      </c>
      <c r="AE589" s="44">
        <f>COUNTIFS('[1]Tempo parado'!G:G,"&gt;="&amp;MIP_4[[#This Row],[S.B Sitrack]],'[1]Tempo parado'!H:H,"&lt;="&amp;MIP_4[[#This Row],[C.B Sitrack]],'[1]Tempo parado'!A:A,MIP_4[[#This Row],[Placa]])</f>
        <v>0</v>
      </c>
      <c r="AF589" s="36"/>
      <c r="AG589" s="35"/>
      <c r="AH589" s="34"/>
      <c r="AI589" s="34"/>
      <c r="AJ58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8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8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89" s="32" t="str">
        <f>IFERROR(MIP_4[[#This Row],[Tempo parado]]/(MIP_4[[#This Row],[C.B Sitrack]]-MIP_4[[#This Row],[S.B Sitrack]]),"")</f>
        <v/>
      </c>
      <c r="AN589" s="30"/>
      <c r="AO589" s="44">
        <f>IF(AND(MIP_4[Exc]=0,MIP_4[Previsto / Realizado]="Realizado"),MIP_4[Sem],0)</f>
        <v>0</v>
      </c>
      <c r="AP589" s="29">
        <f>IF(AND(MIP_4[Exc]=0,MIP_4[Previsto / Realizado]="Realizado",ISBLANK(MIP_4[[#This Row],[S.B Sitrack]])=FALSE,ISBLANK(MIP_4[[#This Row],[C.B Sitrack]])=FALSE),MIP_4[Sem],0)</f>
        <v>0</v>
      </c>
    </row>
    <row r="590" spans="1:42" ht="15.75" x14ac:dyDescent="0.25">
      <c r="A590" s="44">
        <f>WEEKNUM(MIP_4[[#This Row],[Data]])</f>
        <v>39</v>
      </c>
      <c r="B590" s="45">
        <v>43004</v>
      </c>
      <c r="C590" s="45"/>
      <c r="D590" s="35" t="s">
        <v>33</v>
      </c>
      <c r="E590" s="35" t="s">
        <v>2</v>
      </c>
      <c r="F590" s="35"/>
      <c r="G590" s="44">
        <v>2</v>
      </c>
      <c r="H590" s="44">
        <v>5</v>
      </c>
      <c r="I590" s="44">
        <v>0</v>
      </c>
      <c r="J590" s="44">
        <v>0</v>
      </c>
      <c r="K590" s="44">
        <v>5</v>
      </c>
      <c r="L590" s="43">
        <v>0.25</v>
      </c>
      <c r="M590" s="43">
        <v>0.27430555555555552</v>
      </c>
      <c r="N590" s="43">
        <v>0.625</v>
      </c>
      <c r="O590" s="43">
        <v>0.65833333333333333</v>
      </c>
      <c r="P590" s="39">
        <v>5.7638888888888885E-2</v>
      </c>
      <c r="Q590" s="42" t="s">
        <v>222</v>
      </c>
      <c r="R590" s="29">
        <f>MIP_4[[#This Row],[PT-1]]+MIP_4[[#This Row],[PT-2]]*2+MIP_4[[#This Row],[PT-3]]*3+MIP_4[[#This Row],[PT &gt; 3 Pontos]]</f>
        <v>10</v>
      </c>
      <c r="S59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0.11527777777777773</v>
      </c>
      <c r="T59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5.7638888888888851E-2</v>
      </c>
      <c r="U590" s="41">
        <f ca="1">MIP_4[[#This Row],[Eficiência]]</f>
        <v>0.90047463990533871</v>
      </c>
      <c r="V59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90" s="39">
        <f>IF(MIP_4[[#This Row],[P.S]]-MIP_4[[#This Row],[P.E]]&lt;0,1+MIP_4[[#This Row],[P.S]]-MIP_4[[#This Row],[P.E]]-1/24,MIP_4[[#This Row],[P.S]]-MIP_4[[#This Row],[P.E]]-1/24)</f>
        <v>0.36666666666666664</v>
      </c>
      <c r="X590" s="39">
        <f ca="1">MIP_4[[#This Row],[PT-1]]*$S$3+MIP_4[[#This Row],[PT-2]]*$T$3+MIP_4[[#This Row],[PT-3]]*$U$3+MIP_4[[#This Row],[PT &gt; 3 Pontos]]*$V$3</f>
        <v>0.22636931919842543</v>
      </c>
      <c r="Y590" s="39">
        <f>MIP_4[[#This Row],[HH disponível]]-MIP_4[[#This Row],[HH AC TOT]]</f>
        <v>0.25138888888888888</v>
      </c>
      <c r="Z590" s="38">
        <f ca="1">MIP_4[[#This Row],[HH Produtivo
Total]]/MIP_4[[#This Row],[HH Trabalhado]]</f>
        <v>0.90047463990533871</v>
      </c>
      <c r="AA590" s="38">
        <f ca="1">MIP_4[[#This Row],[HH Produtivo
Total]]/MIP_4[[#This Row],[HH disponível]]</f>
        <v>0.61737087054116035</v>
      </c>
      <c r="AB590" s="38">
        <f>MIP_4[[#This Row],[HH Trabalhado]]/MIP_4[[#This Row],[HH disponível]]</f>
        <v>0.68560606060606066</v>
      </c>
      <c r="AC590" s="37" t="str">
        <f>LEFT(MIP_4[[#This Row],[Equipe]], SEARCH("/",MIP_4[[#This Row],[Equipe]],1)-1)</f>
        <v xml:space="preserve">JOILSON </v>
      </c>
      <c r="AD590" s="37" t="str">
        <f>RIGHT(MIP_4[[#This Row],[Equipe]], LEN(MIP_4[[#This Row],[Equipe]])-SEARCH("/",MIP_4[[#This Row],[Equipe]],1))</f>
        <v xml:space="preserve"> HERVAL</v>
      </c>
      <c r="AE590" s="44">
        <f>COUNTIFS('[1]Tempo parado'!G:G,"&gt;="&amp;MIP_4[[#This Row],[S.B Sitrack]],'[1]Tempo parado'!H:H,"&lt;="&amp;MIP_4[[#This Row],[C.B Sitrack]],'[1]Tempo parado'!A:A,MIP_4[[#This Row],[Placa]])</f>
        <v>0</v>
      </c>
      <c r="AF590" s="36"/>
      <c r="AG590" s="35"/>
      <c r="AH590" s="34"/>
      <c r="AI590" s="34"/>
      <c r="AJ59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9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9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90" s="32" t="str">
        <f>IFERROR(MIP_4[[#This Row],[Tempo parado]]/(MIP_4[[#This Row],[C.B Sitrack]]-MIP_4[[#This Row],[S.B Sitrack]]),"")</f>
        <v/>
      </c>
      <c r="AN590" s="30"/>
      <c r="AO590" s="44">
        <f>IF(AND(MIP_4[Exc]=0,MIP_4[Previsto / Realizado]="Realizado"),MIP_4[Sem],0)</f>
        <v>39</v>
      </c>
      <c r="AP590" s="29">
        <f>IF(AND(MIP_4[Exc]=0,MIP_4[Previsto / Realizado]="Realizado",ISBLANK(MIP_4[[#This Row],[S.B Sitrack]])=FALSE,ISBLANK(MIP_4[[#This Row],[C.B Sitrack]])=FALSE),MIP_4[Sem],0)</f>
        <v>0</v>
      </c>
    </row>
    <row r="591" spans="1:42" ht="15.75" x14ac:dyDescent="0.25">
      <c r="A591" s="44">
        <f>WEEKNUM(MIP_4[[#This Row],[Data]])</f>
        <v>39</v>
      </c>
      <c r="B591" s="45">
        <v>43004</v>
      </c>
      <c r="C591" s="45"/>
      <c r="D591" s="35" t="s">
        <v>3</v>
      </c>
      <c r="E591" s="35" t="s">
        <v>5</v>
      </c>
      <c r="F591" s="35"/>
      <c r="G591" s="44">
        <v>2</v>
      </c>
      <c r="H591" s="44">
        <v>5</v>
      </c>
      <c r="I591" s="44">
        <v>1</v>
      </c>
      <c r="J591" s="44">
        <v>2</v>
      </c>
      <c r="K591" s="44">
        <v>0</v>
      </c>
      <c r="L591" s="43">
        <v>0.625</v>
      </c>
      <c r="M591" s="43">
        <v>0.64583333333333337</v>
      </c>
      <c r="N591" s="43">
        <v>1.0125</v>
      </c>
      <c r="O591" s="43">
        <v>1.0333333333333334</v>
      </c>
      <c r="P591" s="39"/>
      <c r="Q591" s="42"/>
      <c r="R591" s="29">
        <f>MIP_4[[#This Row],[PT-1]]+MIP_4[[#This Row],[PT-2]]*2+MIP_4[[#This Row],[PT-3]]*3+MIP_4[[#This Row],[PT &gt; 3 Pontos]]</f>
        <v>13</v>
      </c>
      <c r="S59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59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591" s="41">
        <f ca="1">MIP_4[[#This Row],[Eficiência]]</f>
        <v>0.90652735197572176</v>
      </c>
      <c r="V59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91" s="39">
        <f>IF(MIP_4[[#This Row],[P.S]]-MIP_4[[#This Row],[P.E]]&lt;0,1+MIP_4[[#This Row],[P.S]]-MIP_4[[#This Row],[P.E]]-1/24,MIP_4[[#This Row],[P.S]]-MIP_4[[#This Row],[P.E]]-1/24)</f>
        <v>0.36666666666666675</v>
      </c>
      <c r="X591" s="39">
        <f ca="1">MIP_4[[#This Row],[PT-1]]*$S$3+MIP_4[[#This Row],[PT-2]]*$T$3+MIP_4[[#This Row],[PT-3]]*$U$3+MIP_4[[#This Row],[PT &gt; 3 Pontos]]*$V$3</f>
        <v>0.29462138939210947</v>
      </c>
      <c r="Y591" s="39">
        <f>MIP_4[[#This Row],[HH disponível]]-MIP_4[[#This Row],[HH AC TOT]]</f>
        <v>0.3249999999999999</v>
      </c>
      <c r="Z591" s="38">
        <f ca="1">MIP_4[[#This Row],[HH Produtivo
Total]]/MIP_4[[#This Row],[HH Trabalhado]]</f>
        <v>0.90652735197572176</v>
      </c>
      <c r="AA591" s="38">
        <f ca="1">MIP_4[[#This Row],[HH Produtivo
Total]]/MIP_4[[#This Row],[HH disponível]]</f>
        <v>0.80351288016029832</v>
      </c>
      <c r="AB591" s="38">
        <f>MIP_4[[#This Row],[HH Trabalhado]]/MIP_4[[#This Row],[HH disponível]]</f>
        <v>0.88636363636363591</v>
      </c>
      <c r="AC591" s="37" t="str">
        <f>LEFT(MIP_4[[#This Row],[Equipe]], SEARCH("/",MIP_4[[#This Row],[Equipe]],1)-1)</f>
        <v xml:space="preserve">EDILTON </v>
      </c>
      <c r="AD591" s="37" t="str">
        <f>RIGHT(MIP_4[[#This Row],[Equipe]], LEN(MIP_4[[#This Row],[Equipe]])-SEARCH("/",MIP_4[[#This Row],[Equipe]],1))</f>
        <v xml:space="preserve"> GECIVALDO</v>
      </c>
      <c r="AE591" s="44">
        <f>COUNTIFS('[1]Tempo parado'!G:G,"&gt;="&amp;MIP_4[[#This Row],[S.B Sitrack]],'[1]Tempo parado'!H:H,"&lt;="&amp;MIP_4[[#This Row],[C.B Sitrack]],'[1]Tempo parado'!A:A,MIP_4[[#This Row],[Placa]])</f>
        <v>0</v>
      </c>
      <c r="AF591" s="36"/>
      <c r="AG591" s="35"/>
      <c r="AH591" s="34"/>
      <c r="AI591" s="34"/>
      <c r="AJ59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9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9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91" s="32" t="str">
        <f>IFERROR(MIP_4[[#This Row],[Tempo parado]]/(MIP_4[[#This Row],[C.B Sitrack]]-MIP_4[[#This Row],[S.B Sitrack]]),"")</f>
        <v/>
      </c>
      <c r="AN591" s="30"/>
      <c r="AO591" s="44">
        <f>IF(AND(MIP_4[Exc]=0,MIP_4[Previsto / Realizado]="Realizado"),MIP_4[Sem],0)</f>
        <v>0</v>
      </c>
      <c r="AP591" s="29">
        <f>IF(AND(MIP_4[Exc]=0,MIP_4[Previsto / Realizado]="Realizado",ISBLANK(MIP_4[[#This Row],[S.B Sitrack]])=FALSE,ISBLANK(MIP_4[[#This Row],[C.B Sitrack]])=FALSE),MIP_4[Sem],0)</f>
        <v>0</v>
      </c>
    </row>
    <row r="592" spans="1:42" ht="15.75" x14ac:dyDescent="0.25">
      <c r="A592" s="44">
        <f>WEEKNUM(MIP_4[[#This Row],[Data]])</f>
        <v>39</v>
      </c>
      <c r="B592" s="45">
        <v>43004</v>
      </c>
      <c r="C592" s="45"/>
      <c r="D592" s="35" t="s">
        <v>3</v>
      </c>
      <c r="E592" s="35" t="s">
        <v>2</v>
      </c>
      <c r="F592" s="35"/>
      <c r="G592" s="44">
        <v>2</v>
      </c>
      <c r="H592" s="44">
        <v>6</v>
      </c>
      <c r="I592" s="44">
        <v>1</v>
      </c>
      <c r="J592" s="44">
        <v>2</v>
      </c>
      <c r="K592" s="44">
        <v>0</v>
      </c>
      <c r="L592" s="43">
        <v>0.61736111111111114</v>
      </c>
      <c r="M592" s="43">
        <v>0.65972222222222221</v>
      </c>
      <c r="N592" s="43">
        <v>0.99375000000000002</v>
      </c>
      <c r="O592" s="43">
        <v>1.0375000000000001</v>
      </c>
      <c r="P592" s="39"/>
      <c r="Q592" s="42" t="s">
        <v>32</v>
      </c>
      <c r="R592" s="29">
        <f>MIP_4[[#This Row],[PT-1]]+MIP_4[[#This Row],[PT-2]]*2+MIP_4[[#This Row],[PT-3]]*3+MIP_4[[#This Row],[PT &gt; 3 Pontos]]</f>
        <v>14</v>
      </c>
      <c r="S59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8.6111111111111138E-2</v>
      </c>
      <c r="T59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8.6111111111111138E-2</v>
      </c>
      <c r="U592" s="41">
        <f ca="1">MIP_4[[#This Row],[Eficiência]]</f>
        <v>1.0933302351199694</v>
      </c>
      <c r="V59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92" s="39">
        <f>IF(MIP_4[[#This Row],[P.S]]-MIP_4[[#This Row],[P.E]]&lt;0,1+MIP_4[[#This Row],[P.S]]-MIP_4[[#This Row],[P.E]]-1/24,MIP_4[[#This Row],[P.S]]-MIP_4[[#This Row],[P.E]]-1/24)</f>
        <v>0.37847222222222227</v>
      </c>
      <c r="X592" s="39">
        <f ca="1">MIP_4[[#This Row],[PT-1]]*$S$3+MIP_4[[#This Row],[PT-2]]*$T$3+MIP_4[[#This Row],[PT-3]]*$U$3+MIP_4[[#This Row],[PT &gt; 3 Pontos]]*$V$3</f>
        <v>0.31964724235104663</v>
      </c>
      <c r="Y592" s="39">
        <f>MIP_4[[#This Row],[HH disponível]]-MIP_4[[#This Row],[HH AC TOT]]</f>
        <v>0.29236111111111113</v>
      </c>
      <c r="Z592" s="38">
        <f ca="1">MIP_4[[#This Row],[HH Produtivo
Total]]/MIP_4[[#This Row],[HH Trabalhado]]</f>
        <v>1.0933302351199694</v>
      </c>
      <c r="AA592" s="38">
        <f ca="1">MIP_4[[#This Row],[HH Produtivo
Total]]/MIP_4[[#This Row],[HH disponível]]</f>
        <v>0.84457253024863688</v>
      </c>
      <c r="AB592" s="38">
        <f>MIP_4[[#This Row],[HH Trabalhado]]/MIP_4[[#This Row],[HH disponível]]</f>
        <v>0.77247706422018347</v>
      </c>
      <c r="AC592" s="37" t="str">
        <f>LEFT(MIP_4[[#This Row],[Equipe]], SEARCH("/",MIP_4[[#This Row],[Equipe]],1)-1)</f>
        <v xml:space="preserve">EDILTON </v>
      </c>
      <c r="AD592" s="37" t="str">
        <f>RIGHT(MIP_4[[#This Row],[Equipe]], LEN(MIP_4[[#This Row],[Equipe]])-SEARCH("/",MIP_4[[#This Row],[Equipe]],1))</f>
        <v xml:space="preserve"> GECIVALDO</v>
      </c>
      <c r="AE592" s="44">
        <f>COUNTIFS('[1]Tempo parado'!G:G,"&gt;="&amp;MIP_4[[#This Row],[S.B Sitrack]],'[1]Tempo parado'!H:H,"&lt;="&amp;MIP_4[[#This Row],[C.B Sitrack]],'[1]Tempo parado'!A:A,MIP_4[[#This Row],[Placa]])</f>
        <v>0</v>
      </c>
      <c r="AF592" s="36"/>
      <c r="AG592" s="35"/>
      <c r="AH592" s="34"/>
      <c r="AI592" s="34"/>
      <c r="AJ59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9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9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92" s="32" t="str">
        <f>IFERROR(MIP_4[[#This Row],[Tempo parado]]/(MIP_4[[#This Row],[C.B Sitrack]]-MIP_4[[#This Row],[S.B Sitrack]]),"")</f>
        <v/>
      </c>
      <c r="AN592" s="30"/>
      <c r="AO592" s="44">
        <f>IF(AND(MIP_4[Exc]=0,MIP_4[Previsto / Realizado]="Realizado"),MIP_4[Sem],0)</f>
        <v>39</v>
      </c>
      <c r="AP592" s="29">
        <f>IF(AND(MIP_4[Exc]=0,MIP_4[Previsto / Realizado]="Realizado",ISBLANK(MIP_4[[#This Row],[S.B Sitrack]])=FALSE,ISBLANK(MIP_4[[#This Row],[C.B Sitrack]])=FALSE),MIP_4[Sem],0)</f>
        <v>0</v>
      </c>
    </row>
    <row r="593" spans="1:42" ht="15.75" x14ac:dyDescent="0.25">
      <c r="A593" s="44">
        <f>WEEKNUM(MIP_4[[#This Row],[Data]])</f>
        <v>39</v>
      </c>
      <c r="B593" s="45">
        <v>43005</v>
      </c>
      <c r="C593" s="45"/>
      <c r="D593" s="35" t="s">
        <v>7</v>
      </c>
      <c r="E593" s="35" t="s">
        <v>5</v>
      </c>
      <c r="F593" s="35"/>
      <c r="G593" s="44">
        <v>2</v>
      </c>
      <c r="H593" s="44">
        <v>1</v>
      </c>
      <c r="I593" s="44">
        <v>2</v>
      </c>
      <c r="J593" s="44">
        <v>0</v>
      </c>
      <c r="K593" s="44">
        <v>0</v>
      </c>
      <c r="L593" s="43">
        <v>0.625</v>
      </c>
      <c r="M593" s="43">
        <v>0.64583333333333337</v>
      </c>
      <c r="N593" s="43">
        <v>1.0125</v>
      </c>
      <c r="O593" s="43">
        <v>1.0333333333333334</v>
      </c>
      <c r="P593" s="39"/>
      <c r="Q593" s="42" t="s">
        <v>36</v>
      </c>
      <c r="R593" s="29">
        <f>MIP_4[[#This Row],[PT-1]]+MIP_4[[#This Row],[PT-2]]*2+MIP_4[[#This Row],[PT-3]]*3+MIP_4[[#This Row],[PT &gt; 3 Pontos]]</f>
        <v>5</v>
      </c>
      <c r="S59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59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593" s="41">
        <f ca="1">MIP_4[[#This Row],[Eficiência]]</f>
        <v>0.34721041589248119</v>
      </c>
      <c r="V59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93" s="39">
        <f>IF(MIP_4[[#This Row],[P.S]]-MIP_4[[#This Row],[P.E]]&lt;0,1+MIP_4[[#This Row],[P.S]]-MIP_4[[#This Row],[P.E]]-1/24,MIP_4[[#This Row],[P.S]]-MIP_4[[#This Row],[P.E]]-1/24)</f>
        <v>0.36666666666666675</v>
      </c>
      <c r="X593" s="39">
        <f ca="1">MIP_4[[#This Row],[PT-1]]*$S$3+MIP_4[[#This Row],[PT-2]]*$T$3+MIP_4[[#This Row],[PT-3]]*$U$3+MIP_4[[#This Row],[PT &gt; 3 Pontos]]*$V$3</f>
        <v>0.11284338516505635</v>
      </c>
      <c r="Y593" s="39">
        <f>MIP_4[[#This Row],[HH disponível]]-MIP_4[[#This Row],[HH AC TOT]]</f>
        <v>0.3249999999999999</v>
      </c>
      <c r="Z593" s="38">
        <f ca="1">MIP_4[[#This Row],[HH Produtivo
Total]]/MIP_4[[#This Row],[HH Trabalhado]]</f>
        <v>0.34721041589248119</v>
      </c>
      <c r="AA593" s="38">
        <f ca="1">MIP_4[[#This Row],[HH Produtivo
Total]]/MIP_4[[#This Row],[HH disponível]]</f>
        <v>0.30775468681378998</v>
      </c>
      <c r="AB593" s="38">
        <f>MIP_4[[#This Row],[HH Trabalhado]]/MIP_4[[#This Row],[HH disponível]]</f>
        <v>0.88636363636363591</v>
      </c>
      <c r="AC593" s="37" t="str">
        <f>LEFT(MIP_4[[#This Row],[Equipe]], SEARCH("/",MIP_4[[#This Row],[Equipe]],1)-1)</f>
        <v xml:space="preserve">ANDERSON </v>
      </c>
      <c r="AD593" s="37" t="str">
        <f>RIGHT(MIP_4[[#This Row],[Equipe]], LEN(MIP_4[[#This Row],[Equipe]])-SEARCH("/",MIP_4[[#This Row],[Equipe]],1))</f>
        <v xml:space="preserve"> MARCO</v>
      </c>
      <c r="AE593" s="44">
        <f>COUNTIFS('[1]Tempo parado'!G:G,"&gt;="&amp;MIP_4[[#This Row],[S.B Sitrack]],'[1]Tempo parado'!H:H,"&lt;="&amp;MIP_4[[#This Row],[C.B Sitrack]],'[1]Tempo parado'!A:A,MIP_4[[#This Row],[Placa]])</f>
        <v>0</v>
      </c>
      <c r="AF593" s="36"/>
      <c r="AG593" s="35"/>
      <c r="AH593" s="34"/>
      <c r="AI593" s="34"/>
      <c r="AJ59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9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9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93" s="32" t="str">
        <f>IFERROR(MIP_4[[#This Row],[Tempo parado]]/(MIP_4[[#This Row],[C.B Sitrack]]-MIP_4[[#This Row],[S.B Sitrack]]),"")</f>
        <v/>
      </c>
      <c r="AN593" s="30"/>
      <c r="AO593" s="44">
        <f>IF(AND(MIP_4[Exc]=0,MIP_4[Previsto / Realizado]="Realizado"),MIP_4[Sem],0)</f>
        <v>0</v>
      </c>
      <c r="AP593" s="29">
        <f>IF(AND(MIP_4[Exc]=0,MIP_4[Previsto / Realizado]="Realizado",ISBLANK(MIP_4[[#This Row],[S.B Sitrack]])=FALSE,ISBLANK(MIP_4[[#This Row],[C.B Sitrack]])=FALSE),MIP_4[Sem],0)</f>
        <v>0</v>
      </c>
    </row>
    <row r="594" spans="1:42" ht="15.75" x14ac:dyDescent="0.25">
      <c r="A594" s="44">
        <f>WEEKNUM(MIP_4[[#This Row],[Data]])</f>
        <v>39</v>
      </c>
      <c r="B594" s="45">
        <v>43005</v>
      </c>
      <c r="C594" s="45"/>
      <c r="D594" s="35" t="s">
        <v>7</v>
      </c>
      <c r="E594" s="35" t="s">
        <v>2</v>
      </c>
      <c r="F594" s="35"/>
      <c r="G594" s="44">
        <v>2</v>
      </c>
      <c r="H594" s="44">
        <v>4</v>
      </c>
      <c r="I594" s="44">
        <v>2</v>
      </c>
      <c r="J594" s="44">
        <v>2</v>
      </c>
      <c r="K594" s="44">
        <v>0</v>
      </c>
      <c r="L594" s="43">
        <v>0.62361111111111112</v>
      </c>
      <c r="M594" s="43">
        <v>0.65625</v>
      </c>
      <c r="N594" s="43">
        <v>1.0104166666666667</v>
      </c>
      <c r="O594" s="43">
        <v>1.0395833333333333</v>
      </c>
      <c r="P594" s="39"/>
      <c r="Q594" s="42"/>
      <c r="R594" s="29">
        <f>MIP_4[[#This Row],[PT-1]]+MIP_4[[#This Row],[PT-2]]*2+MIP_4[[#This Row],[PT-3]]*3+MIP_4[[#This Row],[PT &gt; 3 Pontos]]</f>
        <v>14</v>
      </c>
      <c r="S59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6.1805555555555447E-2</v>
      </c>
      <c r="T59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6.1805555555555447E-2</v>
      </c>
      <c r="U594" s="41">
        <f ca="1">MIP_4[[#This Row],[Eficiência]]</f>
        <v>1.0032137681159417</v>
      </c>
      <c r="V59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94" s="39">
        <f>IF(MIP_4[[#This Row],[P.S]]-MIP_4[[#This Row],[P.E]]&lt;0,1+MIP_4[[#This Row],[P.S]]-MIP_4[[#This Row],[P.E]]-1/24,MIP_4[[#This Row],[P.S]]-MIP_4[[#This Row],[P.E]]-1/24)</f>
        <v>0.3743055555555555</v>
      </c>
      <c r="X594" s="39">
        <f ca="1">MIP_4[[#This Row],[PT-1]]*$S$3+MIP_4[[#This Row],[PT-2]]*$T$3+MIP_4[[#This Row],[PT-3]]*$U$3+MIP_4[[#This Row],[PT &gt; 3 Pontos]]*$V$3</f>
        <v>0.31350430253623185</v>
      </c>
      <c r="Y594" s="39">
        <f>MIP_4[[#This Row],[HH disponível]]-MIP_4[[#This Row],[HH AC TOT]]</f>
        <v>0.31250000000000006</v>
      </c>
      <c r="Z594" s="38">
        <f ca="1">MIP_4[[#This Row],[HH Produtivo
Total]]/MIP_4[[#This Row],[HH Trabalhado]]</f>
        <v>1.0032137681159417</v>
      </c>
      <c r="AA594" s="38">
        <f ca="1">MIP_4[[#This Row],[HH Produtivo
Total]]/MIP_4[[#This Row],[HH disponível]]</f>
        <v>0.83756251512462698</v>
      </c>
      <c r="AB594" s="38">
        <f>MIP_4[[#This Row],[HH Trabalhado]]/MIP_4[[#This Row],[HH disponível]]</f>
        <v>0.83487940630797797</v>
      </c>
      <c r="AC594" s="37" t="str">
        <f>LEFT(MIP_4[[#This Row],[Equipe]], SEARCH("/",MIP_4[[#This Row],[Equipe]],1)-1)</f>
        <v xml:space="preserve">ANDERSON </v>
      </c>
      <c r="AD594" s="37" t="str">
        <f>RIGHT(MIP_4[[#This Row],[Equipe]], LEN(MIP_4[[#This Row],[Equipe]])-SEARCH("/",MIP_4[[#This Row],[Equipe]],1))</f>
        <v xml:space="preserve"> MARCO</v>
      </c>
      <c r="AE594" s="44">
        <f>COUNTIFS('[1]Tempo parado'!G:G,"&gt;="&amp;MIP_4[[#This Row],[S.B Sitrack]],'[1]Tempo parado'!H:H,"&lt;="&amp;MIP_4[[#This Row],[C.B Sitrack]],'[1]Tempo parado'!A:A,MIP_4[[#This Row],[Placa]])</f>
        <v>0</v>
      </c>
      <c r="AF594" s="36"/>
      <c r="AG594" s="35"/>
      <c r="AH594" s="34"/>
      <c r="AI594" s="34"/>
      <c r="AJ59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9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9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94" s="32" t="str">
        <f>IFERROR(MIP_4[[#This Row],[Tempo parado]]/(MIP_4[[#This Row],[C.B Sitrack]]-MIP_4[[#This Row],[S.B Sitrack]]),"")</f>
        <v/>
      </c>
      <c r="AN594" s="30"/>
      <c r="AO594" s="44">
        <f>IF(AND(MIP_4[Exc]=0,MIP_4[Previsto / Realizado]="Realizado"),MIP_4[Sem],0)</f>
        <v>39</v>
      </c>
      <c r="AP594" s="29">
        <f>IF(AND(MIP_4[Exc]=0,MIP_4[Previsto / Realizado]="Realizado",ISBLANK(MIP_4[[#This Row],[S.B Sitrack]])=FALSE,ISBLANK(MIP_4[[#This Row],[C.B Sitrack]])=FALSE),MIP_4[Sem],0)</f>
        <v>0</v>
      </c>
    </row>
    <row r="595" spans="1:42" ht="15.75" x14ac:dyDescent="0.25">
      <c r="A595" s="44">
        <f>WEEKNUM(MIP_4[[#This Row],[Data]])</f>
        <v>39</v>
      </c>
      <c r="B595" s="45">
        <v>43005</v>
      </c>
      <c r="C595" s="45"/>
      <c r="D595" s="35" t="s">
        <v>3</v>
      </c>
      <c r="E595" s="35" t="s">
        <v>5</v>
      </c>
      <c r="F595" s="35"/>
      <c r="G595" s="44">
        <v>2</v>
      </c>
      <c r="H595" s="44">
        <v>4</v>
      </c>
      <c r="I595" s="44">
        <v>3</v>
      </c>
      <c r="J595" s="44">
        <v>0</v>
      </c>
      <c r="K595" s="44">
        <v>0</v>
      </c>
      <c r="L595" s="43">
        <v>0.625</v>
      </c>
      <c r="M595" s="43">
        <v>0.64583333333333337</v>
      </c>
      <c r="N595" s="43">
        <v>1.0125</v>
      </c>
      <c r="O595" s="43">
        <v>1.0333333333333334</v>
      </c>
      <c r="P595" s="39"/>
      <c r="Q595" s="42" t="s">
        <v>36</v>
      </c>
      <c r="R595" s="29">
        <f>MIP_4[[#This Row],[PT-1]]+MIP_4[[#This Row],[PT-2]]*2+MIP_4[[#This Row],[PT-3]]*3+MIP_4[[#This Row],[PT &gt; 3 Pontos]]</f>
        <v>10</v>
      </c>
      <c r="S59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59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595" s="41">
        <f ca="1">MIP_4[[#This Row],[Eficiência]]</f>
        <v>0.71332218506131551</v>
      </c>
      <c r="V59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95" s="39">
        <f>IF(MIP_4[[#This Row],[P.S]]-MIP_4[[#This Row],[P.E]]&lt;0,1+MIP_4[[#This Row],[P.S]]-MIP_4[[#This Row],[P.E]]-1/24,MIP_4[[#This Row],[P.S]]-MIP_4[[#This Row],[P.E]]-1/24)</f>
        <v>0.36666666666666675</v>
      </c>
      <c r="X595" s="39">
        <f ca="1">MIP_4[[#This Row],[PT-1]]*$S$3+MIP_4[[#This Row],[PT-2]]*$T$3+MIP_4[[#This Row],[PT-3]]*$U$3+MIP_4[[#This Row],[PT &gt; 3 Pontos]]*$V$3</f>
        <v>0.23182971014492748</v>
      </c>
      <c r="Y595" s="39">
        <f>MIP_4[[#This Row],[HH disponível]]-MIP_4[[#This Row],[HH AC TOT]]</f>
        <v>0.3249999999999999</v>
      </c>
      <c r="Z595" s="38">
        <f ca="1">MIP_4[[#This Row],[HH Produtivo
Total]]/MIP_4[[#This Row],[HH Trabalhado]]</f>
        <v>0.71332218506131551</v>
      </c>
      <c r="AA595" s="38">
        <f ca="1">MIP_4[[#This Row],[HH Produtivo
Total]]/MIP_4[[#This Row],[HH disponível]]</f>
        <v>0.63226284584980208</v>
      </c>
      <c r="AB595" s="38">
        <f>MIP_4[[#This Row],[HH Trabalhado]]/MIP_4[[#This Row],[HH disponível]]</f>
        <v>0.88636363636363591</v>
      </c>
      <c r="AC595" s="37" t="str">
        <f>LEFT(MIP_4[[#This Row],[Equipe]], SEARCH("/",MIP_4[[#This Row],[Equipe]],1)-1)</f>
        <v xml:space="preserve">EDILTON </v>
      </c>
      <c r="AD595" s="37" t="str">
        <f>RIGHT(MIP_4[[#This Row],[Equipe]], LEN(MIP_4[[#This Row],[Equipe]])-SEARCH("/",MIP_4[[#This Row],[Equipe]],1))</f>
        <v xml:space="preserve"> GECIVALDO</v>
      </c>
      <c r="AE595" s="44">
        <f>COUNTIFS('[1]Tempo parado'!G:G,"&gt;="&amp;MIP_4[[#This Row],[S.B Sitrack]],'[1]Tempo parado'!H:H,"&lt;="&amp;MIP_4[[#This Row],[C.B Sitrack]],'[1]Tempo parado'!A:A,MIP_4[[#This Row],[Placa]])</f>
        <v>0</v>
      </c>
      <c r="AF595" s="36"/>
      <c r="AG595" s="35"/>
      <c r="AH595" s="34"/>
      <c r="AI595" s="34"/>
      <c r="AJ59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9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9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95" s="32" t="str">
        <f>IFERROR(MIP_4[[#This Row],[Tempo parado]]/(MIP_4[[#This Row],[C.B Sitrack]]-MIP_4[[#This Row],[S.B Sitrack]]),"")</f>
        <v/>
      </c>
      <c r="AN595" s="30"/>
      <c r="AO595" s="44">
        <f>IF(AND(MIP_4[Exc]=0,MIP_4[Previsto / Realizado]="Realizado"),MIP_4[Sem],0)</f>
        <v>0</v>
      </c>
      <c r="AP595" s="29">
        <f>IF(AND(MIP_4[Exc]=0,MIP_4[Previsto / Realizado]="Realizado",ISBLANK(MIP_4[[#This Row],[S.B Sitrack]])=FALSE,ISBLANK(MIP_4[[#This Row],[C.B Sitrack]])=FALSE),MIP_4[Sem],0)</f>
        <v>0</v>
      </c>
    </row>
    <row r="596" spans="1:42" ht="15.75" x14ac:dyDescent="0.25">
      <c r="A596" s="44">
        <f>WEEKNUM(MIP_4[[#This Row],[Data]])</f>
        <v>39</v>
      </c>
      <c r="B596" s="45">
        <v>43005</v>
      </c>
      <c r="C596" s="45"/>
      <c r="D596" s="35" t="s">
        <v>3</v>
      </c>
      <c r="E596" s="35" t="s">
        <v>2</v>
      </c>
      <c r="F596" s="35"/>
      <c r="G596" s="44">
        <v>2</v>
      </c>
      <c r="H596" s="44">
        <v>8</v>
      </c>
      <c r="I596" s="44">
        <v>3</v>
      </c>
      <c r="J596" s="44">
        <v>0</v>
      </c>
      <c r="K596" s="44">
        <v>0</v>
      </c>
      <c r="L596" s="43">
        <v>0.61458333333333337</v>
      </c>
      <c r="M596" s="43">
        <v>0.65277777777777779</v>
      </c>
      <c r="N596" s="43">
        <v>0.98958333333333337</v>
      </c>
      <c r="O596" s="43">
        <v>1.0354166666666667</v>
      </c>
      <c r="P596" s="39"/>
      <c r="Q596" s="42" t="s">
        <v>100</v>
      </c>
      <c r="R596" s="29">
        <f>MIP_4[[#This Row],[PT-1]]+MIP_4[[#This Row],[PT-2]]*2+MIP_4[[#This Row],[PT-3]]*3+MIP_4[[#This Row],[PT &gt; 3 Pontos]]</f>
        <v>14</v>
      </c>
      <c r="S59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8.4027777777777701E-2</v>
      </c>
      <c r="T59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8.4027777777777701E-2</v>
      </c>
      <c r="U596" s="41">
        <f ca="1">MIP_4[[#This Row],[Eficiência]]</f>
        <v>1.1246675191815851</v>
      </c>
      <c r="V59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96" s="39">
        <f>IF(MIP_4[[#This Row],[P.S]]-MIP_4[[#This Row],[P.E]]&lt;0,1+MIP_4[[#This Row],[P.S]]-MIP_4[[#This Row],[P.E]]-1/24,MIP_4[[#This Row],[P.S]]-MIP_4[[#This Row],[P.E]]-1/24)</f>
        <v>0.3791666666666666</v>
      </c>
      <c r="X596" s="39">
        <f ca="1">MIP_4[[#This Row],[PT-1]]*$S$3+MIP_4[[#This Row],[PT-2]]*$T$3+MIP_4[[#This Row],[PT-3]]*$U$3+MIP_4[[#This Row],[PT &gt; 3 Pontos]]*$V$3</f>
        <v>0.3319331219806762</v>
      </c>
      <c r="Y596" s="39">
        <f>MIP_4[[#This Row],[HH disponível]]-MIP_4[[#This Row],[HH AC TOT]]</f>
        <v>0.2951388888888889</v>
      </c>
      <c r="Z596" s="38">
        <f ca="1">MIP_4[[#This Row],[HH Produtivo
Total]]/MIP_4[[#This Row],[HH Trabalhado]]</f>
        <v>1.1246675191815851</v>
      </c>
      <c r="AA596" s="38">
        <f ca="1">MIP_4[[#This Row],[HH Produtivo
Total]]/MIP_4[[#This Row],[HH disponível]]</f>
        <v>0.87542801401497039</v>
      </c>
      <c r="AB596" s="38">
        <f>MIP_4[[#This Row],[HH Trabalhado]]/MIP_4[[#This Row],[HH disponível]]</f>
        <v>0.77838827838827851</v>
      </c>
      <c r="AC596" s="37" t="str">
        <f>LEFT(MIP_4[[#This Row],[Equipe]], SEARCH("/",MIP_4[[#This Row],[Equipe]],1)-1)</f>
        <v xml:space="preserve">EDILTON </v>
      </c>
      <c r="AD596" s="37" t="str">
        <f>RIGHT(MIP_4[[#This Row],[Equipe]], LEN(MIP_4[[#This Row],[Equipe]])-SEARCH("/",MIP_4[[#This Row],[Equipe]],1))</f>
        <v xml:space="preserve"> GECIVALDO</v>
      </c>
      <c r="AE596" s="44">
        <f>COUNTIFS('[1]Tempo parado'!G:G,"&gt;="&amp;MIP_4[[#This Row],[S.B Sitrack]],'[1]Tempo parado'!H:H,"&lt;="&amp;MIP_4[[#This Row],[C.B Sitrack]],'[1]Tempo parado'!A:A,MIP_4[[#This Row],[Placa]])</f>
        <v>0</v>
      </c>
      <c r="AF596" s="36"/>
      <c r="AG596" s="35"/>
      <c r="AH596" s="34"/>
      <c r="AI596" s="34"/>
      <c r="AJ59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9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9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96" s="32" t="str">
        <f>IFERROR(MIP_4[[#This Row],[Tempo parado]]/(MIP_4[[#This Row],[C.B Sitrack]]-MIP_4[[#This Row],[S.B Sitrack]]),"")</f>
        <v/>
      </c>
      <c r="AN596" s="30"/>
      <c r="AO596" s="44">
        <f>IF(AND(MIP_4[Exc]=0,MIP_4[Previsto / Realizado]="Realizado"),MIP_4[Sem],0)</f>
        <v>39</v>
      </c>
      <c r="AP596" s="29">
        <f>IF(AND(MIP_4[Exc]=0,MIP_4[Previsto / Realizado]="Realizado",ISBLANK(MIP_4[[#This Row],[S.B Sitrack]])=FALSE,ISBLANK(MIP_4[[#This Row],[C.B Sitrack]])=FALSE),MIP_4[Sem],0)</f>
        <v>0</v>
      </c>
    </row>
    <row r="597" spans="1:42" ht="15.75" x14ac:dyDescent="0.25">
      <c r="A597" s="44">
        <f>WEEKNUM(MIP_4[[#This Row],[Data]])</f>
        <v>39</v>
      </c>
      <c r="B597" s="45">
        <v>43005</v>
      </c>
      <c r="C597" s="45"/>
      <c r="D597" s="35" t="s">
        <v>19</v>
      </c>
      <c r="E597" s="35" t="s">
        <v>5</v>
      </c>
      <c r="F597" s="35"/>
      <c r="G597" s="44">
        <v>2</v>
      </c>
      <c r="H597" s="44">
        <v>0</v>
      </c>
      <c r="I597" s="44">
        <v>0</v>
      </c>
      <c r="J597" s="44">
        <v>0</v>
      </c>
      <c r="K597" s="44">
        <v>10</v>
      </c>
      <c r="L597" s="43">
        <v>0.625</v>
      </c>
      <c r="M597" s="43">
        <v>0.64583333333333337</v>
      </c>
      <c r="N597" s="43">
        <v>1.0125</v>
      </c>
      <c r="O597" s="43">
        <v>1.0333333333333334</v>
      </c>
      <c r="P597" s="39"/>
      <c r="Q597" s="42" t="s">
        <v>221</v>
      </c>
      <c r="R597" s="29">
        <f>MIP_4[[#This Row],[PT-1]]+MIP_4[[#This Row],[PT-2]]*2+MIP_4[[#This Row],[PT-3]]*3+MIP_4[[#This Row],[PT &gt; 3 Pontos]]</f>
        <v>10</v>
      </c>
      <c r="S59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59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597" s="41">
        <f ca="1">MIP_4[[#This Row],[Eficiência]]</f>
        <v>0.62301571940762812</v>
      </c>
      <c r="V59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97" s="39">
        <f>IF(MIP_4[[#This Row],[P.S]]-MIP_4[[#This Row],[P.E]]&lt;0,1+MIP_4[[#This Row],[P.S]]-MIP_4[[#This Row],[P.E]]-1/24,MIP_4[[#This Row],[P.S]]-MIP_4[[#This Row],[P.E]]-1/24)</f>
        <v>0.36666666666666675</v>
      </c>
      <c r="X597" s="39">
        <f ca="1">MIP_4[[#This Row],[PT-1]]*$S$3+MIP_4[[#This Row],[PT-2]]*$T$3+MIP_4[[#This Row],[PT-3]]*$U$3+MIP_4[[#This Row],[PT &gt; 3 Pontos]]*$V$3</f>
        <v>0.20248010880747908</v>
      </c>
      <c r="Y597" s="39">
        <f>MIP_4[[#This Row],[HH disponível]]-MIP_4[[#This Row],[HH AC TOT]]</f>
        <v>0.3249999999999999</v>
      </c>
      <c r="Z597" s="38">
        <f ca="1">MIP_4[[#This Row],[HH Produtivo
Total]]/MIP_4[[#This Row],[HH Trabalhado]]</f>
        <v>0.62301571940762812</v>
      </c>
      <c r="AA597" s="38">
        <f ca="1">MIP_4[[#This Row],[HH Produtivo
Total]]/MIP_4[[#This Row],[HH disponível]]</f>
        <v>0.55221847856585193</v>
      </c>
      <c r="AB597" s="38">
        <f>MIP_4[[#This Row],[HH Trabalhado]]/MIP_4[[#This Row],[HH disponível]]</f>
        <v>0.88636363636363591</v>
      </c>
      <c r="AC597" s="37" t="str">
        <f>LEFT(MIP_4[[#This Row],[Equipe]], SEARCH("/",MIP_4[[#This Row],[Equipe]],1)-1)</f>
        <v xml:space="preserve">ADEMÁRIO </v>
      </c>
      <c r="AD597" s="37" t="str">
        <f>RIGHT(MIP_4[[#This Row],[Equipe]], LEN(MIP_4[[#This Row],[Equipe]])-SEARCH("/",MIP_4[[#This Row],[Equipe]],1))</f>
        <v xml:space="preserve"> RONALDO</v>
      </c>
      <c r="AE597" s="44">
        <f>COUNTIFS('[1]Tempo parado'!G:G,"&gt;="&amp;MIP_4[[#This Row],[S.B Sitrack]],'[1]Tempo parado'!H:H,"&lt;="&amp;MIP_4[[#This Row],[C.B Sitrack]],'[1]Tempo parado'!A:A,MIP_4[[#This Row],[Placa]])</f>
        <v>0</v>
      </c>
      <c r="AF597" s="36"/>
      <c r="AG597" s="35"/>
      <c r="AH597" s="34"/>
      <c r="AI597" s="34"/>
      <c r="AJ59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9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9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97" s="32" t="str">
        <f>IFERROR(MIP_4[[#This Row],[Tempo parado]]/(MIP_4[[#This Row],[C.B Sitrack]]-MIP_4[[#This Row],[S.B Sitrack]]),"")</f>
        <v/>
      </c>
      <c r="AN597" s="30"/>
      <c r="AO597" s="44">
        <f>IF(AND(MIP_4[Exc]=0,MIP_4[Previsto / Realizado]="Realizado"),MIP_4[Sem],0)</f>
        <v>0</v>
      </c>
      <c r="AP597" s="29">
        <f>IF(AND(MIP_4[Exc]=0,MIP_4[Previsto / Realizado]="Realizado",ISBLANK(MIP_4[[#This Row],[S.B Sitrack]])=FALSE,ISBLANK(MIP_4[[#This Row],[C.B Sitrack]])=FALSE),MIP_4[Sem],0)</f>
        <v>0</v>
      </c>
    </row>
    <row r="598" spans="1:42" ht="15.75" x14ac:dyDescent="0.25">
      <c r="A598" s="44">
        <f>WEEKNUM(MIP_4[[#This Row],[Data]])</f>
        <v>39</v>
      </c>
      <c r="B598" s="45">
        <v>43005</v>
      </c>
      <c r="C598" s="45"/>
      <c r="D598" s="35" t="s">
        <v>19</v>
      </c>
      <c r="E598" s="35" t="s">
        <v>2</v>
      </c>
      <c r="F598" s="35"/>
      <c r="G598" s="44">
        <v>2</v>
      </c>
      <c r="H598" s="44">
        <v>1</v>
      </c>
      <c r="I598" s="44">
        <v>0</v>
      </c>
      <c r="J598" s="44">
        <v>1</v>
      </c>
      <c r="K598" s="44">
        <v>8</v>
      </c>
      <c r="L598" s="43">
        <v>0.63680555555555551</v>
      </c>
      <c r="M598" s="43">
        <v>0.65972222222222221</v>
      </c>
      <c r="N598" s="43">
        <v>1.0104166666666667</v>
      </c>
      <c r="O598" s="43">
        <v>1.0381944444444444</v>
      </c>
      <c r="P598" s="39">
        <v>1.9444444444444445E-2</v>
      </c>
      <c r="Q598" s="42" t="s">
        <v>220</v>
      </c>
      <c r="R598" s="29">
        <f>MIP_4[[#This Row],[PT-1]]+MIP_4[[#This Row],[PT-2]]*2+MIP_4[[#This Row],[PT-3]]*3+MIP_4[[#This Row],[PT &gt; 3 Pontos]]</f>
        <v>12</v>
      </c>
      <c r="S59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7.013888888888882E-2</v>
      </c>
      <c r="T59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5.0694444444444375E-2</v>
      </c>
      <c r="U598" s="41">
        <f ca="1">MIP_4[[#This Row],[Eficiência]]</f>
        <v>0.86262429669790741</v>
      </c>
      <c r="V59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98" s="39">
        <f>IF(MIP_4[[#This Row],[P.S]]-MIP_4[[#This Row],[P.E]]&lt;0,1+MIP_4[[#This Row],[P.S]]-MIP_4[[#This Row],[P.E]]-1/24,MIP_4[[#This Row],[P.S]]-MIP_4[[#This Row],[P.E]]-1/24)</f>
        <v>0.35972222222222222</v>
      </c>
      <c r="X598" s="39">
        <f ca="1">MIP_4[[#This Row],[PT-1]]*$S$3+MIP_4[[#This Row],[PT-2]]*$T$3+MIP_4[[#This Row],[PT-3]]*$U$3+MIP_4[[#This Row],[PT &gt; 3 Pontos]]*$V$3</f>
        <v>0.24980161925210242</v>
      </c>
      <c r="Y598" s="39">
        <f>MIP_4[[#This Row],[HH disponível]]-MIP_4[[#This Row],[HH AC TOT]]</f>
        <v>0.28958333333333341</v>
      </c>
      <c r="Z598" s="38">
        <f ca="1">MIP_4[[#This Row],[HH Produtivo
Total]]/MIP_4[[#This Row],[HH Trabalhado]]</f>
        <v>0.86262429669790741</v>
      </c>
      <c r="AA598" s="38">
        <f ca="1">MIP_4[[#This Row],[HH Produtivo
Total]]/MIP_4[[#This Row],[HH disponível]]</f>
        <v>0.69442921182051642</v>
      </c>
      <c r="AB598" s="38">
        <f>MIP_4[[#This Row],[HH Trabalhado]]/MIP_4[[#This Row],[HH disponível]]</f>
        <v>0.8050193050193053</v>
      </c>
      <c r="AC598" s="37" t="str">
        <f>LEFT(MIP_4[[#This Row],[Equipe]], SEARCH("/",MIP_4[[#This Row],[Equipe]],1)-1)</f>
        <v xml:space="preserve">ADEMÁRIO </v>
      </c>
      <c r="AD598" s="37" t="str">
        <f>RIGHT(MIP_4[[#This Row],[Equipe]], LEN(MIP_4[[#This Row],[Equipe]])-SEARCH("/",MIP_4[[#This Row],[Equipe]],1))</f>
        <v xml:space="preserve"> RONALDO</v>
      </c>
      <c r="AE598" s="44">
        <f>COUNTIFS('[1]Tempo parado'!G:G,"&gt;="&amp;MIP_4[[#This Row],[S.B Sitrack]],'[1]Tempo parado'!H:H,"&lt;="&amp;MIP_4[[#This Row],[C.B Sitrack]],'[1]Tempo parado'!A:A,MIP_4[[#This Row],[Placa]])</f>
        <v>0</v>
      </c>
      <c r="AF598" s="36"/>
      <c r="AG598" s="35"/>
      <c r="AH598" s="34"/>
      <c r="AI598" s="34"/>
      <c r="AJ59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9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9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98" s="32" t="str">
        <f>IFERROR(MIP_4[[#This Row],[Tempo parado]]/(MIP_4[[#This Row],[C.B Sitrack]]-MIP_4[[#This Row],[S.B Sitrack]]),"")</f>
        <v/>
      </c>
      <c r="AN598" s="30"/>
      <c r="AO598" s="44">
        <f>IF(AND(MIP_4[Exc]=0,MIP_4[Previsto / Realizado]="Realizado"),MIP_4[Sem],0)</f>
        <v>39</v>
      </c>
      <c r="AP598" s="29">
        <f>IF(AND(MIP_4[Exc]=0,MIP_4[Previsto / Realizado]="Realizado",ISBLANK(MIP_4[[#This Row],[S.B Sitrack]])=FALSE,ISBLANK(MIP_4[[#This Row],[C.B Sitrack]])=FALSE),MIP_4[Sem],0)</f>
        <v>0</v>
      </c>
    </row>
    <row r="599" spans="1:42" ht="15.75" x14ac:dyDescent="0.25">
      <c r="A599" s="44">
        <f>WEEKNUM(MIP_4[[#This Row],[Data]])</f>
        <v>39</v>
      </c>
      <c r="B599" s="45">
        <v>43006</v>
      </c>
      <c r="C599" s="45"/>
      <c r="D599" s="35" t="s">
        <v>33</v>
      </c>
      <c r="E599" s="35" t="s">
        <v>5</v>
      </c>
      <c r="F599" s="35"/>
      <c r="G599" s="44">
        <v>2</v>
      </c>
      <c r="H599" s="44">
        <v>2</v>
      </c>
      <c r="I599" s="44">
        <v>0</v>
      </c>
      <c r="J599" s="44">
        <v>1</v>
      </c>
      <c r="K599" s="44">
        <v>6</v>
      </c>
      <c r="L599" s="43">
        <v>0.25</v>
      </c>
      <c r="M599" s="43">
        <v>0.27083333333333331</v>
      </c>
      <c r="N599" s="43">
        <v>0.63750000000000007</v>
      </c>
      <c r="O599" s="43">
        <v>0.65833333333333333</v>
      </c>
      <c r="P599" s="39"/>
      <c r="Q599" s="42" t="s">
        <v>219</v>
      </c>
      <c r="R599" s="29">
        <f>MIP_4[[#This Row],[PT-1]]+MIP_4[[#This Row],[PT-2]]*2+MIP_4[[#This Row],[PT-3]]*3+MIP_4[[#This Row],[PT &gt; 3 Pontos]]</f>
        <v>11</v>
      </c>
      <c r="S59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59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599" s="41">
        <f ca="1">MIP_4[[#This Row],[Eficiência]]</f>
        <v>0.72101984753705761</v>
      </c>
      <c r="V59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599" s="39">
        <f>IF(MIP_4[[#This Row],[P.S]]-MIP_4[[#This Row],[P.E]]&lt;0,1+MIP_4[[#This Row],[P.S]]-MIP_4[[#This Row],[P.E]]-1/24,MIP_4[[#This Row],[P.S]]-MIP_4[[#This Row],[P.E]]-1/24)</f>
        <v>0.36666666666666664</v>
      </c>
      <c r="X599" s="39">
        <f ca="1">MIP_4[[#This Row],[PT-1]]*$S$3+MIP_4[[#This Row],[PT-2]]*$T$3+MIP_4[[#This Row],[PT-3]]*$U$3+MIP_4[[#This Row],[PT &gt; 3 Pontos]]*$V$3</f>
        <v>0.23433145044954379</v>
      </c>
      <c r="Y599" s="39">
        <f>MIP_4[[#This Row],[HH disponível]]-MIP_4[[#This Row],[HH AC TOT]]</f>
        <v>0.32500000000000007</v>
      </c>
      <c r="Z599" s="38">
        <f ca="1">MIP_4[[#This Row],[HH Produtivo
Total]]/MIP_4[[#This Row],[HH Trabalhado]]</f>
        <v>0.72101984753705761</v>
      </c>
      <c r="AA599" s="38">
        <f ca="1">MIP_4[[#This Row],[HH Produtivo
Total]]/MIP_4[[#This Row],[HH disponível]]</f>
        <v>0.63908577395330124</v>
      </c>
      <c r="AB599" s="38">
        <f>MIP_4[[#This Row],[HH Trabalhado]]/MIP_4[[#This Row],[HH disponível]]</f>
        <v>0.88636363636363658</v>
      </c>
      <c r="AC599" s="37" t="str">
        <f>LEFT(MIP_4[[#This Row],[Equipe]], SEARCH("/",MIP_4[[#This Row],[Equipe]],1)-1)</f>
        <v xml:space="preserve">JOILSON </v>
      </c>
      <c r="AD599" s="37" t="str">
        <f>RIGHT(MIP_4[[#This Row],[Equipe]], LEN(MIP_4[[#This Row],[Equipe]])-SEARCH("/",MIP_4[[#This Row],[Equipe]],1))</f>
        <v xml:space="preserve"> HERVAL</v>
      </c>
      <c r="AE599" s="44">
        <f>COUNTIFS('[1]Tempo parado'!G:G,"&gt;="&amp;MIP_4[[#This Row],[S.B Sitrack]],'[1]Tempo parado'!H:H,"&lt;="&amp;MIP_4[[#This Row],[C.B Sitrack]],'[1]Tempo parado'!A:A,MIP_4[[#This Row],[Placa]])</f>
        <v>0</v>
      </c>
      <c r="AF599" s="36"/>
      <c r="AG599" s="35"/>
      <c r="AH599" s="34"/>
      <c r="AI599" s="34"/>
      <c r="AJ59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59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59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599" s="32" t="str">
        <f>IFERROR(MIP_4[[#This Row],[Tempo parado]]/(MIP_4[[#This Row],[C.B Sitrack]]-MIP_4[[#This Row],[S.B Sitrack]]),"")</f>
        <v/>
      </c>
      <c r="AN599" s="30"/>
      <c r="AO599" s="44">
        <f>IF(AND(MIP_4[Exc]=0,MIP_4[Previsto / Realizado]="Realizado"),MIP_4[Sem],0)</f>
        <v>0</v>
      </c>
      <c r="AP599" s="29">
        <f>IF(AND(MIP_4[Exc]=0,MIP_4[Previsto / Realizado]="Realizado",ISBLANK(MIP_4[[#This Row],[S.B Sitrack]])=FALSE,ISBLANK(MIP_4[[#This Row],[C.B Sitrack]])=FALSE),MIP_4[Sem],0)</f>
        <v>0</v>
      </c>
    </row>
    <row r="600" spans="1:42" ht="15.75" x14ac:dyDescent="0.25">
      <c r="A600" s="44">
        <f>WEEKNUM(MIP_4[[#This Row],[Data]])</f>
        <v>39</v>
      </c>
      <c r="B600" s="45">
        <v>43006</v>
      </c>
      <c r="C600" s="45"/>
      <c r="D600" s="35" t="s">
        <v>33</v>
      </c>
      <c r="E600" s="35" t="s">
        <v>2</v>
      </c>
      <c r="F600" s="35"/>
      <c r="G600" s="44">
        <v>2</v>
      </c>
      <c r="H600" s="44">
        <v>3</v>
      </c>
      <c r="I600" s="44">
        <v>0</v>
      </c>
      <c r="J600" s="44">
        <v>1</v>
      </c>
      <c r="K600" s="44">
        <v>0</v>
      </c>
      <c r="L600" s="43">
        <v>0.25138888888888888</v>
      </c>
      <c r="M600" s="43">
        <v>0.28819444444444448</v>
      </c>
      <c r="N600" s="43">
        <v>0.60555555555555551</v>
      </c>
      <c r="O600" s="43">
        <v>0.65972222222222221</v>
      </c>
      <c r="P600" s="39">
        <v>4.5138888888888888E-2</v>
      </c>
      <c r="Q600" s="42" t="s">
        <v>218</v>
      </c>
      <c r="R600" s="29">
        <f>MIP_4[[#This Row],[PT-1]]+MIP_4[[#This Row],[PT-2]]*2+MIP_4[[#This Row],[PT-3]]*3+MIP_4[[#This Row],[PT &gt; 3 Pontos]]</f>
        <v>6</v>
      </c>
      <c r="S60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0.13611111111111118</v>
      </c>
      <c r="T60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9.0972222222222288E-2</v>
      </c>
      <c r="U600" s="41">
        <f ca="1">MIP_4[[#This Row],[Eficiência]]</f>
        <v>0.59798705692334575</v>
      </c>
      <c r="V60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00" s="39">
        <f>IF(MIP_4[[#This Row],[P.S]]-MIP_4[[#This Row],[P.E]]&lt;0,1+MIP_4[[#This Row],[P.S]]-MIP_4[[#This Row],[P.E]]-1/24,MIP_4[[#This Row],[P.S]]-MIP_4[[#This Row],[P.E]]-1/24)</f>
        <v>0.36666666666666664</v>
      </c>
      <c r="X600" s="39">
        <f ca="1">MIP_4[[#This Row],[PT-1]]*$S$3+MIP_4[[#This Row],[PT-2]]*$T$3+MIP_4[[#This Row],[PT-3]]*$U$3+MIP_4[[#This Row],[PT &gt; 3 Pontos]]*$V$3</f>
        <v>0.13786923812399354</v>
      </c>
      <c r="Y600" s="39">
        <f>MIP_4[[#This Row],[HH disponível]]-MIP_4[[#This Row],[HH AC TOT]]</f>
        <v>0.23055555555555546</v>
      </c>
      <c r="Z600" s="38">
        <f ca="1">MIP_4[[#This Row],[HH Produtivo
Total]]/MIP_4[[#This Row],[HH Trabalhado]]</f>
        <v>0.59798705692334575</v>
      </c>
      <c r="AA600" s="38">
        <f ca="1">MIP_4[[#This Row],[HH Produtivo
Total]]/MIP_4[[#This Row],[HH disponível]]</f>
        <v>0.37600701306543693</v>
      </c>
      <c r="AB600" s="38">
        <f>MIP_4[[#This Row],[HH Trabalhado]]/MIP_4[[#This Row],[HH disponível]]</f>
        <v>0.62878787878787856</v>
      </c>
      <c r="AC600" s="37" t="str">
        <f>LEFT(MIP_4[[#This Row],[Equipe]], SEARCH("/",MIP_4[[#This Row],[Equipe]],1)-1)</f>
        <v xml:space="preserve">JOILSON </v>
      </c>
      <c r="AD600" s="37" t="str">
        <f>RIGHT(MIP_4[[#This Row],[Equipe]], LEN(MIP_4[[#This Row],[Equipe]])-SEARCH("/",MIP_4[[#This Row],[Equipe]],1))</f>
        <v xml:space="preserve"> HERVAL</v>
      </c>
      <c r="AE600" s="44">
        <f>COUNTIFS('[1]Tempo parado'!G:G,"&gt;="&amp;MIP_4[[#This Row],[S.B Sitrack]],'[1]Tempo parado'!H:H,"&lt;="&amp;MIP_4[[#This Row],[C.B Sitrack]],'[1]Tempo parado'!A:A,MIP_4[[#This Row],[Placa]])</f>
        <v>0</v>
      </c>
      <c r="AF600" s="36"/>
      <c r="AG600" s="35"/>
      <c r="AH600" s="34"/>
      <c r="AI600" s="34"/>
      <c r="AJ60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0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0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00" s="32" t="str">
        <f>IFERROR(MIP_4[[#This Row],[Tempo parado]]/(MIP_4[[#This Row],[C.B Sitrack]]-MIP_4[[#This Row],[S.B Sitrack]]),"")</f>
        <v/>
      </c>
      <c r="AN600" s="30"/>
      <c r="AO600" s="44">
        <f>IF(AND(MIP_4[Exc]=0,MIP_4[Previsto / Realizado]="Realizado"),MIP_4[Sem],0)</f>
        <v>39</v>
      </c>
      <c r="AP600" s="29">
        <f>IF(AND(MIP_4[Exc]=0,MIP_4[Previsto / Realizado]="Realizado",ISBLANK(MIP_4[[#This Row],[S.B Sitrack]])=FALSE,ISBLANK(MIP_4[[#This Row],[C.B Sitrack]])=FALSE),MIP_4[Sem],0)</f>
        <v>0</v>
      </c>
    </row>
    <row r="601" spans="1:42" ht="15.75" x14ac:dyDescent="0.25">
      <c r="A601" s="44">
        <f>WEEKNUM(MIP_4[[#This Row],[Data]])</f>
        <v>39</v>
      </c>
      <c r="B601" s="45">
        <v>43006</v>
      </c>
      <c r="C601" s="45"/>
      <c r="D601" s="35" t="s">
        <v>3</v>
      </c>
      <c r="E601" s="35" t="s">
        <v>5</v>
      </c>
      <c r="F601" s="35"/>
      <c r="G601" s="44">
        <v>2</v>
      </c>
      <c r="H601" s="44">
        <v>5</v>
      </c>
      <c r="I601" s="44">
        <v>2</v>
      </c>
      <c r="J601" s="44">
        <v>1</v>
      </c>
      <c r="K601" s="44">
        <v>0</v>
      </c>
      <c r="L601" s="43">
        <v>0.625</v>
      </c>
      <c r="M601" s="43">
        <v>0.64583333333333337</v>
      </c>
      <c r="N601" s="43">
        <v>1.0125</v>
      </c>
      <c r="O601" s="43">
        <v>1.0333333333333334</v>
      </c>
      <c r="P601" s="39"/>
      <c r="Q601" s="42"/>
      <c r="R601" s="29">
        <f>MIP_4[[#This Row],[PT-1]]+MIP_4[[#This Row],[PT-2]]*2+MIP_4[[#This Row],[PT-3]]*3+MIP_4[[#This Row],[PT &gt; 3 Pontos]]</f>
        <v>12</v>
      </c>
      <c r="S60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60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601" s="41">
        <f ca="1">MIP_4[[#This Row],[Eficiência]]</f>
        <v>0.84842608076303727</v>
      </c>
      <c r="V60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01" s="39">
        <f>IF(MIP_4[[#This Row],[P.S]]-MIP_4[[#This Row],[P.E]]&lt;0,1+MIP_4[[#This Row],[P.S]]-MIP_4[[#This Row],[P.E]]-1/24,MIP_4[[#This Row],[P.S]]-MIP_4[[#This Row],[P.E]]-1/24)</f>
        <v>0.36666666666666675</v>
      </c>
      <c r="X601" s="39">
        <f ca="1">MIP_4[[#This Row],[PT-1]]*$S$3+MIP_4[[#This Row],[PT-2]]*$T$3+MIP_4[[#This Row],[PT-3]]*$U$3+MIP_4[[#This Row],[PT &gt; 3 Pontos]]*$V$3</f>
        <v>0.27573847624798703</v>
      </c>
      <c r="Y601" s="39">
        <f>MIP_4[[#This Row],[HH disponível]]-MIP_4[[#This Row],[HH AC TOT]]</f>
        <v>0.3249999999999999</v>
      </c>
      <c r="Z601" s="38">
        <f ca="1">MIP_4[[#This Row],[HH Produtivo
Total]]/MIP_4[[#This Row],[HH Trabalhado]]</f>
        <v>0.84842608076303727</v>
      </c>
      <c r="AA601" s="38">
        <f ca="1">MIP_4[[#This Row],[HH Produtivo
Total]]/MIP_4[[#This Row],[HH disponível]]</f>
        <v>0.75201402613087354</v>
      </c>
      <c r="AB601" s="38">
        <f>MIP_4[[#This Row],[HH Trabalhado]]/MIP_4[[#This Row],[HH disponível]]</f>
        <v>0.88636363636363591</v>
      </c>
      <c r="AC601" s="37" t="str">
        <f>LEFT(MIP_4[[#This Row],[Equipe]], SEARCH("/",MIP_4[[#This Row],[Equipe]],1)-1)</f>
        <v xml:space="preserve">EDILTON </v>
      </c>
      <c r="AD601" s="37" t="str">
        <f>RIGHT(MIP_4[[#This Row],[Equipe]], LEN(MIP_4[[#This Row],[Equipe]])-SEARCH("/",MIP_4[[#This Row],[Equipe]],1))</f>
        <v xml:space="preserve"> GECIVALDO</v>
      </c>
      <c r="AE601" s="44">
        <f>COUNTIFS('[1]Tempo parado'!G:G,"&gt;="&amp;MIP_4[[#This Row],[S.B Sitrack]],'[1]Tempo parado'!H:H,"&lt;="&amp;MIP_4[[#This Row],[C.B Sitrack]],'[1]Tempo parado'!A:A,MIP_4[[#This Row],[Placa]])</f>
        <v>0</v>
      </c>
      <c r="AF601" s="36"/>
      <c r="AG601" s="35"/>
      <c r="AH601" s="34"/>
      <c r="AI601" s="34"/>
      <c r="AJ60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0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0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01" s="32" t="str">
        <f>IFERROR(MIP_4[[#This Row],[Tempo parado]]/(MIP_4[[#This Row],[C.B Sitrack]]-MIP_4[[#This Row],[S.B Sitrack]]),"")</f>
        <v/>
      </c>
      <c r="AN601" s="30"/>
      <c r="AO601" s="44">
        <f>IF(AND(MIP_4[Exc]=0,MIP_4[Previsto / Realizado]="Realizado"),MIP_4[Sem],0)</f>
        <v>0</v>
      </c>
      <c r="AP601" s="29">
        <f>IF(AND(MIP_4[Exc]=0,MIP_4[Previsto / Realizado]="Realizado",ISBLANK(MIP_4[[#This Row],[S.B Sitrack]])=FALSE,ISBLANK(MIP_4[[#This Row],[C.B Sitrack]])=FALSE),MIP_4[Sem],0)</f>
        <v>0</v>
      </c>
    </row>
    <row r="602" spans="1:42" ht="15.75" x14ac:dyDescent="0.25">
      <c r="A602" s="44">
        <f>WEEKNUM(MIP_4[[#This Row],[Data]])</f>
        <v>39</v>
      </c>
      <c r="B602" s="45">
        <v>43006</v>
      </c>
      <c r="C602" s="45"/>
      <c r="D602" s="35" t="s">
        <v>3</v>
      </c>
      <c r="E602" s="35" t="s">
        <v>2</v>
      </c>
      <c r="F602" s="35"/>
      <c r="G602" s="44">
        <v>2</v>
      </c>
      <c r="H602" s="44">
        <v>4</v>
      </c>
      <c r="I602" s="44">
        <v>3</v>
      </c>
      <c r="J602" s="44">
        <v>0</v>
      </c>
      <c r="K602" s="44">
        <v>0</v>
      </c>
      <c r="L602" s="43">
        <v>0.62361111111111112</v>
      </c>
      <c r="M602" s="43">
        <v>0.64930555555555558</v>
      </c>
      <c r="N602" s="43">
        <v>0.95277777777777783</v>
      </c>
      <c r="O602" s="43">
        <v>1.0805555555555555</v>
      </c>
      <c r="P602" s="39"/>
      <c r="Q602" s="42" t="s">
        <v>217</v>
      </c>
      <c r="R602" s="29">
        <f>MIP_4[[#This Row],[PT-1]]+MIP_4[[#This Row],[PT-2]]*2+MIP_4[[#This Row],[PT-3]]*3+MIP_4[[#This Row],[PT &gt; 3 Pontos]]</f>
        <v>10</v>
      </c>
      <c r="S60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0.15347222222222212</v>
      </c>
      <c r="T60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0.15347222222222212</v>
      </c>
      <c r="U602" s="41">
        <f ca="1">MIP_4[[#This Row],[Eficiência]]</f>
        <v>0.88550340214508105</v>
      </c>
      <c r="V60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02" s="39">
        <f>IF(MIP_4[[#This Row],[P.S]]-MIP_4[[#This Row],[P.E]]&lt;0,1+MIP_4[[#This Row],[P.S]]-MIP_4[[#This Row],[P.E]]-1/24,MIP_4[[#This Row],[P.S]]-MIP_4[[#This Row],[P.E]]-1/24)</f>
        <v>0.41527777777777769</v>
      </c>
      <c r="X602" s="39">
        <f ca="1">MIP_4[[#This Row],[PT-1]]*$S$3+MIP_4[[#This Row],[PT-2]]*$T$3+MIP_4[[#This Row],[PT-3]]*$U$3+MIP_4[[#This Row],[PT &gt; 3 Pontos]]*$V$3</f>
        <v>0.23182971014492748</v>
      </c>
      <c r="Y602" s="39">
        <f>MIP_4[[#This Row],[HH disponível]]-MIP_4[[#This Row],[HH AC TOT]]</f>
        <v>0.26180555555555557</v>
      </c>
      <c r="Z602" s="38">
        <f ca="1">MIP_4[[#This Row],[HH Produtivo
Total]]/MIP_4[[#This Row],[HH Trabalhado]]</f>
        <v>0.88550340214508105</v>
      </c>
      <c r="AA602" s="38">
        <f ca="1">MIP_4[[#This Row],[HH Produtivo
Total]]/MIP_4[[#This Row],[HH disponível]]</f>
        <v>0.55825214483059471</v>
      </c>
      <c r="AB602" s="38">
        <f>MIP_4[[#This Row],[HH Trabalhado]]/MIP_4[[#This Row],[HH disponível]]</f>
        <v>0.63043478260869579</v>
      </c>
      <c r="AC602" s="37" t="str">
        <f>LEFT(MIP_4[[#This Row],[Equipe]], SEARCH("/",MIP_4[[#This Row],[Equipe]],1)-1)</f>
        <v xml:space="preserve">EDILTON </v>
      </c>
      <c r="AD602" s="37" t="str">
        <f>RIGHT(MIP_4[[#This Row],[Equipe]], LEN(MIP_4[[#This Row],[Equipe]])-SEARCH("/",MIP_4[[#This Row],[Equipe]],1))</f>
        <v xml:space="preserve"> GECIVALDO</v>
      </c>
      <c r="AE602" s="44">
        <f>COUNTIFS('[1]Tempo parado'!G:G,"&gt;="&amp;MIP_4[[#This Row],[S.B Sitrack]],'[1]Tempo parado'!H:H,"&lt;="&amp;MIP_4[[#This Row],[C.B Sitrack]],'[1]Tempo parado'!A:A,MIP_4[[#This Row],[Placa]])</f>
        <v>0</v>
      </c>
      <c r="AF602" s="36"/>
      <c r="AG602" s="35"/>
      <c r="AH602" s="34"/>
      <c r="AI602" s="34"/>
      <c r="AJ60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0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0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02" s="32" t="str">
        <f>IFERROR(MIP_4[[#This Row],[Tempo parado]]/(MIP_4[[#This Row],[C.B Sitrack]]-MIP_4[[#This Row],[S.B Sitrack]]),"")</f>
        <v/>
      </c>
      <c r="AN602" s="30"/>
      <c r="AO602" s="44">
        <f>IF(AND(MIP_4[Exc]=0,MIP_4[Previsto / Realizado]="Realizado"),MIP_4[Sem],0)</f>
        <v>39</v>
      </c>
      <c r="AP602" s="29">
        <f>IF(AND(MIP_4[Exc]=0,MIP_4[Previsto / Realizado]="Realizado",ISBLANK(MIP_4[[#This Row],[S.B Sitrack]])=FALSE,ISBLANK(MIP_4[[#This Row],[C.B Sitrack]])=FALSE),MIP_4[Sem],0)</f>
        <v>0</v>
      </c>
    </row>
    <row r="603" spans="1:42" ht="15.75" x14ac:dyDescent="0.25">
      <c r="A603" s="44">
        <f>WEEKNUM(MIP_4[[#This Row],[Data]])</f>
        <v>39</v>
      </c>
      <c r="B603" s="45">
        <v>43007</v>
      </c>
      <c r="C603" s="45"/>
      <c r="D603" s="35" t="s">
        <v>3</v>
      </c>
      <c r="E603" s="35" t="s">
        <v>5</v>
      </c>
      <c r="F603" s="35"/>
      <c r="G603" s="44">
        <v>2</v>
      </c>
      <c r="H603" s="44">
        <v>7</v>
      </c>
      <c r="I603" s="44">
        <v>0</v>
      </c>
      <c r="J603" s="44">
        <v>1</v>
      </c>
      <c r="K603" s="44">
        <v>0</v>
      </c>
      <c r="L603" s="43">
        <v>0.625</v>
      </c>
      <c r="M603" s="43">
        <v>0.64583333333333337</v>
      </c>
      <c r="N603" s="43">
        <v>1.0125</v>
      </c>
      <c r="O603" s="43">
        <v>1.0333333333333334</v>
      </c>
      <c r="P603" s="39"/>
      <c r="Q603" s="42"/>
      <c r="R603" s="29">
        <f>MIP_4[[#This Row],[PT-1]]+MIP_4[[#This Row],[PT-2]]*2+MIP_4[[#This Row],[PT-3]]*3+MIP_4[[#This Row],[PT &gt; 3 Pontos]]</f>
        <v>10</v>
      </c>
      <c r="S60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60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603" s="41">
        <f ca="1">MIP_4[[#This Row],[Eficiência]]</f>
        <v>0.73222353833766873</v>
      </c>
      <c r="V60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03" s="39">
        <f>IF(MIP_4[[#This Row],[P.S]]-MIP_4[[#This Row],[P.E]]&lt;0,1+MIP_4[[#This Row],[P.S]]-MIP_4[[#This Row],[P.E]]-1/24,MIP_4[[#This Row],[P.S]]-MIP_4[[#This Row],[P.E]]-1/24)</f>
        <v>0.36666666666666675</v>
      </c>
      <c r="X603" s="39">
        <f ca="1">MIP_4[[#This Row],[PT-1]]*$S$3+MIP_4[[#This Row],[PT-2]]*$T$3+MIP_4[[#This Row],[PT-3]]*$U$3+MIP_4[[#This Row],[PT &gt; 3 Pontos]]*$V$3</f>
        <v>0.23797264995974227</v>
      </c>
      <c r="Y603" s="39">
        <f>MIP_4[[#This Row],[HH disponível]]-MIP_4[[#This Row],[HH AC TOT]]</f>
        <v>0.3249999999999999</v>
      </c>
      <c r="Z603" s="38">
        <f ca="1">MIP_4[[#This Row],[HH Produtivo
Total]]/MIP_4[[#This Row],[HH Trabalhado]]</f>
        <v>0.73222353833766873</v>
      </c>
      <c r="AA603" s="38">
        <f ca="1">MIP_4[[#This Row],[HH Produtivo
Total]]/MIP_4[[#This Row],[HH disponível]]</f>
        <v>0.6490163180720242</v>
      </c>
      <c r="AB603" s="38">
        <f>MIP_4[[#This Row],[HH Trabalhado]]/MIP_4[[#This Row],[HH disponível]]</f>
        <v>0.88636363636363591</v>
      </c>
      <c r="AC603" s="37" t="str">
        <f>LEFT(MIP_4[[#This Row],[Equipe]], SEARCH("/",MIP_4[[#This Row],[Equipe]],1)-1)</f>
        <v xml:space="preserve">EDILTON </v>
      </c>
      <c r="AD603" s="37" t="str">
        <f>RIGHT(MIP_4[[#This Row],[Equipe]], LEN(MIP_4[[#This Row],[Equipe]])-SEARCH("/",MIP_4[[#This Row],[Equipe]],1))</f>
        <v xml:space="preserve"> GECIVALDO</v>
      </c>
      <c r="AE603" s="44">
        <f>COUNTIFS('[1]Tempo parado'!G:G,"&gt;="&amp;MIP_4[[#This Row],[S.B Sitrack]],'[1]Tempo parado'!H:H,"&lt;="&amp;MIP_4[[#This Row],[C.B Sitrack]],'[1]Tempo parado'!A:A,MIP_4[[#This Row],[Placa]])</f>
        <v>0</v>
      </c>
      <c r="AF603" s="36"/>
      <c r="AG603" s="35"/>
      <c r="AH603" s="34"/>
      <c r="AI603" s="34"/>
      <c r="AJ60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0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0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03" s="32" t="str">
        <f>IFERROR(MIP_4[[#This Row],[Tempo parado]]/(MIP_4[[#This Row],[C.B Sitrack]]-MIP_4[[#This Row],[S.B Sitrack]]),"")</f>
        <v/>
      </c>
      <c r="AN603" s="30"/>
      <c r="AO603" s="44">
        <f>IF(AND(MIP_4[Exc]=0,MIP_4[Previsto / Realizado]="Realizado"),MIP_4[Sem],0)</f>
        <v>0</v>
      </c>
      <c r="AP603" s="29">
        <f>IF(AND(MIP_4[Exc]=0,MIP_4[Previsto / Realizado]="Realizado",ISBLANK(MIP_4[[#This Row],[S.B Sitrack]])=FALSE,ISBLANK(MIP_4[[#This Row],[C.B Sitrack]])=FALSE),MIP_4[Sem],0)</f>
        <v>0</v>
      </c>
    </row>
    <row r="604" spans="1:42" ht="15.75" x14ac:dyDescent="0.25">
      <c r="A604" s="44">
        <f>WEEKNUM(MIP_4[[#This Row],[Data]])</f>
        <v>39</v>
      </c>
      <c r="B604" s="45">
        <v>43007</v>
      </c>
      <c r="C604" s="45"/>
      <c r="D604" s="35" t="s">
        <v>3</v>
      </c>
      <c r="E604" s="35" t="s">
        <v>2</v>
      </c>
      <c r="F604" s="35"/>
      <c r="G604" s="44">
        <v>2</v>
      </c>
      <c r="H604" s="44">
        <v>7</v>
      </c>
      <c r="I604" s="44">
        <v>0</v>
      </c>
      <c r="J604" s="44">
        <v>1</v>
      </c>
      <c r="K604" s="44">
        <v>0</v>
      </c>
      <c r="L604" s="43">
        <v>0.61597222222222225</v>
      </c>
      <c r="M604" s="43">
        <v>0.66666666666666663</v>
      </c>
      <c r="N604" s="43">
        <v>0.9375</v>
      </c>
      <c r="O604" s="43">
        <v>0.9506944444444444</v>
      </c>
      <c r="P604" s="39"/>
      <c r="Q604" s="42" t="s">
        <v>216</v>
      </c>
      <c r="R604" s="29">
        <f>MIP_4[[#This Row],[PT-1]]+MIP_4[[#This Row],[PT-2]]*2+MIP_4[[#This Row],[PT-3]]*3+MIP_4[[#This Row],[PT &gt; 3 Pontos]]</f>
        <v>10</v>
      </c>
      <c r="S60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6.3888888888888773E-2</v>
      </c>
      <c r="T60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6.3888888888888773E-2</v>
      </c>
      <c r="U604" s="41">
        <f ca="1">MIP_4[[#This Row],[Eficiência]]</f>
        <v>1.0384261089152389</v>
      </c>
      <c r="V60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04" s="39">
        <f>IF(MIP_4[[#This Row],[P.S]]-MIP_4[[#This Row],[P.E]]&lt;0,1+MIP_4[[#This Row],[P.S]]-MIP_4[[#This Row],[P.E]]-1/24,MIP_4[[#This Row],[P.S]]-MIP_4[[#This Row],[P.E]]-1/24)</f>
        <v>0.29305555555555546</v>
      </c>
      <c r="X604" s="39">
        <f ca="1">MIP_4[[#This Row],[PT-1]]*$S$3+MIP_4[[#This Row],[PT-2]]*$T$3+MIP_4[[#This Row],[PT-3]]*$U$3+MIP_4[[#This Row],[PT &gt; 3 Pontos]]*$V$3</f>
        <v>0.23797264995974227</v>
      </c>
      <c r="Y604" s="39">
        <f>MIP_4[[#This Row],[HH disponível]]-MIP_4[[#This Row],[HH AC TOT]]</f>
        <v>0.22916666666666669</v>
      </c>
      <c r="Z604" s="38">
        <f ca="1">MIP_4[[#This Row],[HH Produtivo
Total]]/MIP_4[[#This Row],[HH Trabalhado]]</f>
        <v>1.0384261089152389</v>
      </c>
      <c r="AA604" s="38">
        <f ca="1">MIP_4[[#This Row],[HH Produtivo
Total]]/MIP_4[[#This Row],[HH disponível]]</f>
        <v>0.81203937427021089</v>
      </c>
      <c r="AB604" s="38">
        <f>MIP_4[[#This Row],[HH Trabalhado]]/MIP_4[[#This Row],[HH disponível]]</f>
        <v>0.78199052132701452</v>
      </c>
      <c r="AC604" s="37" t="str">
        <f>LEFT(MIP_4[[#This Row],[Equipe]], SEARCH("/",MIP_4[[#This Row],[Equipe]],1)-1)</f>
        <v xml:space="preserve">EDILTON </v>
      </c>
      <c r="AD604" s="37" t="str">
        <f>RIGHT(MIP_4[[#This Row],[Equipe]], LEN(MIP_4[[#This Row],[Equipe]])-SEARCH("/",MIP_4[[#This Row],[Equipe]],1))</f>
        <v xml:space="preserve"> GECIVALDO</v>
      </c>
      <c r="AE604" s="44">
        <f>COUNTIFS('[1]Tempo parado'!G:G,"&gt;="&amp;MIP_4[[#This Row],[S.B Sitrack]],'[1]Tempo parado'!H:H,"&lt;="&amp;MIP_4[[#This Row],[C.B Sitrack]],'[1]Tempo parado'!A:A,MIP_4[[#This Row],[Placa]])</f>
        <v>0</v>
      </c>
      <c r="AF604" s="36"/>
      <c r="AG604" s="35"/>
      <c r="AH604" s="34"/>
      <c r="AI604" s="34"/>
      <c r="AJ60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0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0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04" s="32" t="str">
        <f>IFERROR(MIP_4[[#This Row],[Tempo parado]]/(MIP_4[[#This Row],[C.B Sitrack]]-MIP_4[[#This Row],[S.B Sitrack]]),"")</f>
        <v/>
      </c>
      <c r="AN604" s="30"/>
      <c r="AO604" s="44">
        <f>IF(AND(MIP_4[Exc]=0,MIP_4[Previsto / Realizado]="Realizado"),MIP_4[Sem],0)</f>
        <v>39</v>
      </c>
      <c r="AP604" s="29">
        <f>IF(AND(MIP_4[Exc]=0,MIP_4[Previsto / Realizado]="Realizado",ISBLANK(MIP_4[[#This Row],[S.B Sitrack]])=FALSE,ISBLANK(MIP_4[[#This Row],[C.B Sitrack]])=FALSE),MIP_4[Sem],0)</f>
        <v>0</v>
      </c>
    </row>
    <row r="605" spans="1:42" ht="15.75" x14ac:dyDescent="0.25">
      <c r="A605" s="44">
        <f>WEEKNUM(MIP_4[[#This Row],[Data]])</f>
        <v>39</v>
      </c>
      <c r="B605" s="45">
        <v>43008</v>
      </c>
      <c r="C605" s="45"/>
      <c r="D605" s="35" t="s">
        <v>33</v>
      </c>
      <c r="E605" s="35" t="s">
        <v>5</v>
      </c>
      <c r="F605" s="35"/>
      <c r="G605" s="44">
        <v>2</v>
      </c>
      <c r="H605" s="44">
        <v>1</v>
      </c>
      <c r="I605" s="44">
        <v>0</v>
      </c>
      <c r="J605" s="44">
        <v>0</v>
      </c>
      <c r="K605" s="44">
        <v>0</v>
      </c>
      <c r="L605" s="43">
        <v>0.25</v>
      </c>
      <c r="M605" s="43">
        <v>0.27083333333333331</v>
      </c>
      <c r="N605" s="43">
        <v>0.63750000000000007</v>
      </c>
      <c r="O605" s="43">
        <v>0.65833333333333333</v>
      </c>
      <c r="P605" s="39"/>
      <c r="Q605" s="42" t="s">
        <v>4</v>
      </c>
      <c r="R605" s="29">
        <f>MIP_4[[#This Row],[PT-1]]+MIP_4[[#This Row],[PT-2]]*2+MIP_4[[#This Row],[PT-3]]*3+MIP_4[[#This Row],[PT &gt; 3 Pontos]]</f>
        <v>1</v>
      </c>
      <c r="S60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60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605" s="41">
        <f ca="1">MIP_4[[#This Row],[Eficiência]]</f>
        <v>7.7002624489037469E-2</v>
      </c>
      <c r="V60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05" s="39">
        <f>IF(MIP_4[[#This Row],[P.S]]-MIP_4[[#This Row],[P.E]]&lt;0,1+MIP_4[[#This Row],[P.S]]-MIP_4[[#This Row],[P.E]]-1/24,MIP_4[[#This Row],[P.S]]-MIP_4[[#This Row],[P.E]]-1/24)</f>
        <v>0.36666666666666664</v>
      </c>
      <c r="X605" s="39">
        <f ca="1">MIP_4[[#This Row],[PT-1]]*$S$3+MIP_4[[#This Row],[PT-2]]*$T$3+MIP_4[[#This Row],[PT-3]]*$U$3+MIP_4[[#This Row],[PT &gt; 3 Pontos]]*$V$3</f>
        <v>2.5025852958937181E-2</v>
      </c>
      <c r="Y605" s="39">
        <f>MIP_4[[#This Row],[HH disponível]]-MIP_4[[#This Row],[HH AC TOT]]</f>
        <v>0.32500000000000007</v>
      </c>
      <c r="Z605" s="38">
        <f ca="1">MIP_4[[#This Row],[HH Produtivo
Total]]/MIP_4[[#This Row],[HH Trabalhado]]</f>
        <v>7.7002624489037469E-2</v>
      </c>
      <c r="AA605" s="38">
        <f ca="1">MIP_4[[#This Row],[HH Produtivo
Total]]/MIP_4[[#This Row],[HH disponível]]</f>
        <v>6.8252326251646858E-2</v>
      </c>
      <c r="AB605" s="38">
        <f>MIP_4[[#This Row],[HH Trabalhado]]/MIP_4[[#This Row],[HH disponível]]</f>
        <v>0.88636363636363658</v>
      </c>
      <c r="AC605" s="37" t="str">
        <f>LEFT(MIP_4[[#This Row],[Equipe]], SEARCH("/",MIP_4[[#This Row],[Equipe]],1)-1)</f>
        <v xml:space="preserve">JOILSON </v>
      </c>
      <c r="AD605" s="37" t="str">
        <f>RIGHT(MIP_4[[#This Row],[Equipe]], LEN(MIP_4[[#This Row],[Equipe]])-SEARCH("/",MIP_4[[#This Row],[Equipe]],1))</f>
        <v xml:space="preserve"> HERVAL</v>
      </c>
      <c r="AE605" s="44">
        <f>COUNTIFS('[1]Tempo parado'!G:G,"&gt;="&amp;MIP_4[[#This Row],[S.B Sitrack]],'[1]Tempo parado'!H:H,"&lt;="&amp;MIP_4[[#This Row],[C.B Sitrack]],'[1]Tempo parado'!A:A,MIP_4[[#This Row],[Placa]])</f>
        <v>0</v>
      </c>
      <c r="AF605" s="36"/>
      <c r="AG605" s="35"/>
      <c r="AH605" s="34"/>
      <c r="AI605" s="34"/>
      <c r="AJ60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0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0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05" s="32" t="str">
        <f>IFERROR(MIP_4[[#This Row],[Tempo parado]]/(MIP_4[[#This Row],[C.B Sitrack]]-MIP_4[[#This Row],[S.B Sitrack]]),"")</f>
        <v/>
      </c>
      <c r="AN605" s="30"/>
      <c r="AO605" s="44">
        <f>IF(AND(MIP_4[Exc]=0,MIP_4[Previsto / Realizado]="Realizado"),MIP_4[Sem],0)</f>
        <v>0</v>
      </c>
      <c r="AP605" s="29">
        <f>IF(AND(MIP_4[Exc]=0,MIP_4[Previsto / Realizado]="Realizado",ISBLANK(MIP_4[[#This Row],[S.B Sitrack]])=FALSE,ISBLANK(MIP_4[[#This Row],[C.B Sitrack]])=FALSE),MIP_4[Sem],0)</f>
        <v>0</v>
      </c>
    </row>
    <row r="606" spans="1:42" ht="15.75" x14ac:dyDescent="0.25">
      <c r="A606" s="44">
        <f>WEEKNUM(MIP_4[[#This Row],[Data]])</f>
        <v>39</v>
      </c>
      <c r="B606" s="45">
        <v>43008</v>
      </c>
      <c r="C606" s="45"/>
      <c r="D606" s="35" t="s">
        <v>33</v>
      </c>
      <c r="E606" s="35" t="s">
        <v>2</v>
      </c>
      <c r="F606" s="35"/>
      <c r="G606" s="44">
        <v>2</v>
      </c>
      <c r="H606" s="44">
        <v>6</v>
      </c>
      <c r="I606" s="44">
        <v>1</v>
      </c>
      <c r="J606" s="44">
        <v>1</v>
      </c>
      <c r="K606" s="44">
        <v>0</v>
      </c>
      <c r="L606" s="43">
        <v>0.25347222222222221</v>
      </c>
      <c r="M606" s="43">
        <v>0.27083333333333331</v>
      </c>
      <c r="N606" s="43">
        <v>0.6020833333333333</v>
      </c>
      <c r="O606" s="43">
        <v>0.65763888888888888</v>
      </c>
      <c r="P606" s="39"/>
      <c r="Q606" s="42" t="s">
        <v>191</v>
      </c>
      <c r="R606" s="29">
        <f>MIP_4[[#This Row],[PT-1]]+MIP_4[[#This Row],[PT-2]]*2+MIP_4[[#This Row],[PT-3]]*3+MIP_4[[#This Row],[PT &gt; 3 Pontos]]</f>
        <v>11</v>
      </c>
      <c r="S60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7.2916666666666685E-2</v>
      </c>
      <c r="T60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7.2916666666666685E-2</v>
      </c>
      <c r="U606" s="41">
        <f ca="1">MIP_4[[#This Row],[Eficiência]]</f>
        <v>0.88698323949536007</v>
      </c>
      <c r="V60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06" s="39">
        <f>IF(MIP_4[[#This Row],[P.S]]-MIP_4[[#This Row],[P.E]]&lt;0,1+MIP_4[[#This Row],[P.S]]-MIP_4[[#This Row],[P.E]]-1/24,MIP_4[[#This Row],[P.S]]-MIP_4[[#This Row],[P.E]]-1/24)</f>
        <v>0.36249999999999999</v>
      </c>
      <c r="X606" s="39">
        <f ca="1">MIP_4[[#This Row],[PT-1]]*$S$3+MIP_4[[#This Row],[PT-2]]*$T$3+MIP_4[[#This Row],[PT-3]]*$U$3+MIP_4[[#This Row],[PT &gt; 3 Pontos]]*$V$3</f>
        <v>0.25685556310386465</v>
      </c>
      <c r="Y606" s="39">
        <f>MIP_4[[#This Row],[HH disponível]]-MIP_4[[#This Row],[HH AC TOT]]</f>
        <v>0.2895833333333333</v>
      </c>
      <c r="Z606" s="38">
        <f ca="1">MIP_4[[#This Row],[HH Produtivo
Total]]/MIP_4[[#This Row],[HH Trabalhado]]</f>
        <v>0.88698323949536007</v>
      </c>
      <c r="AA606" s="38">
        <f ca="1">MIP_4[[#This Row],[HH Produtivo
Total]]/MIP_4[[#This Row],[HH disponível]]</f>
        <v>0.70856707063135083</v>
      </c>
      <c r="AB606" s="38">
        <f>MIP_4[[#This Row],[HH Trabalhado]]/MIP_4[[#This Row],[HH disponível]]</f>
        <v>0.79885057471264365</v>
      </c>
      <c r="AC606" s="37" t="str">
        <f>LEFT(MIP_4[[#This Row],[Equipe]], SEARCH("/",MIP_4[[#This Row],[Equipe]],1)-1)</f>
        <v xml:space="preserve">JOILSON </v>
      </c>
      <c r="AD606" s="37" t="str">
        <f>RIGHT(MIP_4[[#This Row],[Equipe]], LEN(MIP_4[[#This Row],[Equipe]])-SEARCH("/",MIP_4[[#This Row],[Equipe]],1))</f>
        <v xml:space="preserve"> HERVAL</v>
      </c>
      <c r="AE606" s="44">
        <f>COUNTIFS('[1]Tempo parado'!G:G,"&gt;="&amp;MIP_4[[#This Row],[S.B Sitrack]],'[1]Tempo parado'!H:H,"&lt;="&amp;MIP_4[[#This Row],[C.B Sitrack]],'[1]Tempo parado'!A:A,MIP_4[[#This Row],[Placa]])</f>
        <v>0</v>
      </c>
      <c r="AF606" s="36"/>
      <c r="AG606" s="35"/>
      <c r="AH606" s="34"/>
      <c r="AI606" s="34"/>
      <c r="AJ60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0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0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06" s="32" t="str">
        <f>IFERROR(MIP_4[[#This Row],[Tempo parado]]/(MIP_4[[#This Row],[C.B Sitrack]]-MIP_4[[#This Row],[S.B Sitrack]]),"")</f>
        <v/>
      </c>
      <c r="AN606" s="30"/>
      <c r="AO606" s="44">
        <f>IF(AND(MIP_4[Exc]=0,MIP_4[Previsto / Realizado]="Realizado"),MIP_4[Sem],0)</f>
        <v>39</v>
      </c>
      <c r="AP606" s="29">
        <f>IF(AND(MIP_4[Exc]=0,MIP_4[Previsto / Realizado]="Realizado",ISBLANK(MIP_4[[#This Row],[S.B Sitrack]])=FALSE,ISBLANK(MIP_4[[#This Row],[C.B Sitrack]])=FALSE),MIP_4[Sem],0)</f>
        <v>0</v>
      </c>
    </row>
    <row r="607" spans="1:42" ht="15.75" x14ac:dyDescent="0.25">
      <c r="A607" s="44">
        <f>WEEKNUM(MIP_4[[#This Row],[Data]])</f>
        <v>39</v>
      </c>
      <c r="B607" s="45">
        <v>43008</v>
      </c>
      <c r="C607" s="45"/>
      <c r="D607" s="35" t="s">
        <v>19</v>
      </c>
      <c r="E607" s="35" t="s">
        <v>5</v>
      </c>
      <c r="F607" s="35"/>
      <c r="G607" s="44">
        <v>2</v>
      </c>
      <c r="H607" s="44">
        <v>0</v>
      </c>
      <c r="I607" s="44">
        <v>2</v>
      </c>
      <c r="J607" s="44">
        <v>0</v>
      </c>
      <c r="K607" s="44">
        <v>0</v>
      </c>
      <c r="L607" s="43">
        <v>0.625</v>
      </c>
      <c r="M607" s="43">
        <v>0.64583333333333337</v>
      </c>
      <c r="N607" s="43">
        <v>1.0125</v>
      </c>
      <c r="O607" s="82">
        <v>1.0333333333333334</v>
      </c>
      <c r="P607" s="39"/>
      <c r="Q607" s="42" t="s">
        <v>215</v>
      </c>
      <c r="R607" s="29">
        <f>MIP_4[[#This Row],[PT-1]]+MIP_4[[#This Row],[PT-2]]*2+MIP_4[[#This Row],[PT-3]]*3+MIP_4[[#This Row],[PT &gt; 3 Pontos]]</f>
        <v>4</v>
      </c>
      <c r="S60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60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607" s="41">
        <f ca="1">MIP_4[[#This Row],[Eficiência]]</f>
        <v>0.2702077914034437</v>
      </c>
      <c r="V60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07" s="39">
        <f>IF(MIP_4[[#This Row],[P.S]]-MIP_4[[#This Row],[P.E]]&lt;0,1+MIP_4[[#This Row],[P.S]]-MIP_4[[#This Row],[P.E]]-1/24,MIP_4[[#This Row],[P.S]]-MIP_4[[#This Row],[P.E]]-1/24)</f>
        <v>0.36666666666666675</v>
      </c>
      <c r="X607" s="39">
        <f ca="1">MIP_4[[#This Row],[PT-1]]*$S$3+MIP_4[[#This Row],[PT-2]]*$T$3+MIP_4[[#This Row],[PT-3]]*$U$3+MIP_4[[#This Row],[PT &gt; 3 Pontos]]*$V$3</f>
        <v>8.7817532206119167E-2</v>
      </c>
      <c r="Y607" s="39">
        <f>MIP_4[[#This Row],[HH disponível]]-MIP_4[[#This Row],[HH AC TOT]]</f>
        <v>0.3249999999999999</v>
      </c>
      <c r="Z607" s="38">
        <f ca="1">MIP_4[[#This Row],[HH Produtivo
Total]]/MIP_4[[#This Row],[HH Trabalhado]]</f>
        <v>0.2702077914034437</v>
      </c>
      <c r="AA607" s="38">
        <f ca="1">MIP_4[[#This Row],[HH Produtivo
Total]]/MIP_4[[#This Row],[HH disponível]]</f>
        <v>0.23950236056214314</v>
      </c>
      <c r="AB607" s="38">
        <f>MIP_4[[#This Row],[HH Trabalhado]]/MIP_4[[#This Row],[HH disponível]]</f>
        <v>0.88636363636363591</v>
      </c>
      <c r="AC607" s="37" t="str">
        <f>LEFT(MIP_4[[#This Row],[Equipe]], SEARCH("/",MIP_4[[#This Row],[Equipe]],1)-1)</f>
        <v xml:space="preserve">ADEMÁRIO </v>
      </c>
      <c r="AD607" s="37" t="str">
        <f>RIGHT(MIP_4[[#This Row],[Equipe]], LEN(MIP_4[[#This Row],[Equipe]])-SEARCH("/",MIP_4[[#This Row],[Equipe]],1))</f>
        <v xml:space="preserve"> RONALDO</v>
      </c>
      <c r="AE607" s="44">
        <f>COUNTIFS('[1]Tempo parado'!G:G,"&gt;="&amp;MIP_4[[#This Row],[S.B Sitrack]],'[1]Tempo parado'!H:H,"&lt;="&amp;MIP_4[[#This Row],[C.B Sitrack]],'[1]Tempo parado'!A:A,MIP_4[[#This Row],[Placa]])</f>
        <v>0</v>
      </c>
      <c r="AF607" s="36"/>
      <c r="AG607" s="35"/>
      <c r="AH607" s="34"/>
      <c r="AI607" s="34"/>
      <c r="AJ60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0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0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07" s="32" t="str">
        <f>IFERROR(MIP_4[[#This Row],[Tempo parado]]/(MIP_4[[#This Row],[C.B Sitrack]]-MIP_4[[#This Row],[S.B Sitrack]]),"")</f>
        <v/>
      </c>
      <c r="AN607" s="30"/>
      <c r="AO607" s="44">
        <f>IF(AND(MIP_4[Exc]=0,MIP_4[Previsto / Realizado]="Realizado"),MIP_4[Sem],0)</f>
        <v>0</v>
      </c>
      <c r="AP607" s="29">
        <f>IF(AND(MIP_4[Exc]=0,MIP_4[Previsto / Realizado]="Realizado",ISBLANK(MIP_4[[#This Row],[S.B Sitrack]])=FALSE,ISBLANK(MIP_4[[#This Row],[C.B Sitrack]])=FALSE),MIP_4[Sem],0)</f>
        <v>0</v>
      </c>
    </row>
    <row r="608" spans="1:42" ht="15.75" x14ac:dyDescent="0.25">
      <c r="A608" s="44">
        <f>WEEKNUM(MIP_4[[#This Row],[Data]])</f>
        <v>39</v>
      </c>
      <c r="B608" s="45">
        <v>43008</v>
      </c>
      <c r="C608" s="45"/>
      <c r="D608" s="35" t="s">
        <v>19</v>
      </c>
      <c r="E608" s="35" t="s">
        <v>2</v>
      </c>
      <c r="F608" s="35"/>
      <c r="G608" s="44">
        <v>2</v>
      </c>
      <c r="H608" s="44">
        <v>0</v>
      </c>
      <c r="I608" s="44">
        <v>3</v>
      </c>
      <c r="J608" s="44">
        <v>0</v>
      </c>
      <c r="K608" s="44">
        <v>0</v>
      </c>
      <c r="L608" s="43">
        <v>0.6381944444444444</v>
      </c>
      <c r="M608" s="43">
        <v>0.67361111111111116</v>
      </c>
      <c r="N608" s="43">
        <v>1.0104166666666667</v>
      </c>
      <c r="O608" s="43">
        <v>1.0381944444444444</v>
      </c>
      <c r="P608" s="39">
        <v>0.17569444444444446</v>
      </c>
      <c r="Q608" s="42" t="s">
        <v>214</v>
      </c>
      <c r="R608" s="29">
        <f>MIP_4[[#This Row],[PT-1]]+MIP_4[[#This Row],[PT-2]]*2+MIP_4[[#This Row],[PT-3]]*3+MIP_4[[#This Row],[PT &gt; 3 Pontos]]</f>
        <v>6</v>
      </c>
      <c r="S60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0.2388888888888889</v>
      </c>
      <c r="T60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6.3194444444444442E-2</v>
      </c>
      <c r="U608" s="41">
        <f ca="1">MIP_4[[#This Row],[Eficiência]]</f>
        <v>1.1028248230535898</v>
      </c>
      <c r="V60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08" s="39">
        <f>IF(MIP_4[[#This Row],[P.S]]-MIP_4[[#This Row],[P.E]]&lt;0,1+MIP_4[[#This Row],[P.S]]-MIP_4[[#This Row],[P.E]]-1/24,MIP_4[[#This Row],[P.S]]-MIP_4[[#This Row],[P.E]]-1/24)</f>
        <v>0.35833333333333334</v>
      </c>
      <c r="X608" s="39">
        <f ca="1">MIP_4[[#This Row],[PT-1]]*$S$3+MIP_4[[#This Row],[PT-2]]*$T$3+MIP_4[[#This Row],[PT-3]]*$U$3+MIP_4[[#This Row],[PT &gt; 3 Pontos]]*$V$3</f>
        <v>0.13172629830917876</v>
      </c>
      <c r="Y608" s="39">
        <f>MIP_4[[#This Row],[HH disponível]]-MIP_4[[#This Row],[HH AC TOT]]</f>
        <v>0.11944444444444444</v>
      </c>
      <c r="Z608" s="38">
        <f ca="1">MIP_4[[#This Row],[HH Produtivo
Total]]/MIP_4[[#This Row],[HH Trabalhado]]</f>
        <v>1.1028248230535898</v>
      </c>
      <c r="AA608" s="38">
        <f ca="1">MIP_4[[#This Row],[HH Produtivo
Total]]/MIP_4[[#This Row],[HH disponível]]</f>
        <v>0.36760827435119653</v>
      </c>
      <c r="AB608" s="38">
        <f>MIP_4[[#This Row],[HH Trabalhado]]/MIP_4[[#This Row],[HH disponível]]</f>
        <v>0.33333333333333331</v>
      </c>
      <c r="AC608" s="37" t="str">
        <f>LEFT(MIP_4[[#This Row],[Equipe]], SEARCH("/",MIP_4[[#This Row],[Equipe]],1)-1)</f>
        <v xml:space="preserve">ADEMÁRIO </v>
      </c>
      <c r="AD608" s="37" t="str">
        <f>RIGHT(MIP_4[[#This Row],[Equipe]], LEN(MIP_4[[#This Row],[Equipe]])-SEARCH("/",MIP_4[[#This Row],[Equipe]],1))</f>
        <v xml:space="preserve"> RONALDO</v>
      </c>
      <c r="AE608" s="44">
        <f>COUNTIFS('[1]Tempo parado'!G:G,"&gt;="&amp;MIP_4[[#This Row],[S.B Sitrack]],'[1]Tempo parado'!H:H,"&lt;="&amp;MIP_4[[#This Row],[C.B Sitrack]],'[1]Tempo parado'!A:A,MIP_4[[#This Row],[Placa]])</f>
        <v>0</v>
      </c>
      <c r="AF608" s="36"/>
      <c r="AG608" s="35"/>
      <c r="AH608" s="34"/>
      <c r="AI608" s="34"/>
      <c r="AJ60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0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0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08" s="32" t="str">
        <f>IFERROR(MIP_4[[#This Row],[Tempo parado]]/(MIP_4[[#This Row],[C.B Sitrack]]-MIP_4[[#This Row],[S.B Sitrack]]),"")</f>
        <v/>
      </c>
      <c r="AN608" s="30"/>
      <c r="AO608" s="44">
        <f>IF(AND(MIP_4[Exc]=0,MIP_4[Previsto / Realizado]="Realizado"),MIP_4[Sem],0)</f>
        <v>39</v>
      </c>
      <c r="AP608" s="29">
        <f>IF(AND(MIP_4[Exc]=0,MIP_4[Previsto / Realizado]="Realizado",ISBLANK(MIP_4[[#This Row],[S.B Sitrack]])=FALSE,ISBLANK(MIP_4[[#This Row],[C.B Sitrack]])=FALSE),MIP_4[Sem],0)</f>
        <v>0</v>
      </c>
    </row>
    <row r="609" spans="1:42" ht="15.75" x14ac:dyDescent="0.25">
      <c r="A609" s="44">
        <f>WEEKNUM(MIP_4[[#This Row],[Data]])</f>
        <v>40</v>
      </c>
      <c r="B609" s="45">
        <v>43009</v>
      </c>
      <c r="C609" s="45"/>
      <c r="D609" s="35" t="s">
        <v>33</v>
      </c>
      <c r="E609" s="35" t="s">
        <v>5</v>
      </c>
      <c r="F609" s="35"/>
      <c r="G609" s="44">
        <v>2</v>
      </c>
      <c r="H609" s="44">
        <v>0</v>
      </c>
      <c r="I609" s="44">
        <v>0</v>
      </c>
      <c r="J609" s="44">
        <v>0</v>
      </c>
      <c r="K609" s="44">
        <v>0</v>
      </c>
      <c r="L609" s="43">
        <v>0.25</v>
      </c>
      <c r="M609" s="43">
        <v>0.27083333333333331</v>
      </c>
      <c r="N609" s="43">
        <v>0.63750000000000007</v>
      </c>
      <c r="O609" s="43">
        <v>0.65833333333333333</v>
      </c>
      <c r="P609" s="39"/>
      <c r="Q609" s="42" t="s">
        <v>4</v>
      </c>
      <c r="R609" s="29">
        <f>MIP_4[[#This Row],[PT-1]]+MIP_4[[#This Row],[PT-2]]*2+MIP_4[[#This Row],[PT-3]]*3+MIP_4[[#This Row],[PT &gt; 3 Pontos]]</f>
        <v>0</v>
      </c>
      <c r="S60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60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609" s="41">
        <f ca="1">MIP_4[[#This Row],[Eficiência]]</f>
        <v>0</v>
      </c>
      <c r="V60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09" s="39">
        <f>IF(MIP_4[[#This Row],[P.S]]-MIP_4[[#This Row],[P.E]]&lt;0,1+MIP_4[[#This Row],[P.S]]-MIP_4[[#This Row],[P.E]]-1/24,MIP_4[[#This Row],[P.S]]-MIP_4[[#This Row],[P.E]]-1/24)</f>
        <v>0.36666666666666664</v>
      </c>
      <c r="X609" s="39">
        <f ca="1">MIP_4[[#This Row],[PT-1]]*$S$3+MIP_4[[#This Row],[PT-2]]*$T$3+MIP_4[[#This Row],[PT-3]]*$U$3+MIP_4[[#This Row],[PT &gt; 3 Pontos]]*$V$3</f>
        <v>0</v>
      </c>
      <c r="Y609" s="39">
        <f>MIP_4[[#This Row],[HH disponível]]-MIP_4[[#This Row],[HH AC TOT]]</f>
        <v>0.32500000000000007</v>
      </c>
      <c r="Z609" s="38">
        <f ca="1">MIP_4[[#This Row],[HH Produtivo
Total]]/MIP_4[[#This Row],[HH Trabalhado]]</f>
        <v>0</v>
      </c>
      <c r="AA609" s="38">
        <f ca="1">MIP_4[[#This Row],[HH Produtivo
Total]]/MIP_4[[#This Row],[HH disponível]]</f>
        <v>0</v>
      </c>
      <c r="AB609" s="38">
        <f>MIP_4[[#This Row],[HH Trabalhado]]/MIP_4[[#This Row],[HH disponível]]</f>
        <v>0.88636363636363658</v>
      </c>
      <c r="AC609" s="37" t="str">
        <f>LEFT(MIP_4[[#This Row],[Equipe]], SEARCH("/",MIP_4[[#This Row],[Equipe]],1)-1)</f>
        <v xml:space="preserve">JOILSON </v>
      </c>
      <c r="AD609" s="37" t="str">
        <f>RIGHT(MIP_4[[#This Row],[Equipe]], LEN(MIP_4[[#This Row],[Equipe]])-SEARCH("/",MIP_4[[#This Row],[Equipe]],1))</f>
        <v xml:space="preserve"> HERVAL</v>
      </c>
      <c r="AE609" s="44">
        <f>COUNTIFS('[1]Tempo parado'!G:G,"&gt;="&amp;MIP_4[[#This Row],[S.B Sitrack]],'[1]Tempo parado'!H:H,"&lt;="&amp;MIP_4[[#This Row],[C.B Sitrack]],'[1]Tempo parado'!A:A,MIP_4[[#This Row],[Placa]])</f>
        <v>0</v>
      </c>
      <c r="AF609" s="36"/>
      <c r="AG609" s="35"/>
      <c r="AH609" s="34"/>
      <c r="AI609" s="34"/>
      <c r="AJ60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0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0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09" s="32" t="str">
        <f>IFERROR(MIP_4[[#This Row],[Tempo parado]]/(MIP_4[[#This Row],[C.B Sitrack]]-MIP_4[[#This Row],[S.B Sitrack]]),"")</f>
        <v/>
      </c>
      <c r="AN609" s="30"/>
      <c r="AO609" s="44">
        <f>IF(AND(MIP_4[Exc]=0,MIP_4[Previsto / Realizado]="Realizado"),MIP_4[Sem],0)</f>
        <v>0</v>
      </c>
      <c r="AP609" s="29">
        <f>IF(AND(MIP_4[Exc]=0,MIP_4[Previsto / Realizado]="Realizado",ISBLANK(MIP_4[[#This Row],[S.B Sitrack]])=FALSE,ISBLANK(MIP_4[[#This Row],[C.B Sitrack]])=FALSE),MIP_4[Sem],0)</f>
        <v>0</v>
      </c>
    </row>
    <row r="610" spans="1:42" ht="15.75" x14ac:dyDescent="0.25">
      <c r="A610" s="44">
        <f>WEEKNUM(MIP_4[[#This Row],[Data]])</f>
        <v>40</v>
      </c>
      <c r="B610" s="45">
        <v>43009</v>
      </c>
      <c r="C610" s="45"/>
      <c r="D610" s="35" t="s">
        <v>33</v>
      </c>
      <c r="E610" s="35" t="s">
        <v>2</v>
      </c>
      <c r="F610" s="35"/>
      <c r="G610" s="44">
        <v>2</v>
      </c>
      <c r="H610" s="44">
        <v>2</v>
      </c>
      <c r="I610" s="44">
        <v>1</v>
      </c>
      <c r="J610" s="44">
        <v>0</v>
      </c>
      <c r="K610" s="44">
        <v>4</v>
      </c>
      <c r="L610" s="43">
        <v>0.24166666666666667</v>
      </c>
      <c r="M610" s="43">
        <v>0.27777777777777779</v>
      </c>
      <c r="N610" s="43">
        <v>0.4909722222222222</v>
      </c>
      <c r="O610" s="43">
        <v>0.65833333333333333</v>
      </c>
      <c r="P610" s="39"/>
      <c r="Q610" s="42" t="s">
        <v>213</v>
      </c>
      <c r="R610" s="29">
        <f>MIP_4[[#This Row],[PT-1]]+MIP_4[[#This Row],[PT-2]]*2+MIP_4[[#This Row],[PT-3]]*3+MIP_4[[#This Row],[PT &gt; 3 Pontos]]</f>
        <v>8</v>
      </c>
      <c r="S61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0.20347222222222225</v>
      </c>
      <c r="T61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0.20347222222222225</v>
      </c>
      <c r="U610" s="41">
        <f ca="1">MIP_4[[#This Row],[Eficiência]]</f>
        <v>1.0199660825232912</v>
      </c>
      <c r="V61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10" s="39">
        <f>IF(MIP_4[[#This Row],[P.S]]-MIP_4[[#This Row],[P.E]]&lt;0,1+MIP_4[[#This Row],[P.S]]-MIP_4[[#This Row],[P.E]]-1/24,MIP_4[[#This Row],[P.S]]-MIP_4[[#This Row],[P.E]]-1/24)</f>
        <v>0.37499999999999994</v>
      </c>
      <c r="X610" s="39">
        <f ca="1">MIP_4[[#This Row],[PT-1]]*$S$3+MIP_4[[#This Row],[PT-2]]*$T$3+MIP_4[[#This Row],[PT-3]]*$U$3+MIP_4[[#This Row],[PT &gt; 3 Pontos]]*$V$3</f>
        <v>0.17495251554392557</v>
      </c>
      <c r="Y610" s="39">
        <f>MIP_4[[#This Row],[HH disponível]]-MIP_4[[#This Row],[HH AC TOT]]</f>
        <v>0.1715277777777777</v>
      </c>
      <c r="Z610" s="38">
        <f ca="1">MIP_4[[#This Row],[HH Produtivo
Total]]/MIP_4[[#This Row],[HH Trabalhado]]</f>
        <v>1.0199660825232912</v>
      </c>
      <c r="AA610" s="38">
        <f ca="1">MIP_4[[#This Row],[HH Produtivo
Total]]/MIP_4[[#This Row],[HH disponível]]</f>
        <v>0.46654004145046829</v>
      </c>
      <c r="AB610" s="38">
        <f>MIP_4[[#This Row],[HH Trabalhado]]/MIP_4[[#This Row],[HH disponível]]</f>
        <v>0.45740740740740726</v>
      </c>
      <c r="AC610" s="37" t="str">
        <f>LEFT(MIP_4[[#This Row],[Equipe]], SEARCH("/",MIP_4[[#This Row],[Equipe]],1)-1)</f>
        <v xml:space="preserve">JOILSON </v>
      </c>
      <c r="AD610" s="37" t="str">
        <f>RIGHT(MIP_4[[#This Row],[Equipe]], LEN(MIP_4[[#This Row],[Equipe]])-SEARCH("/",MIP_4[[#This Row],[Equipe]],1))</f>
        <v xml:space="preserve"> HERVAL</v>
      </c>
      <c r="AE610" s="44">
        <f>COUNTIFS('[1]Tempo parado'!G:G,"&gt;="&amp;MIP_4[[#This Row],[S.B Sitrack]],'[1]Tempo parado'!H:H,"&lt;="&amp;MIP_4[[#This Row],[C.B Sitrack]],'[1]Tempo parado'!A:A,MIP_4[[#This Row],[Placa]])</f>
        <v>0</v>
      </c>
      <c r="AF610" s="36"/>
      <c r="AG610" s="35"/>
      <c r="AH610" s="34"/>
      <c r="AI610" s="34"/>
      <c r="AJ61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1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1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10" s="32" t="str">
        <f>IFERROR(MIP_4[[#This Row],[Tempo parado]]/(MIP_4[[#This Row],[C.B Sitrack]]-MIP_4[[#This Row],[S.B Sitrack]]),"")</f>
        <v/>
      </c>
      <c r="AN610" s="30"/>
      <c r="AO610" s="44">
        <f>IF(AND(MIP_4[Exc]=0,MIP_4[Previsto / Realizado]="Realizado"),MIP_4[Sem],0)</f>
        <v>40</v>
      </c>
      <c r="AP610" s="29">
        <f>IF(AND(MIP_4[Exc]=0,MIP_4[Previsto / Realizado]="Realizado",ISBLANK(MIP_4[[#This Row],[S.B Sitrack]])=FALSE,ISBLANK(MIP_4[[#This Row],[C.B Sitrack]])=FALSE),MIP_4[Sem],0)</f>
        <v>0</v>
      </c>
    </row>
    <row r="611" spans="1:42" ht="15.75" x14ac:dyDescent="0.25">
      <c r="A611" s="44">
        <f>WEEKNUM(MIP_4[[#This Row],[Data]])</f>
        <v>40</v>
      </c>
      <c r="B611" s="45">
        <v>43010</v>
      </c>
      <c r="C611" s="45"/>
      <c r="D611" s="35" t="s">
        <v>212</v>
      </c>
      <c r="E611" s="35" t="s">
        <v>5</v>
      </c>
      <c r="F611" s="35"/>
      <c r="G611" s="44">
        <v>3</v>
      </c>
      <c r="H611" s="44">
        <v>3</v>
      </c>
      <c r="I611" s="44">
        <v>0</v>
      </c>
      <c r="J611" s="44">
        <v>1</v>
      </c>
      <c r="K611" s="44">
        <v>0</v>
      </c>
      <c r="L611" s="43">
        <v>0.625</v>
      </c>
      <c r="M611" s="43">
        <v>0.64583333333333337</v>
      </c>
      <c r="N611" s="43">
        <v>1.0125</v>
      </c>
      <c r="O611" s="43">
        <v>1.0333333333333334</v>
      </c>
      <c r="P611" s="39"/>
      <c r="Q611" s="42" t="s">
        <v>70</v>
      </c>
      <c r="R611" s="29">
        <f>MIP_4[[#This Row],[PT-1]]+MIP_4[[#This Row],[PT-2]]*2+MIP_4[[#This Row],[PT-3]]*3+MIP_4[[#This Row],[PT &gt; 3 Pontos]]</f>
        <v>6</v>
      </c>
      <c r="S61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61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611" s="41">
        <f ca="1">MIP_4[[#This Row],[Eficiência]]</f>
        <v>0.42421304038151875</v>
      </c>
      <c r="V61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11" s="39">
        <f>IF(MIP_4[[#This Row],[P.S]]-MIP_4[[#This Row],[P.E]]&lt;0,1+MIP_4[[#This Row],[P.S]]-MIP_4[[#This Row],[P.E]]-1/24,MIP_4[[#This Row],[P.S]]-MIP_4[[#This Row],[P.E]]-1/24)</f>
        <v>0.36666666666666675</v>
      </c>
      <c r="X611" s="39">
        <f ca="1">MIP_4[[#This Row],[PT-1]]*$S$3+MIP_4[[#This Row],[PT-2]]*$T$3+MIP_4[[#This Row],[PT-3]]*$U$3+MIP_4[[#This Row],[PT &gt; 3 Pontos]]*$V$3</f>
        <v>0.13786923812399354</v>
      </c>
      <c r="Y611" s="39">
        <f>MIP_4[[#This Row],[HH disponível]]-MIP_4[[#This Row],[HH AC TOT]]</f>
        <v>0.3249999999999999</v>
      </c>
      <c r="Z611" s="38">
        <f ca="1">MIP_4[[#This Row],[HH Produtivo
Total]]/MIP_4[[#This Row],[HH Trabalhado]]</f>
        <v>0.42421304038151875</v>
      </c>
      <c r="AA611" s="38">
        <f ca="1">MIP_4[[#This Row],[HH Produtivo
Total]]/MIP_4[[#This Row],[HH disponível]]</f>
        <v>0.37600701306543682</v>
      </c>
      <c r="AB611" s="38">
        <f>MIP_4[[#This Row],[HH Trabalhado]]/MIP_4[[#This Row],[HH disponível]]</f>
        <v>0.88636363636363591</v>
      </c>
      <c r="AC611" s="37" t="str">
        <f>LEFT(MIP_4[[#This Row],[Equipe]], SEARCH("/",MIP_4[[#This Row],[Equipe]],1)-1)</f>
        <v xml:space="preserve">EDILTON </v>
      </c>
      <c r="AD611" s="37" t="str">
        <f>RIGHT(MIP_4[[#This Row],[Equipe]], LEN(MIP_4[[#This Row],[Equipe]])-SEARCH("/",MIP_4[[#This Row],[Equipe]],1))</f>
        <v xml:space="preserve"> GECIVALDO / MARCO</v>
      </c>
      <c r="AE611" s="44">
        <f>COUNTIFS('[1]Tempo parado'!G:G,"&gt;="&amp;MIP_4[[#This Row],[S.B Sitrack]],'[1]Tempo parado'!H:H,"&lt;="&amp;MIP_4[[#This Row],[C.B Sitrack]],'[1]Tempo parado'!A:A,MIP_4[[#This Row],[Placa]])</f>
        <v>0</v>
      </c>
      <c r="AF611" s="36"/>
      <c r="AG611" s="35"/>
      <c r="AH611" s="34"/>
      <c r="AI611" s="34"/>
      <c r="AJ61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1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1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11" s="32" t="str">
        <f>IFERROR(MIP_4[[#This Row],[Tempo parado]]/(MIP_4[[#This Row],[C.B Sitrack]]-MIP_4[[#This Row],[S.B Sitrack]]),"")</f>
        <v/>
      </c>
      <c r="AN611" s="30"/>
      <c r="AO611" s="44">
        <f>IF(AND(MIP_4[Exc]=0,MIP_4[Previsto / Realizado]="Realizado"),MIP_4[Sem],0)</f>
        <v>0</v>
      </c>
      <c r="AP611" s="29">
        <f>IF(AND(MIP_4[Exc]=0,MIP_4[Previsto / Realizado]="Realizado",ISBLANK(MIP_4[[#This Row],[S.B Sitrack]])=FALSE,ISBLANK(MIP_4[[#This Row],[C.B Sitrack]])=FALSE),MIP_4[Sem],0)</f>
        <v>0</v>
      </c>
    </row>
    <row r="612" spans="1:42" ht="15.75" x14ac:dyDescent="0.25">
      <c r="A612" s="44">
        <f>WEEKNUM(MIP_4[[#This Row],[Data]])</f>
        <v>40</v>
      </c>
      <c r="B612" s="45">
        <v>43010</v>
      </c>
      <c r="C612" s="45"/>
      <c r="D612" s="35" t="s">
        <v>212</v>
      </c>
      <c r="E612" s="35" t="s">
        <v>2</v>
      </c>
      <c r="F612" s="35"/>
      <c r="G612" s="44">
        <v>3</v>
      </c>
      <c r="H612" s="44">
        <v>1</v>
      </c>
      <c r="I612" s="44">
        <v>0</v>
      </c>
      <c r="J612" s="44">
        <v>1</v>
      </c>
      <c r="K612" s="44">
        <v>0</v>
      </c>
      <c r="L612" s="43">
        <v>0.625</v>
      </c>
      <c r="M612" s="43">
        <v>0.66666666666666663</v>
      </c>
      <c r="N612" s="43">
        <v>1.0138888888888888</v>
      </c>
      <c r="O612" s="43">
        <v>1.0333333333333334</v>
      </c>
      <c r="P612" s="39">
        <v>0.19097222222222221</v>
      </c>
      <c r="Q612" s="42" t="s">
        <v>211</v>
      </c>
      <c r="R612" s="29">
        <f>MIP_4[[#This Row],[PT-1]]+MIP_4[[#This Row],[PT-2]]*2+MIP_4[[#This Row],[PT-3]]*3+MIP_4[[#This Row],[PT &gt; 3 Pontos]]</f>
        <v>4</v>
      </c>
      <c r="S61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0.25208333333333344</v>
      </c>
      <c r="T61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6.1111111111111227E-2</v>
      </c>
      <c r="U612" s="41">
        <f ca="1">MIP_4[[#This Row],[Eficiência]]</f>
        <v>0.76640755379885828</v>
      </c>
      <c r="V61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12" s="39">
        <f>IF(MIP_4[[#This Row],[P.S]]-MIP_4[[#This Row],[P.E]]&lt;0,1+MIP_4[[#This Row],[P.S]]-MIP_4[[#This Row],[P.E]]-1/24,MIP_4[[#This Row],[P.S]]-MIP_4[[#This Row],[P.E]]-1/24)</f>
        <v>0.36666666666666675</v>
      </c>
      <c r="X612" s="39">
        <f ca="1">MIP_4[[#This Row],[PT-1]]*$S$3+MIP_4[[#This Row],[PT-2]]*$T$3+MIP_4[[#This Row],[PT-3]]*$U$3+MIP_4[[#This Row],[PT &gt; 3 Pontos]]*$V$3</f>
        <v>8.7817532206119167E-2</v>
      </c>
      <c r="Y612" s="39">
        <f>MIP_4[[#This Row],[HH disponível]]-MIP_4[[#This Row],[HH AC TOT]]</f>
        <v>0.11458333333333331</v>
      </c>
      <c r="Z612" s="38">
        <f ca="1">MIP_4[[#This Row],[HH Produtivo
Total]]/MIP_4[[#This Row],[HH Trabalhado]]</f>
        <v>0.76640755379885828</v>
      </c>
      <c r="AA612" s="38">
        <f ca="1">MIP_4[[#This Row],[HH Produtivo
Total]]/MIP_4[[#This Row],[HH disponível]]</f>
        <v>0.23950236056214314</v>
      </c>
      <c r="AB612" s="38">
        <f>MIP_4[[#This Row],[HH Trabalhado]]/MIP_4[[#This Row],[HH disponível]]</f>
        <v>0.31249999999999989</v>
      </c>
      <c r="AC612" s="37" t="str">
        <f>LEFT(MIP_4[[#This Row],[Equipe]], SEARCH("/",MIP_4[[#This Row],[Equipe]],1)-1)</f>
        <v xml:space="preserve">EDILTON </v>
      </c>
      <c r="AD612" s="37" t="str">
        <f>RIGHT(MIP_4[[#This Row],[Equipe]], LEN(MIP_4[[#This Row],[Equipe]])-SEARCH("/",MIP_4[[#This Row],[Equipe]],1))</f>
        <v xml:space="preserve"> GECIVALDO / MARCO</v>
      </c>
      <c r="AE612" s="44">
        <f>COUNTIFS('[1]Tempo parado'!G:G,"&gt;="&amp;MIP_4[[#This Row],[S.B Sitrack]],'[1]Tempo parado'!H:H,"&lt;="&amp;MIP_4[[#This Row],[C.B Sitrack]],'[1]Tempo parado'!A:A,MIP_4[[#This Row],[Placa]])</f>
        <v>0</v>
      </c>
      <c r="AF612" s="36"/>
      <c r="AG612" s="35"/>
      <c r="AH612" s="34"/>
      <c r="AI612" s="34"/>
      <c r="AJ61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1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1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12" s="32" t="str">
        <f>IFERROR(MIP_4[[#This Row],[Tempo parado]]/(MIP_4[[#This Row],[C.B Sitrack]]-MIP_4[[#This Row],[S.B Sitrack]]),"")</f>
        <v/>
      </c>
      <c r="AN612" s="30"/>
      <c r="AO612" s="44">
        <f>IF(AND(MIP_4[Exc]=0,MIP_4[Previsto / Realizado]="Realizado"),MIP_4[Sem],0)</f>
        <v>40</v>
      </c>
      <c r="AP612" s="29">
        <f>IF(AND(MIP_4[Exc]=0,MIP_4[Previsto / Realizado]="Realizado",ISBLANK(MIP_4[[#This Row],[S.B Sitrack]])=FALSE,ISBLANK(MIP_4[[#This Row],[C.B Sitrack]])=FALSE),MIP_4[Sem],0)</f>
        <v>0</v>
      </c>
    </row>
    <row r="613" spans="1:42" ht="15.75" x14ac:dyDescent="0.25">
      <c r="A613" s="44">
        <f>WEEKNUM(MIP_4[[#This Row],[Data]])</f>
        <v>40</v>
      </c>
      <c r="B613" s="45">
        <v>43011</v>
      </c>
      <c r="C613" s="45"/>
      <c r="D613" s="35" t="s">
        <v>3</v>
      </c>
      <c r="E613" s="35" t="s">
        <v>5</v>
      </c>
      <c r="F613" s="35"/>
      <c r="G613" s="44">
        <v>2</v>
      </c>
      <c r="H613" s="44">
        <v>6</v>
      </c>
      <c r="I613" s="44">
        <v>1</v>
      </c>
      <c r="J613" s="44">
        <v>2</v>
      </c>
      <c r="K613" s="44">
        <v>0</v>
      </c>
      <c r="L613" s="43">
        <v>0.625</v>
      </c>
      <c r="M613" s="43">
        <v>0.64583333333333337</v>
      </c>
      <c r="N613" s="43">
        <v>1.0125</v>
      </c>
      <c r="O613" s="43">
        <v>1.0333333333333334</v>
      </c>
      <c r="P613" s="39"/>
      <c r="Q613" s="42"/>
      <c r="R613" s="29">
        <f>MIP_4[[#This Row],[PT-1]]+MIP_4[[#This Row],[PT-2]]*2+MIP_4[[#This Row],[PT-3]]*3+MIP_4[[#This Row],[PT &gt; 3 Pontos]]</f>
        <v>14</v>
      </c>
      <c r="S61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61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613" s="41">
        <f ca="1">MIP_4[[#This Row],[Eficiência]]</f>
        <v>0.98352997646475915</v>
      </c>
      <c r="V61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13" s="39">
        <f>IF(MIP_4[[#This Row],[P.S]]-MIP_4[[#This Row],[P.E]]&lt;0,1+MIP_4[[#This Row],[P.S]]-MIP_4[[#This Row],[P.E]]-1/24,MIP_4[[#This Row],[P.S]]-MIP_4[[#This Row],[P.E]]-1/24)</f>
        <v>0.36666666666666675</v>
      </c>
      <c r="X613" s="39">
        <f ca="1">MIP_4[[#This Row],[PT-1]]*$S$3+MIP_4[[#This Row],[PT-2]]*$T$3+MIP_4[[#This Row],[PT-3]]*$U$3+MIP_4[[#This Row],[PT &gt; 3 Pontos]]*$V$3</f>
        <v>0.31964724235104663</v>
      </c>
      <c r="Y613" s="39">
        <f>MIP_4[[#This Row],[HH disponível]]-MIP_4[[#This Row],[HH AC TOT]]</f>
        <v>0.3249999999999999</v>
      </c>
      <c r="Z613" s="38">
        <f ca="1">MIP_4[[#This Row],[HH Produtivo
Total]]/MIP_4[[#This Row],[HH Trabalhado]]</f>
        <v>0.98352997646475915</v>
      </c>
      <c r="AA613" s="38">
        <f ca="1">MIP_4[[#This Row],[HH Produtivo
Total]]/MIP_4[[#This Row],[HH disponível]]</f>
        <v>0.87176520641194521</v>
      </c>
      <c r="AB613" s="38">
        <f>MIP_4[[#This Row],[HH Trabalhado]]/MIP_4[[#This Row],[HH disponível]]</f>
        <v>0.88636363636363591</v>
      </c>
      <c r="AC613" s="37" t="str">
        <f>LEFT(MIP_4[[#This Row],[Equipe]], SEARCH("/",MIP_4[[#This Row],[Equipe]],1)-1)</f>
        <v xml:space="preserve">EDILTON </v>
      </c>
      <c r="AD613" s="37" t="str">
        <f>RIGHT(MIP_4[[#This Row],[Equipe]], LEN(MIP_4[[#This Row],[Equipe]])-SEARCH("/",MIP_4[[#This Row],[Equipe]],1))</f>
        <v xml:space="preserve"> GECIVALDO</v>
      </c>
      <c r="AE613" s="44">
        <f>COUNTIFS('[1]Tempo parado'!G:G,"&gt;="&amp;MIP_4[[#This Row],[S.B Sitrack]],'[1]Tempo parado'!H:H,"&lt;="&amp;MIP_4[[#This Row],[C.B Sitrack]],'[1]Tempo parado'!A:A,MIP_4[[#This Row],[Placa]])</f>
        <v>0</v>
      </c>
      <c r="AF613" s="36"/>
      <c r="AG613" s="35"/>
      <c r="AH613" s="34"/>
      <c r="AI613" s="34"/>
      <c r="AJ61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1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1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13" s="32" t="str">
        <f>IFERROR(MIP_4[[#This Row],[Tempo parado]]/(MIP_4[[#This Row],[C.B Sitrack]]-MIP_4[[#This Row],[S.B Sitrack]]),"")</f>
        <v/>
      </c>
      <c r="AN613" s="30"/>
      <c r="AO613" s="44">
        <f>IF(AND(MIP_4[Exc]=0,MIP_4[Previsto / Realizado]="Realizado"),MIP_4[Sem],0)</f>
        <v>0</v>
      </c>
      <c r="AP613" s="29">
        <f>IF(AND(MIP_4[Exc]=0,MIP_4[Previsto / Realizado]="Realizado",ISBLANK(MIP_4[[#This Row],[S.B Sitrack]])=FALSE,ISBLANK(MIP_4[[#This Row],[C.B Sitrack]])=FALSE),MIP_4[Sem],0)</f>
        <v>0</v>
      </c>
    </row>
    <row r="614" spans="1:42" ht="15.75" x14ac:dyDescent="0.25">
      <c r="A614" s="44">
        <f>WEEKNUM(MIP_4[[#This Row],[Data]])</f>
        <v>40</v>
      </c>
      <c r="B614" s="45">
        <v>43011</v>
      </c>
      <c r="C614" s="45"/>
      <c r="D614" s="35" t="s">
        <v>3</v>
      </c>
      <c r="E614" s="35" t="s">
        <v>2</v>
      </c>
      <c r="F614" s="35"/>
      <c r="G614" s="44">
        <v>2</v>
      </c>
      <c r="H614" s="44">
        <v>1</v>
      </c>
      <c r="I614" s="44">
        <v>1</v>
      </c>
      <c r="J614" s="44">
        <v>2</v>
      </c>
      <c r="K614" s="44">
        <v>0</v>
      </c>
      <c r="L614" s="43">
        <v>0.62152777777777779</v>
      </c>
      <c r="M614" s="43">
        <v>0.66666666666666663</v>
      </c>
      <c r="N614" s="43">
        <v>0.97430555555555554</v>
      </c>
      <c r="O614" s="43">
        <v>1.0333333333333334</v>
      </c>
      <c r="P614" s="39">
        <v>9.375E-2</v>
      </c>
      <c r="Q614" s="42" t="s">
        <v>210</v>
      </c>
      <c r="R614" s="29">
        <f>MIP_4[[#This Row],[PT-1]]+MIP_4[[#This Row],[PT-2]]*2+MIP_4[[#This Row],[PT-3]]*3+MIP_4[[#This Row],[PT &gt; 3 Pontos]]</f>
        <v>9</v>
      </c>
      <c r="S61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0.19791666666666674</v>
      </c>
      <c r="T61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0.10416666666666674</v>
      </c>
      <c r="U614" s="41">
        <f ca="1">MIP_4[[#This Row],[Eficiência]]</f>
        <v>1.1294592245208044</v>
      </c>
      <c r="V61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14" s="39">
        <f>IF(MIP_4[[#This Row],[P.S]]-MIP_4[[#This Row],[P.E]]&lt;0,1+MIP_4[[#This Row],[P.S]]-MIP_4[[#This Row],[P.E]]-1/24,MIP_4[[#This Row],[P.S]]-MIP_4[[#This Row],[P.E]]-1/24)</f>
        <v>0.37013888888888896</v>
      </c>
      <c r="X614" s="39">
        <f ca="1">MIP_4[[#This Row],[PT-1]]*$S$3+MIP_4[[#This Row],[PT-2]]*$T$3+MIP_4[[#This Row],[PT-3]]*$U$3+MIP_4[[#This Row],[PT &gt; 3 Pontos]]*$V$3</f>
        <v>0.19451797755636074</v>
      </c>
      <c r="Y614" s="39">
        <f>MIP_4[[#This Row],[HH disponível]]-MIP_4[[#This Row],[HH AC TOT]]</f>
        <v>0.17222222222222222</v>
      </c>
      <c r="Z614" s="38">
        <f ca="1">MIP_4[[#This Row],[HH Produtivo
Total]]/MIP_4[[#This Row],[HH Trabalhado]]</f>
        <v>1.1294592245208044</v>
      </c>
      <c r="AA614" s="38">
        <f ca="1">MIP_4[[#This Row],[HH Produtivo
Total]]/MIP_4[[#This Row],[HH disponível]]</f>
        <v>0.52552699377328216</v>
      </c>
      <c r="AB614" s="38">
        <f>MIP_4[[#This Row],[HH Trabalhado]]/MIP_4[[#This Row],[HH disponível]]</f>
        <v>0.4652908067542213</v>
      </c>
      <c r="AC614" s="37" t="str">
        <f>LEFT(MIP_4[[#This Row],[Equipe]], SEARCH("/",MIP_4[[#This Row],[Equipe]],1)-1)</f>
        <v xml:space="preserve">EDILTON </v>
      </c>
      <c r="AD614" s="37" t="str">
        <f>RIGHT(MIP_4[[#This Row],[Equipe]], LEN(MIP_4[[#This Row],[Equipe]])-SEARCH("/",MIP_4[[#This Row],[Equipe]],1))</f>
        <v xml:space="preserve"> GECIVALDO</v>
      </c>
      <c r="AE614" s="44">
        <f>COUNTIFS('[1]Tempo parado'!G:G,"&gt;="&amp;MIP_4[[#This Row],[S.B Sitrack]],'[1]Tempo parado'!H:H,"&lt;="&amp;MIP_4[[#This Row],[C.B Sitrack]],'[1]Tempo parado'!A:A,MIP_4[[#This Row],[Placa]])</f>
        <v>0</v>
      </c>
      <c r="AF614" s="36"/>
      <c r="AG614" s="35"/>
      <c r="AH614" s="34"/>
      <c r="AI614" s="34"/>
      <c r="AJ61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1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1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14" s="32" t="str">
        <f>IFERROR(MIP_4[[#This Row],[Tempo parado]]/(MIP_4[[#This Row],[C.B Sitrack]]-MIP_4[[#This Row],[S.B Sitrack]]),"")</f>
        <v/>
      </c>
      <c r="AN614" s="30"/>
      <c r="AO614" s="44">
        <f>IF(AND(MIP_4[Exc]=0,MIP_4[Previsto / Realizado]="Realizado"),MIP_4[Sem],0)</f>
        <v>40</v>
      </c>
      <c r="AP614" s="29">
        <f>IF(AND(MIP_4[Exc]=0,MIP_4[Previsto / Realizado]="Realizado",ISBLANK(MIP_4[[#This Row],[S.B Sitrack]])=FALSE,ISBLANK(MIP_4[[#This Row],[C.B Sitrack]])=FALSE),MIP_4[Sem],0)</f>
        <v>0</v>
      </c>
    </row>
    <row r="615" spans="1:42" ht="15.75" x14ac:dyDescent="0.25">
      <c r="A615" s="44">
        <f>WEEKNUM(MIP_4[[#This Row],[Data]])</f>
        <v>40</v>
      </c>
      <c r="B615" s="45">
        <v>43012</v>
      </c>
      <c r="C615" s="45"/>
      <c r="D615" s="35" t="s">
        <v>33</v>
      </c>
      <c r="E615" s="35" t="s">
        <v>5</v>
      </c>
      <c r="F615" s="35"/>
      <c r="G615" s="44">
        <v>2</v>
      </c>
      <c r="H615" s="44">
        <v>7</v>
      </c>
      <c r="I615" s="44">
        <v>0</v>
      </c>
      <c r="J615" s="44">
        <v>1</v>
      </c>
      <c r="K615" s="44">
        <v>0</v>
      </c>
      <c r="L615" s="43">
        <v>0.25</v>
      </c>
      <c r="M615" s="43">
        <v>0.27083333333333331</v>
      </c>
      <c r="N615" s="43">
        <v>0.63750000000000007</v>
      </c>
      <c r="O615" s="43">
        <v>0.65833333333333333</v>
      </c>
      <c r="P615" s="39"/>
      <c r="Q615" s="42" t="s">
        <v>201</v>
      </c>
      <c r="R615" s="29">
        <f>MIP_4[[#This Row],[PT-1]]+MIP_4[[#This Row],[PT-2]]*2+MIP_4[[#This Row],[PT-3]]*3+MIP_4[[#This Row],[PT &gt; 3 Pontos]]</f>
        <v>10</v>
      </c>
      <c r="S61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61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615" s="41">
        <f ca="1">MIP_4[[#This Row],[Eficiência]]</f>
        <v>0.7322235383376684</v>
      </c>
      <c r="V61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15" s="39">
        <f>IF(MIP_4[[#This Row],[P.S]]-MIP_4[[#This Row],[P.E]]&lt;0,1+MIP_4[[#This Row],[P.S]]-MIP_4[[#This Row],[P.E]]-1/24,MIP_4[[#This Row],[P.S]]-MIP_4[[#This Row],[P.E]]-1/24)</f>
        <v>0.36666666666666664</v>
      </c>
      <c r="X615" s="39">
        <f ca="1">MIP_4[[#This Row],[PT-1]]*$S$3+MIP_4[[#This Row],[PT-2]]*$T$3+MIP_4[[#This Row],[PT-3]]*$U$3+MIP_4[[#This Row],[PT &gt; 3 Pontos]]*$V$3</f>
        <v>0.23797264995974227</v>
      </c>
      <c r="Y615" s="39">
        <f>MIP_4[[#This Row],[HH disponível]]-MIP_4[[#This Row],[HH AC TOT]]</f>
        <v>0.32500000000000007</v>
      </c>
      <c r="Z615" s="38">
        <f ca="1">MIP_4[[#This Row],[HH Produtivo
Total]]/MIP_4[[#This Row],[HH Trabalhado]]</f>
        <v>0.7322235383376684</v>
      </c>
      <c r="AA615" s="38">
        <f ca="1">MIP_4[[#This Row],[HH Produtivo
Total]]/MIP_4[[#This Row],[HH disponível]]</f>
        <v>0.64901631807202442</v>
      </c>
      <c r="AB615" s="38">
        <f>MIP_4[[#This Row],[HH Trabalhado]]/MIP_4[[#This Row],[HH disponível]]</f>
        <v>0.88636363636363658</v>
      </c>
      <c r="AC615" s="37" t="str">
        <f>LEFT(MIP_4[[#This Row],[Equipe]], SEARCH("/",MIP_4[[#This Row],[Equipe]],1)-1)</f>
        <v xml:space="preserve">JOILSON </v>
      </c>
      <c r="AD615" s="37" t="str">
        <f>RIGHT(MIP_4[[#This Row],[Equipe]], LEN(MIP_4[[#This Row],[Equipe]])-SEARCH("/",MIP_4[[#This Row],[Equipe]],1))</f>
        <v xml:space="preserve"> HERVAL</v>
      </c>
      <c r="AE615" s="44">
        <f>COUNTIFS('[1]Tempo parado'!G:G,"&gt;="&amp;MIP_4[[#This Row],[S.B Sitrack]],'[1]Tempo parado'!H:H,"&lt;="&amp;MIP_4[[#This Row],[C.B Sitrack]],'[1]Tempo parado'!A:A,MIP_4[[#This Row],[Placa]])</f>
        <v>0</v>
      </c>
      <c r="AF615" s="36"/>
      <c r="AG615" s="35"/>
      <c r="AH615" s="34"/>
      <c r="AI615" s="34"/>
      <c r="AJ61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1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1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15" s="32" t="str">
        <f>IFERROR(MIP_4[[#This Row],[Tempo parado]]/(MIP_4[[#This Row],[C.B Sitrack]]-MIP_4[[#This Row],[S.B Sitrack]]),"")</f>
        <v/>
      </c>
      <c r="AN615" s="30"/>
      <c r="AO615" s="44">
        <f>IF(AND(MIP_4[Exc]=0,MIP_4[Previsto / Realizado]="Realizado"),MIP_4[Sem],0)</f>
        <v>0</v>
      </c>
      <c r="AP615" s="29">
        <f>IF(AND(MIP_4[Exc]=0,MIP_4[Previsto / Realizado]="Realizado",ISBLANK(MIP_4[[#This Row],[S.B Sitrack]])=FALSE,ISBLANK(MIP_4[[#This Row],[C.B Sitrack]])=FALSE),MIP_4[Sem],0)</f>
        <v>0</v>
      </c>
    </row>
    <row r="616" spans="1:42" ht="15.75" x14ac:dyDescent="0.25">
      <c r="A616" s="44">
        <f>WEEKNUM(MIP_4[[#This Row],[Data]])</f>
        <v>40</v>
      </c>
      <c r="B616" s="45">
        <v>43012</v>
      </c>
      <c r="C616" s="45"/>
      <c r="D616" s="35" t="s">
        <v>33</v>
      </c>
      <c r="E616" s="35" t="s">
        <v>2</v>
      </c>
      <c r="F616" s="35"/>
      <c r="G616" s="44">
        <v>2</v>
      </c>
      <c r="H616" s="44">
        <v>9</v>
      </c>
      <c r="I616" s="44">
        <v>0</v>
      </c>
      <c r="J616" s="44">
        <v>1</v>
      </c>
      <c r="K616" s="44">
        <v>0</v>
      </c>
      <c r="L616" s="43">
        <v>0.24722222222222223</v>
      </c>
      <c r="M616" s="43">
        <v>0.27638888888888885</v>
      </c>
      <c r="N616" s="43">
        <v>0.61805555555555558</v>
      </c>
      <c r="O616" s="43">
        <v>0.65833333333333333</v>
      </c>
      <c r="P616" s="39"/>
      <c r="Q616" s="42" t="s">
        <v>34</v>
      </c>
      <c r="R616" s="29">
        <f>MIP_4[[#This Row],[PT-1]]+MIP_4[[#This Row],[PT-2]]*2+MIP_4[[#This Row],[PT-3]]*3+MIP_4[[#This Row],[PT &gt; 3 Pontos]]</f>
        <v>12</v>
      </c>
      <c r="S61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6.9444444444444364E-2</v>
      </c>
      <c r="T61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6.9444444444444364E-2</v>
      </c>
      <c r="U616" s="41">
        <f ca="1">MIP_4[[#This Row],[Eficiência]]</f>
        <v>0.96008118625872185</v>
      </c>
      <c r="V61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16" s="39">
        <f>IF(MIP_4[[#This Row],[P.S]]-MIP_4[[#This Row],[P.E]]&lt;0,1+MIP_4[[#This Row],[P.S]]-MIP_4[[#This Row],[P.E]]-1/24,MIP_4[[#This Row],[P.S]]-MIP_4[[#This Row],[P.E]]-1/24)</f>
        <v>0.36944444444444441</v>
      </c>
      <c r="X616" s="39">
        <f ca="1">MIP_4[[#This Row],[PT-1]]*$S$3+MIP_4[[#This Row],[PT-2]]*$T$3+MIP_4[[#This Row],[PT-3]]*$U$3+MIP_4[[#This Row],[PT &gt; 3 Pontos]]*$V$3</f>
        <v>0.2880243558776166</v>
      </c>
      <c r="Y616" s="39">
        <f>MIP_4[[#This Row],[HH disponível]]-MIP_4[[#This Row],[HH AC TOT]]</f>
        <v>0.30000000000000004</v>
      </c>
      <c r="Z616" s="38">
        <f ca="1">MIP_4[[#This Row],[HH Produtivo
Total]]/MIP_4[[#This Row],[HH Trabalhado]]</f>
        <v>0.96008118625872185</v>
      </c>
      <c r="AA616" s="38">
        <f ca="1">MIP_4[[#This Row],[HH Produtivo
Total]]/MIP_4[[#This Row],[HH disponível]]</f>
        <v>0.77961479786422549</v>
      </c>
      <c r="AB616" s="38">
        <f>MIP_4[[#This Row],[HH Trabalhado]]/MIP_4[[#This Row],[HH disponível]]</f>
        <v>0.8120300751879701</v>
      </c>
      <c r="AC616" s="37" t="str">
        <f>LEFT(MIP_4[[#This Row],[Equipe]], SEARCH("/",MIP_4[[#This Row],[Equipe]],1)-1)</f>
        <v xml:space="preserve">JOILSON </v>
      </c>
      <c r="AD616" s="37" t="str">
        <f>RIGHT(MIP_4[[#This Row],[Equipe]], LEN(MIP_4[[#This Row],[Equipe]])-SEARCH("/",MIP_4[[#This Row],[Equipe]],1))</f>
        <v xml:space="preserve"> HERVAL</v>
      </c>
      <c r="AE616" s="44">
        <f>COUNTIFS('[1]Tempo parado'!G:G,"&gt;="&amp;MIP_4[[#This Row],[S.B Sitrack]],'[1]Tempo parado'!H:H,"&lt;="&amp;MIP_4[[#This Row],[C.B Sitrack]],'[1]Tempo parado'!A:A,MIP_4[[#This Row],[Placa]])</f>
        <v>0</v>
      </c>
      <c r="AF616" s="36"/>
      <c r="AG616" s="35"/>
      <c r="AH616" s="34"/>
      <c r="AI616" s="34"/>
      <c r="AJ61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1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1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16" s="32" t="str">
        <f>IFERROR(MIP_4[[#This Row],[Tempo parado]]/(MIP_4[[#This Row],[C.B Sitrack]]-MIP_4[[#This Row],[S.B Sitrack]]),"")</f>
        <v/>
      </c>
      <c r="AN616" s="30"/>
      <c r="AO616" s="44">
        <f>IF(AND(MIP_4[Exc]=0,MIP_4[Previsto / Realizado]="Realizado"),MIP_4[Sem],0)</f>
        <v>40</v>
      </c>
      <c r="AP616" s="29">
        <f>IF(AND(MIP_4[Exc]=0,MIP_4[Previsto / Realizado]="Realizado",ISBLANK(MIP_4[[#This Row],[S.B Sitrack]])=FALSE,ISBLANK(MIP_4[[#This Row],[C.B Sitrack]])=FALSE),MIP_4[Sem],0)</f>
        <v>0</v>
      </c>
    </row>
    <row r="617" spans="1:42" ht="15.75" x14ac:dyDescent="0.25">
      <c r="A617" s="44">
        <f>WEEKNUM(MIP_4[[#This Row],[Data]])</f>
        <v>40</v>
      </c>
      <c r="B617" s="45">
        <v>43012</v>
      </c>
      <c r="C617" s="45"/>
      <c r="D617" s="35" t="s">
        <v>3</v>
      </c>
      <c r="E617" s="35" t="s">
        <v>5</v>
      </c>
      <c r="F617" s="35"/>
      <c r="G617" s="44">
        <v>2</v>
      </c>
      <c r="H617" s="44">
        <v>8</v>
      </c>
      <c r="I617" s="44">
        <v>2</v>
      </c>
      <c r="J617" s="44">
        <v>0</v>
      </c>
      <c r="K617" s="44">
        <v>0</v>
      </c>
      <c r="L617" s="43">
        <v>0.625</v>
      </c>
      <c r="M617" s="43">
        <v>0.64583333333333337</v>
      </c>
      <c r="N617" s="43">
        <v>1.0125</v>
      </c>
      <c r="O617" s="43">
        <v>1.0333333333333334</v>
      </c>
      <c r="P617" s="39"/>
      <c r="Q617" s="42" t="s">
        <v>201</v>
      </c>
      <c r="R617" s="29">
        <f>MIP_4[[#This Row],[PT-1]]+MIP_4[[#This Row],[PT-2]]*2+MIP_4[[#This Row],[PT-3]]*3+MIP_4[[#This Row],[PT &gt; 3 Pontos]]</f>
        <v>12</v>
      </c>
      <c r="S61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61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617" s="41">
        <f ca="1">MIP_4[[#This Row],[Eficiência]]</f>
        <v>0.88622878731574362</v>
      </c>
      <c r="V61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17" s="39">
        <f>IF(MIP_4[[#This Row],[P.S]]-MIP_4[[#This Row],[P.E]]&lt;0,1+MIP_4[[#This Row],[P.S]]-MIP_4[[#This Row],[P.E]]-1/24,MIP_4[[#This Row],[P.S]]-MIP_4[[#This Row],[P.E]]-1/24)</f>
        <v>0.36666666666666675</v>
      </c>
      <c r="X617" s="39">
        <f ca="1">MIP_4[[#This Row],[PT-1]]*$S$3+MIP_4[[#This Row],[PT-2]]*$T$3+MIP_4[[#This Row],[PT-3]]*$U$3+MIP_4[[#This Row],[PT &gt; 3 Pontos]]*$V$3</f>
        <v>0.2880243558776166</v>
      </c>
      <c r="Y617" s="39">
        <f>MIP_4[[#This Row],[HH disponível]]-MIP_4[[#This Row],[HH AC TOT]]</f>
        <v>0.3249999999999999</v>
      </c>
      <c r="Z617" s="38">
        <f ca="1">MIP_4[[#This Row],[HH Produtivo
Total]]/MIP_4[[#This Row],[HH Trabalhado]]</f>
        <v>0.88622878731574362</v>
      </c>
      <c r="AA617" s="38">
        <f ca="1">MIP_4[[#This Row],[HH Produtivo
Total]]/MIP_4[[#This Row],[HH disponível]]</f>
        <v>0.78552097057531778</v>
      </c>
      <c r="AB617" s="38">
        <f>MIP_4[[#This Row],[HH Trabalhado]]/MIP_4[[#This Row],[HH disponível]]</f>
        <v>0.88636363636363591</v>
      </c>
      <c r="AC617" s="37" t="str">
        <f>LEFT(MIP_4[[#This Row],[Equipe]], SEARCH("/",MIP_4[[#This Row],[Equipe]],1)-1)</f>
        <v xml:space="preserve">EDILTON </v>
      </c>
      <c r="AD617" s="37" t="str">
        <f>RIGHT(MIP_4[[#This Row],[Equipe]], LEN(MIP_4[[#This Row],[Equipe]])-SEARCH("/",MIP_4[[#This Row],[Equipe]],1))</f>
        <v xml:space="preserve"> GECIVALDO</v>
      </c>
      <c r="AE617" s="44">
        <f>COUNTIFS('[1]Tempo parado'!G:G,"&gt;="&amp;MIP_4[[#This Row],[S.B Sitrack]],'[1]Tempo parado'!H:H,"&lt;="&amp;MIP_4[[#This Row],[C.B Sitrack]],'[1]Tempo parado'!A:A,MIP_4[[#This Row],[Placa]])</f>
        <v>0</v>
      </c>
      <c r="AF617" s="36"/>
      <c r="AG617" s="35"/>
      <c r="AH617" s="34"/>
      <c r="AI617" s="34"/>
      <c r="AJ61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1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1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17" s="32" t="str">
        <f>IFERROR(MIP_4[[#This Row],[Tempo parado]]/(MIP_4[[#This Row],[C.B Sitrack]]-MIP_4[[#This Row],[S.B Sitrack]]),"")</f>
        <v/>
      </c>
      <c r="AN617" s="30"/>
      <c r="AO617" s="44">
        <f>IF(AND(MIP_4[Exc]=0,MIP_4[Previsto / Realizado]="Realizado"),MIP_4[Sem],0)</f>
        <v>0</v>
      </c>
      <c r="AP617" s="29">
        <f>IF(AND(MIP_4[Exc]=0,MIP_4[Previsto / Realizado]="Realizado",ISBLANK(MIP_4[[#This Row],[S.B Sitrack]])=FALSE,ISBLANK(MIP_4[[#This Row],[C.B Sitrack]])=FALSE),MIP_4[Sem],0)</f>
        <v>0</v>
      </c>
    </row>
    <row r="618" spans="1:42" ht="15.75" x14ac:dyDescent="0.25">
      <c r="A618" s="44">
        <f>WEEKNUM(MIP_4[[#This Row],[Data]])</f>
        <v>40</v>
      </c>
      <c r="B618" s="45">
        <v>43012</v>
      </c>
      <c r="C618" s="45"/>
      <c r="D618" s="35" t="s">
        <v>3</v>
      </c>
      <c r="E618" s="35" t="s">
        <v>2</v>
      </c>
      <c r="F618" s="35"/>
      <c r="G618" s="44">
        <v>2</v>
      </c>
      <c r="H618" s="44">
        <v>10</v>
      </c>
      <c r="I618" s="44">
        <v>2</v>
      </c>
      <c r="J618" s="44">
        <v>0</v>
      </c>
      <c r="K618" s="44">
        <v>0</v>
      </c>
      <c r="L618" s="43">
        <v>0.61805555555555558</v>
      </c>
      <c r="M618" s="43">
        <v>0.67013888888888884</v>
      </c>
      <c r="N618" s="43">
        <v>0.99791666666666667</v>
      </c>
      <c r="O618" s="43">
        <v>1.0354166666666667</v>
      </c>
      <c r="P618" s="39"/>
      <c r="Q618" s="42"/>
      <c r="R618" s="29">
        <f>MIP_4[[#This Row],[PT-1]]+MIP_4[[#This Row],[PT-2]]*2+MIP_4[[#This Row],[PT-3]]*3+MIP_4[[#This Row],[PT &gt; 3 Pontos]]</f>
        <v>14</v>
      </c>
      <c r="S61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8.9583333333333237E-2</v>
      </c>
      <c r="T61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8.9583333333333237E-2</v>
      </c>
      <c r="U618" s="41">
        <f ca="1">MIP_4[[#This Row],[Eficiência]]</f>
        <v>1.1816250703531721</v>
      </c>
      <c r="V61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18" s="39">
        <f>IF(MIP_4[[#This Row],[P.S]]-MIP_4[[#This Row],[P.E]]&lt;0,1+MIP_4[[#This Row],[P.S]]-MIP_4[[#This Row],[P.E]]-1/24,MIP_4[[#This Row],[P.S]]-MIP_4[[#This Row],[P.E]]-1/24)</f>
        <v>0.37569444444444439</v>
      </c>
      <c r="X618" s="39">
        <f ca="1">MIP_4[[#This Row],[PT-1]]*$S$3+MIP_4[[#This Row],[PT-2]]*$T$3+MIP_4[[#This Row],[PT-3]]*$U$3+MIP_4[[#This Row],[PT &gt; 3 Pontos]]*$V$3</f>
        <v>0.33807606179549093</v>
      </c>
      <c r="Y618" s="39">
        <f>MIP_4[[#This Row],[HH disponível]]-MIP_4[[#This Row],[HH AC TOT]]</f>
        <v>0.28611111111111115</v>
      </c>
      <c r="Z618" s="38">
        <f ca="1">MIP_4[[#This Row],[HH Produtivo
Total]]/MIP_4[[#This Row],[HH Trabalhado]]</f>
        <v>1.1816250703531721</v>
      </c>
      <c r="AA618" s="38">
        <f ca="1">MIP_4[[#This Row],[HH Produtivo
Total]]/MIP_4[[#This Row],[HH disponível]]</f>
        <v>0.8998697393447449</v>
      </c>
      <c r="AB618" s="38">
        <f>MIP_4[[#This Row],[HH Trabalhado]]/MIP_4[[#This Row],[HH disponível]]</f>
        <v>0.76155268022181166</v>
      </c>
      <c r="AC618" s="37" t="str">
        <f>LEFT(MIP_4[[#This Row],[Equipe]], SEARCH("/",MIP_4[[#This Row],[Equipe]],1)-1)</f>
        <v xml:space="preserve">EDILTON </v>
      </c>
      <c r="AD618" s="37" t="str">
        <f>RIGHT(MIP_4[[#This Row],[Equipe]], LEN(MIP_4[[#This Row],[Equipe]])-SEARCH("/",MIP_4[[#This Row],[Equipe]],1))</f>
        <v xml:space="preserve"> GECIVALDO</v>
      </c>
      <c r="AE618" s="44">
        <f>COUNTIFS('[1]Tempo parado'!G:G,"&gt;="&amp;MIP_4[[#This Row],[S.B Sitrack]],'[1]Tempo parado'!H:H,"&lt;="&amp;MIP_4[[#This Row],[C.B Sitrack]],'[1]Tempo parado'!A:A,MIP_4[[#This Row],[Placa]])</f>
        <v>0</v>
      </c>
      <c r="AF618" s="36"/>
      <c r="AG618" s="35"/>
      <c r="AH618" s="34"/>
      <c r="AI618" s="34"/>
      <c r="AJ61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1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1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18" s="32" t="str">
        <f>IFERROR(MIP_4[[#This Row],[Tempo parado]]/(MIP_4[[#This Row],[C.B Sitrack]]-MIP_4[[#This Row],[S.B Sitrack]]),"")</f>
        <v/>
      </c>
      <c r="AN618" s="30"/>
      <c r="AO618" s="44">
        <f>IF(AND(MIP_4[Exc]=0,MIP_4[Previsto / Realizado]="Realizado"),MIP_4[Sem],0)</f>
        <v>40</v>
      </c>
      <c r="AP618" s="29">
        <f>IF(AND(MIP_4[Exc]=0,MIP_4[Previsto / Realizado]="Realizado",ISBLANK(MIP_4[[#This Row],[S.B Sitrack]])=FALSE,ISBLANK(MIP_4[[#This Row],[C.B Sitrack]])=FALSE),MIP_4[Sem],0)</f>
        <v>0</v>
      </c>
    </row>
    <row r="619" spans="1:42" ht="15.75" x14ac:dyDescent="0.25">
      <c r="A619" s="44">
        <f>WEEKNUM(MIP_4[[#This Row],[Data]])</f>
        <v>40</v>
      </c>
      <c r="B619" s="45">
        <v>43013</v>
      </c>
      <c r="C619" s="45"/>
      <c r="D619" s="35" t="s">
        <v>33</v>
      </c>
      <c r="E619" s="35" t="s">
        <v>5</v>
      </c>
      <c r="F619" s="35"/>
      <c r="G619" s="44">
        <v>2</v>
      </c>
      <c r="H619" s="44">
        <v>3</v>
      </c>
      <c r="I619" s="44">
        <v>2</v>
      </c>
      <c r="J619" s="44">
        <v>0</v>
      </c>
      <c r="K619" s="44">
        <v>4</v>
      </c>
      <c r="L619" s="43">
        <v>0.25</v>
      </c>
      <c r="M619" s="43">
        <v>0.27083333333333331</v>
      </c>
      <c r="N619" s="43">
        <v>0.63750000000000007</v>
      </c>
      <c r="O619" s="43">
        <v>0.65833333333333333</v>
      </c>
      <c r="P619" s="39"/>
      <c r="Q619" s="42" t="s">
        <v>209</v>
      </c>
      <c r="R619" s="29">
        <f>MIP_4[[#This Row],[PT-1]]+MIP_4[[#This Row],[PT-2]]*2+MIP_4[[#This Row],[PT-3]]*3+MIP_4[[#This Row],[PT &gt; 3 Pontos]]</f>
        <v>11</v>
      </c>
      <c r="S61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61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619" s="41">
        <f ca="1">MIP_4[[#This Row],[Eficiência]]</f>
        <v>0.75042195263360711</v>
      </c>
      <c r="V61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19" s="39">
        <f>IF(MIP_4[[#This Row],[P.S]]-MIP_4[[#This Row],[P.E]]&lt;0,1+MIP_4[[#This Row],[P.S]]-MIP_4[[#This Row],[P.E]]-1/24,MIP_4[[#This Row],[P.S]]-MIP_4[[#This Row],[P.E]]-1/24)</f>
        <v>0.36666666666666664</v>
      </c>
      <c r="X619" s="39">
        <f ca="1">MIP_4[[#This Row],[PT-1]]*$S$3+MIP_4[[#This Row],[PT-2]]*$T$3+MIP_4[[#This Row],[PT-3]]*$U$3+MIP_4[[#This Row],[PT &gt; 3 Pontos]]*$V$3</f>
        <v>0.24388713460592235</v>
      </c>
      <c r="Y619" s="39">
        <f>MIP_4[[#This Row],[HH disponível]]-MIP_4[[#This Row],[HH AC TOT]]</f>
        <v>0.32500000000000007</v>
      </c>
      <c r="Z619" s="38">
        <f ca="1">MIP_4[[#This Row],[HH Produtivo
Total]]/MIP_4[[#This Row],[HH Trabalhado]]</f>
        <v>0.75042195263360711</v>
      </c>
      <c r="AA619" s="38">
        <f ca="1">MIP_4[[#This Row],[HH Produtivo
Total]]/MIP_4[[#This Row],[HH disponível]]</f>
        <v>0.66514673074342467</v>
      </c>
      <c r="AB619" s="38">
        <f>MIP_4[[#This Row],[HH Trabalhado]]/MIP_4[[#This Row],[HH disponível]]</f>
        <v>0.88636363636363658</v>
      </c>
      <c r="AC619" s="37" t="str">
        <f>LEFT(MIP_4[[#This Row],[Equipe]], SEARCH("/",MIP_4[[#This Row],[Equipe]],1)-1)</f>
        <v xml:space="preserve">JOILSON </v>
      </c>
      <c r="AD619" s="37" t="str">
        <f>RIGHT(MIP_4[[#This Row],[Equipe]], LEN(MIP_4[[#This Row],[Equipe]])-SEARCH("/",MIP_4[[#This Row],[Equipe]],1))</f>
        <v xml:space="preserve"> HERVAL</v>
      </c>
      <c r="AE619" s="44">
        <f>COUNTIFS('[1]Tempo parado'!G:G,"&gt;="&amp;MIP_4[[#This Row],[S.B Sitrack]],'[1]Tempo parado'!H:H,"&lt;="&amp;MIP_4[[#This Row],[C.B Sitrack]],'[1]Tempo parado'!A:A,MIP_4[[#This Row],[Placa]])</f>
        <v>0</v>
      </c>
      <c r="AF619" s="36"/>
      <c r="AG619" s="35"/>
      <c r="AH619" s="34"/>
      <c r="AI619" s="34"/>
      <c r="AJ61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1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1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19" s="32" t="str">
        <f>IFERROR(MIP_4[[#This Row],[Tempo parado]]/(MIP_4[[#This Row],[C.B Sitrack]]-MIP_4[[#This Row],[S.B Sitrack]]),"")</f>
        <v/>
      </c>
      <c r="AN619" s="30"/>
      <c r="AO619" s="44">
        <f>IF(AND(MIP_4[Exc]=0,MIP_4[Previsto / Realizado]="Realizado"),MIP_4[Sem],0)</f>
        <v>0</v>
      </c>
      <c r="AP619" s="29">
        <f>IF(AND(MIP_4[Exc]=0,MIP_4[Previsto / Realizado]="Realizado",ISBLANK(MIP_4[[#This Row],[S.B Sitrack]])=FALSE,ISBLANK(MIP_4[[#This Row],[C.B Sitrack]])=FALSE),MIP_4[Sem],0)</f>
        <v>0</v>
      </c>
    </row>
    <row r="620" spans="1:42" ht="15.75" x14ac:dyDescent="0.25">
      <c r="A620" s="44">
        <f>WEEKNUM(MIP_4[[#This Row],[Data]])</f>
        <v>40</v>
      </c>
      <c r="B620" s="45">
        <v>43013</v>
      </c>
      <c r="C620" s="45"/>
      <c r="D620" s="35" t="s">
        <v>33</v>
      </c>
      <c r="E620" s="35" t="s">
        <v>2</v>
      </c>
      <c r="F620" s="35"/>
      <c r="G620" s="44">
        <v>2</v>
      </c>
      <c r="H620" s="44">
        <v>2</v>
      </c>
      <c r="I620" s="44">
        <v>1</v>
      </c>
      <c r="J620" s="44">
        <v>0</v>
      </c>
      <c r="K620" s="44">
        <v>4</v>
      </c>
      <c r="L620" s="43">
        <v>0.25138888888888888</v>
      </c>
      <c r="M620" s="43">
        <v>0.29166666666666669</v>
      </c>
      <c r="N620" s="43">
        <v>0.61111111111111105</v>
      </c>
      <c r="O620" s="43">
        <v>0.65833333333333333</v>
      </c>
      <c r="P620" s="39">
        <v>7.9166666666666663E-2</v>
      </c>
      <c r="Q620" s="42" t="s">
        <v>208</v>
      </c>
      <c r="R620" s="29">
        <f>MIP_4[[#This Row],[PT-1]]+MIP_4[[#This Row],[PT-2]]*2+MIP_4[[#This Row],[PT-3]]*3+MIP_4[[#This Row],[PT &gt; 3 Pontos]]</f>
        <v>8</v>
      </c>
      <c r="S62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0.16666666666666674</v>
      </c>
      <c r="T62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8.7500000000000078E-2</v>
      </c>
      <c r="U620" s="41">
        <f ca="1">MIP_4[[#This Row],[Eficiência]]</f>
        <v>0.88087979854284248</v>
      </c>
      <c r="V62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20" s="39">
        <f>IF(MIP_4[[#This Row],[P.S]]-MIP_4[[#This Row],[P.E]]&lt;0,1+MIP_4[[#This Row],[P.S]]-MIP_4[[#This Row],[P.E]]-1/24,MIP_4[[#This Row],[P.S]]-MIP_4[[#This Row],[P.E]]-1/24)</f>
        <v>0.36527777777777776</v>
      </c>
      <c r="X620" s="39">
        <f ca="1">MIP_4[[#This Row],[PT-1]]*$S$3+MIP_4[[#This Row],[PT-2]]*$T$3+MIP_4[[#This Row],[PT-3]]*$U$3+MIP_4[[#This Row],[PT &gt; 3 Pontos]]*$V$3</f>
        <v>0.17495251554392557</v>
      </c>
      <c r="Y620" s="39">
        <f>MIP_4[[#This Row],[HH disponível]]-MIP_4[[#This Row],[HH AC TOT]]</f>
        <v>0.19861111111111102</v>
      </c>
      <c r="Z620" s="38">
        <f ca="1">MIP_4[[#This Row],[HH Produtivo
Total]]/MIP_4[[#This Row],[HH Trabalhado]]</f>
        <v>0.88087979854284248</v>
      </c>
      <c r="AA620" s="38">
        <f ca="1">MIP_4[[#This Row],[HH Produtivo
Total]]/MIP_4[[#This Row],[HH disponível]]</f>
        <v>0.47895745700238185</v>
      </c>
      <c r="AB620" s="38">
        <f>MIP_4[[#This Row],[HH Trabalhado]]/MIP_4[[#This Row],[HH disponível]]</f>
        <v>0.54372623574144463</v>
      </c>
      <c r="AC620" s="37" t="str">
        <f>LEFT(MIP_4[[#This Row],[Equipe]], SEARCH("/",MIP_4[[#This Row],[Equipe]],1)-1)</f>
        <v xml:space="preserve">JOILSON </v>
      </c>
      <c r="AD620" s="37" t="str">
        <f>RIGHT(MIP_4[[#This Row],[Equipe]], LEN(MIP_4[[#This Row],[Equipe]])-SEARCH("/",MIP_4[[#This Row],[Equipe]],1))</f>
        <v xml:space="preserve"> HERVAL</v>
      </c>
      <c r="AE620" s="44">
        <f>COUNTIFS('[1]Tempo parado'!G:G,"&gt;="&amp;MIP_4[[#This Row],[S.B Sitrack]],'[1]Tempo parado'!H:H,"&lt;="&amp;MIP_4[[#This Row],[C.B Sitrack]],'[1]Tempo parado'!A:A,MIP_4[[#This Row],[Placa]])</f>
        <v>0</v>
      </c>
      <c r="AF620" s="36"/>
      <c r="AG620" s="35"/>
      <c r="AH620" s="34"/>
      <c r="AI620" s="34"/>
      <c r="AJ62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2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2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20" s="32" t="str">
        <f>IFERROR(MIP_4[[#This Row],[Tempo parado]]/(MIP_4[[#This Row],[C.B Sitrack]]-MIP_4[[#This Row],[S.B Sitrack]]),"")</f>
        <v/>
      </c>
      <c r="AN620" s="30"/>
      <c r="AO620" s="44">
        <f>IF(AND(MIP_4[Exc]=0,MIP_4[Previsto / Realizado]="Realizado"),MIP_4[Sem],0)</f>
        <v>40</v>
      </c>
      <c r="AP620" s="29">
        <f>IF(AND(MIP_4[Exc]=0,MIP_4[Previsto / Realizado]="Realizado",ISBLANK(MIP_4[[#This Row],[S.B Sitrack]])=FALSE,ISBLANK(MIP_4[[#This Row],[C.B Sitrack]])=FALSE),MIP_4[Sem],0)</f>
        <v>0</v>
      </c>
    </row>
    <row r="621" spans="1:42" ht="15.75" x14ac:dyDescent="0.25">
      <c r="A621" s="44">
        <f>WEEKNUM(MIP_4[[#This Row],[Data]])</f>
        <v>40</v>
      </c>
      <c r="B621" s="45">
        <v>43013</v>
      </c>
      <c r="C621" s="45"/>
      <c r="D621" s="35" t="s">
        <v>19</v>
      </c>
      <c r="E621" s="35" t="s">
        <v>5</v>
      </c>
      <c r="F621" s="35"/>
      <c r="G621" s="44">
        <v>2</v>
      </c>
      <c r="H621" s="44">
        <v>1</v>
      </c>
      <c r="I621" s="44">
        <v>0</v>
      </c>
      <c r="J621" s="44">
        <v>0</v>
      </c>
      <c r="K621" s="44">
        <v>15</v>
      </c>
      <c r="L621" s="43">
        <v>0.625</v>
      </c>
      <c r="M621" s="43">
        <v>0.64583333333333337</v>
      </c>
      <c r="N621" s="43">
        <v>1.0125</v>
      </c>
      <c r="O621" s="43">
        <v>1.0333333333333334</v>
      </c>
      <c r="P621" s="39"/>
      <c r="Q621" s="42"/>
      <c r="R621" s="29">
        <f>MIP_4[[#This Row],[PT-1]]+MIP_4[[#This Row],[PT-2]]*2+MIP_4[[#This Row],[PT-3]]*3+MIP_4[[#This Row],[PT &gt; 3 Pontos]]</f>
        <v>16</v>
      </c>
      <c r="S62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62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621" s="41">
        <f ca="1">MIP_4[[#This Row],[Eficiência]]</f>
        <v>1.0115262036004797</v>
      </c>
      <c r="V62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21" s="39">
        <f>IF(MIP_4[[#This Row],[P.S]]-MIP_4[[#This Row],[P.E]]&lt;0,1+MIP_4[[#This Row],[P.S]]-MIP_4[[#This Row],[P.E]]-1/24,MIP_4[[#This Row],[P.S]]-MIP_4[[#This Row],[P.E]]-1/24)</f>
        <v>0.36666666666666675</v>
      </c>
      <c r="X621" s="39">
        <f ca="1">MIP_4[[#This Row],[PT-1]]*$S$3+MIP_4[[#This Row],[PT-2]]*$T$3+MIP_4[[#This Row],[PT-3]]*$U$3+MIP_4[[#This Row],[PT &gt; 3 Pontos]]*$V$3</f>
        <v>0.32874601617015581</v>
      </c>
      <c r="Y621" s="39">
        <f>MIP_4[[#This Row],[HH disponível]]-MIP_4[[#This Row],[HH AC TOT]]</f>
        <v>0.3249999999999999</v>
      </c>
      <c r="Z621" s="38">
        <f ca="1">MIP_4[[#This Row],[HH Produtivo
Total]]/MIP_4[[#This Row],[HH Trabalhado]]</f>
        <v>1.0115262036004797</v>
      </c>
      <c r="AA621" s="38">
        <f ca="1">MIP_4[[#This Row],[HH Produtivo
Total]]/MIP_4[[#This Row],[HH disponível]]</f>
        <v>0.89658004410042469</v>
      </c>
      <c r="AB621" s="38">
        <f>MIP_4[[#This Row],[HH Trabalhado]]/MIP_4[[#This Row],[HH disponível]]</f>
        <v>0.88636363636363591</v>
      </c>
      <c r="AC621" s="37" t="str">
        <f>LEFT(MIP_4[[#This Row],[Equipe]], SEARCH("/",MIP_4[[#This Row],[Equipe]],1)-1)</f>
        <v xml:space="preserve">ADEMÁRIO </v>
      </c>
      <c r="AD621" s="37" t="str">
        <f>RIGHT(MIP_4[[#This Row],[Equipe]], LEN(MIP_4[[#This Row],[Equipe]])-SEARCH("/",MIP_4[[#This Row],[Equipe]],1))</f>
        <v xml:space="preserve"> RONALDO</v>
      </c>
      <c r="AE621" s="44">
        <f>COUNTIFS('[1]Tempo parado'!G:G,"&gt;="&amp;MIP_4[[#This Row],[S.B Sitrack]],'[1]Tempo parado'!H:H,"&lt;="&amp;MIP_4[[#This Row],[C.B Sitrack]],'[1]Tempo parado'!A:A,MIP_4[[#This Row],[Placa]])</f>
        <v>0</v>
      </c>
      <c r="AF621" s="36"/>
      <c r="AG621" s="35"/>
      <c r="AH621" s="34"/>
      <c r="AI621" s="34"/>
      <c r="AJ62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2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2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21" s="32" t="str">
        <f>IFERROR(MIP_4[[#This Row],[Tempo parado]]/(MIP_4[[#This Row],[C.B Sitrack]]-MIP_4[[#This Row],[S.B Sitrack]]),"")</f>
        <v/>
      </c>
      <c r="AN621" s="30"/>
      <c r="AO621" s="44">
        <f>IF(AND(MIP_4[Exc]=0,MIP_4[Previsto / Realizado]="Realizado"),MIP_4[Sem],0)</f>
        <v>0</v>
      </c>
      <c r="AP621" s="29">
        <f>IF(AND(MIP_4[Exc]=0,MIP_4[Previsto / Realizado]="Realizado",ISBLANK(MIP_4[[#This Row],[S.B Sitrack]])=FALSE,ISBLANK(MIP_4[[#This Row],[C.B Sitrack]])=FALSE),MIP_4[Sem],0)</f>
        <v>0</v>
      </c>
    </row>
    <row r="622" spans="1:42" ht="15.75" x14ac:dyDescent="0.25">
      <c r="A622" s="44">
        <f>WEEKNUM(MIP_4[[#This Row],[Data]])</f>
        <v>40</v>
      </c>
      <c r="B622" s="45">
        <v>43013</v>
      </c>
      <c r="C622" s="45"/>
      <c r="D622" s="35" t="s">
        <v>19</v>
      </c>
      <c r="E622" s="35" t="s">
        <v>2</v>
      </c>
      <c r="F622" s="35"/>
      <c r="G622" s="44">
        <v>2</v>
      </c>
      <c r="H622" s="44">
        <v>1</v>
      </c>
      <c r="I622" s="44">
        <v>0</v>
      </c>
      <c r="J622" s="44">
        <v>0</v>
      </c>
      <c r="K622" s="44">
        <v>15</v>
      </c>
      <c r="L622" s="43">
        <v>0.625</v>
      </c>
      <c r="M622" s="43">
        <v>0.6791666666666667</v>
      </c>
      <c r="N622" s="43">
        <v>0.99791666666666667</v>
      </c>
      <c r="O622" s="43">
        <v>1.0333333333333334</v>
      </c>
      <c r="P622" s="39"/>
      <c r="Q622" s="42"/>
      <c r="R622" s="29">
        <f>MIP_4[[#This Row],[PT-1]]+MIP_4[[#This Row],[PT-2]]*2+MIP_4[[#This Row],[PT-3]]*3+MIP_4[[#This Row],[PT &gt; 3 Pontos]]</f>
        <v>16</v>
      </c>
      <c r="S62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8.9583333333333459E-2</v>
      </c>
      <c r="T62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8.9583333333333459E-2</v>
      </c>
      <c r="U622" s="41">
        <f ca="1">MIP_4[[#This Row],[Eficiência]]</f>
        <v>1.1864517876817655</v>
      </c>
      <c r="V62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22" s="39">
        <f>IF(MIP_4[[#This Row],[P.S]]-MIP_4[[#This Row],[P.E]]&lt;0,1+MIP_4[[#This Row],[P.S]]-MIP_4[[#This Row],[P.E]]-1/24,MIP_4[[#This Row],[P.S]]-MIP_4[[#This Row],[P.E]]-1/24)</f>
        <v>0.36666666666666675</v>
      </c>
      <c r="X622" s="39">
        <f ca="1">MIP_4[[#This Row],[PT-1]]*$S$3+MIP_4[[#This Row],[PT-2]]*$T$3+MIP_4[[#This Row],[PT-3]]*$U$3+MIP_4[[#This Row],[PT &gt; 3 Pontos]]*$V$3</f>
        <v>0.32874601617015581</v>
      </c>
      <c r="Y622" s="39">
        <f>MIP_4[[#This Row],[HH disponível]]-MIP_4[[#This Row],[HH AC TOT]]</f>
        <v>0.27708333333333329</v>
      </c>
      <c r="Z622" s="38">
        <f ca="1">MIP_4[[#This Row],[HH Produtivo
Total]]/MIP_4[[#This Row],[HH Trabalhado]]</f>
        <v>1.1864517876817655</v>
      </c>
      <c r="AA622" s="38">
        <f ca="1">MIP_4[[#This Row],[HH Produtivo
Total]]/MIP_4[[#This Row],[HH disponível]]</f>
        <v>0.89658004410042469</v>
      </c>
      <c r="AB622" s="38">
        <f>MIP_4[[#This Row],[HH Trabalhado]]/MIP_4[[#This Row],[HH disponível]]</f>
        <v>0.7556818181818179</v>
      </c>
      <c r="AC622" s="37" t="str">
        <f>LEFT(MIP_4[[#This Row],[Equipe]], SEARCH("/",MIP_4[[#This Row],[Equipe]],1)-1)</f>
        <v xml:space="preserve">ADEMÁRIO </v>
      </c>
      <c r="AD622" s="37" t="str">
        <f>RIGHT(MIP_4[[#This Row],[Equipe]], LEN(MIP_4[[#This Row],[Equipe]])-SEARCH("/",MIP_4[[#This Row],[Equipe]],1))</f>
        <v xml:space="preserve"> RONALDO</v>
      </c>
      <c r="AE622" s="44">
        <f>COUNTIFS('[1]Tempo parado'!G:G,"&gt;="&amp;MIP_4[[#This Row],[S.B Sitrack]],'[1]Tempo parado'!H:H,"&lt;="&amp;MIP_4[[#This Row],[C.B Sitrack]],'[1]Tempo parado'!A:A,MIP_4[[#This Row],[Placa]])</f>
        <v>0</v>
      </c>
      <c r="AF622" s="36"/>
      <c r="AG622" s="35"/>
      <c r="AH622" s="34"/>
      <c r="AI622" s="34"/>
      <c r="AJ62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2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2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22" s="32" t="str">
        <f>IFERROR(MIP_4[[#This Row],[Tempo parado]]/(MIP_4[[#This Row],[C.B Sitrack]]-MIP_4[[#This Row],[S.B Sitrack]]),"")</f>
        <v/>
      </c>
      <c r="AN622" s="30"/>
      <c r="AO622" s="44">
        <f>IF(AND(MIP_4[Exc]=0,MIP_4[Previsto / Realizado]="Realizado"),MIP_4[Sem],0)</f>
        <v>40</v>
      </c>
      <c r="AP622" s="29">
        <f>IF(AND(MIP_4[Exc]=0,MIP_4[Previsto / Realizado]="Realizado",ISBLANK(MIP_4[[#This Row],[S.B Sitrack]])=FALSE,ISBLANK(MIP_4[[#This Row],[C.B Sitrack]])=FALSE),MIP_4[Sem],0)</f>
        <v>0</v>
      </c>
    </row>
    <row r="623" spans="1:42" ht="15.75" x14ac:dyDescent="0.25">
      <c r="A623" s="44">
        <f>WEEKNUM(MIP_4[[#This Row],[Data]])</f>
        <v>40</v>
      </c>
      <c r="B623" s="45">
        <v>43013</v>
      </c>
      <c r="C623" s="45"/>
      <c r="D623" s="35" t="s">
        <v>7</v>
      </c>
      <c r="E623" s="35" t="s">
        <v>5</v>
      </c>
      <c r="F623" s="35"/>
      <c r="G623" s="44">
        <v>2</v>
      </c>
      <c r="H623" s="44">
        <v>6</v>
      </c>
      <c r="I623" s="44">
        <v>2</v>
      </c>
      <c r="J623" s="44">
        <v>0</v>
      </c>
      <c r="K623" s="44">
        <v>5</v>
      </c>
      <c r="L623" s="43">
        <v>0.625</v>
      </c>
      <c r="M623" s="43">
        <v>0.64583333333333337</v>
      </c>
      <c r="N623" s="43">
        <v>1.0125</v>
      </c>
      <c r="O623" s="43">
        <v>1.0333333333333334</v>
      </c>
      <c r="P623" s="39"/>
      <c r="Q623" s="42"/>
      <c r="R623" s="29">
        <f>MIP_4[[#This Row],[PT-1]]+MIP_4[[#This Row],[PT-2]]*2+MIP_4[[#This Row],[PT-3]]*3+MIP_4[[#This Row],[PT &gt; 3 Pontos]]</f>
        <v>15</v>
      </c>
      <c r="S62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62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623" s="41">
        <f ca="1">MIP_4[[#This Row],[Eficiência]]</f>
        <v>1.0437313980414828</v>
      </c>
      <c r="V62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23" s="39">
        <f>IF(MIP_4[[#This Row],[P.S]]-MIP_4[[#This Row],[P.E]]&lt;0,1+MIP_4[[#This Row],[P.S]]-MIP_4[[#This Row],[P.E]]-1/24,MIP_4[[#This Row],[P.S]]-MIP_4[[#This Row],[P.E]]-1/24)</f>
        <v>0.36666666666666675</v>
      </c>
      <c r="X623" s="39">
        <f ca="1">MIP_4[[#This Row],[PT-1]]*$S$3+MIP_4[[#This Row],[PT-2]]*$T$3+MIP_4[[#This Row],[PT-3]]*$U$3+MIP_4[[#This Row],[PT &gt; 3 Pontos]]*$V$3</f>
        <v>0.33921270436348183</v>
      </c>
      <c r="Y623" s="39">
        <f>MIP_4[[#This Row],[HH disponível]]-MIP_4[[#This Row],[HH AC TOT]]</f>
        <v>0.3249999999999999</v>
      </c>
      <c r="Z623" s="38">
        <f ca="1">MIP_4[[#This Row],[HH Produtivo
Total]]/MIP_4[[#This Row],[HH Trabalhado]]</f>
        <v>1.0437313980414828</v>
      </c>
      <c r="AA623" s="38">
        <f ca="1">MIP_4[[#This Row],[HH Produtivo
Total]]/MIP_4[[#This Row],[HH disponível]]</f>
        <v>0.92512555735495028</v>
      </c>
      <c r="AB623" s="38">
        <f>MIP_4[[#This Row],[HH Trabalhado]]/MIP_4[[#This Row],[HH disponível]]</f>
        <v>0.88636363636363591</v>
      </c>
      <c r="AC623" s="37" t="str">
        <f>LEFT(MIP_4[[#This Row],[Equipe]], SEARCH("/",MIP_4[[#This Row],[Equipe]],1)-1)</f>
        <v xml:space="preserve">ANDERSON </v>
      </c>
      <c r="AD623" s="37" t="str">
        <f>RIGHT(MIP_4[[#This Row],[Equipe]], LEN(MIP_4[[#This Row],[Equipe]])-SEARCH("/",MIP_4[[#This Row],[Equipe]],1))</f>
        <v xml:space="preserve"> MARCO</v>
      </c>
      <c r="AE623" s="44">
        <f>COUNTIFS('[1]Tempo parado'!G:G,"&gt;="&amp;MIP_4[[#This Row],[S.B Sitrack]],'[1]Tempo parado'!H:H,"&lt;="&amp;MIP_4[[#This Row],[C.B Sitrack]],'[1]Tempo parado'!A:A,MIP_4[[#This Row],[Placa]])</f>
        <v>0</v>
      </c>
      <c r="AF623" s="36"/>
      <c r="AG623" s="35"/>
      <c r="AH623" s="34"/>
      <c r="AI623" s="34"/>
      <c r="AJ62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2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2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23" s="32" t="str">
        <f>IFERROR(MIP_4[[#This Row],[Tempo parado]]/(MIP_4[[#This Row],[C.B Sitrack]]-MIP_4[[#This Row],[S.B Sitrack]]),"")</f>
        <v/>
      </c>
      <c r="AN623" s="30"/>
      <c r="AO623" s="44">
        <f>IF(AND(MIP_4[Exc]=0,MIP_4[Previsto / Realizado]="Realizado"),MIP_4[Sem],0)</f>
        <v>0</v>
      </c>
      <c r="AP623" s="29">
        <f>IF(AND(MIP_4[Exc]=0,MIP_4[Previsto / Realizado]="Realizado",ISBLANK(MIP_4[[#This Row],[S.B Sitrack]])=FALSE,ISBLANK(MIP_4[[#This Row],[C.B Sitrack]])=FALSE),MIP_4[Sem],0)</f>
        <v>0</v>
      </c>
    </row>
    <row r="624" spans="1:42" ht="15.75" x14ac:dyDescent="0.25">
      <c r="A624" s="44">
        <f>WEEKNUM(MIP_4[[#This Row],[Data]])</f>
        <v>40</v>
      </c>
      <c r="B624" s="45">
        <v>43013</v>
      </c>
      <c r="C624" s="45"/>
      <c r="D624" s="35" t="s">
        <v>7</v>
      </c>
      <c r="E624" s="35" t="s">
        <v>2</v>
      </c>
      <c r="F624" s="35"/>
      <c r="G624" s="44">
        <v>2</v>
      </c>
      <c r="H624" s="44">
        <v>7</v>
      </c>
      <c r="I624" s="44">
        <v>2</v>
      </c>
      <c r="J624" s="44">
        <v>0</v>
      </c>
      <c r="K624" s="44">
        <v>5</v>
      </c>
      <c r="L624" s="43">
        <v>0.625</v>
      </c>
      <c r="M624" s="43">
        <v>0.67361111111111116</v>
      </c>
      <c r="N624" s="43">
        <v>1.0104166666666667</v>
      </c>
      <c r="O624" s="43">
        <v>1.0333333333333334</v>
      </c>
      <c r="P624" s="39"/>
      <c r="Q624" s="42" t="s">
        <v>161</v>
      </c>
      <c r="R624" s="29">
        <f>MIP_4[[#This Row],[PT-1]]+MIP_4[[#This Row],[PT-2]]*2+MIP_4[[#This Row],[PT-3]]*3+MIP_4[[#This Row],[PT &gt; 3 Pontos]]</f>
        <v>16</v>
      </c>
      <c r="S62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7.1527777777777857E-2</v>
      </c>
      <c r="T62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7.1527777777777857E-2</v>
      </c>
      <c r="U624" s="41">
        <f ca="1">MIP_4[[#This Row],[Eficiência]]</f>
        <v>1.2341259353983136</v>
      </c>
      <c r="V62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24" s="39">
        <f>IF(MIP_4[[#This Row],[P.S]]-MIP_4[[#This Row],[P.E]]&lt;0,1+MIP_4[[#This Row],[P.S]]-MIP_4[[#This Row],[P.E]]-1/24,MIP_4[[#This Row],[P.S]]-MIP_4[[#This Row],[P.E]]-1/24)</f>
        <v>0.36666666666666675</v>
      </c>
      <c r="X624" s="39">
        <f ca="1">MIP_4[[#This Row],[PT-1]]*$S$3+MIP_4[[#This Row],[PT-2]]*$T$3+MIP_4[[#This Row],[PT-3]]*$U$3+MIP_4[[#This Row],[PT &gt; 3 Pontos]]*$V$3</f>
        <v>0.36423855732241894</v>
      </c>
      <c r="Y624" s="39">
        <f>MIP_4[[#This Row],[HH disponível]]-MIP_4[[#This Row],[HH AC TOT]]</f>
        <v>0.2951388888888889</v>
      </c>
      <c r="Z624" s="38">
        <f ca="1">MIP_4[[#This Row],[HH Produtivo
Total]]/MIP_4[[#This Row],[HH Trabalhado]]</f>
        <v>1.2341259353983136</v>
      </c>
      <c r="AA624" s="38">
        <f ca="1">MIP_4[[#This Row],[HH Produtivo
Total]]/MIP_4[[#This Row],[HH disponível]]</f>
        <v>0.99337788360659685</v>
      </c>
      <c r="AB624" s="38">
        <f>MIP_4[[#This Row],[HH Trabalhado]]/MIP_4[[#This Row],[HH disponível]]</f>
        <v>0.80492424242424221</v>
      </c>
      <c r="AC624" s="37" t="str">
        <f>LEFT(MIP_4[[#This Row],[Equipe]], SEARCH("/",MIP_4[[#This Row],[Equipe]],1)-1)</f>
        <v xml:space="preserve">ANDERSON </v>
      </c>
      <c r="AD624" s="37" t="str">
        <f>RIGHT(MIP_4[[#This Row],[Equipe]], LEN(MIP_4[[#This Row],[Equipe]])-SEARCH("/",MIP_4[[#This Row],[Equipe]],1))</f>
        <v xml:space="preserve"> MARCO</v>
      </c>
      <c r="AE624" s="44">
        <f>COUNTIFS('[1]Tempo parado'!G:G,"&gt;="&amp;MIP_4[[#This Row],[S.B Sitrack]],'[1]Tempo parado'!H:H,"&lt;="&amp;MIP_4[[#This Row],[C.B Sitrack]],'[1]Tempo parado'!A:A,MIP_4[[#This Row],[Placa]])</f>
        <v>0</v>
      </c>
      <c r="AF624" s="36"/>
      <c r="AG624" s="35"/>
      <c r="AH624" s="34"/>
      <c r="AI624" s="34"/>
      <c r="AJ62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2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2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24" s="32" t="str">
        <f>IFERROR(MIP_4[[#This Row],[Tempo parado]]/(MIP_4[[#This Row],[C.B Sitrack]]-MIP_4[[#This Row],[S.B Sitrack]]),"")</f>
        <v/>
      </c>
      <c r="AN624" s="30"/>
      <c r="AO624" s="44">
        <f>IF(AND(MIP_4[Exc]=0,MIP_4[Previsto / Realizado]="Realizado"),MIP_4[Sem],0)</f>
        <v>40</v>
      </c>
      <c r="AP624" s="29">
        <f>IF(AND(MIP_4[Exc]=0,MIP_4[Previsto / Realizado]="Realizado",ISBLANK(MIP_4[[#This Row],[S.B Sitrack]])=FALSE,ISBLANK(MIP_4[[#This Row],[C.B Sitrack]])=FALSE),MIP_4[Sem],0)</f>
        <v>0</v>
      </c>
    </row>
    <row r="625" spans="1:42" ht="15.75" x14ac:dyDescent="0.25">
      <c r="A625" s="44">
        <f>WEEKNUM(MIP_4[[#This Row],[Data]])</f>
        <v>40</v>
      </c>
      <c r="B625" s="45">
        <v>43014</v>
      </c>
      <c r="C625" s="45"/>
      <c r="D625" s="35" t="s">
        <v>33</v>
      </c>
      <c r="E625" s="35" t="s">
        <v>5</v>
      </c>
      <c r="F625" s="35"/>
      <c r="G625" s="44">
        <v>2</v>
      </c>
      <c r="H625" s="44">
        <v>5</v>
      </c>
      <c r="I625" s="44">
        <v>0</v>
      </c>
      <c r="J625" s="44">
        <v>0</v>
      </c>
      <c r="K625" s="44">
        <v>3</v>
      </c>
      <c r="L625" s="43">
        <v>0.25</v>
      </c>
      <c r="M625" s="43">
        <v>0.27083333333333331</v>
      </c>
      <c r="N625" s="43">
        <v>0.63750000000000007</v>
      </c>
      <c r="O625" s="43">
        <v>0.65833333333333333</v>
      </c>
      <c r="P625" s="39"/>
      <c r="Q625" s="42" t="s">
        <v>201</v>
      </c>
      <c r="R625" s="29">
        <f>MIP_4[[#This Row],[PT-1]]+MIP_4[[#This Row],[PT-2]]*2+MIP_4[[#This Row],[PT-3]]*3+MIP_4[[#This Row],[PT &gt; 3 Pontos]]</f>
        <v>8</v>
      </c>
      <c r="S62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62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625" s="41">
        <f ca="1">MIP_4[[#This Row],[Eficiência]]</f>
        <v>0.57191783826747566</v>
      </c>
      <c r="V62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25" s="39">
        <f>IF(MIP_4[[#This Row],[P.S]]-MIP_4[[#This Row],[P.E]]&lt;0,1+MIP_4[[#This Row],[P.S]]-MIP_4[[#This Row],[P.E]]-1/24,MIP_4[[#This Row],[P.S]]-MIP_4[[#This Row],[P.E]]-1/24)</f>
        <v>0.36666666666666664</v>
      </c>
      <c r="X625" s="39">
        <f ca="1">MIP_4[[#This Row],[PT-1]]*$S$3+MIP_4[[#This Row],[PT-2]]*$T$3+MIP_4[[#This Row],[PT-3]]*$U$3+MIP_4[[#This Row],[PT &gt; 3 Pontos]]*$V$3</f>
        <v>0.18587329743692962</v>
      </c>
      <c r="Y625" s="39">
        <f>MIP_4[[#This Row],[HH disponível]]-MIP_4[[#This Row],[HH AC TOT]]</f>
        <v>0.32500000000000007</v>
      </c>
      <c r="Z625" s="38">
        <f ca="1">MIP_4[[#This Row],[HH Produtivo
Total]]/MIP_4[[#This Row],[HH Trabalhado]]</f>
        <v>0.57191783826747566</v>
      </c>
      <c r="AA625" s="38">
        <f ca="1">MIP_4[[#This Row],[HH Produtivo
Total]]/MIP_4[[#This Row],[HH disponível]]</f>
        <v>0.50692717482798988</v>
      </c>
      <c r="AB625" s="38">
        <f>MIP_4[[#This Row],[HH Trabalhado]]/MIP_4[[#This Row],[HH disponível]]</f>
        <v>0.88636363636363658</v>
      </c>
      <c r="AC625" s="37" t="str">
        <f>LEFT(MIP_4[[#This Row],[Equipe]], SEARCH("/",MIP_4[[#This Row],[Equipe]],1)-1)</f>
        <v xml:space="preserve">JOILSON </v>
      </c>
      <c r="AD625" s="37" t="str">
        <f>RIGHT(MIP_4[[#This Row],[Equipe]], LEN(MIP_4[[#This Row],[Equipe]])-SEARCH("/",MIP_4[[#This Row],[Equipe]],1))</f>
        <v xml:space="preserve"> HERVAL</v>
      </c>
      <c r="AE625" s="44">
        <f>COUNTIFS('[1]Tempo parado'!G:G,"&gt;="&amp;MIP_4[[#This Row],[S.B Sitrack]],'[1]Tempo parado'!H:H,"&lt;="&amp;MIP_4[[#This Row],[C.B Sitrack]],'[1]Tempo parado'!A:A,MIP_4[[#This Row],[Placa]])</f>
        <v>0</v>
      </c>
      <c r="AF625" s="36"/>
      <c r="AG625" s="35"/>
      <c r="AH625" s="34"/>
      <c r="AI625" s="34"/>
      <c r="AJ62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2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2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25" s="32" t="str">
        <f>IFERROR(MIP_4[[#This Row],[Tempo parado]]/(MIP_4[[#This Row],[C.B Sitrack]]-MIP_4[[#This Row],[S.B Sitrack]]),"")</f>
        <v/>
      </c>
      <c r="AN625" s="30"/>
      <c r="AO625" s="44">
        <f>IF(AND(MIP_4[Exc]=0,MIP_4[Previsto / Realizado]="Realizado"),MIP_4[Sem],0)</f>
        <v>0</v>
      </c>
      <c r="AP625" s="29">
        <f>IF(AND(MIP_4[Exc]=0,MIP_4[Previsto / Realizado]="Realizado",ISBLANK(MIP_4[[#This Row],[S.B Sitrack]])=FALSE,ISBLANK(MIP_4[[#This Row],[C.B Sitrack]])=FALSE),MIP_4[Sem],0)</f>
        <v>0</v>
      </c>
    </row>
    <row r="626" spans="1:42" ht="15.75" x14ac:dyDescent="0.25">
      <c r="A626" s="44">
        <f>WEEKNUM(MIP_4[[#This Row],[Data]])</f>
        <v>40</v>
      </c>
      <c r="B626" s="45">
        <v>43014</v>
      </c>
      <c r="C626" s="45"/>
      <c r="D626" s="35" t="s">
        <v>33</v>
      </c>
      <c r="E626" s="35" t="s">
        <v>2</v>
      </c>
      <c r="F626" s="35"/>
      <c r="G626" s="44">
        <v>2</v>
      </c>
      <c r="H626" s="44">
        <v>9</v>
      </c>
      <c r="I626" s="44">
        <v>1</v>
      </c>
      <c r="J626" s="44">
        <v>0</v>
      </c>
      <c r="K626" s="44">
        <v>3</v>
      </c>
      <c r="L626" s="43">
        <v>0.25138888888888888</v>
      </c>
      <c r="M626" s="43">
        <v>0.27777777777777779</v>
      </c>
      <c r="N626" s="43">
        <v>0.625</v>
      </c>
      <c r="O626" s="43">
        <v>0.66875000000000007</v>
      </c>
      <c r="P626" s="39"/>
      <c r="Q626" s="42" t="s">
        <v>17</v>
      </c>
      <c r="R626" s="29">
        <f>MIP_4[[#This Row],[PT-1]]+MIP_4[[#This Row],[PT-2]]*2+MIP_4[[#This Row],[PT-3]]*3+MIP_4[[#This Row],[PT &gt; 3 Pontos]]</f>
        <v>14</v>
      </c>
      <c r="S62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7.0138888888888973E-2</v>
      </c>
      <c r="T62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7.0138888888888973E-2</v>
      </c>
      <c r="U626" s="41">
        <f ca="1">MIP_4[[#This Row],[Eficiência]]</f>
        <v>1.0796251921387787</v>
      </c>
      <c r="V62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26" s="39">
        <f>IF(MIP_4[[#This Row],[P.S]]-MIP_4[[#This Row],[P.E]]&lt;0,1+MIP_4[[#This Row],[P.S]]-MIP_4[[#This Row],[P.E]]-1/24,MIP_4[[#This Row],[P.S]]-MIP_4[[#This Row],[P.E]]-1/24)</f>
        <v>0.3756944444444445</v>
      </c>
      <c r="X626" s="39">
        <f ca="1">MIP_4[[#This Row],[PT-1]]*$S$3+MIP_4[[#This Row],[PT-2]]*$T$3+MIP_4[[#This Row],[PT-3]]*$U$3+MIP_4[[#This Row],[PT &gt; 3 Pontos]]*$V$3</f>
        <v>0.32988547537573792</v>
      </c>
      <c r="Y626" s="39">
        <f>MIP_4[[#This Row],[HH disponível]]-MIP_4[[#This Row],[HH AC TOT]]</f>
        <v>0.30555555555555552</v>
      </c>
      <c r="Z626" s="38">
        <f ca="1">MIP_4[[#This Row],[HH Produtivo
Total]]/MIP_4[[#This Row],[HH Trabalhado]]</f>
        <v>1.0796251921387787</v>
      </c>
      <c r="AA626" s="38">
        <f ca="1">MIP_4[[#This Row],[HH Produtivo
Total]]/MIP_4[[#This Row],[HH disponível]]</f>
        <v>0.87806854813505086</v>
      </c>
      <c r="AB626" s="38">
        <f>MIP_4[[#This Row],[HH Trabalhado]]/MIP_4[[#This Row],[HH disponível]]</f>
        <v>0.81330868761552666</v>
      </c>
      <c r="AC626" s="37" t="str">
        <f>LEFT(MIP_4[[#This Row],[Equipe]], SEARCH("/",MIP_4[[#This Row],[Equipe]],1)-1)</f>
        <v xml:space="preserve">JOILSON </v>
      </c>
      <c r="AD626" s="37" t="str">
        <f>RIGHT(MIP_4[[#This Row],[Equipe]], LEN(MIP_4[[#This Row],[Equipe]])-SEARCH("/",MIP_4[[#This Row],[Equipe]],1))</f>
        <v xml:space="preserve"> HERVAL</v>
      </c>
      <c r="AE626" s="44">
        <f>COUNTIFS('[1]Tempo parado'!G:G,"&gt;="&amp;MIP_4[[#This Row],[S.B Sitrack]],'[1]Tempo parado'!H:H,"&lt;="&amp;MIP_4[[#This Row],[C.B Sitrack]],'[1]Tempo parado'!A:A,MIP_4[[#This Row],[Placa]])</f>
        <v>0</v>
      </c>
      <c r="AF626" s="36"/>
      <c r="AG626" s="35"/>
      <c r="AH626" s="34"/>
      <c r="AI626" s="34"/>
      <c r="AJ62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2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2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26" s="32" t="str">
        <f>IFERROR(MIP_4[[#This Row],[Tempo parado]]/(MIP_4[[#This Row],[C.B Sitrack]]-MIP_4[[#This Row],[S.B Sitrack]]),"")</f>
        <v/>
      </c>
      <c r="AN626" s="30"/>
      <c r="AO626" s="44">
        <f>IF(AND(MIP_4[Exc]=0,MIP_4[Previsto / Realizado]="Realizado"),MIP_4[Sem],0)</f>
        <v>40</v>
      </c>
      <c r="AP626" s="29">
        <f>IF(AND(MIP_4[Exc]=0,MIP_4[Previsto / Realizado]="Realizado",ISBLANK(MIP_4[[#This Row],[S.B Sitrack]])=FALSE,ISBLANK(MIP_4[[#This Row],[C.B Sitrack]])=FALSE),MIP_4[Sem],0)</f>
        <v>0</v>
      </c>
    </row>
    <row r="627" spans="1:42" ht="15.75" x14ac:dyDescent="0.25">
      <c r="A627" s="44">
        <f>WEEKNUM(MIP_4[[#This Row],[Data]])</f>
        <v>40</v>
      </c>
      <c r="B627" s="45">
        <v>43014</v>
      </c>
      <c r="C627" s="45"/>
      <c r="D627" s="35" t="s">
        <v>7</v>
      </c>
      <c r="E627" s="35" t="s">
        <v>5</v>
      </c>
      <c r="F627" s="35"/>
      <c r="G627" s="44">
        <v>2</v>
      </c>
      <c r="H627" s="44">
        <v>1</v>
      </c>
      <c r="I627" s="44">
        <v>2</v>
      </c>
      <c r="J627" s="44">
        <v>1</v>
      </c>
      <c r="K627" s="44">
        <v>0</v>
      </c>
      <c r="L627" s="43">
        <v>0.625</v>
      </c>
      <c r="M627" s="43">
        <v>0.64583333333333337</v>
      </c>
      <c r="N627" s="43">
        <v>1.0125</v>
      </c>
      <c r="O627" s="43">
        <v>1.0333333333333334</v>
      </c>
      <c r="P627" s="39"/>
      <c r="Q627" s="42" t="s">
        <v>207</v>
      </c>
      <c r="R627" s="29">
        <f>MIP_4[[#This Row],[PT-1]]+MIP_4[[#This Row],[PT-2]]*2+MIP_4[[#This Row],[PT-3]]*3+MIP_4[[#This Row],[PT &gt; 3 Pontos]]</f>
        <v>8</v>
      </c>
      <c r="S62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62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627" s="41">
        <f ca="1">MIP_4[[#This Row],[Eficiência]]</f>
        <v>0.5404155828068874</v>
      </c>
      <c r="V62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27" s="39">
        <f>IF(MIP_4[[#This Row],[P.S]]-MIP_4[[#This Row],[P.E]]&lt;0,1+MIP_4[[#This Row],[P.S]]-MIP_4[[#This Row],[P.E]]-1/24,MIP_4[[#This Row],[P.S]]-MIP_4[[#This Row],[P.E]]-1/24)</f>
        <v>0.36666666666666675</v>
      </c>
      <c r="X627" s="39">
        <f ca="1">MIP_4[[#This Row],[PT-1]]*$S$3+MIP_4[[#This Row],[PT-2]]*$T$3+MIP_4[[#This Row],[PT-3]]*$U$3+MIP_4[[#This Row],[PT &gt; 3 Pontos]]*$V$3</f>
        <v>0.17563506441223833</v>
      </c>
      <c r="Y627" s="39">
        <f>MIP_4[[#This Row],[HH disponível]]-MIP_4[[#This Row],[HH AC TOT]]</f>
        <v>0.3249999999999999</v>
      </c>
      <c r="Z627" s="38">
        <f ca="1">MIP_4[[#This Row],[HH Produtivo
Total]]/MIP_4[[#This Row],[HH Trabalhado]]</f>
        <v>0.5404155828068874</v>
      </c>
      <c r="AA627" s="38">
        <f ca="1">MIP_4[[#This Row],[HH Produtivo
Total]]/MIP_4[[#This Row],[HH disponível]]</f>
        <v>0.47900472112428627</v>
      </c>
      <c r="AB627" s="38">
        <f>MIP_4[[#This Row],[HH Trabalhado]]/MIP_4[[#This Row],[HH disponível]]</f>
        <v>0.88636363636363591</v>
      </c>
      <c r="AC627" s="37" t="str">
        <f>LEFT(MIP_4[[#This Row],[Equipe]], SEARCH("/",MIP_4[[#This Row],[Equipe]],1)-1)</f>
        <v xml:space="preserve">ANDERSON </v>
      </c>
      <c r="AD627" s="37" t="str">
        <f>RIGHT(MIP_4[[#This Row],[Equipe]], LEN(MIP_4[[#This Row],[Equipe]])-SEARCH("/",MIP_4[[#This Row],[Equipe]],1))</f>
        <v xml:space="preserve"> MARCO</v>
      </c>
      <c r="AE627" s="44">
        <f>COUNTIFS('[1]Tempo parado'!G:G,"&gt;="&amp;MIP_4[[#This Row],[S.B Sitrack]],'[1]Tempo parado'!H:H,"&lt;="&amp;MIP_4[[#This Row],[C.B Sitrack]],'[1]Tempo parado'!A:A,MIP_4[[#This Row],[Placa]])</f>
        <v>0</v>
      </c>
      <c r="AF627" s="36"/>
      <c r="AG627" s="35"/>
      <c r="AH627" s="34"/>
      <c r="AI627" s="34"/>
      <c r="AJ62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2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2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27" s="32" t="str">
        <f>IFERROR(MIP_4[[#This Row],[Tempo parado]]/(MIP_4[[#This Row],[C.B Sitrack]]-MIP_4[[#This Row],[S.B Sitrack]]),"")</f>
        <v/>
      </c>
      <c r="AN627" s="30"/>
      <c r="AO627" s="44">
        <f>IF(AND(MIP_4[Exc]=0,MIP_4[Previsto / Realizado]="Realizado"),MIP_4[Sem],0)</f>
        <v>0</v>
      </c>
      <c r="AP627" s="29">
        <f>IF(AND(MIP_4[Exc]=0,MIP_4[Previsto / Realizado]="Realizado",ISBLANK(MIP_4[[#This Row],[S.B Sitrack]])=FALSE,ISBLANK(MIP_4[[#This Row],[C.B Sitrack]])=FALSE),MIP_4[Sem],0)</f>
        <v>0</v>
      </c>
    </row>
    <row r="628" spans="1:42" ht="15.75" x14ac:dyDescent="0.25">
      <c r="A628" s="44">
        <f>WEEKNUM(MIP_4[[#This Row],[Data]])</f>
        <v>40</v>
      </c>
      <c r="B628" s="45">
        <v>43014</v>
      </c>
      <c r="C628" s="45"/>
      <c r="D628" s="35" t="s">
        <v>7</v>
      </c>
      <c r="E628" s="35" t="s">
        <v>2</v>
      </c>
      <c r="F628" s="35"/>
      <c r="G628" s="44">
        <v>2</v>
      </c>
      <c r="H628" s="44">
        <v>6</v>
      </c>
      <c r="I628" s="44">
        <v>1</v>
      </c>
      <c r="J628" s="44">
        <v>1</v>
      </c>
      <c r="K628" s="44">
        <v>0</v>
      </c>
      <c r="L628" s="43">
        <v>0.62361111111111112</v>
      </c>
      <c r="M628" s="43">
        <v>0.6875</v>
      </c>
      <c r="N628" s="43">
        <v>1.0138888888888888</v>
      </c>
      <c r="O628" s="43">
        <v>1.0333333333333334</v>
      </c>
      <c r="P628" s="39">
        <v>0.11458333333333333</v>
      </c>
      <c r="Q628" s="42" t="s">
        <v>206</v>
      </c>
      <c r="R628" s="29">
        <f>MIP_4[[#This Row],[PT-1]]+MIP_4[[#This Row],[PT-2]]*2+MIP_4[[#This Row],[PT-3]]*3+MIP_4[[#This Row],[PT &gt; 3 Pontos]]</f>
        <v>11</v>
      </c>
      <c r="S62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0.1979166666666668</v>
      </c>
      <c r="T62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8.3333333333333481E-2</v>
      </c>
      <c r="U628" s="41">
        <f ca="1">MIP_4[[#This Row],[Eficiência]]</f>
        <v>1.5096816770186334</v>
      </c>
      <c r="V62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28" s="39">
        <f>IF(MIP_4[[#This Row],[P.S]]-MIP_4[[#This Row],[P.E]]&lt;0,1+MIP_4[[#This Row],[P.S]]-MIP_4[[#This Row],[P.E]]-1/24,MIP_4[[#This Row],[P.S]]-MIP_4[[#This Row],[P.E]]-1/24)</f>
        <v>0.36805555555555564</v>
      </c>
      <c r="X628" s="39">
        <f ca="1">MIP_4[[#This Row],[PT-1]]*$S$3+MIP_4[[#This Row],[PT-2]]*$T$3+MIP_4[[#This Row],[PT-3]]*$U$3+MIP_4[[#This Row],[PT &gt; 3 Pontos]]*$V$3</f>
        <v>0.25685556310386465</v>
      </c>
      <c r="Y628" s="39">
        <f>MIP_4[[#This Row],[HH disponível]]-MIP_4[[#This Row],[HH AC TOT]]</f>
        <v>0.17013888888888884</v>
      </c>
      <c r="Z628" s="38">
        <f ca="1">MIP_4[[#This Row],[HH Produtivo
Total]]/MIP_4[[#This Row],[HH Trabalhado]]</f>
        <v>1.5096816770186334</v>
      </c>
      <c r="AA628" s="38">
        <f ca="1">MIP_4[[#This Row],[HH Produtivo
Total]]/MIP_4[[#This Row],[HH disponível]]</f>
        <v>0.69787171862182074</v>
      </c>
      <c r="AB628" s="38">
        <f>MIP_4[[#This Row],[HH Trabalhado]]/MIP_4[[#This Row],[HH disponível]]</f>
        <v>0.46226415094339601</v>
      </c>
      <c r="AC628" s="37" t="str">
        <f>LEFT(MIP_4[[#This Row],[Equipe]], SEARCH("/",MIP_4[[#This Row],[Equipe]],1)-1)</f>
        <v xml:space="preserve">ANDERSON </v>
      </c>
      <c r="AD628" s="37" t="str">
        <f>RIGHT(MIP_4[[#This Row],[Equipe]], LEN(MIP_4[[#This Row],[Equipe]])-SEARCH("/",MIP_4[[#This Row],[Equipe]],1))</f>
        <v xml:space="preserve"> MARCO</v>
      </c>
      <c r="AE628" s="44">
        <f>COUNTIFS('[1]Tempo parado'!G:G,"&gt;="&amp;MIP_4[[#This Row],[S.B Sitrack]],'[1]Tempo parado'!H:H,"&lt;="&amp;MIP_4[[#This Row],[C.B Sitrack]],'[1]Tempo parado'!A:A,MIP_4[[#This Row],[Placa]])</f>
        <v>0</v>
      </c>
      <c r="AF628" s="36"/>
      <c r="AG628" s="35"/>
      <c r="AH628" s="34"/>
      <c r="AI628" s="34"/>
      <c r="AJ62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2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2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28" s="32" t="str">
        <f>IFERROR(MIP_4[[#This Row],[Tempo parado]]/(MIP_4[[#This Row],[C.B Sitrack]]-MIP_4[[#This Row],[S.B Sitrack]]),"")</f>
        <v/>
      </c>
      <c r="AN628" s="30"/>
      <c r="AO628" s="44">
        <f>IF(AND(MIP_4[Exc]=0,MIP_4[Previsto / Realizado]="Realizado"),MIP_4[Sem],0)</f>
        <v>40</v>
      </c>
      <c r="AP628" s="29">
        <f>IF(AND(MIP_4[Exc]=0,MIP_4[Previsto / Realizado]="Realizado",ISBLANK(MIP_4[[#This Row],[S.B Sitrack]])=FALSE,ISBLANK(MIP_4[[#This Row],[C.B Sitrack]])=FALSE),MIP_4[Sem],0)</f>
        <v>0</v>
      </c>
    </row>
    <row r="629" spans="1:42" ht="15.75" x14ac:dyDescent="0.25">
      <c r="A629" s="44">
        <f>WEEKNUM(MIP_4[[#This Row],[Data]])</f>
        <v>40</v>
      </c>
      <c r="B629" s="45">
        <v>43014</v>
      </c>
      <c r="C629" s="45"/>
      <c r="D629" s="35" t="s">
        <v>3</v>
      </c>
      <c r="E629" s="35" t="s">
        <v>5</v>
      </c>
      <c r="F629" s="35"/>
      <c r="G629" s="44">
        <v>2</v>
      </c>
      <c r="H629" s="44">
        <v>7</v>
      </c>
      <c r="I629" s="44">
        <v>0</v>
      </c>
      <c r="J629" s="44">
        <v>0</v>
      </c>
      <c r="K629" s="44">
        <v>0</v>
      </c>
      <c r="L629" s="43">
        <v>0.625</v>
      </c>
      <c r="M629" s="43">
        <v>0.64583333333333337</v>
      </c>
      <c r="N629" s="43">
        <v>1.0125</v>
      </c>
      <c r="O629" s="43">
        <v>1.0333333333333334</v>
      </c>
      <c r="P629" s="39"/>
      <c r="Q629" s="42" t="s">
        <v>205</v>
      </c>
      <c r="R629" s="29">
        <f>MIP_4[[#This Row],[PT-1]]+MIP_4[[#This Row],[PT-2]]*2+MIP_4[[#This Row],[PT-3]]*3+MIP_4[[#This Row],[PT &gt; 3 Pontos]]</f>
        <v>7</v>
      </c>
      <c r="S62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62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629" s="41">
        <f ca="1">MIP_4[[#This Row],[Eficiência]]</f>
        <v>0.53901837142326259</v>
      </c>
      <c r="V62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29" s="39">
        <f>IF(MIP_4[[#This Row],[P.S]]-MIP_4[[#This Row],[P.E]]&lt;0,1+MIP_4[[#This Row],[P.S]]-MIP_4[[#This Row],[P.E]]-1/24,MIP_4[[#This Row],[P.S]]-MIP_4[[#This Row],[P.E]]-1/24)</f>
        <v>0.36666666666666675</v>
      </c>
      <c r="X629" s="39">
        <f ca="1">MIP_4[[#This Row],[PT-1]]*$S$3+MIP_4[[#This Row],[PT-2]]*$T$3+MIP_4[[#This Row],[PT-3]]*$U$3+MIP_4[[#This Row],[PT &gt; 3 Pontos]]*$V$3</f>
        <v>0.17518097071256028</v>
      </c>
      <c r="Y629" s="39">
        <f>MIP_4[[#This Row],[HH disponível]]-MIP_4[[#This Row],[HH AC TOT]]</f>
        <v>0.3249999999999999</v>
      </c>
      <c r="Z629" s="38">
        <f ca="1">MIP_4[[#This Row],[HH Produtivo
Total]]/MIP_4[[#This Row],[HH Trabalhado]]</f>
        <v>0.53901837142326259</v>
      </c>
      <c r="AA629" s="38">
        <f ca="1">MIP_4[[#This Row],[HH Produtivo
Total]]/MIP_4[[#This Row],[HH disponível]]</f>
        <v>0.47776628376152791</v>
      </c>
      <c r="AB629" s="38">
        <f>MIP_4[[#This Row],[HH Trabalhado]]/MIP_4[[#This Row],[HH disponível]]</f>
        <v>0.88636363636363591</v>
      </c>
      <c r="AC629" s="37" t="str">
        <f>LEFT(MIP_4[[#This Row],[Equipe]], SEARCH("/",MIP_4[[#This Row],[Equipe]],1)-1)</f>
        <v xml:space="preserve">EDILTON </v>
      </c>
      <c r="AD629" s="37" t="str">
        <f>RIGHT(MIP_4[[#This Row],[Equipe]], LEN(MIP_4[[#This Row],[Equipe]])-SEARCH("/",MIP_4[[#This Row],[Equipe]],1))</f>
        <v xml:space="preserve"> GECIVALDO</v>
      </c>
      <c r="AE629" s="44">
        <f>COUNTIFS('[1]Tempo parado'!G:G,"&gt;="&amp;MIP_4[[#This Row],[S.B Sitrack]],'[1]Tempo parado'!H:H,"&lt;="&amp;MIP_4[[#This Row],[C.B Sitrack]],'[1]Tempo parado'!A:A,MIP_4[[#This Row],[Placa]])</f>
        <v>0</v>
      </c>
      <c r="AF629" s="36"/>
      <c r="AG629" s="35"/>
      <c r="AH629" s="34"/>
      <c r="AI629" s="34"/>
      <c r="AJ62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2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2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29" s="32" t="str">
        <f>IFERROR(MIP_4[[#This Row],[Tempo parado]]/(MIP_4[[#This Row],[C.B Sitrack]]-MIP_4[[#This Row],[S.B Sitrack]]),"")</f>
        <v/>
      </c>
      <c r="AN629" s="30"/>
      <c r="AO629" s="44">
        <f>IF(AND(MIP_4[Exc]=0,MIP_4[Previsto / Realizado]="Realizado"),MIP_4[Sem],0)</f>
        <v>0</v>
      </c>
      <c r="AP629" s="29">
        <f>IF(AND(MIP_4[Exc]=0,MIP_4[Previsto / Realizado]="Realizado",ISBLANK(MIP_4[[#This Row],[S.B Sitrack]])=FALSE,ISBLANK(MIP_4[[#This Row],[C.B Sitrack]])=FALSE),MIP_4[Sem],0)</f>
        <v>0</v>
      </c>
    </row>
    <row r="630" spans="1:42" ht="15.75" x14ac:dyDescent="0.25">
      <c r="A630" s="44">
        <f>WEEKNUM(MIP_4[[#This Row],[Data]])</f>
        <v>40</v>
      </c>
      <c r="B630" s="45">
        <v>43014</v>
      </c>
      <c r="C630" s="45"/>
      <c r="D630" s="35" t="s">
        <v>3</v>
      </c>
      <c r="E630" s="35" t="s">
        <v>2</v>
      </c>
      <c r="F630" s="35"/>
      <c r="G630" s="44">
        <v>2</v>
      </c>
      <c r="H630" s="44">
        <v>9</v>
      </c>
      <c r="I630" s="44">
        <v>1</v>
      </c>
      <c r="J630" s="44">
        <v>0</v>
      </c>
      <c r="K630" s="44">
        <v>0</v>
      </c>
      <c r="L630" s="43">
        <v>0.61944444444444446</v>
      </c>
      <c r="M630" s="43">
        <v>0.68055555555555547</v>
      </c>
      <c r="N630" s="43">
        <v>0.9916666666666667</v>
      </c>
      <c r="O630" s="43">
        <v>1.0333333333333334</v>
      </c>
      <c r="P630" s="39">
        <v>1.7361111111111112E-2</v>
      </c>
      <c r="Q630" s="42" t="s">
        <v>204</v>
      </c>
      <c r="R630" s="29">
        <f>MIP_4[[#This Row],[PT-1]]+MIP_4[[#This Row],[PT-2]]*2+MIP_4[[#This Row],[PT-3]]*3+MIP_4[[#This Row],[PT &gt; 3 Pontos]]</f>
        <v>11</v>
      </c>
      <c r="S63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0.12013888888888885</v>
      </c>
      <c r="T63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0.10277777777777775</v>
      </c>
      <c r="U630" s="41">
        <f ca="1">MIP_4[[#This Row],[Eficiência]]</f>
        <v>1.0676685331576625</v>
      </c>
      <c r="V63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30" s="39">
        <f>IF(MIP_4[[#This Row],[P.S]]-MIP_4[[#This Row],[P.E]]&lt;0,1+MIP_4[[#This Row],[P.S]]-MIP_4[[#This Row],[P.E]]-1/24,MIP_4[[#This Row],[P.S]]-MIP_4[[#This Row],[P.E]]-1/24)</f>
        <v>0.37222222222222229</v>
      </c>
      <c r="X630" s="39">
        <f ca="1">MIP_4[[#This Row],[PT-1]]*$S$3+MIP_4[[#This Row],[PT-2]]*$T$3+MIP_4[[#This Row],[PT-3]]*$U$3+MIP_4[[#This Row],[PT &gt; 3 Pontos]]*$V$3</f>
        <v>0.26914144273349422</v>
      </c>
      <c r="Y630" s="39">
        <f>MIP_4[[#This Row],[HH disponível]]-MIP_4[[#This Row],[HH AC TOT]]</f>
        <v>0.25208333333333344</v>
      </c>
      <c r="Z630" s="38">
        <f ca="1">MIP_4[[#This Row],[HH Produtivo
Total]]/MIP_4[[#This Row],[HH Trabalhado]]</f>
        <v>1.0676685331576625</v>
      </c>
      <c r="AA630" s="38">
        <f ca="1">MIP_4[[#This Row],[HH Produtivo
Total]]/MIP_4[[#This Row],[HH disponível]]</f>
        <v>0.72306656256759627</v>
      </c>
      <c r="AB630" s="38">
        <f>MIP_4[[#This Row],[HH Trabalhado]]/MIP_4[[#This Row],[HH disponível]]</f>
        <v>0.6772388059701494</v>
      </c>
      <c r="AC630" s="37" t="str">
        <f>LEFT(MIP_4[[#This Row],[Equipe]], SEARCH("/",MIP_4[[#This Row],[Equipe]],1)-1)</f>
        <v xml:space="preserve">EDILTON </v>
      </c>
      <c r="AD630" s="37" t="str">
        <f>RIGHT(MIP_4[[#This Row],[Equipe]], LEN(MIP_4[[#This Row],[Equipe]])-SEARCH("/",MIP_4[[#This Row],[Equipe]],1))</f>
        <v xml:space="preserve"> GECIVALDO</v>
      </c>
      <c r="AE630" s="44">
        <f>COUNTIFS('[1]Tempo parado'!G:G,"&gt;="&amp;MIP_4[[#This Row],[S.B Sitrack]],'[1]Tempo parado'!H:H,"&lt;="&amp;MIP_4[[#This Row],[C.B Sitrack]],'[1]Tempo parado'!A:A,MIP_4[[#This Row],[Placa]])</f>
        <v>0</v>
      </c>
      <c r="AF630" s="36"/>
      <c r="AG630" s="35"/>
      <c r="AH630" s="34"/>
      <c r="AI630" s="34"/>
      <c r="AJ63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3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3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30" s="32" t="str">
        <f>IFERROR(MIP_4[[#This Row],[Tempo parado]]/(MIP_4[[#This Row],[C.B Sitrack]]-MIP_4[[#This Row],[S.B Sitrack]]),"")</f>
        <v/>
      </c>
      <c r="AN630" s="30"/>
      <c r="AO630" s="44">
        <f>IF(AND(MIP_4[Exc]=0,MIP_4[Previsto / Realizado]="Realizado"),MIP_4[Sem],0)</f>
        <v>40</v>
      </c>
      <c r="AP630" s="29">
        <f>IF(AND(MIP_4[Exc]=0,MIP_4[Previsto / Realizado]="Realizado",ISBLANK(MIP_4[[#This Row],[S.B Sitrack]])=FALSE,ISBLANK(MIP_4[[#This Row],[C.B Sitrack]])=FALSE),MIP_4[Sem],0)</f>
        <v>0</v>
      </c>
    </row>
    <row r="631" spans="1:42" ht="15.75" x14ac:dyDescent="0.25">
      <c r="A631" s="44">
        <f>WEEKNUM(MIP_4[[#This Row],[Data]])</f>
        <v>40</v>
      </c>
      <c r="B631" s="45">
        <v>43015</v>
      </c>
      <c r="C631" s="45"/>
      <c r="D631" s="35" t="s">
        <v>3</v>
      </c>
      <c r="E631" s="35" t="s">
        <v>5</v>
      </c>
      <c r="F631" s="35"/>
      <c r="G631" s="44">
        <v>2</v>
      </c>
      <c r="H631" s="44">
        <v>2</v>
      </c>
      <c r="I631" s="44">
        <v>0</v>
      </c>
      <c r="J631" s="44">
        <v>1</v>
      </c>
      <c r="K631" s="44">
        <v>0</v>
      </c>
      <c r="L631" s="43">
        <v>0.625</v>
      </c>
      <c r="M631" s="43">
        <v>0.64583333333333337</v>
      </c>
      <c r="N631" s="43">
        <v>1.0125</v>
      </c>
      <c r="O631" s="43">
        <v>1.0333333333333334</v>
      </c>
      <c r="P631" s="39"/>
      <c r="Q631" s="42" t="s">
        <v>203</v>
      </c>
      <c r="R631" s="29">
        <f>MIP_4[[#This Row],[PT-1]]+MIP_4[[#This Row],[PT-2]]*2+MIP_4[[#This Row],[PT-3]]*3+MIP_4[[#This Row],[PT &gt; 3 Pontos]]</f>
        <v>5</v>
      </c>
      <c r="S63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63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631" s="41">
        <f ca="1">MIP_4[[#This Row],[Eficiência]]</f>
        <v>0.34721041589248119</v>
      </c>
      <c r="V63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31" s="39">
        <f>IF(MIP_4[[#This Row],[P.S]]-MIP_4[[#This Row],[P.E]]&lt;0,1+MIP_4[[#This Row],[P.S]]-MIP_4[[#This Row],[P.E]]-1/24,MIP_4[[#This Row],[P.S]]-MIP_4[[#This Row],[P.E]]-1/24)</f>
        <v>0.36666666666666675</v>
      </c>
      <c r="X631" s="39">
        <f ca="1">MIP_4[[#This Row],[PT-1]]*$S$3+MIP_4[[#This Row],[PT-2]]*$T$3+MIP_4[[#This Row],[PT-3]]*$U$3+MIP_4[[#This Row],[PT &gt; 3 Pontos]]*$V$3</f>
        <v>0.11284338516505635</v>
      </c>
      <c r="Y631" s="39">
        <f>MIP_4[[#This Row],[HH disponível]]-MIP_4[[#This Row],[HH AC TOT]]</f>
        <v>0.3249999999999999</v>
      </c>
      <c r="Z631" s="38">
        <f ca="1">MIP_4[[#This Row],[HH Produtivo
Total]]/MIP_4[[#This Row],[HH Trabalhado]]</f>
        <v>0.34721041589248119</v>
      </c>
      <c r="AA631" s="38">
        <f ca="1">MIP_4[[#This Row],[HH Produtivo
Total]]/MIP_4[[#This Row],[HH disponível]]</f>
        <v>0.30775468681378998</v>
      </c>
      <c r="AB631" s="38">
        <f>MIP_4[[#This Row],[HH Trabalhado]]/MIP_4[[#This Row],[HH disponível]]</f>
        <v>0.88636363636363591</v>
      </c>
      <c r="AC631" s="37" t="str">
        <f>LEFT(MIP_4[[#This Row],[Equipe]], SEARCH("/",MIP_4[[#This Row],[Equipe]],1)-1)</f>
        <v xml:space="preserve">EDILTON </v>
      </c>
      <c r="AD631" s="37" t="str">
        <f>RIGHT(MIP_4[[#This Row],[Equipe]], LEN(MIP_4[[#This Row],[Equipe]])-SEARCH("/",MIP_4[[#This Row],[Equipe]],1))</f>
        <v xml:space="preserve"> GECIVALDO</v>
      </c>
      <c r="AE631" s="44">
        <f>COUNTIFS('[1]Tempo parado'!G:G,"&gt;="&amp;MIP_4[[#This Row],[S.B Sitrack]],'[1]Tempo parado'!H:H,"&lt;="&amp;MIP_4[[#This Row],[C.B Sitrack]],'[1]Tempo parado'!A:A,MIP_4[[#This Row],[Placa]])</f>
        <v>0</v>
      </c>
      <c r="AF631" s="36"/>
      <c r="AG631" s="35"/>
      <c r="AH631" s="34"/>
      <c r="AI631" s="34"/>
      <c r="AJ63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3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3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31" s="32" t="str">
        <f>IFERROR(MIP_4[[#This Row],[Tempo parado]]/(MIP_4[[#This Row],[C.B Sitrack]]-MIP_4[[#This Row],[S.B Sitrack]]),"")</f>
        <v/>
      </c>
      <c r="AN631" s="30"/>
      <c r="AO631" s="44">
        <f>IF(AND(MIP_4[Exc]=0,MIP_4[Previsto / Realizado]="Realizado"),MIP_4[Sem],0)</f>
        <v>0</v>
      </c>
      <c r="AP631" s="29">
        <f>IF(AND(MIP_4[Exc]=0,MIP_4[Previsto / Realizado]="Realizado",ISBLANK(MIP_4[[#This Row],[S.B Sitrack]])=FALSE,ISBLANK(MIP_4[[#This Row],[C.B Sitrack]])=FALSE),MIP_4[Sem],0)</f>
        <v>0</v>
      </c>
    </row>
    <row r="632" spans="1:42" ht="15.75" x14ac:dyDescent="0.25">
      <c r="A632" s="44">
        <f>WEEKNUM(MIP_4[[#This Row],[Data]])</f>
        <v>40</v>
      </c>
      <c r="B632" s="45">
        <v>43015</v>
      </c>
      <c r="C632" s="45"/>
      <c r="D632" s="35" t="s">
        <v>3</v>
      </c>
      <c r="E632" s="35" t="s">
        <v>2</v>
      </c>
      <c r="F632" s="35"/>
      <c r="G632" s="44">
        <v>2</v>
      </c>
      <c r="H632" s="44">
        <v>7</v>
      </c>
      <c r="I632" s="44">
        <v>1</v>
      </c>
      <c r="J632" s="44">
        <v>1</v>
      </c>
      <c r="K632" s="44">
        <v>0</v>
      </c>
      <c r="L632" s="43">
        <v>0.63055555555555554</v>
      </c>
      <c r="M632" s="43">
        <v>0.65972222222222221</v>
      </c>
      <c r="N632" s="43">
        <v>1.0104166666666667</v>
      </c>
      <c r="O632" s="43">
        <v>1.0368055555555555</v>
      </c>
      <c r="P632" s="39">
        <v>3.4722222222222224E-2</v>
      </c>
      <c r="Q632" s="42" t="s">
        <v>202</v>
      </c>
      <c r="R632" s="29">
        <f>MIP_4[[#This Row],[PT-1]]+MIP_4[[#This Row],[PT-2]]*2+MIP_4[[#This Row],[PT-3]]*3+MIP_4[[#This Row],[PT &gt; 3 Pontos]]</f>
        <v>12</v>
      </c>
      <c r="S63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9.0277777777777693E-2</v>
      </c>
      <c r="T63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5.5555555555555469E-2</v>
      </c>
      <c r="U632" s="41">
        <f ca="1">MIP_4[[#This Row],[Eficiência]]</f>
        <v>1.0276183269124923</v>
      </c>
      <c r="V63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32" s="39">
        <f>IF(MIP_4[[#This Row],[P.S]]-MIP_4[[#This Row],[P.E]]&lt;0,1+MIP_4[[#This Row],[P.S]]-MIP_4[[#This Row],[P.E]]-1/24,MIP_4[[#This Row],[P.S]]-MIP_4[[#This Row],[P.E]]-1/24)</f>
        <v>0.36458333333333331</v>
      </c>
      <c r="X632" s="39">
        <f ca="1">MIP_4[[#This Row],[PT-1]]*$S$3+MIP_4[[#This Row],[PT-2]]*$T$3+MIP_4[[#This Row],[PT-3]]*$U$3+MIP_4[[#This Row],[PT &gt; 3 Pontos]]*$V$3</f>
        <v>0.28188141606280182</v>
      </c>
      <c r="Y632" s="39">
        <f>MIP_4[[#This Row],[HH disponível]]-MIP_4[[#This Row],[HH AC TOT]]</f>
        <v>0.27430555555555564</v>
      </c>
      <c r="Z632" s="38">
        <f ca="1">MIP_4[[#This Row],[HH Produtivo
Total]]/MIP_4[[#This Row],[HH Trabalhado]]</f>
        <v>1.0276183269124923</v>
      </c>
      <c r="AA632" s="38">
        <f ca="1">MIP_4[[#This Row],[HH Produtivo
Total]]/MIP_4[[#This Row],[HH disponível]]</f>
        <v>0.77316045548654211</v>
      </c>
      <c r="AB632" s="38">
        <f>MIP_4[[#This Row],[HH Trabalhado]]/MIP_4[[#This Row],[HH disponível]]</f>
        <v>0.75238095238095259</v>
      </c>
      <c r="AC632" s="37" t="str">
        <f>LEFT(MIP_4[[#This Row],[Equipe]], SEARCH("/",MIP_4[[#This Row],[Equipe]],1)-1)</f>
        <v xml:space="preserve">EDILTON </v>
      </c>
      <c r="AD632" s="37" t="str">
        <f>RIGHT(MIP_4[[#This Row],[Equipe]], LEN(MIP_4[[#This Row],[Equipe]])-SEARCH("/",MIP_4[[#This Row],[Equipe]],1))</f>
        <v xml:space="preserve"> GECIVALDO</v>
      </c>
      <c r="AE632" s="44">
        <f>COUNTIFS('[1]Tempo parado'!G:G,"&gt;="&amp;MIP_4[[#This Row],[S.B Sitrack]],'[1]Tempo parado'!H:H,"&lt;="&amp;MIP_4[[#This Row],[C.B Sitrack]],'[1]Tempo parado'!A:A,MIP_4[[#This Row],[Placa]])</f>
        <v>0</v>
      </c>
      <c r="AF632" s="36"/>
      <c r="AG632" s="35"/>
      <c r="AH632" s="34"/>
      <c r="AI632" s="34"/>
      <c r="AJ63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3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3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32" s="32" t="str">
        <f>IFERROR(MIP_4[[#This Row],[Tempo parado]]/(MIP_4[[#This Row],[C.B Sitrack]]-MIP_4[[#This Row],[S.B Sitrack]]),"")</f>
        <v/>
      </c>
      <c r="AN632" s="30"/>
      <c r="AO632" s="44">
        <f>IF(AND(MIP_4[Exc]=0,MIP_4[Previsto / Realizado]="Realizado"),MIP_4[Sem],0)</f>
        <v>40</v>
      </c>
      <c r="AP632" s="29">
        <f>IF(AND(MIP_4[Exc]=0,MIP_4[Previsto / Realizado]="Realizado",ISBLANK(MIP_4[[#This Row],[S.B Sitrack]])=FALSE,ISBLANK(MIP_4[[#This Row],[C.B Sitrack]])=FALSE),MIP_4[Sem],0)</f>
        <v>0</v>
      </c>
    </row>
    <row r="633" spans="1:42" ht="15.75" x14ac:dyDescent="0.25">
      <c r="A633" s="44">
        <f>WEEKNUM(MIP_4[[#This Row],[Data]])</f>
        <v>41</v>
      </c>
      <c r="B633" s="45">
        <v>43016</v>
      </c>
      <c r="C633" s="45"/>
      <c r="D633" s="35" t="s">
        <v>3</v>
      </c>
      <c r="E633" s="35" t="s">
        <v>5</v>
      </c>
      <c r="F633" s="35"/>
      <c r="G633" s="44">
        <v>2</v>
      </c>
      <c r="H633" s="44">
        <v>0</v>
      </c>
      <c r="I633" s="44">
        <v>0</v>
      </c>
      <c r="J633" s="44">
        <v>0</v>
      </c>
      <c r="K633" s="44">
        <v>0</v>
      </c>
      <c r="L633" s="43">
        <v>0.625</v>
      </c>
      <c r="M633" s="43">
        <v>0.64583333333333337</v>
      </c>
      <c r="N633" s="43">
        <v>1.0125</v>
      </c>
      <c r="O633" s="43">
        <v>1.0333333333333334</v>
      </c>
      <c r="P633" s="39"/>
      <c r="Q633" s="42" t="s">
        <v>201</v>
      </c>
      <c r="R633" s="29">
        <f>MIP_4[[#This Row],[PT-1]]+MIP_4[[#This Row],[PT-2]]*2+MIP_4[[#This Row],[PT-3]]*3+MIP_4[[#This Row],[PT &gt; 3 Pontos]]</f>
        <v>0</v>
      </c>
      <c r="S63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63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633" s="41">
        <f ca="1">MIP_4[[#This Row],[Eficiência]]</f>
        <v>0</v>
      </c>
      <c r="V63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33" s="39">
        <f>IF(MIP_4[[#This Row],[P.S]]-MIP_4[[#This Row],[P.E]]&lt;0,1+MIP_4[[#This Row],[P.S]]-MIP_4[[#This Row],[P.E]]-1/24,MIP_4[[#This Row],[P.S]]-MIP_4[[#This Row],[P.E]]-1/24)</f>
        <v>0.36666666666666675</v>
      </c>
      <c r="X633" s="39">
        <f ca="1">MIP_4[[#This Row],[PT-1]]*$S$3+MIP_4[[#This Row],[PT-2]]*$T$3+MIP_4[[#This Row],[PT-3]]*$U$3+MIP_4[[#This Row],[PT &gt; 3 Pontos]]*$V$3</f>
        <v>0</v>
      </c>
      <c r="Y633" s="39">
        <f>MIP_4[[#This Row],[HH disponível]]-MIP_4[[#This Row],[HH AC TOT]]</f>
        <v>0.3249999999999999</v>
      </c>
      <c r="Z633" s="38">
        <f ca="1">MIP_4[[#This Row],[HH Produtivo
Total]]/MIP_4[[#This Row],[HH Trabalhado]]</f>
        <v>0</v>
      </c>
      <c r="AA633" s="38">
        <f ca="1">MIP_4[[#This Row],[HH Produtivo
Total]]/MIP_4[[#This Row],[HH disponível]]</f>
        <v>0</v>
      </c>
      <c r="AB633" s="38">
        <f>MIP_4[[#This Row],[HH Trabalhado]]/MIP_4[[#This Row],[HH disponível]]</f>
        <v>0.88636363636363591</v>
      </c>
      <c r="AC633" s="37" t="str">
        <f>LEFT(MIP_4[[#This Row],[Equipe]], SEARCH("/",MIP_4[[#This Row],[Equipe]],1)-1)</f>
        <v xml:space="preserve">EDILTON </v>
      </c>
      <c r="AD633" s="37" t="str">
        <f>RIGHT(MIP_4[[#This Row],[Equipe]], LEN(MIP_4[[#This Row],[Equipe]])-SEARCH("/",MIP_4[[#This Row],[Equipe]],1))</f>
        <v xml:space="preserve"> GECIVALDO</v>
      </c>
      <c r="AE633" s="44">
        <f>COUNTIFS('[1]Tempo parado'!G:G,"&gt;="&amp;MIP_4[[#This Row],[S.B Sitrack]],'[1]Tempo parado'!H:H,"&lt;="&amp;MIP_4[[#This Row],[C.B Sitrack]],'[1]Tempo parado'!A:A,MIP_4[[#This Row],[Placa]])</f>
        <v>0</v>
      </c>
      <c r="AF633" s="36"/>
      <c r="AG633" s="35"/>
      <c r="AH633" s="34"/>
      <c r="AI633" s="34"/>
      <c r="AJ63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3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3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33" s="32" t="str">
        <f>IFERROR(MIP_4[[#This Row],[Tempo parado]]/(MIP_4[[#This Row],[C.B Sitrack]]-MIP_4[[#This Row],[S.B Sitrack]]),"")</f>
        <v/>
      </c>
      <c r="AN633" s="30"/>
      <c r="AO633" s="44">
        <f>IF(AND(MIP_4[Exc]=0,MIP_4[Previsto / Realizado]="Realizado"),MIP_4[Sem],0)</f>
        <v>0</v>
      </c>
      <c r="AP633" s="29">
        <f>IF(AND(MIP_4[Exc]=0,MIP_4[Previsto / Realizado]="Realizado",ISBLANK(MIP_4[[#This Row],[S.B Sitrack]])=FALSE,ISBLANK(MIP_4[[#This Row],[C.B Sitrack]])=FALSE),MIP_4[Sem],0)</f>
        <v>0</v>
      </c>
    </row>
    <row r="634" spans="1:42" ht="15.75" x14ac:dyDescent="0.25">
      <c r="A634" s="44">
        <f>WEEKNUM(MIP_4[[#This Row],[Data]])</f>
        <v>41</v>
      </c>
      <c r="B634" s="45">
        <v>43016</v>
      </c>
      <c r="C634" s="45"/>
      <c r="D634" s="35" t="s">
        <v>3</v>
      </c>
      <c r="E634" s="35" t="s">
        <v>2</v>
      </c>
      <c r="F634" s="35"/>
      <c r="G634" s="44">
        <v>2</v>
      </c>
      <c r="H634" s="44">
        <v>10</v>
      </c>
      <c r="I634" s="44">
        <v>2</v>
      </c>
      <c r="J634" s="44">
        <v>0</v>
      </c>
      <c r="K634" s="44">
        <v>0</v>
      </c>
      <c r="L634" s="43">
        <v>0.62222222222222223</v>
      </c>
      <c r="M634" s="43">
        <v>0.64583333333333337</v>
      </c>
      <c r="N634" s="43">
        <v>1.0138888888888888</v>
      </c>
      <c r="O634" s="43">
        <v>1.0333333333333334</v>
      </c>
      <c r="P634" s="39"/>
      <c r="Q634" s="42" t="s">
        <v>92</v>
      </c>
      <c r="R634" s="29">
        <f>MIP_4[[#This Row],[PT-1]]+MIP_4[[#This Row],[PT-2]]*2+MIP_4[[#This Row],[PT-3]]*3+MIP_4[[#This Row],[PT &gt; 3 Pontos]]</f>
        <v>14</v>
      </c>
      <c r="S63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4.3055555555555736E-2</v>
      </c>
      <c r="T63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4.3055555555555736E-2</v>
      </c>
      <c r="U634" s="41">
        <f ca="1">MIP_4[[#This Row],[Eficiência]]</f>
        <v>1.0358075084798024</v>
      </c>
      <c r="V63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34" s="39">
        <f>IF(MIP_4[[#This Row],[P.S]]-MIP_4[[#This Row],[P.E]]&lt;0,1+MIP_4[[#This Row],[P.S]]-MIP_4[[#This Row],[P.E]]-1/24,MIP_4[[#This Row],[P.S]]-MIP_4[[#This Row],[P.E]]-1/24)</f>
        <v>0.36944444444444452</v>
      </c>
      <c r="X634" s="39">
        <f ca="1">MIP_4[[#This Row],[PT-1]]*$S$3+MIP_4[[#This Row],[PT-2]]*$T$3+MIP_4[[#This Row],[PT-3]]*$U$3+MIP_4[[#This Row],[PT &gt; 3 Pontos]]*$V$3</f>
        <v>0.33807606179549093</v>
      </c>
      <c r="Y634" s="39">
        <f>MIP_4[[#This Row],[HH disponível]]-MIP_4[[#This Row],[HH AC TOT]]</f>
        <v>0.32638888888888878</v>
      </c>
      <c r="Z634" s="38">
        <f ca="1">MIP_4[[#This Row],[HH Produtivo
Total]]/MIP_4[[#This Row],[HH Trabalhado]]</f>
        <v>1.0358075084798024</v>
      </c>
      <c r="AA634" s="38">
        <f ca="1">MIP_4[[#This Row],[HH Produtivo
Total]]/MIP_4[[#This Row],[HH disponível]]</f>
        <v>0.91509309959681739</v>
      </c>
      <c r="AB634" s="38">
        <f>MIP_4[[#This Row],[HH Trabalhado]]/MIP_4[[#This Row],[HH disponível]]</f>
        <v>0.88345864661654094</v>
      </c>
      <c r="AC634" s="37" t="str">
        <f>LEFT(MIP_4[[#This Row],[Equipe]], SEARCH("/",MIP_4[[#This Row],[Equipe]],1)-1)</f>
        <v xml:space="preserve">EDILTON </v>
      </c>
      <c r="AD634" s="37" t="str">
        <f>RIGHT(MIP_4[[#This Row],[Equipe]], LEN(MIP_4[[#This Row],[Equipe]])-SEARCH("/",MIP_4[[#This Row],[Equipe]],1))</f>
        <v xml:space="preserve"> GECIVALDO</v>
      </c>
      <c r="AE634" s="44">
        <f>COUNTIFS('[1]Tempo parado'!G:G,"&gt;="&amp;MIP_4[[#This Row],[S.B Sitrack]],'[1]Tempo parado'!H:H,"&lt;="&amp;MIP_4[[#This Row],[C.B Sitrack]],'[1]Tempo parado'!A:A,MIP_4[[#This Row],[Placa]])</f>
        <v>0</v>
      </c>
      <c r="AF634" s="36"/>
      <c r="AG634" s="35"/>
      <c r="AH634" s="34"/>
      <c r="AI634" s="34"/>
      <c r="AJ63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3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3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34" s="32" t="str">
        <f>IFERROR(MIP_4[[#This Row],[Tempo parado]]/(MIP_4[[#This Row],[C.B Sitrack]]-MIP_4[[#This Row],[S.B Sitrack]]),"")</f>
        <v/>
      </c>
      <c r="AN634" s="30"/>
      <c r="AO634" s="44">
        <f>IF(AND(MIP_4[Exc]=0,MIP_4[Previsto / Realizado]="Realizado"),MIP_4[Sem],0)</f>
        <v>41</v>
      </c>
      <c r="AP634" s="29">
        <f>IF(AND(MIP_4[Exc]=0,MIP_4[Previsto / Realizado]="Realizado",ISBLANK(MIP_4[[#This Row],[S.B Sitrack]])=FALSE,ISBLANK(MIP_4[[#This Row],[C.B Sitrack]])=FALSE),MIP_4[Sem],0)</f>
        <v>0</v>
      </c>
    </row>
    <row r="635" spans="1:42" ht="15.75" x14ac:dyDescent="0.25">
      <c r="A635" s="44">
        <f>WEEKNUM(MIP_4[[#This Row],[Data]])</f>
        <v>41</v>
      </c>
      <c r="B635" s="45">
        <v>43017</v>
      </c>
      <c r="C635" s="45"/>
      <c r="D635" s="35" t="s">
        <v>7</v>
      </c>
      <c r="E635" s="35" t="s">
        <v>5</v>
      </c>
      <c r="F635" s="35"/>
      <c r="G635" s="44">
        <v>2</v>
      </c>
      <c r="H635" s="44">
        <v>3</v>
      </c>
      <c r="I635" s="44">
        <v>5</v>
      </c>
      <c r="J635" s="44">
        <v>0</v>
      </c>
      <c r="K635" s="44">
        <v>0</v>
      </c>
      <c r="L635" s="43">
        <v>0.625</v>
      </c>
      <c r="M635" s="43">
        <v>0.64583333333333337</v>
      </c>
      <c r="N635" s="43">
        <v>1.0125</v>
      </c>
      <c r="O635" s="43">
        <v>1.0333333333333334</v>
      </c>
      <c r="P635" s="39"/>
      <c r="Q635" s="67"/>
      <c r="R635" s="29">
        <v>13</v>
      </c>
      <c r="S63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63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635" s="41">
        <f ca="1">MIP_4[[#This Row],[Eficiência]]</f>
        <v>0.90652735197572176</v>
      </c>
      <c r="V63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35" s="39">
        <f>IF(MIP_4[[#This Row],[P.S]]-MIP_4[[#This Row],[P.E]]&lt;0,1+MIP_4[[#This Row],[P.S]]-MIP_4[[#This Row],[P.E]]-1/24,MIP_4[[#This Row],[P.S]]-MIP_4[[#This Row],[P.E]]-1/24)</f>
        <v>0.36666666666666675</v>
      </c>
      <c r="X635" s="39">
        <f ca="1">MIP_4[[#This Row],[PT-1]]*$S$3+MIP_4[[#This Row],[PT-2]]*$T$3+MIP_4[[#This Row],[PT-3]]*$U$3+MIP_4[[#This Row],[PT &gt; 3 Pontos]]*$V$3</f>
        <v>0.29462138939210947</v>
      </c>
      <c r="Y635" s="39">
        <f>MIP_4[[#This Row],[HH disponível]]-MIP_4[[#This Row],[HH AC TOT]]</f>
        <v>0.3249999999999999</v>
      </c>
      <c r="Z635" s="38">
        <f ca="1">MIP_4[[#This Row],[HH Produtivo
Total]]/MIP_4[[#This Row],[HH Trabalhado]]</f>
        <v>0.90652735197572176</v>
      </c>
      <c r="AA635" s="38">
        <f ca="1">MIP_4[[#This Row],[HH Produtivo
Total]]/MIP_4[[#This Row],[HH disponível]]</f>
        <v>0.80351288016029832</v>
      </c>
      <c r="AB635" s="38">
        <f>MIP_4[[#This Row],[HH Trabalhado]]/MIP_4[[#This Row],[HH disponível]]</f>
        <v>0.88636363636363591</v>
      </c>
      <c r="AC635" s="37" t="str">
        <f>LEFT(MIP_4[[#This Row],[Equipe]], SEARCH("/",MIP_4[[#This Row],[Equipe]],1)-1)</f>
        <v xml:space="preserve">ANDERSON </v>
      </c>
      <c r="AD635" s="37" t="str">
        <f>RIGHT(MIP_4[[#This Row],[Equipe]], LEN(MIP_4[[#This Row],[Equipe]])-SEARCH("/",MIP_4[[#This Row],[Equipe]],1))</f>
        <v xml:space="preserve"> MARCO</v>
      </c>
      <c r="AE635" s="44">
        <f>COUNTIFS('[1]Tempo parado'!G:G,"&gt;="&amp;MIP_4[[#This Row],[S.B Sitrack]],'[1]Tempo parado'!H:H,"&lt;="&amp;MIP_4[[#This Row],[C.B Sitrack]],'[1]Tempo parado'!A:A,MIP_4[[#This Row],[Placa]])</f>
        <v>0</v>
      </c>
      <c r="AF635" s="36"/>
      <c r="AG635" s="35"/>
      <c r="AH635" s="34"/>
      <c r="AI635" s="34"/>
      <c r="AJ63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3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3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35" s="32" t="str">
        <f>IFERROR(MIP_4[[#This Row],[Tempo parado]]/(MIP_4[[#This Row],[C.B Sitrack]]-MIP_4[[#This Row],[S.B Sitrack]]),"")</f>
        <v/>
      </c>
      <c r="AN635" s="30"/>
      <c r="AO635" s="44">
        <f>IF(AND(MIP_4[Exc]=0,MIP_4[Previsto / Realizado]="Realizado"),MIP_4[Sem],0)</f>
        <v>0</v>
      </c>
      <c r="AP635" s="29">
        <f>IF(AND(MIP_4[Exc]=0,MIP_4[Previsto / Realizado]="Realizado",ISBLANK(MIP_4[[#This Row],[S.B Sitrack]])=FALSE,ISBLANK(MIP_4[[#This Row],[C.B Sitrack]])=FALSE),MIP_4[Sem],0)</f>
        <v>0</v>
      </c>
    </row>
    <row r="636" spans="1:42" ht="15.75" x14ac:dyDescent="0.25">
      <c r="A636" s="44">
        <f>WEEKNUM(MIP_4[[#This Row],[Data]])</f>
        <v>41</v>
      </c>
      <c r="B636" s="45">
        <v>43017</v>
      </c>
      <c r="C636" s="45"/>
      <c r="D636" s="35" t="s">
        <v>7</v>
      </c>
      <c r="E636" s="35" t="s">
        <v>2</v>
      </c>
      <c r="F636" s="35"/>
      <c r="G636" s="44">
        <v>2</v>
      </c>
      <c r="H636" s="44">
        <v>5</v>
      </c>
      <c r="I636" s="44">
        <v>5</v>
      </c>
      <c r="J636" s="44">
        <v>0</v>
      </c>
      <c r="K636" s="44">
        <v>0</v>
      </c>
      <c r="L636" s="43">
        <v>0.62361111111111112</v>
      </c>
      <c r="M636" s="43">
        <v>0.66319444444444442</v>
      </c>
      <c r="N636" s="43">
        <v>1.0104166666666667</v>
      </c>
      <c r="O636" s="43">
        <v>1.0333333333333334</v>
      </c>
      <c r="P636" s="39"/>
      <c r="Q636" s="42" t="s">
        <v>200</v>
      </c>
      <c r="R636" s="29">
        <v>15</v>
      </c>
      <c r="S63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6.25E-2</v>
      </c>
      <c r="T63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6.25E-2</v>
      </c>
      <c r="U636" s="41">
        <f ca="1">MIP_4[[#This Row],[Eficiência]]</f>
        <v>1.1280210391963104</v>
      </c>
      <c r="V63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36" s="39">
        <f>IF(MIP_4[[#This Row],[P.S]]-MIP_4[[#This Row],[P.E]]&lt;0,1+MIP_4[[#This Row],[P.S]]-MIP_4[[#This Row],[P.E]]-1/24,MIP_4[[#This Row],[P.S]]-MIP_4[[#This Row],[P.E]]-1/24)</f>
        <v>0.36805555555555564</v>
      </c>
      <c r="X636" s="39">
        <f ca="1">MIP_4[[#This Row],[PT-1]]*$S$3+MIP_4[[#This Row],[PT-2]]*$T$3+MIP_4[[#This Row],[PT-3]]*$U$3+MIP_4[[#This Row],[PT &gt; 3 Pontos]]*$V$3</f>
        <v>0.3446730953099838</v>
      </c>
      <c r="Y636" s="39">
        <f>MIP_4[[#This Row],[HH disponível]]-MIP_4[[#This Row],[HH AC TOT]]</f>
        <v>0.30555555555555564</v>
      </c>
      <c r="Z636" s="38">
        <f ca="1">MIP_4[[#This Row],[HH Produtivo
Total]]/MIP_4[[#This Row],[HH Trabalhado]]</f>
        <v>1.1280210391963104</v>
      </c>
      <c r="AA636" s="38">
        <f ca="1">MIP_4[[#This Row],[HH Produtivo
Total]]/MIP_4[[#This Row],[HH disponível]]</f>
        <v>0.93647029669127657</v>
      </c>
      <c r="AB636" s="38">
        <f>MIP_4[[#This Row],[HH Trabalhado]]/MIP_4[[#This Row],[HH disponível]]</f>
        <v>0.83018867924528306</v>
      </c>
      <c r="AC636" s="37" t="str">
        <f>LEFT(MIP_4[[#This Row],[Equipe]], SEARCH("/",MIP_4[[#This Row],[Equipe]],1)-1)</f>
        <v xml:space="preserve">ANDERSON </v>
      </c>
      <c r="AD636" s="37" t="str">
        <f>RIGHT(MIP_4[[#This Row],[Equipe]], LEN(MIP_4[[#This Row],[Equipe]])-SEARCH("/",MIP_4[[#This Row],[Equipe]],1))</f>
        <v xml:space="preserve"> MARCO</v>
      </c>
      <c r="AE636" s="44">
        <f>COUNTIFS('[1]Tempo parado'!G:G,"&gt;="&amp;MIP_4[[#This Row],[S.B Sitrack]],'[1]Tempo parado'!H:H,"&lt;="&amp;MIP_4[[#This Row],[C.B Sitrack]],'[1]Tempo parado'!A:A,MIP_4[[#This Row],[Placa]])</f>
        <v>0</v>
      </c>
      <c r="AF636" s="36"/>
      <c r="AG636" s="35"/>
      <c r="AH636" s="34"/>
      <c r="AI636" s="34"/>
      <c r="AJ63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3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3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36" s="32" t="str">
        <f>IFERROR(MIP_4[[#This Row],[Tempo parado]]/(MIP_4[[#This Row],[C.B Sitrack]]-MIP_4[[#This Row],[S.B Sitrack]]),"")</f>
        <v/>
      </c>
      <c r="AN636" s="30"/>
      <c r="AO636" s="44">
        <f>IF(AND(MIP_4[Exc]=0,MIP_4[Previsto / Realizado]="Realizado"),MIP_4[Sem],0)</f>
        <v>41</v>
      </c>
      <c r="AP636" s="29">
        <f>IF(AND(MIP_4[Exc]=0,MIP_4[Previsto / Realizado]="Realizado",ISBLANK(MIP_4[[#This Row],[S.B Sitrack]])=FALSE,ISBLANK(MIP_4[[#This Row],[C.B Sitrack]])=FALSE),MIP_4[Sem],0)</f>
        <v>0</v>
      </c>
    </row>
    <row r="637" spans="1:42" ht="15.75" x14ac:dyDescent="0.25">
      <c r="A637" s="44">
        <f>WEEKNUM(MIP_4[[#This Row],[Data]])</f>
        <v>41</v>
      </c>
      <c r="B637" s="45">
        <v>43018</v>
      </c>
      <c r="C637" s="45"/>
      <c r="D637" s="35" t="s">
        <v>33</v>
      </c>
      <c r="E637" s="35" t="s">
        <v>5</v>
      </c>
      <c r="F637" s="35"/>
      <c r="G637" s="44">
        <v>2</v>
      </c>
      <c r="H637" s="44">
        <v>4</v>
      </c>
      <c r="I637" s="44">
        <v>2</v>
      </c>
      <c r="J637" s="44">
        <v>0</v>
      </c>
      <c r="K637" s="44">
        <v>0</v>
      </c>
      <c r="L637" s="43">
        <v>0.25</v>
      </c>
      <c r="M637" s="43">
        <v>0.27083333333333331</v>
      </c>
      <c r="N637" s="43">
        <v>0.63750000000000007</v>
      </c>
      <c r="O637" s="43">
        <v>0.65833333333333333</v>
      </c>
      <c r="P637" s="39"/>
      <c r="Q637" s="67"/>
      <c r="R637" s="29">
        <v>8</v>
      </c>
      <c r="S63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63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637" s="41">
        <f ca="1">MIP_4[[#This Row],[Eficiência]]</f>
        <v>0.5782182893595933</v>
      </c>
      <c r="V63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37" s="39">
        <f>IF(MIP_4[[#This Row],[P.S]]-MIP_4[[#This Row],[P.E]]&lt;0,1+MIP_4[[#This Row],[P.S]]-MIP_4[[#This Row],[P.E]]-1/24,MIP_4[[#This Row],[P.S]]-MIP_4[[#This Row],[P.E]]-1/24)</f>
        <v>0.36666666666666664</v>
      </c>
      <c r="X637" s="39">
        <f ca="1">MIP_4[[#This Row],[PT-1]]*$S$3+MIP_4[[#This Row],[PT-2]]*$T$3+MIP_4[[#This Row],[PT-3]]*$U$3+MIP_4[[#This Row],[PT &gt; 3 Pontos]]*$V$3</f>
        <v>0.18792094404186788</v>
      </c>
      <c r="Y637" s="39">
        <f>MIP_4[[#This Row],[HH disponível]]-MIP_4[[#This Row],[HH AC TOT]]</f>
        <v>0.32500000000000007</v>
      </c>
      <c r="Z637" s="38">
        <f ca="1">MIP_4[[#This Row],[HH Produtivo
Total]]/MIP_4[[#This Row],[HH Trabalhado]]</f>
        <v>0.5782182893595933</v>
      </c>
      <c r="AA637" s="38">
        <f ca="1">MIP_4[[#This Row],[HH Produtivo
Total]]/MIP_4[[#This Row],[HH disponível]]</f>
        <v>0.51251166556873062</v>
      </c>
      <c r="AB637" s="38">
        <f>MIP_4[[#This Row],[HH Trabalhado]]/MIP_4[[#This Row],[HH disponível]]</f>
        <v>0.88636363636363658</v>
      </c>
      <c r="AC637" s="37" t="str">
        <f>LEFT(MIP_4[[#This Row],[Equipe]], SEARCH("/",MIP_4[[#This Row],[Equipe]],1)-1)</f>
        <v xml:space="preserve">JOILSON </v>
      </c>
      <c r="AD637" s="37" t="str">
        <f>RIGHT(MIP_4[[#This Row],[Equipe]], LEN(MIP_4[[#This Row],[Equipe]])-SEARCH("/",MIP_4[[#This Row],[Equipe]],1))</f>
        <v xml:space="preserve"> HERVAL</v>
      </c>
      <c r="AE637" s="44">
        <f>COUNTIFS('[1]Tempo parado'!G:G,"&gt;="&amp;MIP_4[[#This Row],[S.B Sitrack]],'[1]Tempo parado'!H:H,"&lt;="&amp;MIP_4[[#This Row],[C.B Sitrack]],'[1]Tempo parado'!A:A,MIP_4[[#This Row],[Placa]])</f>
        <v>0</v>
      </c>
      <c r="AF637" s="36"/>
      <c r="AG637" s="35"/>
      <c r="AH637" s="34"/>
      <c r="AI637" s="34"/>
      <c r="AJ63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3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3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37" s="32" t="str">
        <f>IFERROR(MIP_4[[#This Row],[Tempo parado]]/(MIP_4[[#This Row],[C.B Sitrack]]-MIP_4[[#This Row],[S.B Sitrack]]),"")</f>
        <v/>
      </c>
      <c r="AN637" s="30"/>
      <c r="AO637" s="44">
        <f>IF(AND(MIP_4[Exc]=0,MIP_4[Previsto / Realizado]="Realizado"),MIP_4[Sem],0)</f>
        <v>0</v>
      </c>
      <c r="AP637" s="29">
        <f>IF(AND(MIP_4[Exc]=0,MIP_4[Previsto / Realizado]="Realizado",ISBLANK(MIP_4[[#This Row],[S.B Sitrack]])=FALSE,ISBLANK(MIP_4[[#This Row],[C.B Sitrack]])=FALSE),MIP_4[Sem],0)</f>
        <v>0</v>
      </c>
    </row>
    <row r="638" spans="1:42" ht="15.75" x14ac:dyDescent="0.25">
      <c r="A638" s="44">
        <f>WEEKNUM(MIP_4[[#This Row],[Data]])</f>
        <v>41</v>
      </c>
      <c r="B638" s="45">
        <v>43018</v>
      </c>
      <c r="C638" s="45"/>
      <c r="D638" s="35" t="s">
        <v>33</v>
      </c>
      <c r="E638" s="35" t="s">
        <v>2</v>
      </c>
      <c r="F638" s="35"/>
      <c r="G638" s="44">
        <v>2</v>
      </c>
      <c r="H638" s="44">
        <v>10</v>
      </c>
      <c r="I638" s="44">
        <v>1</v>
      </c>
      <c r="J638" s="44">
        <v>0</v>
      </c>
      <c r="K638" s="44">
        <v>0</v>
      </c>
      <c r="L638" s="43">
        <v>0.25069444444444444</v>
      </c>
      <c r="M638" s="43">
        <v>0.27986111111111112</v>
      </c>
      <c r="N638" s="43">
        <v>0.60972222222222217</v>
      </c>
      <c r="O638" s="43">
        <v>0.65833333333333333</v>
      </c>
      <c r="P638" s="39"/>
      <c r="Q638" s="42" t="s">
        <v>199</v>
      </c>
      <c r="R638" s="29">
        <v>12</v>
      </c>
      <c r="S63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7.7777777777777835E-2</v>
      </c>
      <c r="T63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7.7777777777777835E-2</v>
      </c>
      <c r="U638" s="41">
        <f ca="1">MIP_4[[#This Row],[Eficiência]]</f>
        <v>1.0207250742098828</v>
      </c>
      <c r="V63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38" s="39">
        <f>IF(MIP_4[[#This Row],[P.S]]-MIP_4[[#This Row],[P.E]]&lt;0,1+MIP_4[[#This Row],[P.S]]-MIP_4[[#This Row],[P.E]]-1/24,MIP_4[[#This Row],[P.S]]-MIP_4[[#This Row],[P.E]]-1/24)</f>
        <v>0.3659722222222222</v>
      </c>
      <c r="X638" s="39">
        <f ca="1">MIP_4[[#This Row],[PT-1]]*$S$3+MIP_4[[#This Row],[PT-2]]*$T$3+MIP_4[[#This Row],[PT-3]]*$U$3+MIP_4[[#This Row],[PT &gt; 3 Pontos]]*$V$3</f>
        <v>0.29416729569243139</v>
      </c>
      <c r="Y638" s="39">
        <f>MIP_4[[#This Row],[HH disponível]]-MIP_4[[#This Row],[HH AC TOT]]</f>
        <v>0.28819444444444436</v>
      </c>
      <c r="Z638" s="38">
        <f ca="1">MIP_4[[#This Row],[HH Produtivo
Total]]/MIP_4[[#This Row],[HH Trabalhado]]</f>
        <v>1.0207250742098828</v>
      </c>
      <c r="AA638" s="38">
        <f ca="1">MIP_4[[#This Row],[HH Produtivo
Total]]/MIP_4[[#This Row],[HH disponível]]</f>
        <v>0.80379678519374043</v>
      </c>
      <c r="AB638" s="38">
        <f>MIP_4[[#This Row],[HH Trabalhado]]/MIP_4[[#This Row],[HH disponível]]</f>
        <v>0.78747628083491439</v>
      </c>
      <c r="AC638" s="37" t="str">
        <f>LEFT(MIP_4[[#This Row],[Equipe]], SEARCH("/",MIP_4[[#This Row],[Equipe]],1)-1)</f>
        <v xml:space="preserve">JOILSON </v>
      </c>
      <c r="AD638" s="37" t="str">
        <f>RIGHT(MIP_4[[#This Row],[Equipe]], LEN(MIP_4[[#This Row],[Equipe]])-SEARCH("/",MIP_4[[#This Row],[Equipe]],1))</f>
        <v xml:space="preserve"> HERVAL</v>
      </c>
      <c r="AE638" s="44">
        <f>COUNTIFS('[1]Tempo parado'!G:G,"&gt;="&amp;MIP_4[[#This Row],[S.B Sitrack]],'[1]Tempo parado'!H:H,"&lt;="&amp;MIP_4[[#This Row],[C.B Sitrack]],'[1]Tempo parado'!A:A,MIP_4[[#This Row],[Placa]])</f>
        <v>0</v>
      </c>
      <c r="AF638" s="36"/>
      <c r="AG638" s="35"/>
      <c r="AH638" s="34"/>
      <c r="AI638" s="34"/>
      <c r="AJ63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3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3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38" s="32" t="str">
        <f>IFERROR(MIP_4[[#This Row],[Tempo parado]]/(MIP_4[[#This Row],[C.B Sitrack]]-MIP_4[[#This Row],[S.B Sitrack]]),"")</f>
        <v/>
      </c>
      <c r="AN638" s="30"/>
      <c r="AO638" s="44">
        <f>IF(AND(MIP_4[Exc]=0,MIP_4[Previsto / Realizado]="Realizado"),MIP_4[Sem],0)</f>
        <v>41</v>
      </c>
      <c r="AP638" s="29">
        <f>IF(AND(MIP_4[Exc]=0,MIP_4[Previsto / Realizado]="Realizado",ISBLANK(MIP_4[[#This Row],[S.B Sitrack]])=FALSE,ISBLANK(MIP_4[[#This Row],[C.B Sitrack]])=FALSE),MIP_4[Sem],0)</f>
        <v>0</v>
      </c>
    </row>
    <row r="639" spans="1:42" ht="15.75" x14ac:dyDescent="0.25">
      <c r="A639" s="44">
        <f>WEEKNUM(MIP_4[[#This Row],[Data]])</f>
        <v>41</v>
      </c>
      <c r="B639" s="45">
        <v>43018</v>
      </c>
      <c r="C639" s="45"/>
      <c r="D639" s="35" t="s">
        <v>3</v>
      </c>
      <c r="E639" s="35" t="s">
        <v>5</v>
      </c>
      <c r="F639" s="35"/>
      <c r="G639" s="44">
        <v>2</v>
      </c>
      <c r="H639" s="44">
        <v>3</v>
      </c>
      <c r="I639" s="44">
        <v>1</v>
      </c>
      <c r="J639" s="44">
        <v>0</v>
      </c>
      <c r="K639" s="44">
        <v>0</v>
      </c>
      <c r="L639" s="43">
        <v>0.625</v>
      </c>
      <c r="M639" s="43">
        <v>0.64583333333333337</v>
      </c>
      <c r="N639" s="43">
        <v>1.0125</v>
      </c>
      <c r="O639" s="43">
        <v>1.0333333333333334</v>
      </c>
      <c r="P639" s="39"/>
      <c r="Q639" s="67" t="s">
        <v>36</v>
      </c>
      <c r="R639" s="29">
        <v>5</v>
      </c>
      <c r="S63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63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639" s="41">
        <f ca="1">MIP_4[[#This Row],[Eficiência]]</f>
        <v>0.36611176916883437</v>
      </c>
      <c r="V63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39" s="39">
        <f>IF(MIP_4[[#This Row],[P.S]]-MIP_4[[#This Row],[P.E]]&lt;0,1+MIP_4[[#This Row],[P.S]]-MIP_4[[#This Row],[P.E]]-1/24,MIP_4[[#This Row],[P.S]]-MIP_4[[#This Row],[P.E]]-1/24)</f>
        <v>0.36666666666666675</v>
      </c>
      <c r="X639" s="39">
        <f ca="1">MIP_4[[#This Row],[PT-1]]*$S$3+MIP_4[[#This Row],[PT-2]]*$T$3+MIP_4[[#This Row],[PT-3]]*$U$3+MIP_4[[#This Row],[PT &gt; 3 Pontos]]*$V$3</f>
        <v>0.11898632497987113</v>
      </c>
      <c r="Y639" s="39">
        <f>MIP_4[[#This Row],[HH disponível]]-MIP_4[[#This Row],[HH AC TOT]]</f>
        <v>0.3249999999999999</v>
      </c>
      <c r="Z639" s="38">
        <f ca="1">MIP_4[[#This Row],[HH Produtivo
Total]]/MIP_4[[#This Row],[HH Trabalhado]]</f>
        <v>0.36611176916883437</v>
      </c>
      <c r="AA639" s="38">
        <f ca="1">MIP_4[[#This Row],[HH Produtivo
Total]]/MIP_4[[#This Row],[HH disponível]]</f>
        <v>0.3245081590360121</v>
      </c>
      <c r="AB639" s="38">
        <f>MIP_4[[#This Row],[HH Trabalhado]]/MIP_4[[#This Row],[HH disponível]]</f>
        <v>0.88636363636363591</v>
      </c>
      <c r="AC639" s="37" t="str">
        <f>LEFT(MIP_4[[#This Row],[Equipe]], SEARCH("/",MIP_4[[#This Row],[Equipe]],1)-1)</f>
        <v xml:space="preserve">EDILTON </v>
      </c>
      <c r="AD639" s="37" t="str">
        <f>RIGHT(MIP_4[[#This Row],[Equipe]], LEN(MIP_4[[#This Row],[Equipe]])-SEARCH("/",MIP_4[[#This Row],[Equipe]],1))</f>
        <v xml:space="preserve"> GECIVALDO</v>
      </c>
      <c r="AE639" s="44">
        <f>COUNTIFS('[1]Tempo parado'!G:G,"&gt;="&amp;MIP_4[[#This Row],[S.B Sitrack]],'[1]Tempo parado'!H:H,"&lt;="&amp;MIP_4[[#This Row],[C.B Sitrack]],'[1]Tempo parado'!A:A,MIP_4[[#This Row],[Placa]])</f>
        <v>0</v>
      </c>
      <c r="AF639" s="36"/>
      <c r="AG639" s="35"/>
      <c r="AH639" s="34"/>
      <c r="AI639" s="34"/>
      <c r="AJ63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3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3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39" s="32" t="str">
        <f>IFERROR(MIP_4[[#This Row],[Tempo parado]]/(MIP_4[[#This Row],[C.B Sitrack]]-MIP_4[[#This Row],[S.B Sitrack]]),"")</f>
        <v/>
      </c>
      <c r="AN639" s="30"/>
      <c r="AO639" s="44">
        <f>IF(AND(MIP_4[Exc]=0,MIP_4[Previsto / Realizado]="Realizado"),MIP_4[Sem],0)</f>
        <v>0</v>
      </c>
      <c r="AP639" s="29">
        <f>IF(AND(MIP_4[Exc]=0,MIP_4[Previsto / Realizado]="Realizado",ISBLANK(MIP_4[[#This Row],[S.B Sitrack]])=FALSE,ISBLANK(MIP_4[[#This Row],[C.B Sitrack]])=FALSE),MIP_4[Sem],0)</f>
        <v>0</v>
      </c>
    </row>
    <row r="640" spans="1:42" ht="15.75" x14ac:dyDescent="0.25">
      <c r="A640" s="44">
        <f>WEEKNUM(MIP_4[[#This Row],[Data]])</f>
        <v>41</v>
      </c>
      <c r="B640" s="45">
        <v>43018</v>
      </c>
      <c r="C640" s="45"/>
      <c r="D640" s="35" t="s">
        <v>3</v>
      </c>
      <c r="E640" s="35" t="s">
        <v>2</v>
      </c>
      <c r="F640" s="35"/>
      <c r="G640" s="44">
        <v>2</v>
      </c>
      <c r="H640" s="44">
        <v>6</v>
      </c>
      <c r="I640" s="44">
        <v>2</v>
      </c>
      <c r="J640" s="44">
        <v>0</v>
      </c>
      <c r="K640" s="44">
        <v>5</v>
      </c>
      <c r="L640" s="43">
        <v>0.62569444444444444</v>
      </c>
      <c r="M640" s="43">
        <v>0.66319444444444442</v>
      </c>
      <c r="N640" s="43">
        <v>1.0152777777777777</v>
      </c>
      <c r="O640" s="43">
        <v>1.0333333333333334</v>
      </c>
      <c r="P640" s="39"/>
      <c r="Q640" s="42" t="s">
        <v>191</v>
      </c>
      <c r="R640" s="29">
        <v>15</v>
      </c>
      <c r="S64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5.5555555555555691E-2</v>
      </c>
      <c r="T64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5.5555555555555691E-2</v>
      </c>
      <c r="U640" s="41">
        <f ca="1">MIP_4[[#This Row],[Eficiência]]</f>
        <v>1.0927657590232973</v>
      </c>
      <c r="V64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40" s="39">
        <f>IF(MIP_4[[#This Row],[P.S]]-MIP_4[[#This Row],[P.E]]&lt;0,1+MIP_4[[#This Row],[P.S]]-MIP_4[[#This Row],[P.E]]-1/24,MIP_4[[#This Row],[P.S]]-MIP_4[[#This Row],[P.E]]-1/24)</f>
        <v>0.36597222222222231</v>
      </c>
      <c r="X640" s="39">
        <f ca="1">MIP_4[[#This Row],[PT-1]]*$S$3+MIP_4[[#This Row],[PT-2]]*$T$3+MIP_4[[#This Row],[PT-3]]*$U$3+MIP_4[[#This Row],[PT &gt; 3 Pontos]]*$V$3</f>
        <v>0.33921270436348183</v>
      </c>
      <c r="Y640" s="39">
        <f>MIP_4[[#This Row],[HH disponível]]-MIP_4[[#This Row],[HH AC TOT]]</f>
        <v>0.31041666666666662</v>
      </c>
      <c r="Z640" s="38">
        <f ca="1">MIP_4[[#This Row],[HH Produtivo
Total]]/MIP_4[[#This Row],[HH Trabalhado]]</f>
        <v>1.0927657590232973</v>
      </c>
      <c r="AA640" s="38">
        <f ca="1">MIP_4[[#This Row],[HH Produtivo
Total]]/MIP_4[[#This Row],[HH disponível]]</f>
        <v>0.92688101382051935</v>
      </c>
      <c r="AB640" s="38">
        <f>MIP_4[[#This Row],[HH Trabalhado]]/MIP_4[[#This Row],[HH disponível]]</f>
        <v>0.84819734345351006</v>
      </c>
      <c r="AC640" s="37" t="str">
        <f>LEFT(MIP_4[[#This Row],[Equipe]], SEARCH("/",MIP_4[[#This Row],[Equipe]],1)-1)</f>
        <v xml:space="preserve">EDILTON </v>
      </c>
      <c r="AD640" s="37" t="str">
        <f>RIGHT(MIP_4[[#This Row],[Equipe]], LEN(MIP_4[[#This Row],[Equipe]])-SEARCH("/",MIP_4[[#This Row],[Equipe]],1))</f>
        <v xml:space="preserve"> GECIVALDO</v>
      </c>
      <c r="AE640" s="44">
        <f>COUNTIFS('[1]Tempo parado'!G:G,"&gt;="&amp;MIP_4[[#This Row],[S.B Sitrack]],'[1]Tempo parado'!H:H,"&lt;="&amp;MIP_4[[#This Row],[C.B Sitrack]],'[1]Tempo parado'!A:A,MIP_4[[#This Row],[Placa]])</f>
        <v>0</v>
      </c>
      <c r="AF640" s="36"/>
      <c r="AG640" s="35"/>
      <c r="AH640" s="34"/>
      <c r="AI640" s="34"/>
      <c r="AJ64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4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4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40" s="32" t="str">
        <f>IFERROR(MIP_4[[#This Row],[Tempo parado]]/(MIP_4[[#This Row],[C.B Sitrack]]-MIP_4[[#This Row],[S.B Sitrack]]),"")</f>
        <v/>
      </c>
      <c r="AN640" s="30"/>
      <c r="AO640" s="44">
        <f>IF(AND(MIP_4[Exc]=0,MIP_4[Previsto / Realizado]="Realizado"),MIP_4[Sem],0)</f>
        <v>41</v>
      </c>
      <c r="AP640" s="29">
        <f>IF(AND(MIP_4[Exc]=0,MIP_4[Previsto / Realizado]="Realizado",ISBLANK(MIP_4[[#This Row],[S.B Sitrack]])=FALSE,ISBLANK(MIP_4[[#This Row],[C.B Sitrack]])=FALSE),MIP_4[Sem],0)</f>
        <v>0</v>
      </c>
    </row>
    <row r="641" spans="1:42" ht="15.75" x14ac:dyDescent="0.25">
      <c r="A641" s="44">
        <f>WEEKNUM(MIP_4[[#This Row],[Data]])</f>
        <v>41</v>
      </c>
      <c r="B641" s="45">
        <v>43018</v>
      </c>
      <c r="C641" s="45"/>
      <c r="D641" s="35" t="s">
        <v>19</v>
      </c>
      <c r="E641" s="35" t="s">
        <v>5</v>
      </c>
      <c r="F641" s="35"/>
      <c r="G641" s="44">
        <v>2</v>
      </c>
      <c r="H641" s="44">
        <v>0</v>
      </c>
      <c r="I641" s="44">
        <v>0</v>
      </c>
      <c r="J641" s="44">
        <v>0</v>
      </c>
      <c r="K641" s="44">
        <v>0</v>
      </c>
      <c r="L641" s="43">
        <v>0.625</v>
      </c>
      <c r="M641" s="43">
        <v>0.64583333333333337</v>
      </c>
      <c r="N641" s="43">
        <v>1.0125</v>
      </c>
      <c r="O641" s="43">
        <v>1.0333333333333334</v>
      </c>
      <c r="P641" s="39"/>
      <c r="Q641" s="67" t="s">
        <v>198</v>
      </c>
      <c r="R641" s="29">
        <v>0</v>
      </c>
      <c r="S64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64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641" s="41">
        <f ca="1">MIP_4[[#This Row],[Eficiência]]</f>
        <v>0</v>
      </c>
      <c r="V64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41" s="39">
        <f>IF(MIP_4[[#This Row],[P.S]]-MIP_4[[#This Row],[P.E]]&lt;0,1+MIP_4[[#This Row],[P.S]]-MIP_4[[#This Row],[P.E]]-1/24,MIP_4[[#This Row],[P.S]]-MIP_4[[#This Row],[P.E]]-1/24)</f>
        <v>0.36666666666666675</v>
      </c>
      <c r="X641" s="39">
        <f ca="1">MIP_4[[#This Row],[PT-1]]*$S$3+MIP_4[[#This Row],[PT-2]]*$T$3+MIP_4[[#This Row],[PT-3]]*$U$3+MIP_4[[#This Row],[PT &gt; 3 Pontos]]*$V$3</f>
        <v>0</v>
      </c>
      <c r="Y641" s="39">
        <f>MIP_4[[#This Row],[HH disponível]]-MIP_4[[#This Row],[HH AC TOT]]</f>
        <v>0.3249999999999999</v>
      </c>
      <c r="Z641" s="38">
        <f ca="1">MIP_4[[#This Row],[HH Produtivo
Total]]/MIP_4[[#This Row],[HH Trabalhado]]</f>
        <v>0</v>
      </c>
      <c r="AA641" s="38">
        <f ca="1">MIP_4[[#This Row],[HH Produtivo
Total]]/MIP_4[[#This Row],[HH disponível]]</f>
        <v>0</v>
      </c>
      <c r="AB641" s="38">
        <f>MIP_4[[#This Row],[HH Trabalhado]]/MIP_4[[#This Row],[HH disponível]]</f>
        <v>0.88636363636363591</v>
      </c>
      <c r="AC641" s="37" t="str">
        <f>LEFT(MIP_4[[#This Row],[Equipe]], SEARCH("/",MIP_4[[#This Row],[Equipe]],1)-1)</f>
        <v xml:space="preserve">ADEMÁRIO </v>
      </c>
      <c r="AD641" s="37" t="str">
        <f>RIGHT(MIP_4[[#This Row],[Equipe]], LEN(MIP_4[[#This Row],[Equipe]])-SEARCH("/",MIP_4[[#This Row],[Equipe]],1))</f>
        <v xml:space="preserve"> RONALDO</v>
      </c>
      <c r="AE641" s="44">
        <f>COUNTIFS('[1]Tempo parado'!G:G,"&gt;="&amp;MIP_4[[#This Row],[S.B Sitrack]],'[1]Tempo parado'!H:H,"&lt;="&amp;MIP_4[[#This Row],[C.B Sitrack]],'[1]Tempo parado'!A:A,MIP_4[[#This Row],[Placa]])</f>
        <v>0</v>
      </c>
      <c r="AF641" s="36"/>
      <c r="AG641" s="35"/>
      <c r="AH641" s="34"/>
      <c r="AI641" s="34"/>
      <c r="AJ64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4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4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41" s="32" t="str">
        <f>IFERROR(MIP_4[[#This Row],[Tempo parado]]/(MIP_4[[#This Row],[C.B Sitrack]]-MIP_4[[#This Row],[S.B Sitrack]]),"")</f>
        <v/>
      </c>
      <c r="AN641" s="30"/>
      <c r="AO641" s="44">
        <f>IF(AND(MIP_4[Exc]=0,MIP_4[Previsto / Realizado]="Realizado"),MIP_4[Sem],0)</f>
        <v>0</v>
      </c>
      <c r="AP641" s="29">
        <f>IF(AND(MIP_4[Exc]=0,MIP_4[Previsto / Realizado]="Realizado",ISBLANK(MIP_4[[#This Row],[S.B Sitrack]])=FALSE,ISBLANK(MIP_4[[#This Row],[C.B Sitrack]])=FALSE),MIP_4[Sem],0)</f>
        <v>0</v>
      </c>
    </row>
    <row r="642" spans="1:42" ht="15.75" x14ac:dyDescent="0.25">
      <c r="A642" s="44">
        <f>WEEKNUM(MIP_4[[#This Row],[Data]])</f>
        <v>41</v>
      </c>
      <c r="B642" s="45">
        <v>43018</v>
      </c>
      <c r="C642" s="45"/>
      <c r="D642" s="35" t="s">
        <v>19</v>
      </c>
      <c r="E642" s="35" t="s">
        <v>2</v>
      </c>
      <c r="F642" s="35"/>
      <c r="G642" s="44">
        <v>2</v>
      </c>
      <c r="H642" s="44">
        <v>0</v>
      </c>
      <c r="I642" s="44">
        <v>0</v>
      </c>
      <c r="J642" s="44">
        <v>0</v>
      </c>
      <c r="K642" s="44">
        <v>15</v>
      </c>
      <c r="L642" s="43">
        <v>0.63888888888888895</v>
      </c>
      <c r="M642" s="43">
        <v>0.66666666666666663</v>
      </c>
      <c r="N642" s="43">
        <v>1.0125</v>
      </c>
      <c r="O642" s="43">
        <v>1.0395833333333333</v>
      </c>
      <c r="P642" s="39"/>
      <c r="Q642" s="42" t="s">
        <v>197</v>
      </c>
      <c r="R642" s="29">
        <v>15</v>
      </c>
      <c r="S64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5.4861111111111027E-2</v>
      </c>
      <c r="T64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5.4861111111111027E-2</v>
      </c>
      <c r="U642" s="41">
        <f ca="1">MIP_4[[#This Row],[Eficiência]]</f>
        <v>0.99853204343414359</v>
      </c>
      <c r="V64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42" s="39">
        <f>IF(MIP_4[[#This Row],[P.S]]-MIP_4[[#This Row],[P.E]]&lt;0,1+MIP_4[[#This Row],[P.S]]-MIP_4[[#This Row],[P.E]]-1/24,MIP_4[[#This Row],[P.S]]-MIP_4[[#This Row],[P.E]]-1/24)</f>
        <v>0.35902777777777767</v>
      </c>
      <c r="X642" s="39">
        <f ca="1">MIP_4[[#This Row],[PT-1]]*$S$3+MIP_4[[#This Row],[PT-2]]*$T$3+MIP_4[[#This Row],[PT-3]]*$U$3+MIP_4[[#This Row],[PT &gt; 3 Pontos]]*$V$3</f>
        <v>0.30372016321121864</v>
      </c>
      <c r="Y642" s="39">
        <f>MIP_4[[#This Row],[HH disponível]]-MIP_4[[#This Row],[HH AC TOT]]</f>
        <v>0.30416666666666664</v>
      </c>
      <c r="Z642" s="38">
        <f ca="1">MIP_4[[#This Row],[HH Produtivo
Total]]/MIP_4[[#This Row],[HH Trabalhado]]</f>
        <v>0.99853204343414359</v>
      </c>
      <c r="AA642" s="38">
        <f ca="1">MIP_4[[#This Row],[HH Produtivo
Total]]/MIP_4[[#This Row],[HH disponível]]</f>
        <v>0.84595171184556084</v>
      </c>
      <c r="AB642" s="38">
        <f>MIP_4[[#This Row],[HH Trabalhado]]/MIP_4[[#This Row],[HH disponível]]</f>
        <v>0.84719535783365585</v>
      </c>
      <c r="AC642" s="37" t="str">
        <f>LEFT(MIP_4[[#This Row],[Equipe]], SEARCH("/",MIP_4[[#This Row],[Equipe]],1)-1)</f>
        <v xml:space="preserve">ADEMÁRIO </v>
      </c>
      <c r="AD642" s="37" t="str">
        <f>RIGHT(MIP_4[[#This Row],[Equipe]], LEN(MIP_4[[#This Row],[Equipe]])-SEARCH("/",MIP_4[[#This Row],[Equipe]],1))</f>
        <v xml:space="preserve"> RONALDO</v>
      </c>
      <c r="AE642" s="44">
        <f>COUNTIFS('[1]Tempo parado'!G:G,"&gt;="&amp;MIP_4[[#This Row],[S.B Sitrack]],'[1]Tempo parado'!H:H,"&lt;="&amp;MIP_4[[#This Row],[C.B Sitrack]],'[1]Tempo parado'!A:A,MIP_4[[#This Row],[Placa]])</f>
        <v>0</v>
      </c>
      <c r="AF642" s="36"/>
      <c r="AG642" s="35"/>
      <c r="AH642" s="34"/>
      <c r="AI642" s="34"/>
      <c r="AJ64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4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4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42" s="32" t="str">
        <f>IFERROR(MIP_4[[#This Row],[Tempo parado]]/(MIP_4[[#This Row],[C.B Sitrack]]-MIP_4[[#This Row],[S.B Sitrack]]),"")</f>
        <v/>
      </c>
      <c r="AN642" s="30"/>
      <c r="AO642" s="44">
        <f>IF(AND(MIP_4[Exc]=0,MIP_4[Previsto / Realizado]="Realizado"),MIP_4[Sem],0)</f>
        <v>41</v>
      </c>
      <c r="AP642" s="29">
        <f>IF(AND(MIP_4[Exc]=0,MIP_4[Previsto / Realizado]="Realizado",ISBLANK(MIP_4[[#This Row],[S.B Sitrack]])=FALSE,ISBLANK(MIP_4[[#This Row],[C.B Sitrack]])=FALSE),MIP_4[Sem],0)</f>
        <v>0</v>
      </c>
    </row>
    <row r="643" spans="1:42" ht="15.75" x14ac:dyDescent="0.25">
      <c r="A643" s="44">
        <f>WEEKNUM(MIP_4[[#This Row],[Data]])</f>
        <v>41</v>
      </c>
      <c r="B643" s="45">
        <v>43019</v>
      </c>
      <c r="C643" s="45"/>
      <c r="D643" s="35" t="s">
        <v>3</v>
      </c>
      <c r="E643" s="35" t="s">
        <v>5</v>
      </c>
      <c r="F643" s="35"/>
      <c r="G643" s="44">
        <v>2</v>
      </c>
      <c r="H643" s="44">
        <v>2</v>
      </c>
      <c r="I643" s="44">
        <v>6</v>
      </c>
      <c r="J643" s="44">
        <v>0</v>
      </c>
      <c r="K643" s="44">
        <v>0</v>
      </c>
      <c r="L643" s="43">
        <v>0.625</v>
      </c>
      <c r="M643" s="43">
        <v>0.64583333333333337</v>
      </c>
      <c r="N643" s="43">
        <v>1.0125</v>
      </c>
      <c r="O643" s="43">
        <v>1.0333333333333334</v>
      </c>
      <c r="P643" s="39"/>
      <c r="Q643" s="67" t="s">
        <v>196</v>
      </c>
      <c r="R643" s="29">
        <v>14</v>
      </c>
      <c r="S64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64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643" s="41">
        <f ca="1">MIP_4[[#This Row],[Eficiência]]</f>
        <v>0.96462862318840603</v>
      </c>
      <c r="V64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43" s="39">
        <f>IF(MIP_4[[#This Row],[P.S]]-MIP_4[[#This Row],[P.E]]&lt;0,1+MIP_4[[#This Row],[P.S]]-MIP_4[[#This Row],[P.E]]-1/24,MIP_4[[#This Row],[P.S]]-MIP_4[[#This Row],[P.E]]-1/24)</f>
        <v>0.36666666666666675</v>
      </c>
      <c r="X643" s="39">
        <f ca="1">MIP_4[[#This Row],[PT-1]]*$S$3+MIP_4[[#This Row],[PT-2]]*$T$3+MIP_4[[#This Row],[PT-3]]*$U$3+MIP_4[[#This Row],[PT &gt; 3 Pontos]]*$V$3</f>
        <v>0.31350430253623185</v>
      </c>
      <c r="Y643" s="39">
        <f>MIP_4[[#This Row],[HH disponível]]-MIP_4[[#This Row],[HH AC TOT]]</f>
        <v>0.3249999999999999</v>
      </c>
      <c r="Z643" s="38">
        <f ca="1">MIP_4[[#This Row],[HH Produtivo
Total]]/MIP_4[[#This Row],[HH Trabalhado]]</f>
        <v>0.96462862318840603</v>
      </c>
      <c r="AA643" s="38">
        <f ca="1">MIP_4[[#This Row],[HH Produtivo
Total]]/MIP_4[[#This Row],[HH disponível]]</f>
        <v>0.85501173418972298</v>
      </c>
      <c r="AB643" s="38">
        <f>MIP_4[[#This Row],[HH Trabalhado]]/MIP_4[[#This Row],[HH disponível]]</f>
        <v>0.88636363636363591</v>
      </c>
      <c r="AC643" s="37" t="str">
        <f>LEFT(MIP_4[[#This Row],[Equipe]], SEARCH("/",MIP_4[[#This Row],[Equipe]],1)-1)</f>
        <v xml:space="preserve">EDILTON </v>
      </c>
      <c r="AD643" s="37" t="str">
        <f>RIGHT(MIP_4[[#This Row],[Equipe]], LEN(MIP_4[[#This Row],[Equipe]])-SEARCH("/",MIP_4[[#This Row],[Equipe]],1))</f>
        <v xml:space="preserve"> GECIVALDO</v>
      </c>
      <c r="AE643" s="44">
        <f>COUNTIFS('[1]Tempo parado'!G:G,"&gt;="&amp;MIP_4[[#This Row],[S.B Sitrack]],'[1]Tempo parado'!H:H,"&lt;="&amp;MIP_4[[#This Row],[C.B Sitrack]],'[1]Tempo parado'!A:A,MIP_4[[#This Row],[Placa]])</f>
        <v>0</v>
      </c>
      <c r="AF643" s="36"/>
      <c r="AG643" s="35"/>
      <c r="AH643" s="34"/>
      <c r="AI643" s="34"/>
      <c r="AJ64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4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4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43" s="32" t="str">
        <f>IFERROR(MIP_4[[#This Row],[Tempo parado]]/(MIP_4[[#This Row],[C.B Sitrack]]-MIP_4[[#This Row],[S.B Sitrack]]),"")</f>
        <v/>
      </c>
      <c r="AN643" s="30"/>
      <c r="AO643" s="44">
        <f>IF(AND(MIP_4[Exc]=0,MIP_4[Previsto / Realizado]="Realizado"),MIP_4[Sem],0)</f>
        <v>0</v>
      </c>
      <c r="AP643" s="29">
        <f>IF(AND(MIP_4[Exc]=0,MIP_4[Previsto / Realizado]="Realizado",ISBLANK(MIP_4[[#This Row],[S.B Sitrack]])=FALSE,ISBLANK(MIP_4[[#This Row],[C.B Sitrack]])=FALSE),MIP_4[Sem],0)</f>
        <v>0</v>
      </c>
    </row>
    <row r="644" spans="1:42" ht="15.75" x14ac:dyDescent="0.25">
      <c r="A644" s="44">
        <f>WEEKNUM(MIP_4[[#This Row],[Data]])</f>
        <v>41</v>
      </c>
      <c r="B644" s="45">
        <v>43019</v>
      </c>
      <c r="C644" s="45"/>
      <c r="D644" s="35" t="s">
        <v>3</v>
      </c>
      <c r="E644" s="35" t="s">
        <v>2</v>
      </c>
      <c r="F644" s="35"/>
      <c r="G644" s="44">
        <v>2</v>
      </c>
      <c r="H644" s="44">
        <v>1</v>
      </c>
      <c r="I644" s="44">
        <v>6</v>
      </c>
      <c r="J644" s="44">
        <v>0</v>
      </c>
      <c r="K644" s="44">
        <v>0</v>
      </c>
      <c r="L644" s="43">
        <v>0.62569444444444444</v>
      </c>
      <c r="M644" s="43">
        <v>0.67361111111111116</v>
      </c>
      <c r="N644" s="43">
        <v>1.0284722222222222</v>
      </c>
      <c r="O644" s="43">
        <v>1.0333333333333334</v>
      </c>
      <c r="P644" s="39">
        <v>7.6388888888888886E-3</v>
      </c>
      <c r="Q644" s="42" t="s">
        <v>194</v>
      </c>
      <c r="R644" s="29">
        <v>13</v>
      </c>
      <c r="S64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6.0416666666666813E-2</v>
      </c>
      <c r="T64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5.2777777777777923E-2</v>
      </c>
      <c r="U644" s="41">
        <f ca="1">MIP_4[[#This Row],[Eficiência]]</f>
        <v>0.9441112895256919</v>
      </c>
      <c r="V64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44" s="39">
        <f>IF(MIP_4[[#This Row],[P.S]]-MIP_4[[#This Row],[P.E]]&lt;0,1+MIP_4[[#This Row],[P.S]]-MIP_4[[#This Row],[P.E]]-1/24,MIP_4[[#This Row],[P.S]]-MIP_4[[#This Row],[P.E]]-1/24)</f>
        <v>0.36597222222222231</v>
      </c>
      <c r="X644" s="39">
        <f ca="1">MIP_4[[#This Row],[PT-1]]*$S$3+MIP_4[[#This Row],[PT-2]]*$T$3+MIP_4[[#This Row],[PT-3]]*$U$3+MIP_4[[#This Row],[PT &gt; 3 Pontos]]*$V$3</f>
        <v>0.28847844957729468</v>
      </c>
      <c r="Y644" s="39">
        <f>MIP_4[[#This Row],[HH disponível]]-MIP_4[[#This Row],[HH AC TOT]]</f>
        <v>0.30555555555555547</v>
      </c>
      <c r="Z644" s="38">
        <f ca="1">MIP_4[[#This Row],[HH Produtivo
Total]]/MIP_4[[#This Row],[HH Trabalhado]]</f>
        <v>0.9441112895256919</v>
      </c>
      <c r="AA644" s="38">
        <f ca="1">MIP_4[[#This Row],[HH Produtivo
Total]]/MIP_4[[#This Row],[HH disponível]]</f>
        <v>0.78825231004042551</v>
      </c>
      <c r="AB644" s="38">
        <f>MIP_4[[#This Row],[HH Trabalhado]]/MIP_4[[#This Row],[HH disponível]]</f>
        <v>0.8349146110056922</v>
      </c>
      <c r="AC644" s="37" t="str">
        <f>LEFT(MIP_4[[#This Row],[Equipe]], SEARCH("/",MIP_4[[#This Row],[Equipe]],1)-1)</f>
        <v xml:space="preserve">EDILTON </v>
      </c>
      <c r="AD644" s="37" t="str">
        <f>RIGHT(MIP_4[[#This Row],[Equipe]], LEN(MIP_4[[#This Row],[Equipe]])-SEARCH("/",MIP_4[[#This Row],[Equipe]],1))</f>
        <v xml:space="preserve"> GECIVALDO</v>
      </c>
      <c r="AE644" s="44">
        <f>COUNTIFS('[1]Tempo parado'!G:G,"&gt;="&amp;MIP_4[[#This Row],[S.B Sitrack]],'[1]Tempo parado'!H:H,"&lt;="&amp;MIP_4[[#This Row],[C.B Sitrack]],'[1]Tempo parado'!A:A,MIP_4[[#This Row],[Placa]])</f>
        <v>0</v>
      </c>
      <c r="AF644" s="36"/>
      <c r="AG644" s="35"/>
      <c r="AH644" s="34"/>
      <c r="AI644" s="34"/>
      <c r="AJ64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4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4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44" s="32" t="str">
        <f>IFERROR(MIP_4[[#This Row],[Tempo parado]]/(MIP_4[[#This Row],[C.B Sitrack]]-MIP_4[[#This Row],[S.B Sitrack]]),"")</f>
        <v/>
      </c>
      <c r="AN644" s="30"/>
      <c r="AO644" s="44">
        <f>IF(AND(MIP_4[Exc]=0,MIP_4[Previsto / Realizado]="Realizado"),MIP_4[Sem],0)</f>
        <v>41</v>
      </c>
      <c r="AP644" s="29">
        <f>IF(AND(MIP_4[Exc]=0,MIP_4[Previsto / Realizado]="Realizado",ISBLANK(MIP_4[[#This Row],[S.B Sitrack]])=FALSE,ISBLANK(MIP_4[[#This Row],[C.B Sitrack]])=FALSE),MIP_4[Sem],0)</f>
        <v>0</v>
      </c>
    </row>
    <row r="645" spans="1:42" ht="15.75" x14ac:dyDescent="0.25">
      <c r="A645" s="44">
        <f>WEEKNUM(MIP_4[[#This Row],[Data]])</f>
        <v>41</v>
      </c>
      <c r="B645" s="45">
        <v>43019</v>
      </c>
      <c r="C645" s="45"/>
      <c r="D645" s="35" t="s">
        <v>7</v>
      </c>
      <c r="E645" s="35" t="s">
        <v>5</v>
      </c>
      <c r="F645" s="35"/>
      <c r="G645" s="44">
        <v>2</v>
      </c>
      <c r="H645" s="44">
        <v>3</v>
      </c>
      <c r="I645" s="44">
        <v>3</v>
      </c>
      <c r="J645" s="44">
        <v>1</v>
      </c>
      <c r="K645" s="44">
        <v>0</v>
      </c>
      <c r="L645" s="43">
        <v>0.625</v>
      </c>
      <c r="M645" s="43">
        <v>0.64583333333333337</v>
      </c>
      <c r="N645" s="43">
        <v>1.0125</v>
      </c>
      <c r="O645" s="43">
        <v>1.0333333333333334</v>
      </c>
      <c r="P645" s="39"/>
      <c r="Q645" s="67" t="s">
        <v>195</v>
      </c>
      <c r="R645" s="29">
        <v>12</v>
      </c>
      <c r="S64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64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645" s="41">
        <f ca="1">MIP_4[[#This Row],[Eficiência]]</f>
        <v>0.82952472748668427</v>
      </c>
      <c r="V64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45" s="39">
        <f>IF(MIP_4[[#This Row],[P.S]]-MIP_4[[#This Row],[P.E]]&lt;0,1+MIP_4[[#This Row],[P.S]]-MIP_4[[#This Row],[P.E]]-1/24,MIP_4[[#This Row],[P.S]]-MIP_4[[#This Row],[P.E]]-1/24)</f>
        <v>0.36666666666666675</v>
      </c>
      <c r="X645" s="39">
        <f ca="1">MIP_4[[#This Row],[PT-1]]*$S$3+MIP_4[[#This Row],[PT-2]]*$T$3+MIP_4[[#This Row],[PT-3]]*$U$3+MIP_4[[#This Row],[PT &gt; 3 Pontos]]*$V$3</f>
        <v>0.2695955364331723</v>
      </c>
      <c r="Y645" s="39">
        <f>MIP_4[[#This Row],[HH disponível]]-MIP_4[[#This Row],[HH AC TOT]]</f>
        <v>0.3249999999999999</v>
      </c>
      <c r="Z645" s="38">
        <f ca="1">MIP_4[[#This Row],[HH Produtivo
Total]]/MIP_4[[#This Row],[HH Trabalhado]]</f>
        <v>0.82952472748668427</v>
      </c>
      <c r="AA645" s="38">
        <f ca="1">MIP_4[[#This Row],[HH Produtivo
Total]]/MIP_4[[#This Row],[HH disponível]]</f>
        <v>0.73526055390865153</v>
      </c>
      <c r="AB645" s="38">
        <f>MIP_4[[#This Row],[HH Trabalhado]]/MIP_4[[#This Row],[HH disponível]]</f>
        <v>0.88636363636363591</v>
      </c>
      <c r="AC645" s="37" t="str">
        <f>LEFT(MIP_4[[#This Row],[Equipe]], SEARCH("/",MIP_4[[#This Row],[Equipe]],1)-1)</f>
        <v xml:space="preserve">ANDERSON </v>
      </c>
      <c r="AD645" s="37" t="str">
        <f>RIGHT(MIP_4[[#This Row],[Equipe]], LEN(MIP_4[[#This Row],[Equipe]])-SEARCH("/",MIP_4[[#This Row],[Equipe]],1))</f>
        <v xml:space="preserve"> MARCO</v>
      </c>
      <c r="AE645" s="44">
        <f>COUNTIFS('[1]Tempo parado'!G:G,"&gt;="&amp;MIP_4[[#This Row],[S.B Sitrack]],'[1]Tempo parado'!H:H,"&lt;="&amp;MIP_4[[#This Row],[C.B Sitrack]],'[1]Tempo parado'!A:A,MIP_4[[#This Row],[Placa]])</f>
        <v>0</v>
      </c>
      <c r="AF645" s="36"/>
      <c r="AG645" s="35"/>
      <c r="AH645" s="34"/>
      <c r="AI645" s="34"/>
      <c r="AJ64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4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4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45" s="32" t="str">
        <f>IFERROR(MIP_4[[#This Row],[Tempo parado]]/(MIP_4[[#This Row],[C.B Sitrack]]-MIP_4[[#This Row],[S.B Sitrack]]),"")</f>
        <v/>
      </c>
      <c r="AN645" s="30"/>
      <c r="AO645" s="44">
        <f>IF(AND(MIP_4[Exc]=0,MIP_4[Previsto / Realizado]="Realizado"),MIP_4[Sem],0)</f>
        <v>0</v>
      </c>
      <c r="AP645" s="29">
        <f>IF(AND(MIP_4[Exc]=0,MIP_4[Previsto / Realizado]="Realizado",ISBLANK(MIP_4[[#This Row],[S.B Sitrack]])=FALSE,ISBLANK(MIP_4[[#This Row],[C.B Sitrack]])=FALSE),MIP_4[Sem],0)</f>
        <v>0</v>
      </c>
    </row>
    <row r="646" spans="1:42" ht="15.75" x14ac:dyDescent="0.25">
      <c r="A646" s="44">
        <f>WEEKNUM(MIP_4[[#This Row],[Data]])</f>
        <v>41</v>
      </c>
      <c r="B646" s="45">
        <v>43019</v>
      </c>
      <c r="C646" s="45"/>
      <c r="D646" s="35" t="s">
        <v>7</v>
      </c>
      <c r="E646" s="35" t="s">
        <v>2</v>
      </c>
      <c r="F646" s="35"/>
      <c r="G646" s="44">
        <v>2</v>
      </c>
      <c r="H646" s="44">
        <v>2</v>
      </c>
      <c r="I646" s="44">
        <v>3</v>
      </c>
      <c r="J646" s="44">
        <v>1</v>
      </c>
      <c r="K646" s="44">
        <v>0</v>
      </c>
      <c r="L646" s="43">
        <v>0.62430555555555556</v>
      </c>
      <c r="M646" s="43">
        <v>0.6791666666666667</v>
      </c>
      <c r="N646" s="43">
        <v>1.0069444444444444</v>
      </c>
      <c r="O646" s="43">
        <v>1.0333333333333334</v>
      </c>
      <c r="P646" s="39">
        <v>2.1527777777777781E-2</v>
      </c>
      <c r="Q646" s="42" t="s">
        <v>194</v>
      </c>
      <c r="R646" s="29">
        <v>11</v>
      </c>
      <c r="S64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0.10277777777777794</v>
      </c>
      <c r="T64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8.1250000000000155E-2</v>
      </c>
      <c r="U646" s="41">
        <f ca="1">MIP_4[[#This Row],[Eficiência]]</f>
        <v>0.92435785880025889</v>
      </c>
      <c r="V64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46" s="39">
        <f>IF(MIP_4[[#This Row],[P.S]]-MIP_4[[#This Row],[P.E]]&lt;0,1+MIP_4[[#This Row],[P.S]]-MIP_4[[#This Row],[P.E]]-1/24,MIP_4[[#This Row],[P.S]]-MIP_4[[#This Row],[P.E]]-1/24)</f>
        <v>0.36736111111111119</v>
      </c>
      <c r="X646" s="39">
        <f ca="1">MIP_4[[#This Row],[PT-1]]*$S$3+MIP_4[[#This Row],[PT-2]]*$T$3+MIP_4[[#This Row],[PT-3]]*$U$3+MIP_4[[#This Row],[PT &gt; 3 Pontos]]*$V$3</f>
        <v>0.24456968347423511</v>
      </c>
      <c r="Y646" s="39">
        <f>MIP_4[[#This Row],[HH disponível]]-MIP_4[[#This Row],[HH AC TOT]]</f>
        <v>0.26458333333333328</v>
      </c>
      <c r="Z646" s="38">
        <f ca="1">MIP_4[[#This Row],[HH Produtivo
Total]]/MIP_4[[#This Row],[HH Trabalhado]]</f>
        <v>0.92435785880025889</v>
      </c>
      <c r="AA646" s="38">
        <f ca="1">MIP_4[[#This Row],[HH Produtivo
Total]]/MIP_4[[#This Row],[HH disponível]]</f>
        <v>0.66574734253856049</v>
      </c>
      <c r="AB646" s="38">
        <f>MIP_4[[#This Row],[HH Trabalhado]]/MIP_4[[#This Row],[HH disponível]]</f>
        <v>0.7202268431001887</v>
      </c>
      <c r="AC646" s="37" t="str">
        <f>LEFT(MIP_4[[#This Row],[Equipe]], SEARCH("/",MIP_4[[#This Row],[Equipe]],1)-1)</f>
        <v xml:space="preserve">ANDERSON </v>
      </c>
      <c r="AD646" s="37" t="str">
        <f>RIGHT(MIP_4[[#This Row],[Equipe]], LEN(MIP_4[[#This Row],[Equipe]])-SEARCH("/",MIP_4[[#This Row],[Equipe]],1))</f>
        <v xml:space="preserve"> MARCO</v>
      </c>
      <c r="AE646" s="44">
        <f>COUNTIFS('[1]Tempo parado'!G:G,"&gt;="&amp;MIP_4[[#This Row],[S.B Sitrack]],'[1]Tempo parado'!H:H,"&lt;="&amp;MIP_4[[#This Row],[C.B Sitrack]],'[1]Tempo parado'!A:A,MIP_4[[#This Row],[Placa]])</f>
        <v>0</v>
      </c>
      <c r="AF646" s="36"/>
      <c r="AG646" s="35"/>
      <c r="AH646" s="34"/>
      <c r="AI646" s="34"/>
      <c r="AJ64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4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4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46" s="32" t="str">
        <f>IFERROR(MIP_4[[#This Row],[Tempo parado]]/(MIP_4[[#This Row],[C.B Sitrack]]-MIP_4[[#This Row],[S.B Sitrack]]),"")</f>
        <v/>
      </c>
      <c r="AN646" s="30"/>
      <c r="AO646" s="44">
        <f>IF(AND(MIP_4[Exc]=0,MIP_4[Previsto / Realizado]="Realizado"),MIP_4[Sem],0)</f>
        <v>41</v>
      </c>
      <c r="AP646" s="29">
        <f>IF(AND(MIP_4[Exc]=0,MIP_4[Previsto / Realizado]="Realizado",ISBLANK(MIP_4[[#This Row],[S.B Sitrack]])=FALSE,ISBLANK(MIP_4[[#This Row],[C.B Sitrack]])=FALSE),MIP_4[Sem],0)</f>
        <v>0</v>
      </c>
    </row>
    <row r="647" spans="1:42" ht="15.75" x14ac:dyDescent="0.25">
      <c r="A647" s="29">
        <f>WEEKNUM(MIP_4[[#This Row],[Data]])</f>
        <v>41</v>
      </c>
      <c r="B647" s="45">
        <v>43020</v>
      </c>
      <c r="C647" s="45"/>
      <c r="D647" s="35" t="s">
        <v>10</v>
      </c>
      <c r="E647" s="35" t="s">
        <v>5</v>
      </c>
      <c r="F647" s="35"/>
      <c r="G647" s="44">
        <v>2</v>
      </c>
      <c r="H647" s="44">
        <v>1</v>
      </c>
      <c r="I647" s="44">
        <v>0</v>
      </c>
      <c r="J647" s="44">
        <v>0</v>
      </c>
      <c r="K647" s="44">
        <v>0</v>
      </c>
      <c r="L647" s="43">
        <v>0.25</v>
      </c>
      <c r="M647" s="43">
        <v>0.27083333333333331</v>
      </c>
      <c r="N647" s="43">
        <v>0.63750000000000007</v>
      </c>
      <c r="O647" s="43">
        <v>0.65833333333333333</v>
      </c>
      <c r="P647" s="39"/>
      <c r="Q647" s="42" t="s">
        <v>193</v>
      </c>
      <c r="R647" s="29">
        <v>1</v>
      </c>
      <c r="S64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64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647" s="41">
        <f ca="1">MIP_4[[#This Row],[Eficiência]]</f>
        <v>7.7002624489037469E-2</v>
      </c>
      <c r="V64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47" s="39">
        <f>IF(MIP_4[[#This Row],[P.S]]-MIP_4[[#This Row],[P.E]]&lt;0,1+MIP_4[[#This Row],[P.S]]-MIP_4[[#This Row],[P.E]]-1/24,MIP_4[[#This Row],[P.S]]-MIP_4[[#This Row],[P.E]]-1/24)</f>
        <v>0.36666666666666664</v>
      </c>
      <c r="X647" s="39">
        <f ca="1">MIP_4[[#This Row],[PT-1]]*$S$3+MIP_4[[#This Row],[PT-2]]*$T$3+MIP_4[[#This Row],[PT-3]]*$U$3+MIP_4[[#This Row],[PT &gt; 3 Pontos]]*$V$3</f>
        <v>2.5025852958937181E-2</v>
      </c>
      <c r="Y647" s="39">
        <f>MIP_4[[#This Row],[HH disponível]]-MIP_4[[#This Row],[HH AC TOT]]</f>
        <v>0.32500000000000007</v>
      </c>
      <c r="Z647" s="38">
        <f ca="1">MIP_4[[#This Row],[HH Produtivo
Total]]/MIP_4[[#This Row],[HH Trabalhado]]</f>
        <v>7.7002624489037469E-2</v>
      </c>
      <c r="AA647" s="38">
        <f ca="1">MIP_4[[#This Row],[HH Produtivo
Total]]/MIP_4[[#This Row],[HH disponível]]</f>
        <v>6.8252326251646858E-2</v>
      </c>
      <c r="AB647" s="38">
        <f>MIP_4[[#This Row],[HH Trabalhado]]/MIP_4[[#This Row],[HH disponível]]</f>
        <v>0.88636363636363658</v>
      </c>
      <c r="AC647" s="37" t="str">
        <f>LEFT(MIP_4[[#This Row],[Equipe]], SEARCH("/",MIP_4[[#This Row],[Equipe]],1)-1)</f>
        <v xml:space="preserve">JOILSON </v>
      </c>
      <c r="AD647" s="37" t="str">
        <f>RIGHT(MIP_4[[#This Row],[Equipe]], LEN(MIP_4[[#This Row],[Equipe]])-SEARCH("/",MIP_4[[#This Row],[Equipe]],1))</f>
        <v xml:space="preserve"> VALDEI</v>
      </c>
      <c r="AE647" s="44">
        <f>COUNTIFS('[1]Tempo parado'!G:G,"&gt;="&amp;MIP_4[[#This Row],[S.B Sitrack]],'[1]Tempo parado'!H:H,"&lt;="&amp;MIP_4[[#This Row],[C.B Sitrack]],'[1]Tempo parado'!A:A,MIP_4[[#This Row],[Placa]])</f>
        <v>0</v>
      </c>
      <c r="AF647" s="36"/>
      <c r="AG647" s="35"/>
      <c r="AH647" s="34"/>
      <c r="AI647" s="34"/>
      <c r="AJ64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4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4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47" s="32" t="str">
        <f>IFERROR(MIP_4[[#This Row],[Tempo parado]]/(MIP_4[[#This Row],[C.B Sitrack]]-MIP_4[[#This Row],[S.B Sitrack]]),"")</f>
        <v/>
      </c>
      <c r="AN647" s="30"/>
      <c r="AO647" s="44">
        <f>IF(AND(MIP_4[Exc]=0,MIP_4[Previsto / Realizado]="Realizado"),MIP_4[Sem],0)</f>
        <v>0</v>
      </c>
      <c r="AP647" s="29">
        <f>IF(AND(MIP_4[Exc]=0,MIP_4[Previsto / Realizado]="Realizado",ISBLANK(MIP_4[[#This Row],[S.B Sitrack]])=FALSE,ISBLANK(MIP_4[[#This Row],[C.B Sitrack]])=FALSE),MIP_4[Sem],0)</f>
        <v>0</v>
      </c>
    </row>
    <row r="648" spans="1:42" ht="15.75" x14ac:dyDescent="0.25">
      <c r="A648" s="29">
        <f>WEEKNUM(MIP_4[[#This Row],[Data]])</f>
        <v>41</v>
      </c>
      <c r="B648" s="45">
        <v>43020</v>
      </c>
      <c r="C648" s="45"/>
      <c r="D648" s="35" t="s">
        <v>10</v>
      </c>
      <c r="E648" s="35" t="s">
        <v>2</v>
      </c>
      <c r="F648" s="35"/>
      <c r="G648" s="44">
        <v>2</v>
      </c>
      <c r="H648" s="44">
        <v>2</v>
      </c>
      <c r="I648" s="44">
        <v>0</v>
      </c>
      <c r="J648" s="44">
        <v>1</v>
      </c>
      <c r="K648" s="44">
        <v>0</v>
      </c>
      <c r="L648" s="43">
        <v>0.24444444444444446</v>
      </c>
      <c r="M648" s="43">
        <v>0.2638888888888889</v>
      </c>
      <c r="N648" s="43">
        <v>0.64374999999999993</v>
      </c>
      <c r="O648" s="43">
        <v>0.66527777777777775</v>
      </c>
      <c r="P648" s="39">
        <v>0.12013888888888889</v>
      </c>
      <c r="Q648" s="42" t="s">
        <v>192</v>
      </c>
      <c r="R648" s="29">
        <v>5</v>
      </c>
      <c r="S64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0.16111111111111115</v>
      </c>
      <c r="T64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4.0972222222222243E-2</v>
      </c>
      <c r="U648" s="41">
        <f ca="1">MIP_4[[#This Row],[Eficiência]]</f>
        <v>0.51749832687159625</v>
      </c>
      <c r="V64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48" s="39">
        <f>IF(MIP_4[[#This Row],[P.S]]-MIP_4[[#This Row],[P.E]]&lt;0,1+MIP_4[[#This Row],[P.S]]-MIP_4[[#This Row],[P.E]]-1/24,MIP_4[[#This Row],[P.S]]-MIP_4[[#This Row],[P.E]]-1/24)</f>
        <v>0.3791666666666666</v>
      </c>
      <c r="X648" s="39">
        <f ca="1">MIP_4[[#This Row],[PT-1]]*$S$3+MIP_4[[#This Row],[PT-2]]*$T$3+MIP_4[[#This Row],[PT-3]]*$U$3+MIP_4[[#This Row],[PT &gt; 3 Pontos]]*$V$3</f>
        <v>0.11284338516505635</v>
      </c>
      <c r="Y648" s="39">
        <f>MIP_4[[#This Row],[HH disponível]]-MIP_4[[#This Row],[HH AC TOT]]</f>
        <v>0.21805555555555545</v>
      </c>
      <c r="Z648" s="38">
        <f ca="1">MIP_4[[#This Row],[HH Produtivo
Total]]/MIP_4[[#This Row],[HH Trabalhado]]</f>
        <v>0.51749832687159625</v>
      </c>
      <c r="AA648" s="38">
        <f ca="1">MIP_4[[#This Row],[HH Produtivo
Total]]/MIP_4[[#This Row],[HH disponível]]</f>
        <v>0.29760892790784099</v>
      </c>
      <c r="AB648" s="38">
        <f>MIP_4[[#This Row],[HH Trabalhado]]/MIP_4[[#This Row],[HH disponível]]</f>
        <v>0.57509157509157494</v>
      </c>
      <c r="AC648" s="37" t="str">
        <f>LEFT(MIP_4[[#This Row],[Equipe]], SEARCH("/",MIP_4[[#This Row],[Equipe]],1)-1)</f>
        <v xml:space="preserve">JOILSON </v>
      </c>
      <c r="AD648" s="37" t="str">
        <f>RIGHT(MIP_4[[#This Row],[Equipe]], LEN(MIP_4[[#This Row],[Equipe]])-SEARCH("/",MIP_4[[#This Row],[Equipe]],1))</f>
        <v xml:space="preserve"> VALDEI</v>
      </c>
      <c r="AE648" s="44">
        <f>COUNTIFS('[1]Tempo parado'!G:G,"&gt;="&amp;MIP_4[[#This Row],[S.B Sitrack]],'[1]Tempo parado'!H:H,"&lt;="&amp;MIP_4[[#This Row],[C.B Sitrack]],'[1]Tempo parado'!A:A,MIP_4[[#This Row],[Placa]])</f>
        <v>0</v>
      </c>
      <c r="AF648" s="36"/>
      <c r="AG648" s="35"/>
      <c r="AH648" s="34"/>
      <c r="AI648" s="34"/>
      <c r="AJ64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4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4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48" s="32" t="str">
        <f>IFERROR(MIP_4[[#This Row],[Tempo parado]]/(MIP_4[[#This Row],[C.B Sitrack]]-MIP_4[[#This Row],[S.B Sitrack]]),"")</f>
        <v/>
      </c>
      <c r="AN648" s="30"/>
      <c r="AO648" s="44">
        <f>IF(AND(MIP_4[Exc]=0,MIP_4[Previsto / Realizado]="Realizado"),MIP_4[Sem],0)</f>
        <v>41</v>
      </c>
      <c r="AP648" s="29">
        <f>IF(AND(MIP_4[Exc]=0,MIP_4[Previsto / Realizado]="Realizado",ISBLANK(MIP_4[[#This Row],[S.B Sitrack]])=FALSE,ISBLANK(MIP_4[[#This Row],[C.B Sitrack]])=FALSE),MIP_4[Sem],0)</f>
        <v>0</v>
      </c>
    </row>
    <row r="649" spans="1:42" ht="15.75" x14ac:dyDescent="0.25">
      <c r="A649" s="29">
        <f>WEEKNUM(MIP_4[[#This Row],[Data]])</f>
        <v>41</v>
      </c>
      <c r="B649" s="45">
        <v>43020</v>
      </c>
      <c r="C649" s="45"/>
      <c r="D649" s="35" t="s">
        <v>3</v>
      </c>
      <c r="E649" s="35" t="s">
        <v>5</v>
      </c>
      <c r="F649" s="35"/>
      <c r="G649" s="44">
        <v>2</v>
      </c>
      <c r="H649" s="44">
        <v>3</v>
      </c>
      <c r="I649" s="44">
        <v>0</v>
      </c>
      <c r="J649" s="44">
        <v>0</v>
      </c>
      <c r="K649" s="44">
        <v>0</v>
      </c>
      <c r="L649" s="43">
        <v>0.625</v>
      </c>
      <c r="M649" s="43">
        <v>0.64583333333333337</v>
      </c>
      <c r="N649" s="43">
        <v>1.0125</v>
      </c>
      <c r="O649" s="43">
        <v>1.0333333333333334</v>
      </c>
      <c r="P649" s="39"/>
      <c r="Q649" s="42" t="s">
        <v>4</v>
      </c>
      <c r="R649" s="29">
        <v>3</v>
      </c>
      <c r="S64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64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649" s="41">
        <f ca="1">MIP_4[[#This Row],[Eficiência]]</f>
        <v>0.23100787346711252</v>
      </c>
      <c r="V64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49" s="39">
        <f>IF(MIP_4[[#This Row],[P.S]]-MIP_4[[#This Row],[P.E]]&lt;0,1+MIP_4[[#This Row],[P.S]]-MIP_4[[#This Row],[P.E]]-1/24,MIP_4[[#This Row],[P.S]]-MIP_4[[#This Row],[P.E]]-1/24)</f>
        <v>0.36666666666666675</v>
      </c>
      <c r="X649" s="39">
        <f ca="1">MIP_4[[#This Row],[PT-1]]*$S$3+MIP_4[[#This Row],[PT-2]]*$T$3+MIP_4[[#This Row],[PT-3]]*$U$3+MIP_4[[#This Row],[PT &gt; 3 Pontos]]*$V$3</f>
        <v>7.5077558876811543E-2</v>
      </c>
      <c r="Y649" s="39">
        <f>MIP_4[[#This Row],[HH disponível]]-MIP_4[[#This Row],[HH AC TOT]]</f>
        <v>0.3249999999999999</v>
      </c>
      <c r="Z649" s="38">
        <f ca="1">MIP_4[[#This Row],[HH Produtivo
Total]]/MIP_4[[#This Row],[HH Trabalhado]]</f>
        <v>0.23100787346711252</v>
      </c>
      <c r="AA649" s="38">
        <f ca="1">MIP_4[[#This Row],[HH Produtivo
Total]]/MIP_4[[#This Row],[HH disponível]]</f>
        <v>0.20475697875494053</v>
      </c>
      <c r="AB649" s="38">
        <f>MIP_4[[#This Row],[HH Trabalhado]]/MIP_4[[#This Row],[HH disponível]]</f>
        <v>0.88636363636363591</v>
      </c>
      <c r="AC649" s="37" t="str">
        <f>LEFT(MIP_4[[#This Row],[Equipe]], SEARCH("/",MIP_4[[#This Row],[Equipe]],1)-1)</f>
        <v xml:space="preserve">EDILTON </v>
      </c>
      <c r="AD649" s="37" t="str">
        <f>RIGHT(MIP_4[[#This Row],[Equipe]], LEN(MIP_4[[#This Row],[Equipe]])-SEARCH("/",MIP_4[[#This Row],[Equipe]],1))</f>
        <v xml:space="preserve"> GECIVALDO</v>
      </c>
      <c r="AE649" s="44">
        <f>COUNTIFS('[1]Tempo parado'!G:G,"&gt;="&amp;MIP_4[[#This Row],[S.B Sitrack]],'[1]Tempo parado'!H:H,"&lt;="&amp;MIP_4[[#This Row],[C.B Sitrack]],'[1]Tempo parado'!A:A,MIP_4[[#This Row],[Placa]])</f>
        <v>0</v>
      </c>
      <c r="AF649" s="36"/>
      <c r="AG649" s="35"/>
      <c r="AH649" s="34"/>
      <c r="AI649" s="34"/>
      <c r="AJ64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4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4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49" s="32" t="str">
        <f>IFERROR(MIP_4[[#This Row],[Tempo parado]]/(MIP_4[[#This Row],[C.B Sitrack]]-MIP_4[[#This Row],[S.B Sitrack]]),"")</f>
        <v/>
      </c>
      <c r="AN649" s="30"/>
      <c r="AO649" s="44">
        <f>IF(AND(MIP_4[Exc]=0,MIP_4[Previsto / Realizado]="Realizado"),MIP_4[Sem],0)</f>
        <v>0</v>
      </c>
      <c r="AP649" s="29">
        <f>IF(AND(MIP_4[Exc]=0,MIP_4[Previsto / Realizado]="Realizado",ISBLANK(MIP_4[[#This Row],[S.B Sitrack]])=FALSE,ISBLANK(MIP_4[[#This Row],[C.B Sitrack]])=FALSE),MIP_4[Sem],0)</f>
        <v>0</v>
      </c>
    </row>
    <row r="650" spans="1:42" ht="15.75" x14ac:dyDescent="0.25">
      <c r="A650" s="29">
        <f>WEEKNUM(MIP_4[[#This Row],[Data]])</f>
        <v>41</v>
      </c>
      <c r="B650" s="45">
        <v>43020</v>
      </c>
      <c r="C650" s="45"/>
      <c r="D650" s="35" t="s">
        <v>3</v>
      </c>
      <c r="E650" s="35" t="s">
        <v>2</v>
      </c>
      <c r="F650" s="35"/>
      <c r="G650" s="44">
        <v>2</v>
      </c>
      <c r="H650" s="44">
        <v>4</v>
      </c>
      <c r="I650" s="44">
        <v>0</v>
      </c>
      <c r="J650" s="44">
        <v>0</v>
      </c>
      <c r="K650" s="44">
        <v>9</v>
      </c>
      <c r="L650" s="43">
        <v>0.61111111111111105</v>
      </c>
      <c r="M650" s="43">
        <v>0.65277777777777779</v>
      </c>
      <c r="N650" s="43">
        <v>1.0145833333333334</v>
      </c>
      <c r="O650" s="43">
        <v>1.0333333333333334</v>
      </c>
      <c r="P650" s="39"/>
      <c r="Q650" s="42" t="s">
        <v>191</v>
      </c>
      <c r="R650" s="29">
        <v>13</v>
      </c>
      <c r="S65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6.0416666666666785E-2</v>
      </c>
      <c r="T65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6.0416666666666785E-2</v>
      </c>
      <c r="U650" s="41">
        <f ca="1">MIP_4[[#This Row],[Eficiência]]</f>
        <v>0.88191569209972021</v>
      </c>
      <c r="V65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50" s="39">
        <f>IF(MIP_4[[#This Row],[P.S]]-MIP_4[[#This Row],[P.E]]&lt;0,1+MIP_4[[#This Row],[P.S]]-MIP_4[[#This Row],[P.E]]-1/24,MIP_4[[#This Row],[P.S]]-MIP_4[[#This Row],[P.E]]-1/24)</f>
        <v>0.3805555555555557</v>
      </c>
      <c r="X650" s="39">
        <f ca="1">MIP_4[[#This Row],[PT-1]]*$S$3+MIP_4[[#This Row],[PT-2]]*$T$3+MIP_4[[#This Row],[PT-3]]*$U$3+MIP_4[[#This Row],[PT &gt; 3 Pontos]]*$V$3</f>
        <v>0.2823355097624799</v>
      </c>
      <c r="Y650" s="39">
        <f>MIP_4[[#This Row],[HH disponível]]-MIP_4[[#This Row],[HH AC TOT]]</f>
        <v>0.32013888888888892</v>
      </c>
      <c r="Z650" s="38">
        <f ca="1">MIP_4[[#This Row],[HH Produtivo
Total]]/MIP_4[[#This Row],[HH Trabalhado]]</f>
        <v>0.88191569209972021</v>
      </c>
      <c r="AA650" s="38">
        <f ca="1">MIP_4[[#This Row],[HH Produtivo
Total]]/MIP_4[[#This Row],[HH disponível]]</f>
        <v>0.74190352930286663</v>
      </c>
      <c r="AB650" s="38">
        <f>MIP_4[[#This Row],[HH Trabalhado]]/MIP_4[[#This Row],[HH disponível]]</f>
        <v>0.84124087591240848</v>
      </c>
      <c r="AC650" s="37" t="str">
        <f>LEFT(MIP_4[[#This Row],[Equipe]], SEARCH("/",MIP_4[[#This Row],[Equipe]],1)-1)</f>
        <v xml:space="preserve">EDILTON </v>
      </c>
      <c r="AD650" s="37" t="str">
        <f>RIGHT(MIP_4[[#This Row],[Equipe]], LEN(MIP_4[[#This Row],[Equipe]])-SEARCH("/",MIP_4[[#This Row],[Equipe]],1))</f>
        <v xml:space="preserve"> GECIVALDO</v>
      </c>
      <c r="AE650" s="44">
        <f>COUNTIFS('[1]Tempo parado'!G:G,"&gt;="&amp;MIP_4[[#This Row],[S.B Sitrack]],'[1]Tempo parado'!H:H,"&lt;="&amp;MIP_4[[#This Row],[C.B Sitrack]],'[1]Tempo parado'!A:A,MIP_4[[#This Row],[Placa]])</f>
        <v>0</v>
      </c>
      <c r="AF650" s="36"/>
      <c r="AG650" s="35"/>
      <c r="AH650" s="34"/>
      <c r="AI650" s="34"/>
      <c r="AJ65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5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5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50" s="32" t="str">
        <f>IFERROR(MIP_4[[#This Row],[Tempo parado]]/(MIP_4[[#This Row],[C.B Sitrack]]-MIP_4[[#This Row],[S.B Sitrack]]),"")</f>
        <v/>
      </c>
      <c r="AN650" s="30"/>
      <c r="AO650" s="44">
        <f>IF(AND(MIP_4[Exc]=0,MIP_4[Previsto / Realizado]="Realizado"),MIP_4[Sem],0)</f>
        <v>41</v>
      </c>
      <c r="AP650" s="29">
        <f>IF(AND(MIP_4[Exc]=0,MIP_4[Previsto / Realizado]="Realizado",ISBLANK(MIP_4[[#This Row],[S.B Sitrack]])=FALSE,ISBLANK(MIP_4[[#This Row],[C.B Sitrack]])=FALSE),MIP_4[Sem],0)</f>
        <v>0</v>
      </c>
    </row>
    <row r="651" spans="1:42" ht="15.75" x14ac:dyDescent="0.25">
      <c r="A651" s="29">
        <f>WEEKNUM(MIP_4[[#This Row],[Data]])</f>
        <v>41</v>
      </c>
      <c r="B651" s="45">
        <v>43021</v>
      </c>
      <c r="C651" s="45"/>
      <c r="D651" s="35" t="s">
        <v>7</v>
      </c>
      <c r="E651" s="35" t="s">
        <v>5</v>
      </c>
      <c r="F651" s="35"/>
      <c r="G651" s="44">
        <v>2</v>
      </c>
      <c r="H651" s="44">
        <v>0</v>
      </c>
      <c r="I651" s="44">
        <v>0</v>
      </c>
      <c r="J651" s="44">
        <v>0</v>
      </c>
      <c r="K651" s="44">
        <v>0</v>
      </c>
      <c r="L651" s="43">
        <v>0.625</v>
      </c>
      <c r="M651" s="43">
        <v>0.64583333333333337</v>
      </c>
      <c r="N651" s="43">
        <v>1.0125</v>
      </c>
      <c r="O651" s="43">
        <v>1.0333333333333334</v>
      </c>
      <c r="P651" s="39"/>
      <c r="Q651" s="42" t="s">
        <v>190</v>
      </c>
      <c r="R651" s="29">
        <v>0</v>
      </c>
      <c r="S65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65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651" s="41">
        <f ca="1">MIP_4[[#This Row],[Eficiência]]</f>
        <v>0</v>
      </c>
      <c r="V65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51" s="39">
        <f>IF(MIP_4[[#This Row],[P.S]]-MIP_4[[#This Row],[P.E]]&lt;0,1+MIP_4[[#This Row],[P.S]]-MIP_4[[#This Row],[P.E]]-1/24,MIP_4[[#This Row],[P.S]]-MIP_4[[#This Row],[P.E]]-1/24)</f>
        <v>0.36666666666666675</v>
      </c>
      <c r="X651" s="39">
        <f ca="1">MIP_4[[#This Row],[PT-1]]*$S$3+MIP_4[[#This Row],[PT-2]]*$T$3+MIP_4[[#This Row],[PT-3]]*$U$3+MIP_4[[#This Row],[PT &gt; 3 Pontos]]*$V$3</f>
        <v>0</v>
      </c>
      <c r="Y651" s="39">
        <f>MIP_4[[#This Row],[HH disponível]]-MIP_4[[#This Row],[HH AC TOT]]</f>
        <v>0.3249999999999999</v>
      </c>
      <c r="Z651" s="38">
        <f ca="1">MIP_4[[#This Row],[HH Produtivo
Total]]/MIP_4[[#This Row],[HH Trabalhado]]</f>
        <v>0</v>
      </c>
      <c r="AA651" s="38">
        <f ca="1">MIP_4[[#This Row],[HH Produtivo
Total]]/MIP_4[[#This Row],[HH disponível]]</f>
        <v>0</v>
      </c>
      <c r="AB651" s="38">
        <f>MIP_4[[#This Row],[HH Trabalhado]]/MIP_4[[#This Row],[HH disponível]]</f>
        <v>0.88636363636363591</v>
      </c>
      <c r="AC651" s="37" t="str">
        <f>LEFT(MIP_4[[#This Row],[Equipe]], SEARCH("/",MIP_4[[#This Row],[Equipe]],1)-1)</f>
        <v xml:space="preserve">ANDERSON </v>
      </c>
      <c r="AD651" s="37" t="str">
        <f>RIGHT(MIP_4[[#This Row],[Equipe]], LEN(MIP_4[[#This Row],[Equipe]])-SEARCH("/",MIP_4[[#This Row],[Equipe]],1))</f>
        <v xml:space="preserve"> MARCO</v>
      </c>
      <c r="AE651" s="44">
        <f>COUNTIFS('[1]Tempo parado'!G:G,"&gt;="&amp;MIP_4[[#This Row],[S.B Sitrack]],'[1]Tempo parado'!H:H,"&lt;="&amp;MIP_4[[#This Row],[C.B Sitrack]],'[1]Tempo parado'!A:A,MIP_4[[#This Row],[Placa]])</f>
        <v>0</v>
      </c>
      <c r="AF651" s="36"/>
      <c r="AG651" s="35"/>
      <c r="AH651" s="34"/>
      <c r="AI651" s="34"/>
      <c r="AJ65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5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5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51" s="32" t="str">
        <f>IFERROR(MIP_4[[#This Row],[Tempo parado]]/(MIP_4[[#This Row],[C.B Sitrack]]-MIP_4[[#This Row],[S.B Sitrack]]),"")</f>
        <v/>
      </c>
      <c r="AN651" s="30"/>
      <c r="AO651" s="44">
        <f>IF(AND(MIP_4[Exc]=0,MIP_4[Previsto / Realizado]="Realizado"),MIP_4[Sem],0)</f>
        <v>0</v>
      </c>
      <c r="AP651" s="29">
        <f>IF(AND(MIP_4[Exc]=0,MIP_4[Previsto / Realizado]="Realizado",ISBLANK(MIP_4[[#This Row],[S.B Sitrack]])=FALSE,ISBLANK(MIP_4[[#This Row],[C.B Sitrack]])=FALSE),MIP_4[Sem],0)</f>
        <v>0</v>
      </c>
    </row>
    <row r="652" spans="1:42" ht="15.75" x14ac:dyDescent="0.25">
      <c r="A652" s="29">
        <f>WEEKNUM(MIP_4[[#This Row],[Data]])</f>
        <v>41</v>
      </c>
      <c r="B652" s="45">
        <v>43021</v>
      </c>
      <c r="C652" s="45"/>
      <c r="D652" s="35" t="s">
        <v>7</v>
      </c>
      <c r="E652" s="35" t="s">
        <v>2</v>
      </c>
      <c r="F652" s="35"/>
      <c r="G652" s="44">
        <v>2</v>
      </c>
      <c r="H652" s="44">
        <v>2</v>
      </c>
      <c r="I652" s="44">
        <v>4</v>
      </c>
      <c r="J652" s="44">
        <v>0</v>
      </c>
      <c r="K652" s="44">
        <v>0</v>
      </c>
      <c r="L652" s="43">
        <v>0.62013888888888891</v>
      </c>
      <c r="M652" s="43">
        <v>0.67361111111111116</v>
      </c>
      <c r="N652" s="43">
        <v>1.0138888888888888</v>
      </c>
      <c r="O652" s="43">
        <v>1.0333333333333334</v>
      </c>
      <c r="P652" s="39">
        <v>9.7222222222222224E-2</v>
      </c>
      <c r="Q652" s="42" t="s">
        <v>189</v>
      </c>
      <c r="R652" s="29">
        <v>10</v>
      </c>
      <c r="S65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0.17013888888888906</v>
      </c>
      <c r="T65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7.2916666666666852E-2</v>
      </c>
      <c r="U652" s="41">
        <f ca="1">MIP_4[[#This Row],[Eficiência]]</f>
        <v>1.1206515492253877</v>
      </c>
      <c r="V65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52" s="39">
        <f>IF(MIP_4[[#This Row],[P.S]]-MIP_4[[#This Row],[P.E]]&lt;0,1+MIP_4[[#This Row],[P.S]]-MIP_4[[#This Row],[P.E]]-1/24,MIP_4[[#This Row],[P.S]]-MIP_4[[#This Row],[P.E]]-1/24)</f>
        <v>0.37152777777777785</v>
      </c>
      <c r="X652" s="39">
        <f ca="1">MIP_4[[#This Row],[PT-1]]*$S$3+MIP_4[[#This Row],[PT-2]]*$T$3+MIP_4[[#This Row],[PT-3]]*$U$3+MIP_4[[#This Row],[PT &gt; 3 Pontos]]*$V$3</f>
        <v>0.2256867703301127</v>
      </c>
      <c r="Y652" s="39">
        <f>MIP_4[[#This Row],[HH disponível]]-MIP_4[[#This Row],[HH AC TOT]]</f>
        <v>0.20138888888888878</v>
      </c>
      <c r="Z652" s="38">
        <f ca="1">MIP_4[[#This Row],[HH Produtivo
Total]]/MIP_4[[#This Row],[HH Trabalhado]]</f>
        <v>1.1206515492253877</v>
      </c>
      <c r="AA652" s="38">
        <f ca="1">MIP_4[[#This Row],[HH Produtivo
Total]]/MIP_4[[#This Row],[HH disponível]]</f>
        <v>0.60745597995394807</v>
      </c>
      <c r="AB652" s="38">
        <f>MIP_4[[#This Row],[HH Trabalhado]]/MIP_4[[#This Row],[HH disponível]]</f>
        <v>0.54205607476635476</v>
      </c>
      <c r="AC652" s="37" t="str">
        <f>LEFT(MIP_4[[#This Row],[Equipe]], SEARCH("/",MIP_4[[#This Row],[Equipe]],1)-1)</f>
        <v xml:space="preserve">ANDERSON </v>
      </c>
      <c r="AD652" s="37" t="str">
        <f>RIGHT(MIP_4[[#This Row],[Equipe]], LEN(MIP_4[[#This Row],[Equipe]])-SEARCH("/",MIP_4[[#This Row],[Equipe]],1))</f>
        <v xml:space="preserve"> MARCO</v>
      </c>
      <c r="AE652" s="44">
        <f>COUNTIFS('[1]Tempo parado'!G:G,"&gt;="&amp;MIP_4[[#This Row],[S.B Sitrack]],'[1]Tempo parado'!H:H,"&lt;="&amp;MIP_4[[#This Row],[C.B Sitrack]],'[1]Tempo parado'!A:A,MIP_4[[#This Row],[Placa]])</f>
        <v>0</v>
      </c>
      <c r="AF652" s="36"/>
      <c r="AG652" s="35"/>
      <c r="AH652" s="34"/>
      <c r="AI652" s="34"/>
      <c r="AJ65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5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5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52" s="32" t="str">
        <f>IFERROR(MIP_4[[#This Row],[Tempo parado]]/(MIP_4[[#This Row],[C.B Sitrack]]-MIP_4[[#This Row],[S.B Sitrack]]),"")</f>
        <v/>
      </c>
      <c r="AN652" s="30"/>
      <c r="AO652" s="44">
        <f>IF(AND(MIP_4[Exc]=0,MIP_4[Previsto / Realizado]="Realizado"),MIP_4[Sem],0)</f>
        <v>41</v>
      </c>
      <c r="AP652" s="29">
        <f>IF(AND(MIP_4[Exc]=0,MIP_4[Previsto / Realizado]="Realizado",ISBLANK(MIP_4[[#This Row],[S.B Sitrack]])=FALSE,ISBLANK(MIP_4[[#This Row],[C.B Sitrack]])=FALSE),MIP_4[Sem],0)</f>
        <v>0</v>
      </c>
    </row>
    <row r="653" spans="1:42" ht="15.75" x14ac:dyDescent="0.25">
      <c r="A653" s="29">
        <f>WEEKNUM(MIP_4[[#This Row],[Data]])</f>
        <v>41</v>
      </c>
      <c r="B653" s="45">
        <v>43021</v>
      </c>
      <c r="C653" s="45"/>
      <c r="D653" s="35" t="s">
        <v>3</v>
      </c>
      <c r="E653" s="35" t="s">
        <v>5</v>
      </c>
      <c r="F653" s="35"/>
      <c r="G653" s="44">
        <v>2</v>
      </c>
      <c r="H653" s="44">
        <v>2</v>
      </c>
      <c r="I653" s="44">
        <v>2</v>
      </c>
      <c r="J653" s="44">
        <v>1</v>
      </c>
      <c r="K653" s="44">
        <v>0</v>
      </c>
      <c r="L653" s="43">
        <v>0.625</v>
      </c>
      <c r="M653" s="43">
        <v>0.64583333333333337</v>
      </c>
      <c r="N653" s="43">
        <v>1.0125</v>
      </c>
      <c r="O653" s="43">
        <v>1.0333333333333334</v>
      </c>
      <c r="P653" s="39"/>
      <c r="Q653" s="42" t="s">
        <v>188</v>
      </c>
      <c r="R653" s="29">
        <v>9</v>
      </c>
      <c r="S65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65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653" s="41">
        <f ca="1">MIP_4[[#This Row],[Eficiência]]</f>
        <v>0.61741820729592489</v>
      </c>
      <c r="V65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53" s="39">
        <f>IF(MIP_4[[#This Row],[P.S]]-MIP_4[[#This Row],[P.E]]&lt;0,1+MIP_4[[#This Row],[P.S]]-MIP_4[[#This Row],[P.E]]-1/24,MIP_4[[#This Row],[P.S]]-MIP_4[[#This Row],[P.E]]-1/24)</f>
        <v>0.36666666666666675</v>
      </c>
      <c r="X653" s="39">
        <f ca="1">MIP_4[[#This Row],[PT-1]]*$S$3+MIP_4[[#This Row],[PT-2]]*$T$3+MIP_4[[#This Row],[PT-3]]*$U$3+MIP_4[[#This Row],[PT &gt; 3 Pontos]]*$V$3</f>
        <v>0.20066091737117553</v>
      </c>
      <c r="Y653" s="39">
        <f>MIP_4[[#This Row],[HH disponível]]-MIP_4[[#This Row],[HH AC TOT]]</f>
        <v>0.3249999999999999</v>
      </c>
      <c r="Z653" s="38">
        <f ca="1">MIP_4[[#This Row],[HH Produtivo
Total]]/MIP_4[[#This Row],[HH Trabalhado]]</f>
        <v>0.61741820729592489</v>
      </c>
      <c r="AA653" s="38">
        <f ca="1">MIP_4[[#This Row],[HH Produtivo
Total]]/MIP_4[[#This Row],[HH disponível]]</f>
        <v>0.54725704737593317</v>
      </c>
      <c r="AB653" s="38">
        <f>MIP_4[[#This Row],[HH Trabalhado]]/MIP_4[[#This Row],[HH disponível]]</f>
        <v>0.88636363636363591</v>
      </c>
      <c r="AC653" s="37" t="str">
        <f>LEFT(MIP_4[[#This Row],[Equipe]], SEARCH("/",MIP_4[[#This Row],[Equipe]],1)-1)</f>
        <v xml:space="preserve">EDILTON </v>
      </c>
      <c r="AD653" s="37" t="str">
        <f>RIGHT(MIP_4[[#This Row],[Equipe]], LEN(MIP_4[[#This Row],[Equipe]])-SEARCH("/",MIP_4[[#This Row],[Equipe]],1))</f>
        <v xml:space="preserve"> GECIVALDO</v>
      </c>
      <c r="AE653" s="44">
        <f>COUNTIFS('[1]Tempo parado'!G:G,"&gt;="&amp;MIP_4[[#This Row],[S.B Sitrack]],'[1]Tempo parado'!H:H,"&lt;="&amp;MIP_4[[#This Row],[C.B Sitrack]],'[1]Tempo parado'!A:A,MIP_4[[#This Row],[Placa]])</f>
        <v>0</v>
      </c>
      <c r="AF653" s="36"/>
      <c r="AG653" s="35"/>
      <c r="AH653" s="34"/>
      <c r="AI653" s="34"/>
      <c r="AJ65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5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5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53" s="32" t="str">
        <f>IFERROR(MIP_4[[#This Row],[Tempo parado]]/(MIP_4[[#This Row],[C.B Sitrack]]-MIP_4[[#This Row],[S.B Sitrack]]),"")</f>
        <v/>
      </c>
      <c r="AN653" s="30"/>
      <c r="AO653" s="44">
        <f>IF(AND(MIP_4[Exc]=0,MIP_4[Previsto / Realizado]="Realizado"),MIP_4[Sem],0)</f>
        <v>0</v>
      </c>
      <c r="AP653" s="29">
        <f>IF(AND(MIP_4[Exc]=0,MIP_4[Previsto / Realizado]="Realizado",ISBLANK(MIP_4[[#This Row],[S.B Sitrack]])=FALSE,ISBLANK(MIP_4[[#This Row],[C.B Sitrack]])=FALSE),MIP_4[Sem],0)</f>
        <v>0</v>
      </c>
    </row>
    <row r="654" spans="1:42" ht="15.75" x14ac:dyDescent="0.25">
      <c r="A654" s="29">
        <f>WEEKNUM(MIP_4[[#This Row],[Data]])</f>
        <v>41</v>
      </c>
      <c r="B654" s="45">
        <v>43021</v>
      </c>
      <c r="C654" s="45"/>
      <c r="D654" s="35" t="s">
        <v>3</v>
      </c>
      <c r="E654" s="35" t="s">
        <v>2</v>
      </c>
      <c r="F654" s="35"/>
      <c r="G654" s="44">
        <v>2</v>
      </c>
      <c r="H654" s="44">
        <v>7</v>
      </c>
      <c r="I654" s="44">
        <v>2</v>
      </c>
      <c r="J654" s="44">
        <v>1</v>
      </c>
      <c r="K654" s="44">
        <v>0</v>
      </c>
      <c r="L654" s="43">
        <v>0.64374999999999993</v>
      </c>
      <c r="M654" s="43">
        <v>0.67638888888888893</v>
      </c>
      <c r="N654" s="43">
        <v>1.0270833333333333</v>
      </c>
      <c r="O654" s="43">
        <v>1.0340277777777778</v>
      </c>
      <c r="P654" s="39"/>
      <c r="Q654" s="42" t="s">
        <v>9</v>
      </c>
      <c r="R654" s="29">
        <v>14</v>
      </c>
      <c r="S65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3.9583333333333415E-2</v>
      </c>
      <c r="T65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3.9583333333333415E-2</v>
      </c>
      <c r="U654" s="41">
        <f ca="1">MIP_4[[#This Row],[Eficiência]]</f>
        <v>1.0542423872333495</v>
      </c>
      <c r="V65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54" s="39">
        <f>IF(MIP_4[[#This Row],[P.S]]-MIP_4[[#This Row],[P.E]]&lt;0,1+MIP_4[[#This Row],[P.S]]-MIP_4[[#This Row],[P.E]]-1/24,MIP_4[[#This Row],[P.S]]-MIP_4[[#This Row],[P.E]]-1/24)</f>
        <v>0.34861111111111115</v>
      </c>
      <c r="X654" s="39">
        <f ca="1">MIP_4[[#This Row],[PT-1]]*$S$3+MIP_4[[#This Row],[PT-2]]*$T$3+MIP_4[[#This Row],[PT-3]]*$U$3+MIP_4[[#This Row],[PT &gt; 3 Pontos]]*$V$3</f>
        <v>0.32579018216586142</v>
      </c>
      <c r="Y654" s="39">
        <f>MIP_4[[#This Row],[HH disponível]]-MIP_4[[#This Row],[HH AC TOT]]</f>
        <v>0.30902777777777773</v>
      </c>
      <c r="Z654" s="38">
        <f ca="1">MIP_4[[#This Row],[HH Produtivo
Total]]/MIP_4[[#This Row],[HH Trabalhado]]</f>
        <v>1.0542423872333495</v>
      </c>
      <c r="AA654" s="38">
        <f ca="1">MIP_4[[#This Row],[HH Produtivo
Total]]/MIP_4[[#This Row],[HH disponível]]</f>
        <v>0.93453757434031948</v>
      </c>
      <c r="AB654" s="38">
        <f>MIP_4[[#This Row],[HH Trabalhado]]/MIP_4[[#This Row],[HH disponível]]</f>
        <v>0.88645418326693204</v>
      </c>
      <c r="AC654" s="37" t="str">
        <f>LEFT(MIP_4[[#This Row],[Equipe]], SEARCH("/",MIP_4[[#This Row],[Equipe]],1)-1)</f>
        <v xml:space="preserve">EDILTON </v>
      </c>
      <c r="AD654" s="37" t="str">
        <f>RIGHT(MIP_4[[#This Row],[Equipe]], LEN(MIP_4[[#This Row],[Equipe]])-SEARCH("/",MIP_4[[#This Row],[Equipe]],1))</f>
        <v xml:space="preserve"> GECIVALDO</v>
      </c>
      <c r="AE654" s="44">
        <f>COUNTIFS('[1]Tempo parado'!G:G,"&gt;="&amp;MIP_4[[#This Row],[S.B Sitrack]],'[1]Tempo parado'!H:H,"&lt;="&amp;MIP_4[[#This Row],[C.B Sitrack]],'[1]Tempo parado'!A:A,MIP_4[[#This Row],[Placa]])</f>
        <v>0</v>
      </c>
      <c r="AF654" s="36"/>
      <c r="AG654" s="35"/>
      <c r="AH654" s="34"/>
      <c r="AI654" s="34"/>
      <c r="AJ65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5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5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54" s="32" t="str">
        <f>IFERROR(MIP_4[[#This Row],[Tempo parado]]/(MIP_4[[#This Row],[C.B Sitrack]]-MIP_4[[#This Row],[S.B Sitrack]]),"")</f>
        <v/>
      </c>
      <c r="AN654" s="30"/>
      <c r="AO654" s="44">
        <f>IF(AND(MIP_4[Exc]=0,MIP_4[Previsto / Realizado]="Realizado"),MIP_4[Sem],0)</f>
        <v>41</v>
      </c>
      <c r="AP654" s="29">
        <f>IF(AND(MIP_4[Exc]=0,MIP_4[Previsto / Realizado]="Realizado",ISBLANK(MIP_4[[#This Row],[S.B Sitrack]])=FALSE,ISBLANK(MIP_4[[#This Row],[C.B Sitrack]])=FALSE),MIP_4[Sem],0)</f>
        <v>0</v>
      </c>
    </row>
    <row r="655" spans="1:42" ht="15.75" x14ac:dyDescent="0.25">
      <c r="A655" s="29">
        <f>WEEKNUM(MIP_4[[#This Row],[Data]])</f>
        <v>41</v>
      </c>
      <c r="B655" s="45">
        <v>43022</v>
      </c>
      <c r="C655" s="45"/>
      <c r="D655" s="35" t="s">
        <v>10</v>
      </c>
      <c r="E655" s="35" t="s">
        <v>5</v>
      </c>
      <c r="F655" s="35"/>
      <c r="G655" s="44">
        <v>2</v>
      </c>
      <c r="H655" s="44">
        <v>1</v>
      </c>
      <c r="I655" s="44">
        <v>0</v>
      </c>
      <c r="J655" s="44">
        <v>0</v>
      </c>
      <c r="K655" s="44">
        <v>0</v>
      </c>
      <c r="L655" s="43">
        <v>0.25</v>
      </c>
      <c r="M655" s="43">
        <v>0.27083333333333331</v>
      </c>
      <c r="N655" s="43">
        <v>0.63750000000000007</v>
      </c>
      <c r="O655" s="43">
        <v>0.65833333333333333</v>
      </c>
      <c r="P655" s="39"/>
      <c r="Q655" s="42" t="s">
        <v>187</v>
      </c>
      <c r="R655" s="29">
        <v>1</v>
      </c>
      <c r="S65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65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655" s="41">
        <f ca="1">MIP_4[[#This Row],[Eficiência]]</f>
        <v>7.7002624489037469E-2</v>
      </c>
      <c r="V65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55" s="39">
        <f>IF(MIP_4[[#This Row],[P.S]]-MIP_4[[#This Row],[P.E]]&lt;0,1+MIP_4[[#This Row],[P.S]]-MIP_4[[#This Row],[P.E]]-1/24,MIP_4[[#This Row],[P.S]]-MIP_4[[#This Row],[P.E]]-1/24)</f>
        <v>0.36666666666666664</v>
      </c>
      <c r="X655" s="39">
        <f ca="1">MIP_4[[#This Row],[PT-1]]*$S$3+MIP_4[[#This Row],[PT-2]]*$T$3+MIP_4[[#This Row],[PT-3]]*$U$3+MIP_4[[#This Row],[PT &gt; 3 Pontos]]*$V$3</f>
        <v>2.5025852958937181E-2</v>
      </c>
      <c r="Y655" s="39">
        <f>MIP_4[[#This Row],[HH disponível]]-MIP_4[[#This Row],[HH AC TOT]]</f>
        <v>0.32500000000000007</v>
      </c>
      <c r="Z655" s="38">
        <f ca="1">MIP_4[[#This Row],[HH Produtivo
Total]]/MIP_4[[#This Row],[HH Trabalhado]]</f>
        <v>7.7002624489037469E-2</v>
      </c>
      <c r="AA655" s="38">
        <f ca="1">MIP_4[[#This Row],[HH Produtivo
Total]]/MIP_4[[#This Row],[HH disponível]]</f>
        <v>6.8252326251646858E-2</v>
      </c>
      <c r="AB655" s="38">
        <f>MIP_4[[#This Row],[HH Trabalhado]]/MIP_4[[#This Row],[HH disponível]]</f>
        <v>0.88636363636363658</v>
      </c>
      <c r="AC655" s="37" t="str">
        <f>LEFT(MIP_4[[#This Row],[Equipe]], SEARCH("/",MIP_4[[#This Row],[Equipe]],1)-1)</f>
        <v xml:space="preserve">JOILSON </v>
      </c>
      <c r="AD655" s="37" t="str">
        <f>RIGHT(MIP_4[[#This Row],[Equipe]], LEN(MIP_4[[#This Row],[Equipe]])-SEARCH("/",MIP_4[[#This Row],[Equipe]],1))</f>
        <v xml:space="preserve"> VALDEI</v>
      </c>
      <c r="AE655" s="44">
        <f>COUNTIFS('[1]Tempo parado'!G:G,"&gt;="&amp;MIP_4[[#This Row],[S.B Sitrack]],'[1]Tempo parado'!H:H,"&lt;="&amp;MIP_4[[#This Row],[C.B Sitrack]],'[1]Tempo parado'!A:A,MIP_4[[#This Row],[Placa]])</f>
        <v>0</v>
      </c>
      <c r="AF655" s="36"/>
      <c r="AG655" s="35"/>
      <c r="AH655" s="34"/>
      <c r="AI655" s="34"/>
      <c r="AJ65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5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5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55" s="32" t="str">
        <f>IFERROR(MIP_4[[#This Row],[Tempo parado]]/(MIP_4[[#This Row],[C.B Sitrack]]-MIP_4[[#This Row],[S.B Sitrack]]),"")</f>
        <v/>
      </c>
      <c r="AN655" s="30"/>
      <c r="AO655" s="44">
        <f>IF(AND(MIP_4[Exc]=0,MIP_4[Previsto / Realizado]="Realizado"),MIP_4[Sem],0)</f>
        <v>0</v>
      </c>
      <c r="AP655" s="29">
        <f>IF(AND(MIP_4[Exc]=0,MIP_4[Previsto / Realizado]="Realizado",ISBLANK(MIP_4[[#This Row],[S.B Sitrack]])=FALSE,ISBLANK(MIP_4[[#This Row],[C.B Sitrack]])=FALSE),MIP_4[Sem],0)</f>
        <v>0</v>
      </c>
    </row>
    <row r="656" spans="1:42" ht="15.75" x14ac:dyDescent="0.25">
      <c r="A656" s="29">
        <f>WEEKNUM(MIP_4[[#This Row],[Data]])</f>
        <v>41</v>
      </c>
      <c r="B656" s="45">
        <v>43022</v>
      </c>
      <c r="C656" s="45"/>
      <c r="D656" s="35" t="s">
        <v>10</v>
      </c>
      <c r="E656" s="35" t="s">
        <v>2</v>
      </c>
      <c r="F656" s="35"/>
      <c r="G656" s="44">
        <v>2</v>
      </c>
      <c r="H656" s="44">
        <v>4</v>
      </c>
      <c r="I656" s="44">
        <v>1</v>
      </c>
      <c r="J656" s="44">
        <v>0</v>
      </c>
      <c r="K656" s="44">
        <v>0</v>
      </c>
      <c r="L656" s="43">
        <v>0.26250000000000001</v>
      </c>
      <c r="M656" s="43">
        <v>0.27777777777777779</v>
      </c>
      <c r="N656" s="43">
        <v>0.61805555555555558</v>
      </c>
      <c r="O656" s="43">
        <v>0.66111111111111109</v>
      </c>
      <c r="P656" s="39">
        <v>6.1805555555555558E-2</v>
      </c>
      <c r="Q656" s="42"/>
      <c r="R656" s="29">
        <v>6</v>
      </c>
      <c r="S65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0.12013888888888885</v>
      </c>
      <c r="T65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5.8333333333333293E-2</v>
      </c>
      <c r="U656" s="41">
        <f ca="1">MIP_4[[#This Row],[Eficiência]]</f>
        <v>0.60814526754218168</v>
      </c>
      <c r="V65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56" s="39">
        <f>IF(MIP_4[[#This Row],[P.S]]-MIP_4[[#This Row],[P.E]]&lt;0,1+MIP_4[[#This Row],[P.S]]-MIP_4[[#This Row],[P.E]]-1/24,MIP_4[[#This Row],[P.S]]-MIP_4[[#This Row],[P.E]]-1/24)</f>
        <v>0.3569444444444444</v>
      </c>
      <c r="X656" s="39">
        <f ca="1">MIP_4[[#This Row],[PT-1]]*$S$3+MIP_4[[#This Row],[PT-2]]*$T$3+MIP_4[[#This Row],[PT-3]]*$U$3+MIP_4[[#This Row],[PT &gt; 3 Pontos]]*$V$3</f>
        <v>0.1440121779388083</v>
      </c>
      <c r="Y656" s="39">
        <f>MIP_4[[#This Row],[HH disponível]]-MIP_4[[#This Row],[HH AC TOT]]</f>
        <v>0.23680555555555555</v>
      </c>
      <c r="Z656" s="38">
        <f ca="1">MIP_4[[#This Row],[HH Produtivo
Total]]/MIP_4[[#This Row],[HH Trabalhado]]</f>
        <v>0.60814526754218168</v>
      </c>
      <c r="AA656" s="38">
        <f ca="1">MIP_4[[#This Row],[HH Produtivo
Total]]/MIP_4[[#This Row],[HH disponível]]</f>
        <v>0.40345824169627231</v>
      </c>
      <c r="AB656" s="38">
        <f>MIP_4[[#This Row],[HH Trabalhado]]/MIP_4[[#This Row],[HH disponível]]</f>
        <v>0.66342412451361876</v>
      </c>
      <c r="AC656" s="37" t="str">
        <f>LEFT(MIP_4[[#This Row],[Equipe]], SEARCH("/",MIP_4[[#This Row],[Equipe]],1)-1)</f>
        <v xml:space="preserve">JOILSON </v>
      </c>
      <c r="AD656" s="37" t="str">
        <f>RIGHT(MIP_4[[#This Row],[Equipe]], LEN(MIP_4[[#This Row],[Equipe]])-SEARCH("/",MIP_4[[#This Row],[Equipe]],1))</f>
        <v xml:space="preserve"> VALDEI</v>
      </c>
      <c r="AE656" s="44">
        <f>COUNTIFS('[1]Tempo parado'!G:G,"&gt;="&amp;MIP_4[[#This Row],[S.B Sitrack]],'[1]Tempo parado'!H:H,"&lt;="&amp;MIP_4[[#This Row],[C.B Sitrack]],'[1]Tempo parado'!A:A,MIP_4[[#This Row],[Placa]])</f>
        <v>0</v>
      </c>
      <c r="AF656" s="36"/>
      <c r="AG656" s="35"/>
      <c r="AH656" s="34"/>
      <c r="AI656" s="34"/>
      <c r="AJ65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5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5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56" s="32" t="str">
        <f>IFERROR(MIP_4[[#This Row],[Tempo parado]]/(MIP_4[[#This Row],[C.B Sitrack]]-MIP_4[[#This Row],[S.B Sitrack]]),"")</f>
        <v/>
      </c>
      <c r="AN656" s="30"/>
      <c r="AO656" s="44">
        <f>IF(AND(MIP_4[Exc]=0,MIP_4[Previsto / Realizado]="Realizado"),MIP_4[Sem],0)</f>
        <v>41</v>
      </c>
      <c r="AP656" s="29">
        <f>IF(AND(MIP_4[Exc]=0,MIP_4[Previsto / Realizado]="Realizado",ISBLANK(MIP_4[[#This Row],[S.B Sitrack]])=FALSE,ISBLANK(MIP_4[[#This Row],[C.B Sitrack]])=FALSE),MIP_4[Sem],0)</f>
        <v>0</v>
      </c>
    </row>
    <row r="657" spans="1:42" ht="15.75" x14ac:dyDescent="0.25">
      <c r="A657" s="29">
        <f>WEEKNUM(MIP_4[[#This Row],[Data]])</f>
        <v>41</v>
      </c>
      <c r="B657" s="45">
        <v>43022</v>
      </c>
      <c r="C657" s="45"/>
      <c r="D657" s="35" t="s">
        <v>19</v>
      </c>
      <c r="E657" s="35" t="s">
        <v>5</v>
      </c>
      <c r="F657" s="35"/>
      <c r="G657" s="44">
        <v>2</v>
      </c>
      <c r="H657" s="44">
        <v>0</v>
      </c>
      <c r="I657" s="44">
        <v>0</v>
      </c>
      <c r="J657" s="44">
        <v>0</v>
      </c>
      <c r="K657" s="44">
        <v>0</v>
      </c>
      <c r="L657" s="43">
        <v>0.625</v>
      </c>
      <c r="M657" s="43">
        <v>0.64583333333333337</v>
      </c>
      <c r="N657" s="43">
        <v>1.0125</v>
      </c>
      <c r="O657" s="43">
        <v>1.0333333333333334</v>
      </c>
      <c r="P657" s="39"/>
      <c r="Q657" s="42" t="s">
        <v>4</v>
      </c>
      <c r="R657" s="29">
        <v>0</v>
      </c>
      <c r="S65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65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657" s="41">
        <f ca="1">MIP_4[[#This Row],[Eficiência]]</f>
        <v>0</v>
      </c>
      <c r="V65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57" s="39">
        <f>IF(MIP_4[[#This Row],[P.S]]-MIP_4[[#This Row],[P.E]]&lt;0,1+MIP_4[[#This Row],[P.S]]-MIP_4[[#This Row],[P.E]]-1/24,MIP_4[[#This Row],[P.S]]-MIP_4[[#This Row],[P.E]]-1/24)</f>
        <v>0.36666666666666675</v>
      </c>
      <c r="X657" s="39">
        <f ca="1">MIP_4[[#This Row],[PT-1]]*$S$3+MIP_4[[#This Row],[PT-2]]*$T$3+MIP_4[[#This Row],[PT-3]]*$U$3+MIP_4[[#This Row],[PT &gt; 3 Pontos]]*$V$3</f>
        <v>0</v>
      </c>
      <c r="Y657" s="39">
        <f>MIP_4[[#This Row],[HH disponível]]-MIP_4[[#This Row],[HH AC TOT]]</f>
        <v>0.3249999999999999</v>
      </c>
      <c r="Z657" s="38">
        <f ca="1">MIP_4[[#This Row],[HH Produtivo
Total]]/MIP_4[[#This Row],[HH Trabalhado]]</f>
        <v>0</v>
      </c>
      <c r="AA657" s="38">
        <f ca="1">MIP_4[[#This Row],[HH Produtivo
Total]]/MIP_4[[#This Row],[HH disponível]]</f>
        <v>0</v>
      </c>
      <c r="AB657" s="38">
        <f>MIP_4[[#This Row],[HH Trabalhado]]/MIP_4[[#This Row],[HH disponível]]</f>
        <v>0.88636363636363591</v>
      </c>
      <c r="AC657" s="37" t="str">
        <f>LEFT(MIP_4[[#This Row],[Equipe]], SEARCH("/",MIP_4[[#This Row],[Equipe]],1)-1)</f>
        <v xml:space="preserve">ADEMÁRIO </v>
      </c>
      <c r="AD657" s="37" t="str">
        <f>RIGHT(MIP_4[[#This Row],[Equipe]], LEN(MIP_4[[#This Row],[Equipe]])-SEARCH("/",MIP_4[[#This Row],[Equipe]],1))</f>
        <v xml:space="preserve"> RONALDO</v>
      </c>
      <c r="AE657" s="44">
        <f>COUNTIFS('[1]Tempo parado'!G:G,"&gt;="&amp;MIP_4[[#This Row],[S.B Sitrack]],'[1]Tempo parado'!H:H,"&lt;="&amp;MIP_4[[#This Row],[C.B Sitrack]],'[1]Tempo parado'!A:A,MIP_4[[#This Row],[Placa]])</f>
        <v>0</v>
      </c>
      <c r="AF657" s="36"/>
      <c r="AG657" s="35"/>
      <c r="AH657" s="34"/>
      <c r="AI657" s="34"/>
      <c r="AJ65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5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5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57" s="32" t="str">
        <f>IFERROR(MIP_4[[#This Row],[Tempo parado]]/(MIP_4[[#This Row],[C.B Sitrack]]-MIP_4[[#This Row],[S.B Sitrack]]),"")</f>
        <v/>
      </c>
      <c r="AN657" s="30"/>
      <c r="AO657" s="44">
        <f>IF(AND(MIP_4[Exc]=0,MIP_4[Previsto / Realizado]="Realizado"),MIP_4[Sem],0)</f>
        <v>0</v>
      </c>
      <c r="AP657" s="29">
        <f>IF(AND(MIP_4[Exc]=0,MIP_4[Previsto / Realizado]="Realizado",ISBLANK(MIP_4[[#This Row],[S.B Sitrack]])=FALSE,ISBLANK(MIP_4[[#This Row],[C.B Sitrack]])=FALSE),MIP_4[Sem],0)</f>
        <v>0</v>
      </c>
    </row>
    <row r="658" spans="1:42" ht="15.75" x14ac:dyDescent="0.25">
      <c r="A658" s="29">
        <f>WEEKNUM(MIP_4[[#This Row],[Data]])</f>
        <v>41</v>
      </c>
      <c r="B658" s="45">
        <v>43022</v>
      </c>
      <c r="C658" s="45"/>
      <c r="D658" s="35" t="s">
        <v>19</v>
      </c>
      <c r="E658" s="35" t="s">
        <v>2</v>
      </c>
      <c r="F658" s="35"/>
      <c r="G658" s="44">
        <v>2</v>
      </c>
      <c r="H658" s="44">
        <v>1</v>
      </c>
      <c r="I658" s="44">
        <v>2</v>
      </c>
      <c r="J658" s="44">
        <v>1</v>
      </c>
      <c r="K658" s="44">
        <v>8</v>
      </c>
      <c r="L658" s="43">
        <v>0.63263888888888886</v>
      </c>
      <c r="M658" s="43">
        <v>0.66666666666666663</v>
      </c>
      <c r="N658" s="43">
        <v>1.0277777777777777</v>
      </c>
      <c r="O658" s="43">
        <v>1.0361111111111112</v>
      </c>
      <c r="P658" s="39"/>
      <c r="Q658" s="42" t="s">
        <v>186</v>
      </c>
      <c r="R658" s="29">
        <v>16</v>
      </c>
      <c r="S65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4.2361111111111294E-2</v>
      </c>
      <c r="T65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4.2361111111111294E-2</v>
      </c>
      <c r="U658" s="41">
        <f ca="1">MIP_4[[#This Row],[Eficiência]]</f>
        <v>1.0568947349996507</v>
      </c>
      <c r="V65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58" s="39">
        <f>IF(MIP_4[[#This Row],[P.S]]-MIP_4[[#This Row],[P.E]]&lt;0,1+MIP_4[[#This Row],[P.S]]-MIP_4[[#This Row],[P.E]]-1/24,MIP_4[[#This Row],[P.S]]-MIP_4[[#This Row],[P.E]]-1/24)</f>
        <v>0.36180555555555566</v>
      </c>
      <c r="X658" s="39">
        <f ca="1">MIP_4[[#This Row],[PT-1]]*$S$3+MIP_4[[#This Row],[PT-2]]*$T$3+MIP_4[[#This Row],[PT-3]]*$U$3+MIP_4[[#This Row],[PT &gt; 3 Pontos]]*$V$3</f>
        <v>0.33761915145822163</v>
      </c>
      <c r="Y658" s="39">
        <f>MIP_4[[#This Row],[HH disponível]]-MIP_4[[#This Row],[HH AC TOT]]</f>
        <v>0.31944444444444436</v>
      </c>
      <c r="Z658" s="38">
        <f ca="1">MIP_4[[#This Row],[HH Produtivo
Total]]/MIP_4[[#This Row],[HH Trabalhado]]</f>
        <v>1.0568947349996507</v>
      </c>
      <c r="AA658" s="38">
        <f ca="1">MIP_4[[#This Row],[HH Produtivo
Total]]/MIP_4[[#This Row],[HH disponível]]</f>
        <v>0.93315082168875052</v>
      </c>
      <c r="AB658" s="38">
        <f>MIP_4[[#This Row],[HH Trabalhado]]/MIP_4[[#This Row],[HH disponível]]</f>
        <v>0.88291746641074809</v>
      </c>
      <c r="AC658" s="37" t="str">
        <f>LEFT(MIP_4[[#This Row],[Equipe]], SEARCH("/",MIP_4[[#This Row],[Equipe]],1)-1)</f>
        <v xml:space="preserve">ADEMÁRIO </v>
      </c>
      <c r="AD658" s="37" t="str">
        <f>RIGHT(MIP_4[[#This Row],[Equipe]], LEN(MIP_4[[#This Row],[Equipe]])-SEARCH("/",MIP_4[[#This Row],[Equipe]],1))</f>
        <v xml:space="preserve"> RONALDO</v>
      </c>
      <c r="AE658" s="44">
        <f>COUNTIFS('[1]Tempo parado'!G:G,"&gt;="&amp;MIP_4[[#This Row],[S.B Sitrack]],'[1]Tempo parado'!H:H,"&lt;="&amp;MIP_4[[#This Row],[C.B Sitrack]],'[1]Tempo parado'!A:A,MIP_4[[#This Row],[Placa]])</f>
        <v>0</v>
      </c>
      <c r="AF658" s="36"/>
      <c r="AG658" s="35"/>
      <c r="AH658" s="34"/>
      <c r="AI658" s="34"/>
      <c r="AJ65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5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5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58" s="32" t="str">
        <f>IFERROR(MIP_4[[#This Row],[Tempo parado]]/(MIP_4[[#This Row],[C.B Sitrack]]-MIP_4[[#This Row],[S.B Sitrack]]),"")</f>
        <v/>
      </c>
      <c r="AN658" s="30"/>
      <c r="AO658" s="44">
        <f>IF(AND(MIP_4[Exc]=0,MIP_4[Previsto / Realizado]="Realizado"),MIP_4[Sem],0)</f>
        <v>41</v>
      </c>
      <c r="AP658" s="29">
        <f>IF(AND(MIP_4[Exc]=0,MIP_4[Previsto / Realizado]="Realizado",ISBLANK(MIP_4[[#This Row],[S.B Sitrack]])=FALSE,ISBLANK(MIP_4[[#This Row],[C.B Sitrack]])=FALSE),MIP_4[Sem],0)</f>
        <v>0</v>
      </c>
    </row>
    <row r="659" spans="1:42" ht="15.75" x14ac:dyDescent="0.25">
      <c r="A659" s="29">
        <f>WEEKNUM(MIP_4[[#This Row],[Data]])</f>
        <v>42</v>
      </c>
      <c r="B659" s="45">
        <v>43023</v>
      </c>
      <c r="C659" s="45"/>
      <c r="D659" s="35" t="s">
        <v>10</v>
      </c>
      <c r="E659" s="35" t="s">
        <v>5</v>
      </c>
      <c r="F659" s="35"/>
      <c r="G659" s="44">
        <v>2</v>
      </c>
      <c r="H659" s="44">
        <v>0</v>
      </c>
      <c r="I659" s="44">
        <v>0</v>
      </c>
      <c r="J659" s="44">
        <v>0</v>
      </c>
      <c r="K659" s="44">
        <v>0</v>
      </c>
      <c r="L659" s="43">
        <v>0.25</v>
      </c>
      <c r="M659" s="43">
        <v>0.27083333333333331</v>
      </c>
      <c r="N659" s="43">
        <v>0.63750000000000007</v>
      </c>
      <c r="O659" s="43">
        <v>0.65833333333333333</v>
      </c>
      <c r="P659" s="39"/>
      <c r="Q659" s="42" t="s">
        <v>185</v>
      </c>
      <c r="R659" s="29">
        <v>0</v>
      </c>
      <c r="S65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65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659" s="41">
        <f ca="1">MIP_4[[#This Row],[Eficiência]]</f>
        <v>0</v>
      </c>
      <c r="V65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59" s="39">
        <f>IF(MIP_4[[#This Row],[P.S]]-MIP_4[[#This Row],[P.E]]&lt;0,1+MIP_4[[#This Row],[P.S]]-MIP_4[[#This Row],[P.E]]-1/24,MIP_4[[#This Row],[P.S]]-MIP_4[[#This Row],[P.E]]-1/24)</f>
        <v>0.36666666666666664</v>
      </c>
      <c r="X659" s="39">
        <f ca="1">MIP_4[[#This Row],[PT-1]]*$S$3+MIP_4[[#This Row],[PT-2]]*$T$3+MIP_4[[#This Row],[PT-3]]*$U$3+MIP_4[[#This Row],[PT &gt; 3 Pontos]]*$V$3</f>
        <v>0</v>
      </c>
      <c r="Y659" s="39">
        <f>MIP_4[[#This Row],[HH disponível]]-MIP_4[[#This Row],[HH AC TOT]]</f>
        <v>0.32500000000000007</v>
      </c>
      <c r="Z659" s="38">
        <f ca="1">MIP_4[[#This Row],[HH Produtivo
Total]]/MIP_4[[#This Row],[HH Trabalhado]]</f>
        <v>0</v>
      </c>
      <c r="AA659" s="38">
        <f ca="1">MIP_4[[#This Row],[HH Produtivo
Total]]/MIP_4[[#This Row],[HH disponível]]</f>
        <v>0</v>
      </c>
      <c r="AB659" s="38">
        <f>MIP_4[[#This Row],[HH Trabalhado]]/MIP_4[[#This Row],[HH disponível]]</f>
        <v>0.88636363636363658</v>
      </c>
      <c r="AC659" s="37" t="str">
        <f>LEFT(MIP_4[[#This Row],[Equipe]], SEARCH("/",MIP_4[[#This Row],[Equipe]],1)-1)</f>
        <v xml:space="preserve">JOILSON </v>
      </c>
      <c r="AD659" s="37" t="str">
        <f>RIGHT(MIP_4[[#This Row],[Equipe]], LEN(MIP_4[[#This Row],[Equipe]])-SEARCH("/",MIP_4[[#This Row],[Equipe]],1))</f>
        <v xml:space="preserve"> VALDEI</v>
      </c>
      <c r="AE659" s="44">
        <f>COUNTIFS('[1]Tempo parado'!G:G,"&gt;="&amp;MIP_4[[#This Row],[S.B Sitrack]],'[1]Tempo parado'!H:H,"&lt;="&amp;MIP_4[[#This Row],[C.B Sitrack]],'[1]Tempo parado'!A:A,MIP_4[[#This Row],[Placa]])</f>
        <v>0</v>
      </c>
      <c r="AF659" s="36"/>
      <c r="AG659" s="35"/>
      <c r="AH659" s="34"/>
      <c r="AI659" s="34"/>
      <c r="AJ65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5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5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59" s="32" t="str">
        <f>IFERROR(MIP_4[[#This Row],[Tempo parado]]/(MIP_4[[#This Row],[C.B Sitrack]]-MIP_4[[#This Row],[S.B Sitrack]]),"")</f>
        <v/>
      </c>
      <c r="AN659" s="30"/>
      <c r="AO659" s="44">
        <f>IF(AND(MIP_4[Exc]=0,MIP_4[Previsto / Realizado]="Realizado"),MIP_4[Sem],0)</f>
        <v>0</v>
      </c>
      <c r="AP659" s="29">
        <f>IF(AND(MIP_4[Exc]=0,MIP_4[Previsto / Realizado]="Realizado",ISBLANK(MIP_4[[#This Row],[S.B Sitrack]])=FALSE,ISBLANK(MIP_4[[#This Row],[C.B Sitrack]])=FALSE),MIP_4[Sem],0)</f>
        <v>0</v>
      </c>
    </row>
    <row r="660" spans="1:42" ht="15.75" x14ac:dyDescent="0.25">
      <c r="A660" s="29">
        <f>WEEKNUM(MIP_4[[#This Row],[Data]])</f>
        <v>42</v>
      </c>
      <c r="B660" s="45">
        <v>43027</v>
      </c>
      <c r="C660" s="45"/>
      <c r="D660" s="35" t="s">
        <v>10</v>
      </c>
      <c r="E660" s="35" t="s">
        <v>2</v>
      </c>
      <c r="F660" s="35"/>
      <c r="G660" s="44">
        <v>2</v>
      </c>
      <c r="H660" s="44">
        <v>4</v>
      </c>
      <c r="I660" s="44">
        <v>1</v>
      </c>
      <c r="J660" s="44">
        <v>1</v>
      </c>
      <c r="K660" s="44">
        <v>0</v>
      </c>
      <c r="L660" s="43">
        <v>0.24513888888888888</v>
      </c>
      <c r="M660" s="43">
        <v>0.27083333333333331</v>
      </c>
      <c r="N660" s="43">
        <v>0.59722222222222221</v>
      </c>
      <c r="O660" s="43">
        <v>0.71527777777777779</v>
      </c>
      <c r="P660" s="39"/>
      <c r="Q660" s="42"/>
      <c r="R660" s="29">
        <v>9</v>
      </c>
      <c r="S66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0.14375000000000002</v>
      </c>
      <c r="T66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0.14375000000000002</v>
      </c>
      <c r="U660" s="41">
        <f ca="1">MIP_4[[#This Row],[Eficiência]]</f>
        <v>0.72633549840933176</v>
      </c>
      <c r="V66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60" s="39">
        <f>IF(MIP_4[[#This Row],[P.S]]-MIP_4[[#This Row],[P.E]]&lt;0,1+MIP_4[[#This Row],[P.S]]-MIP_4[[#This Row],[P.E]]-1/24,MIP_4[[#This Row],[P.S]]-MIP_4[[#This Row],[P.E]]-1/24)</f>
        <v>0.4284722222222222</v>
      </c>
      <c r="X660" s="39">
        <f ca="1">MIP_4[[#This Row],[PT-1]]*$S$3+MIP_4[[#This Row],[PT-2]]*$T$3+MIP_4[[#This Row],[PT-3]]*$U$3+MIP_4[[#This Row],[PT &gt; 3 Pontos]]*$V$3</f>
        <v>0.20680385718599029</v>
      </c>
      <c r="Y660" s="39">
        <f>MIP_4[[#This Row],[HH disponível]]-MIP_4[[#This Row],[HH AC TOT]]</f>
        <v>0.28472222222222221</v>
      </c>
      <c r="Z660" s="38">
        <f ca="1">MIP_4[[#This Row],[HH Produtivo
Total]]/MIP_4[[#This Row],[HH Trabalhado]]</f>
        <v>0.72633549840933176</v>
      </c>
      <c r="AA660" s="38">
        <f ca="1">MIP_4[[#This Row],[HH Produtivo
Total]]/MIP_4[[#This Row],[HH disponível]]</f>
        <v>0.48265405891057706</v>
      </c>
      <c r="AB660" s="38">
        <f>MIP_4[[#This Row],[HH Trabalhado]]/MIP_4[[#This Row],[HH disponível]]</f>
        <v>0.6645056726094003</v>
      </c>
      <c r="AC660" s="37" t="str">
        <f>LEFT(MIP_4[[#This Row],[Equipe]], SEARCH("/",MIP_4[[#This Row],[Equipe]],1)-1)</f>
        <v xml:space="preserve">JOILSON </v>
      </c>
      <c r="AD660" s="37" t="str">
        <f>RIGHT(MIP_4[[#This Row],[Equipe]], LEN(MIP_4[[#This Row],[Equipe]])-SEARCH("/",MIP_4[[#This Row],[Equipe]],1))</f>
        <v xml:space="preserve"> VALDEI</v>
      </c>
      <c r="AE660" s="44">
        <f>COUNTIFS('[1]Tempo parado'!G:G,"&gt;="&amp;MIP_4[[#This Row],[S.B Sitrack]],'[1]Tempo parado'!H:H,"&lt;="&amp;MIP_4[[#This Row],[C.B Sitrack]],'[1]Tempo parado'!A:A,MIP_4[[#This Row],[Placa]])</f>
        <v>0</v>
      </c>
      <c r="AF660" s="36"/>
      <c r="AG660" s="35"/>
      <c r="AH660" s="34"/>
      <c r="AI660" s="34"/>
      <c r="AJ66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6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6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60" s="32" t="str">
        <f>IFERROR(MIP_4[[#This Row],[Tempo parado]]/(MIP_4[[#This Row],[C.B Sitrack]]-MIP_4[[#This Row],[S.B Sitrack]]),"")</f>
        <v/>
      </c>
      <c r="AN660" s="30"/>
      <c r="AO660" s="44">
        <f>IF(AND(MIP_4[Exc]=0,MIP_4[Previsto / Realizado]="Realizado"),MIP_4[Sem],0)</f>
        <v>42</v>
      </c>
      <c r="AP660" s="29">
        <f>IF(AND(MIP_4[Exc]=0,MIP_4[Previsto / Realizado]="Realizado",ISBLANK(MIP_4[[#This Row],[S.B Sitrack]])=FALSE,ISBLANK(MIP_4[[#This Row],[C.B Sitrack]])=FALSE),MIP_4[Sem],0)</f>
        <v>0</v>
      </c>
    </row>
    <row r="661" spans="1:42" ht="15.75" x14ac:dyDescent="0.25">
      <c r="A661" s="29">
        <f>WEEKNUM(MIP_4[[#This Row],[Data]])</f>
        <v>42</v>
      </c>
      <c r="B661" s="45">
        <v>43023</v>
      </c>
      <c r="C661" s="45"/>
      <c r="D661" s="35" t="s">
        <v>19</v>
      </c>
      <c r="E661" s="35" t="s">
        <v>5</v>
      </c>
      <c r="F661" s="35"/>
      <c r="G661" s="44">
        <v>2</v>
      </c>
      <c r="H661" s="44">
        <v>0</v>
      </c>
      <c r="I661" s="44">
        <v>0</v>
      </c>
      <c r="J661" s="44">
        <v>0</v>
      </c>
      <c r="K661" s="44">
        <v>0</v>
      </c>
      <c r="L661" s="43">
        <v>0.625</v>
      </c>
      <c r="M661" s="43">
        <v>0.64583333333333337</v>
      </c>
      <c r="N661" s="43">
        <v>1.0125</v>
      </c>
      <c r="O661" s="43">
        <v>1.0333333333333334</v>
      </c>
      <c r="P661" s="39"/>
      <c r="Q661" s="42"/>
      <c r="R661" s="29">
        <v>0</v>
      </c>
      <c r="S66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66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661" s="41">
        <f ca="1">MIP_4[[#This Row],[Eficiência]]</f>
        <v>0</v>
      </c>
      <c r="V66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61" s="39">
        <f>IF(MIP_4[[#This Row],[P.S]]-MIP_4[[#This Row],[P.E]]&lt;0,1+MIP_4[[#This Row],[P.S]]-MIP_4[[#This Row],[P.E]]-1/24,MIP_4[[#This Row],[P.S]]-MIP_4[[#This Row],[P.E]]-1/24)</f>
        <v>0.36666666666666675</v>
      </c>
      <c r="X661" s="39">
        <f ca="1">MIP_4[[#This Row],[PT-1]]*$S$3+MIP_4[[#This Row],[PT-2]]*$T$3+MIP_4[[#This Row],[PT-3]]*$U$3+MIP_4[[#This Row],[PT &gt; 3 Pontos]]*$V$3</f>
        <v>0</v>
      </c>
      <c r="Y661" s="39">
        <f>MIP_4[[#This Row],[HH disponível]]-MIP_4[[#This Row],[HH AC TOT]]</f>
        <v>0.3249999999999999</v>
      </c>
      <c r="Z661" s="38">
        <f ca="1">MIP_4[[#This Row],[HH Produtivo
Total]]/MIP_4[[#This Row],[HH Trabalhado]]</f>
        <v>0</v>
      </c>
      <c r="AA661" s="38">
        <f ca="1">MIP_4[[#This Row],[HH Produtivo
Total]]/MIP_4[[#This Row],[HH disponível]]</f>
        <v>0</v>
      </c>
      <c r="AB661" s="38">
        <f>MIP_4[[#This Row],[HH Trabalhado]]/MIP_4[[#This Row],[HH disponível]]</f>
        <v>0.88636363636363591</v>
      </c>
      <c r="AC661" s="37" t="str">
        <f>LEFT(MIP_4[[#This Row],[Equipe]], SEARCH("/",MIP_4[[#This Row],[Equipe]],1)-1)</f>
        <v xml:space="preserve">ADEMÁRIO </v>
      </c>
      <c r="AD661" s="37" t="str">
        <f>RIGHT(MIP_4[[#This Row],[Equipe]], LEN(MIP_4[[#This Row],[Equipe]])-SEARCH("/",MIP_4[[#This Row],[Equipe]],1))</f>
        <v xml:space="preserve"> RONALDO</v>
      </c>
      <c r="AE661" s="44">
        <f>COUNTIFS('[1]Tempo parado'!G:G,"&gt;="&amp;MIP_4[[#This Row],[S.B Sitrack]],'[1]Tempo parado'!H:H,"&lt;="&amp;MIP_4[[#This Row],[C.B Sitrack]],'[1]Tempo parado'!A:A,MIP_4[[#This Row],[Placa]])</f>
        <v>0</v>
      </c>
      <c r="AF661" s="36"/>
      <c r="AG661" s="35"/>
      <c r="AH661" s="34"/>
      <c r="AI661" s="34"/>
      <c r="AJ66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6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6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61" s="32" t="str">
        <f>IFERROR(MIP_4[[#This Row],[Tempo parado]]/(MIP_4[[#This Row],[C.B Sitrack]]-MIP_4[[#This Row],[S.B Sitrack]]),"")</f>
        <v/>
      </c>
      <c r="AN661" s="30"/>
      <c r="AO661" s="44">
        <f>IF(AND(MIP_4[Exc]=0,MIP_4[Previsto / Realizado]="Realizado"),MIP_4[Sem],0)</f>
        <v>0</v>
      </c>
      <c r="AP661" s="29">
        <f>IF(AND(MIP_4[Exc]=0,MIP_4[Previsto / Realizado]="Realizado",ISBLANK(MIP_4[[#This Row],[S.B Sitrack]])=FALSE,ISBLANK(MIP_4[[#This Row],[C.B Sitrack]])=FALSE),MIP_4[Sem],0)</f>
        <v>0</v>
      </c>
    </row>
    <row r="662" spans="1:42" ht="15.75" x14ac:dyDescent="0.25">
      <c r="A662" s="29">
        <f>WEEKNUM(MIP_4[[#This Row],[Data]])</f>
        <v>42</v>
      </c>
      <c r="B662" s="45">
        <v>43023</v>
      </c>
      <c r="C662" s="45"/>
      <c r="D662" s="35" t="s">
        <v>19</v>
      </c>
      <c r="E662" s="35" t="s">
        <v>2</v>
      </c>
      <c r="F662" s="35"/>
      <c r="G662" s="44">
        <v>2</v>
      </c>
      <c r="H662" s="44">
        <v>0</v>
      </c>
      <c r="I662" s="44">
        <v>1</v>
      </c>
      <c r="J662" s="44">
        <v>1</v>
      </c>
      <c r="K662" s="44">
        <v>4</v>
      </c>
      <c r="L662" s="43">
        <v>0.63750000000000007</v>
      </c>
      <c r="M662" s="43">
        <v>0.64583333333333337</v>
      </c>
      <c r="N662" s="43">
        <v>1.01875</v>
      </c>
      <c r="O662" s="43">
        <v>1.0423611111111111</v>
      </c>
      <c r="P662" s="39"/>
      <c r="Q662" s="42"/>
      <c r="R662" s="29">
        <v>9</v>
      </c>
      <c r="S66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3.1944444444444331E-2</v>
      </c>
      <c r="T66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3.1944444444444331E-2</v>
      </c>
      <c r="U662" s="41">
        <f ca="1">MIP_4[[#This Row],[Eficiência]]</f>
        <v>0.56661883433428895</v>
      </c>
      <c r="V66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62" s="39">
        <f>IF(MIP_4[[#This Row],[P.S]]-MIP_4[[#This Row],[P.E]]&lt;0,1+MIP_4[[#This Row],[P.S]]-MIP_4[[#This Row],[P.E]]-1/24,MIP_4[[#This Row],[P.S]]-MIP_4[[#This Row],[P.E]]-1/24)</f>
        <v>0.36319444444444432</v>
      </c>
      <c r="X662" s="39">
        <f ca="1">MIP_4[[#This Row],[PT-1]]*$S$3+MIP_4[[#This Row],[PT-2]]*$T$3+MIP_4[[#This Row],[PT-3]]*$U$3+MIP_4[[#This Row],[PT &gt; 3 Pontos]]*$V$3</f>
        <v>0.1876924888732332</v>
      </c>
      <c r="Y662" s="39">
        <f>MIP_4[[#This Row],[HH disponível]]-MIP_4[[#This Row],[HH AC TOT]]</f>
        <v>0.33124999999999999</v>
      </c>
      <c r="Z662" s="38">
        <f ca="1">MIP_4[[#This Row],[HH Produtivo
Total]]/MIP_4[[#This Row],[HH Trabalhado]]</f>
        <v>0.56661883433428895</v>
      </c>
      <c r="AA662" s="38">
        <f ca="1">MIP_4[[#This Row],[HH Produtivo
Total]]/MIP_4[[#This Row],[HH disponível]]</f>
        <v>0.51678237854198072</v>
      </c>
      <c r="AB662" s="38">
        <f>MIP_4[[#This Row],[HH Trabalhado]]/MIP_4[[#This Row],[HH disponível]]</f>
        <v>0.91204588910133877</v>
      </c>
      <c r="AC662" s="37" t="str">
        <f>LEFT(MIP_4[[#This Row],[Equipe]], SEARCH("/",MIP_4[[#This Row],[Equipe]],1)-1)</f>
        <v xml:space="preserve">ADEMÁRIO </v>
      </c>
      <c r="AD662" s="37" t="str">
        <f>RIGHT(MIP_4[[#This Row],[Equipe]], LEN(MIP_4[[#This Row],[Equipe]])-SEARCH("/",MIP_4[[#This Row],[Equipe]],1))</f>
        <v xml:space="preserve"> RONALDO</v>
      </c>
      <c r="AE662" s="44">
        <f>COUNTIFS('[1]Tempo parado'!G:G,"&gt;="&amp;MIP_4[[#This Row],[S.B Sitrack]],'[1]Tempo parado'!H:H,"&lt;="&amp;MIP_4[[#This Row],[C.B Sitrack]],'[1]Tempo parado'!A:A,MIP_4[[#This Row],[Placa]])</f>
        <v>0</v>
      </c>
      <c r="AF662" s="36"/>
      <c r="AG662" s="35"/>
      <c r="AH662" s="34"/>
      <c r="AI662" s="34"/>
      <c r="AJ66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6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6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62" s="32" t="str">
        <f>IFERROR(MIP_4[[#This Row],[Tempo parado]]/(MIP_4[[#This Row],[C.B Sitrack]]-MIP_4[[#This Row],[S.B Sitrack]]),"")</f>
        <v/>
      </c>
      <c r="AN662" s="30"/>
      <c r="AO662" s="44">
        <f>IF(AND(MIP_4[Exc]=0,MIP_4[Previsto / Realizado]="Realizado"),MIP_4[Sem],0)</f>
        <v>42</v>
      </c>
      <c r="AP662" s="29">
        <f>IF(AND(MIP_4[Exc]=0,MIP_4[Previsto / Realizado]="Realizado",ISBLANK(MIP_4[[#This Row],[S.B Sitrack]])=FALSE,ISBLANK(MIP_4[[#This Row],[C.B Sitrack]])=FALSE),MIP_4[Sem],0)</f>
        <v>0</v>
      </c>
    </row>
    <row r="663" spans="1:42" ht="15.75" x14ac:dyDescent="0.25">
      <c r="A663" s="29">
        <f>WEEKNUM(MIP_4[[#This Row],[Data]])</f>
        <v>42</v>
      </c>
      <c r="B663" s="45">
        <v>43024</v>
      </c>
      <c r="C663" s="45"/>
      <c r="D663" s="35" t="s">
        <v>3</v>
      </c>
      <c r="E663" s="35" t="s">
        <v>5</v>
      </c>
      <c r="F663" s="35"/>
      <c r="G663" s="44">
        <v>2</v>
      </c>
      <c r="H663" s="44">
        <v>1</v>
      </c>
      <c r="I663" s="44">
        <v>2</v>
      </c>
      <c r="J663" s="44">
        <v>1</v>
      </c>
      <c r="K663" s="44">
        <v>0</v>
      </c>
      <c r="L663" s="43">
        <v>0.625</v>
      </c>
      <c r="M663" s="43">
        <v>0.64583333333333337</v>
      </c>
      <c r="N663" s="43">
        <v>1.0125</v>
      </c>
      <c r="O663" s="43">
        <v>1.0333333333333334</v>
      </c>
      <c r="P663" s="39"/>
      <c r="Q663" s="42" t="s">
        <v>36</v>
      </c>
      <c r="R663" s="29">
        <v>8</v>
      </c>
      <c r="S66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66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663" s="41">
        <f ca="1">MIP_4[[#This Row],[Eficiência]]</f>
        <v>0.5404155828068874</v>
      </c>
      <c r="V66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63" s="39">
        <f>IF(MIP_4[[#This Row],[P.S]]-MIP_4[[#This Row],[P.E]]&lt;0,1+MIP_4[[#This Row],[P.S]]-MIP_4[[#This Row],[P.E]]-1/24,MIP_4[[#This Row],[P.S]]-MIP_4[[#This Row],[P.E]]-1/24)</f>
        <v>0.36666666666666675</v>
      </c>
      <c r="X663" s="39">
        <f ca="1">MIP_4[[#This Row],[PT-1]]*$S$3+MIP_4[[#This Row],[PT-2]]*$T$3+MIP_4[[#This Row],[PT-3]]*$U$3+MIP_4[[#This Row],[PT &gt; 3 Pontos]]*$V$3</f>
        <v>0.17563506441223833</v>
      </c>
      <c r="Y663" s="39">
        <f>MIP_4[[#This Row],[HH disponível]]-MIP_4[[#This Row],[HH AC TOT]]</f>
        <v>0.3249999999999999</v>
      </c>
      <c r="Z663" s="38">
        <f ca="1">MIP_4[[#This Row],[HH Produtivo
Total]]/MIP_4[[#This Row],[HH Trabalhado]]</f>
        <v>0.5404155828068874</v>
      </c>
      <c r="AA663" s="38">
        <f ca="1">MIP_4[[#This Row],[HH Produtivo
Total]]/MIP_4[[#This Row],[HH disponível]]</f>
        <v>0.47900472112428627</v>
      </c>
      <c r="AB663" s="38">
        <f>MIP_4[[#This Row],[HH Trabalhado]]/MIP_4[[#This Row],[HH disponível]]</f>
        <v>0.88636363636363591</v>
      </c>
      <c r="AC663" s="37" t="str">
        <f>LEFT(MIP_4[[#This Row],[Equipe]], SEARCH("/",MIP_4[[#This Row],[Equipe]],1)-1)</f>
        <v xml:space="preserve">EDILTON </v>
      </c>
      <c r="AD663" s="37" t="str">
        <f>RIGHT(MIP_4[[#This Row],[Equipe]], LEN(MIP_4[[#This Row],[Equipe]])-SEARCH("/",MIP_4[[#This Row],[Equipe]],1))</f>
        <v xml:space="preserve"> GECIVALDO</v>
      </c>
      <c r="AE663" s="44">
        <f>COUNTIFS('[1]Tempo parado'!G:G,"&gt;="&amp;MIP_4[[#This Row],[S.B Sitrack]],'[1]Tempo parado'!H:H,"&lt;="&amp;MIP_4[[#This Row],[C.B Sitrack]],'[1]Tempo parado'!A:A,MIP_4[[#This Row],[Placa]])</f>
        <v>0</v>
      </c>
      <c r="AF663" s="36"/>
      <c r="AG663" s="35"/>
      <c r="AH663" s="34"/>
      <c r="AI663" s="34"/>
      <c r="AJ66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6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6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63" s="32" t="str">
        <f>IFERROR(MIP_4[[#This Row],[Tempo parado]]/(MIP_4[[#This Row],[C.B Sitrack]]-MIP_4[[#This Row],[S.B Sitrack]]),"")</f>
        <v/>
      </c>
      <c r="AN663" s="30"/>
      <c r="AO663" s="44">
        <f>IF(AND(MIP_4[Exc]=0,MIP_4[Previsto / Realizado]="Realizado"),MIP_4[Sem],0)</f>
        <v>0</v>
      </c>
      <c r="AP663" s="29">
        <f>IF(AND(MIP_4[Exc]=0,MIP_4[Previsto / Realizado]="Realizado",ISBLANK(MIP_4[[#This Row],[S.B Sitrack]])=FALSE,ISBLANK(MIP_4[[#This Row],[C.B Sitrack]])=FALSE),MIP_4[Sem],0)</f>
        <v>0</v>
      </c>
    </row>
    <row r="664" spans="1:42" ht="15.75" x14ac:dyDescent="0.25">
      <c r="A664" s="29">
        <f>WEEKNUM(MIP_4[[#This Row],[Data]])</f>
        <v>42</v>
      </c>
      <c r="B664" s="45">
        <v>43025</v>
      </c>
      <c r="C664" s="45"/>
      <c r="D664" s="35" t="s">
        <v>3</v>
      </c>
      <c r="E664" s="35" t="s">
        <v>2</v>
      </c>
      <c r="F664" s="35"/>
      <c r="G664" s="44">
        <v>2</v>
      </c>
      <c r="H664" s="44">
        <v>4</v>
      </c>
      <c r="I664" s="44">
        <v>2</v>
      </c>
      <c r="J664" s="44">
        <v>0</v>
      </c>
      <c r="K664" s="44">
        <v>4</v>
      </c>
      <c r="L664" s="43">
        <v>0.62013888888888891</v>
      </c>
      <c r="M664" s="43">
        <v>0.6875</v>
      </c>
      <c r="N664" s="43">
        <v>0.96527777777777779</v>
      </c>
      <c r="O664" s="43">
        <v>1.0333333333333334</v>
      </c>
      <c r="P664" s="39"/>
      <c r="Q664" s="42" t="s">
        <v>177</v>
      </c>
      <c r="R664" s="29">
        <v>12</v>
      </c>
      <c r="S66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0.13541666666666674</v>
      </c>
      <c r="T66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0.13541666666666674</v>
      </c>
      <c r="U664" s="41">
        <f ca="1">MIP_4[[#This Row],[Eficiência]]</f>
        <v>1.138925594392346</v>
      </c>
      <c r="V66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64" s="39">
        <f>IF(MIP_4[[#This Row],[P.S]]-MIP_4[[#This Row],[P.E]]&lt;0,1+MIP_4[[#This Row],[P.S]]-MIP_4[[#This Row],[P.E]]-1/24,MIP_4[[#This Row],[P.S]]-MIP_4[[#This Row],[P.E]]-1/24)</f>
        <v>0.37152777777777785</v>
      </c>
      <c r="X664" s="39">
        <f ca="1">MIP_4[[#This Row],[PT-1]]*$S$3+MIP_4[[#This Row],[PT-2]]*$T$3+MIP_4[[#This Row],[PT-3]]*$U$3+MIP_4[[#This Row],[PT &gt; 3 Pontos]]*$V$3</f>
        <v>0.26891298756485948</v>
      </c>
      <c r="Y664" s="39">
        <f>MIP_4[[#This Row],[HH disponível]]-MIP_4[[#This Row],[HH AC TOT]]</f>
        <v>0.2361111111111111</v>
      </c>
      <c r="Z664" s="38">
        <f ca="1">MIP_4[[#This Row],[HH Produtivo
Total]]/MIP_4[[#This Row],[HH Trabalhado]]</f>
        <v>1.138925594392346</v>
      </c>
      <c r="AA664" s="38">
        <f ca="1">MIP_4[[#This Row],[HH Produtivo
Total]]/MIP_4[[#This Row],[HH disponível]]</f>
        <v>0.72380318148298617</v>
      </c>
      <c r="AB664" s="38">
        <f>MIP_4[[#This Row],[HH Trabalhado]]/MIP_4[[#This Row],[HH disponível]]</f>
        <v>0.63551401869158863</v>
      </c>
      <c r="AC664" s="37" t="str">
        <f>LEFT(MIP_4[[#This Row],[Equipe]], SEARCH("/",MIP_4[[#This Row],[Equipe]],1)-1)</f>
        <v xml:space="preserve">EDILTON </v>
      </c>
      <c r="AD664" s="37" t="str">
        <f>RIGHT(MIP_4[[#This Row],[Equipe]], LEN(MIP_4[[#This Row],[Equipe]])-SEARCH("/",MIP_4[[#This Row],[Equipe]],1))</f>
        <v xml:space="preserve"> GECIVALDO</v>
      </c>
      <c r="AE664" s="44">
        <f>COUNTIFS('[1]Tempo parado'!G:G,"&gt;="&amp;MIP_4[[#This Row],[S.B Sitrack]],'[1]Tempo parado'!H:H,"&lt;="&amp;MIP_4[[#This Row],[C.B Sitrack]],'[1]Tempo parado'!A:A,MIP_4[[#This Row],[Placa]])</f>
        <v>0</v>
      </c>
      <c r="AF664" s="36"/>
      <c r="AG664" s="35"/>
      <c r="AH664" s="34"/>
      <c r="AI664" s="34"/>
      <c r="AJ66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6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6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64" s="32" t="str">
        <f>IFERROR(MIP_4[[#This Row],[Tempo parado]]/(MIP_4[[#This Row],[C.B Sitrack]]-MIP_4[[#This Row],[S.B Sitrack]]),"")</f>
        <v/>
      </c>
      <c r="AN664" s="30"/>
      <c r="AO664" s="44">
        <f>IF(AND(MIP_4[Exc]=0,MIP_4[Previsto / Realizado]="Realizado"),MIP_4[Sem],0)</f>
        <v>42</v>
      </c>
      <c r="AP664" s="29">
        <f>IF(AND(MIP_4[Exc]=0,MIP_4[Previsto / Realizado]="Realizado",ISBLANK(MIP_4[[#This Row],[S.B Sitrack]])=FALSE,ISBLANK(MIP_4[[#This Row],[C.B Sitrack]])=FALSE),MIP_4[Sem],0)</f>
        <v>0</v>
      </c>
    </row>
    <row r="665" spans="1:42" ht="15.75" x14ac:dyDescent="0.25">
      <c r="A665" s="29">
        <f>WEEKNUM(MIP_4[[#This Row],[Data]])</f>
        <v>42</v>
      </c>
      <c r="B665" s="45">
        <v>43024</v>
      </c>
      <c r="C665" s="45"/>
      <c r="D665" s="35" t="s">
        <v>7</v>
      </c>
      <c r="E665" s="35" t="s">
        <v>5</v>
      </c>
      <c r="F665" s="35"/>
      <c r="G665" s="44">
        <v>2</v>
      </c>
      <c r="H665" s="44">
        <v>5</v>
      </c>
      <c r="I665" s="44">
        <v>1</v>
      </c>
      <c r="J665" s="44">
        <v>1</v>
      </c>
      <c r="K665" s="44">
        <v>0</v>
      </c>
      <c r="L665" s="43">
        <v>0.625</v>
      </c>
      <c r="M665" s="43">
        <v>0.64583333333333337</v>
      </c>
      <c r="N665" s="43">
        <v>1.0125</v>
      </c>
      <c r="O665" s="43">
        <v>1.0333333333333334</v>
      </c>
      <c r="P665" s="39"/>
      <c r="Q665" s="42" t="s">
        <v>36</v>
      </c>
      <c r="R665" s="29">
        <v>10</v>
      </c>
      <c r="S66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66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665" s="41">
        <f ca="1">MIP_4[[#This Row],[Eficiência]]</f>
        <v>0.71332218506131551</v>
      </c>
      <c r="V66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65" s="39">
        <f>IF(MIP_4[[#This Row],[P.S]]-MIP_4[[#This Row],[P.E]]&lt;0,1+MIP_4[[#This Row],[P.S]]-MIP_4[[#This Row],[P.E]]-1/24,MIP_4[[#This Row],[P.S]]-MIP_4[[#This Row],[P.E]]-1/24)</f>
        <v>0.36666666666666675</v>
      </c>
      <c r="X665" s="39">
        <f ca="1">MIP_4[[#This Row],[PT-1]]*$S$3+MIP_4[[#This Row],[PT-2]]*$T$3+MIP_4[[#This Row],[PT-3]]*$U$3+MIP_4[[#This Row],[PT &gt; 3 Pontos]]*$V$3</f>
        <v>0.23182971014492745</v>
      </c>
      <c r="Y665" s="39">
        <f>MIP_4[[#This Row],[HH disponível]]-MIP_4[[#This Row],[HH AC TOT]]</f>
        <v>0.3249999999999999</v>
      </c>
      <c r="Z665" s="38">
        <f ca="1">MIP_4[[#This Row],[HH Produtivo
Total]]/MIP_4[[#This Row],[HH Trabalhado]]</f>
        <v>0.71332218506131551</v>
      </c>
      <c r="AA665" s="38">
        <f ca="1">MIP_4[[#This Row],[HH Produtivo
Total]]/MIP_4[[#This Row],[HH disponível]]</f>
        <v>0.63226284584980197</v>
      </c>
      <c r="AB665" s="38">
        <f>MIP_4[[#This Row],[HH Trabalhado]]/MIP_4[[#This Row],[HH disponível]]</f>
        <v>0.88636363636363591</v>
      </c>
      <c r="AC665" s="37" t="str">
        <f>LEFT(MIP_4[[#This Row],[Equipe]], SEARCH("/",MIP_4[[#This Row],[Equipe]],1)-1)</f>
        <v xml:space="preserve">ANDERSON </v>
      </c>
      <c r="AD665" s="37" t="str">
        <f>RIGHT(MIP_4[[#This Row],[Equipe]], LEN(MIP_4[[#This Row],[Equipe]])-SEARCH("/",MIP_4[[#This Row],[Equipe]],1))</f>
        <v xml:space="preserve"> MARCO</v>
      </c>
      <c r="AE665" s="44">
        <f>COUNTIFS('[1]Tempo parado'!G:G,"&gt;="&amp;MIP_4[[#This Row],[S.B Sitrack]],'[1]Tempo parado'!H:H,"&lt;="&amp;MIP_4[[#This Row],[C.B Sitrack]],'[1]Tempo parado'!A:A,MIP_4[[#This Row],[Placa]])</f>
        <v>0</v>
      </c>
      <c r="AF665" s="36"/>
      <c r="AG665" s="35"/>
      <c r="AH665" s="34"/>
      <c r="AI665" s="34"/>
      <c r="AJ66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6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6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65" s="32" t="str">
        <f>IFERROR(MIP_4[[#This Row],[Tempo parado]]/(MIP_4[[#This Row],[C.B Sitrack]]-MIP_4[[#This Row],[S.B Sitrack]]),"")</f>
        <v/>
      </c>
      <c r="AN665" s="30"/>
      <c r="AO665" s="44">
        <f>IF(AND(MIP_4[Exc]=0,MIP_4[Previsto / Realizado]="Realizado"),MIP_4[Sem],0)</f>
        <v>0</v>
      </c>
      <c r="AP665" s="29">
        <f>IF(AND(MIP_4[Exc]=0,MIP_4[Previsto / Realizado]="Realizado",ISBLANK(MIP_4[[#This Row],[S.B Sitrack]])=FALSE,ISBLANK(MIP_4[[#This Row],[C.B Sitrack]])=FALSE),MIP_4[Sem],0)</f>
        <v>0</v>
      </c>
    </row>
    <row r="666" spans="1:42" ht="15.75" x14ac:dyDescent="0.25">
      <c r="A666" s="29">
        <f>WEEKNUM(MIP_4[[#This Row],[Data]])</f>
        <v>42</v>
      </c>
      <c r="B666" s="45">
        <v>43027</v>
      </c>
      <c r="C666" s="45"/>
      <c r="D666" s="35" t="s">
        <v>19</v>
      </c>
      <c r="E666" s="35" t="s">
        <v>2</v>
      </c>
      <c r="F666" s="35"/>
      <c r="G666" s="44">
        <v>2</v>
      </c>
      <c r="H666" s="44">
        <v>3</v>
      </c>
      <c r="I666" s="44">
        <v>1</v>
      </c>
      <c r="J666" s="44">
        <v>2</v>
      </c>
      <c r="K666" s="44">
        <v>0</v>
      </c>
      <c r="L666" s="43">
        <v>0.63750000000000007</v>
      </c>
      <c r="M666" s="43">
        <v>0.73611111111111116</v>
      </c>
      <c r="N666" s="43">
        <v>1.0145833333333334</v>
      </c>
      <c r="O666" s="43">
        <v>1.0423611111111111</v>
      </c>
      <c r="P666" s="39"/>
      <c r="Q666" s="42" t="s">
        <v>184</v>
      </c>
      <c r="R666" s="29">
        <v>11</v>
      </c>
      <c r="S66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0.12638888888888877</v>
      </c>
      <c r="T66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0.12638888888888877</v>
      </c>
      <c r="U666" s="41">
        <f ca="1">MIP_4[[#This Row],[Eficiência]]</f>
        <v>1.0327869331463302</v>
      </c>
      <c r="V66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66" s="39">
        <f>IF(MIP_4[[#This Row],[P.S]]-MIP_4[[#This Row],[P.E]]&lt;0,1+MIP_4[[#This Row],[P.S]]-MIP_4[[#This Row],[P.E]]-1/24,MIP_4[[#This Row],[P.S]]-MIP_4[[#This Row],[P.E]]-1/24)</f>
        <v>0.36319444444444432</v>
      </c>
      <c r="X666" s="39">
        <f ca="1">MIP_4[[#This Row],[PT-1]]*$S$3+MIP_4[[#This Row],[PT-2]]*$T$3+MIP_4[[#This Row],[PT-3]]*$U$3+MIP_4[[#This Row],[PT &gt; 3 Pontos]]*$V$3</f>
        <v>0.24456968347423511</v>
      </c>
      <c r="Y666" s="39">
        <f>MIP_4[[#This Row],[HH disponível]]-MIP_4[[#This Row],[HH AC TOT]]</f>
        <v>0.23680555555555555</v>
      </c>
      <c r="Z666" s="38">
        <f ca="1">MIP_4[[#This Row],[HH Produtivo
Total]]/MIP_4[[#This Row],[HH Trabalhado]]</f>
        <v>1.0327869331463302</v>
      </c>
      <c r="AA666" s="38">
        <f ca="1">MIP_4[[#This Row],[HH Produtivo
Total]]/MIP_4[[#This Row],[HH disponível]]</f>
        <v>0.67338497935544683</v>
      </c>
      <c r="AB666" s="38">
        <f>MIP_4[[#This Row],[HH Trabalhado]]/MIP_4[[#This Row],[HH disponível]]</f>
        <v>0.65200764818355661</v>
      </c>
      <c r="AC666" s="37" t="str">
        <f>LEFT(MIP_4[[#This Row],[Equipe]], SEARCH("/",MIP_4[[#This Row],[Equipe]],1)-1)</f>
        <v xml:space="preserve">ADEMÁRIO </v>
      </c>
      <c r="AD666" s="37" t="str">
        <f>RIGHT(MIP_4[[#This Row],[Equipe]], LEN(MIP_4[[#This Row],[Equipe]])-SEARCH("/",MIP_4[[#This Row],[Equipe]],1))</f>
        <v xml:space="preserve"> RONALDO</v>
      </c>
      <c r="AE666" s="44">
        <f>COUNTIFS('[1]Tempo parado'!G:G,"&gt;="&amp;MIP_4[[#This Row],[S.B Sitrack]],'[1]Tempo parado'!H:H,"&lt;="&amp;MIP_4[[#This Row],[C.B Sitrack]],'[1]Tempo parado'!A:A,MIP_4[[#This Row],[Placa]])</f>
        <v>0</v>
      </c>
      <c r="AF666" s="36"/>
      <c r="AG666" s="35"/>
      <c r="AH666" s="34"/>
      <c r="AI666" s="34"/>
      <c r="AJ66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6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6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66" s="32" t="str">
        <f>IFERROR(MIP_4[[#This Row],[Tempo parado]]/(MIP_4[[#This Row],[C.B Sitrack]]-MIP_4[[#This Row],[S.B Sitrack]]),"")</f>
        <v/>
      </c>
      <c r="AN666" s="30"/>
      <c r="AO666" s="44">
        <f>IF(AND(MIP_4[Exc]=0,MIP_4[Previsto / Realizado]="Realizado"),MIP_4[Sem],0)</f>
        <v>42</v>
      </c>
      <c r="AP666" s="29">
        <f>IF(AND(MIP_4[Exc]=0,MIP_4[Previsto / Realizado]="Realizado",ISBLANK(MIP_4[[#This Row],[S.B Sitrack]])=FALSE,ISBLANK(MIP_4[[#This Row],[C.B Sitrack]])=FALSE),MIP_4[Sem],0)</f>
        <v>0</v>
      </c>
    </row>
    <row r="667" spans="1:42" ht="15.75" x14ac:dyDescent="0.25">
      <c r="A667" s="29">
        <f>WEEKNUM(MIP_4[[#This Row],[Data]])</f>
        <v>42</v>
      </c>
      <c r="B667" s="45">
        <v>43025</v>
      </c>
      <c r="C667" s="45"/>
      <c r="D667" s="35" t="s">
        <v>10</v>
      </c>
      <c r="E667" s="35" t="s">
        <v>5</v>
      </c>
      <c r="F667" s="35"/>
      <c r="G667" s="44">
        <v>2</v>
      </c>
      <c r="H667" s="44">
        <v>3</v>
      </c>
      <c r="I667" s="44">
        <v>2</v>
      </c>
      <c r="J667" s="44">
        <v>0</v>
      </c>
      <c r="K667" s="44">
        <v>0</v>
      </c>
      <c r="L667" s="43">
        <v>0.25</v>
      </c>
      <c r="M667" s="43">
        <v>0.27083333333333331</v>
      </c>
      <c r="N667" s="43">
        <v>0.63750000000000007</v>
      </c>
      <c r="O667" s="43">
        <v>0.65833333333333333</v>
      </c>
      <c r="P667" s="39"/>
      <c r="Q667" s="42" t="s">
        <v>36</v>
      </c>
      <c r="R667" s="29">
        <v>7</v>
      </c>
      <c r="S66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66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667" s="41">
        <f ca="1">MIP_4[[#This Row],[Eficiência]]</f>
        <v>0.50121566487055591</v>
      </c>
      <c r="V66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67" s="39">
        <f>IF(MIP_4[[#This Row],[P.S]]-MIP_4[[#This Row],[P.E]]&lt;0,1+MIP_4[[#This Row],[P.S]]-MIP_4[[#This Row],[P.E]]-1/24,MIP_4[[#This Row],[P.S]]-MIP_4[[#This Row],[P.E]]-1/24)</f>
        <v>0.36666666666666664</v>
      </c>
      <c r="X667" s="39">
        <f ca="1">MIP_4[[#This Row],[PT-1]]*$S$3+MIP_4[[#This Row],[PT-2]]*$T$3+MIP_4[[#This Row],[PT-3]]*$U$3+MIP_4[[#This Row],[PT &gt; 3 Pontos]]*$V$3</f>
        <v>0.16289509108293071</v>
      </c>
      <c r="Y667" s="39">
        <f>MIP_4[[#This Row],[HH disponível]]-MIP_4[[#This Row],[HH AC TOT]]</f>
        <v>0.32500000000000007</v>
      </c>
      <c r="Z667" s="38">
        <f ca="1">MIP_4[[#This Row],[HH Produtivo
Total]]/MIP_4[[#This Row],[HH Trabalhado]]</f>
        <v>0.50121566487055591</v>
      </c>
      <c r="AA667" s="38">
        <f ca="1">MIP_4[[#This Row],[HH Produtivo
Total]]/MIP_4[[#This Row],[HH disponível]]</f>
        <v>0.44425933931708378</v>
      </c>
      <c r="AB667" s="38">
        <f>MIP_4[[#This Row],[HH Trabalhado]]/MIP_4[[#This Row],[HH disponível]]</f>
        <v>0.88636363636363658</v>
      </c>
      <c r="AC667" s="37" t="str">
        <f>LEFT(MIP_4[[#This Row],[Equipe]], SEARCH("/",MIP_4[[#This Row],[Equipe]],1)-1)</f>
        <v xml:space="preserve">JOILSON </v>
      </c>
      <c r="AD667" s="37" t="str">
        <f>RIGHT(MIP_4[[#This Row],[Equipe]], LEN(MIP_4[[#This Row],[Equipe]])-SEARCH("/",MIP_4[[#This Row],[Equipe]],1))</f>
        <v xml:space="preserve"> VALDEI</v>
      </c>
      <c r="AE667" s="44">
        <f>COUNTIFS('[1]Tempo parado'!G:G,"&gt;="&amp;MIP_4[[#This Row],[S.B Sitrack]],'[1]Tempo parado'!H:H,"&lt;="&amp;MIP_4[[#This Row],[C.B Sitrack]],'[1]Tempo parado'!A:A,MIP_4[[#This Row],[Placa]])</f>
        <v>0</v>
      </c>
      <c r="AF667" s="36"/>
      <c r="AG667" s="35"/>
      <c r="AH667" s="34"/>
      <c r="AI667" s="34"/>
      <c r="AJ66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6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6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67" s="32" t="str">
        <f>IFERROR(MIP_4[[#This Row],[Tempo parado]]/(MIP_4[[#This Row],[C.B Sitrack]]-MIP_4[[#This Row],[S.B Sitrack]]),"")</f>
        <v/>
      </c>
      <c r="AN667" s="30"/>
      <c r="AO667" s="44">
        <f>IF(AND(MIP_4[Exc]=0,MIP_4[Previsto / Realizado]="Realizado"),MIP_4[Sem],0)</f>
        <v>0</v>
      </c>
      <c r="AP667" s="29">
        <f>IF(AND(MIP_4[Exc]=0,MIP_4[Previsto / Realizado]="Realizado",ISBLANK(MIP_4[[#This Row],[S.B Sitrack]])=FALSE,ISBLANK(MIP_4[[#This Row],[C.B Sitrack]])=FALSE),MIP_4[Sem],0)</f>
        <v>0</v>
      </c>
    </row>
    <row r="668" spans="1:42" ht="15.75" x14ac:dyDescent="0.25">
      <c r="A668" s="29">
        <f>WEEKNUM(MIP_4[[#This Row],[Data]])</f>
        <v>42</v>
      </c>
      <c r="B668" s="45">
        <v>43028</v>
      </c>
      <c r="C668" s="45"/>
      <c r="D668" s="35" t="s">
        <v>3</v>
      </c>
      <c r="E668" s="35" t="s">
        <v>2</v>
      </c>
      <c r="F668" s="35"/>
      <c r="G668" s="44">
        <v>2</v>
      </c>
      <c r="H668" s="44">
        <v>7</v>
      </c>
      <c r="I668" s="44">
        <v>2</v>
      </c>
      <c r="J668" s="44">
        <v>1</v>
      </c>
      <c r="K668" s="44">
        <v>0</v>
      </c>
      <c r="L668" s="43">
        <v>0.61805555555555558</v>
      </c>
      <c r="M668" s="43">
        <v>0.70138888888888884</v>
      </c>
      <c r="N668" s="43">
        <v>1.0125</v>
      </c>
      <c r="O668" s="43">
        <v>1.0333333333333334</v>
      </c>
      <c r="P668" s="39"/>
      <c r="Q668" s="42" t="s">
        <v>9</v>
      </c>
      <c r="R668" s="29">
        <v>14</v>
      </c>
      <c r="S66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0.10416666666666674</v>
      </c>
      <c r="T66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0.10416666666666674</v>
      </c>
      <c r="U668" s="41">
        <f ca="1">MIP_4[[#This Row],[Eficiência]]</f>
        <v>1.2091182018526816</v>
      </c>
      <c r="V66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68" s="39">
        <f>IF(MIP_4[[#This Row],[P.S]]-MIP_4[[#This Row],[P.E]]&lt;0,1+MIP_4[[#This Row],[P.S]]-MIP_4[[#This Row],[P.E]]-1/24,MIP_4[[#This Row],[P.S]]-MIP_4[[#This Row],[P.E]]-1/24)</f>
        <v>0.37361111111111117</v>
      </c>
      <c r="X668" s="39">
        <f ca="1">MIP_4[[#This Row],[PT-1]]*$S$3+MIP_4[[#This Row],[PT-2]]*$T$3+MIP_4[[#This Row],[PT-3]]*$U$3+MIP_4[[#This Row],[PT &gt; 3 Pontos]]*$V$3</f>
        <v>0.32579018216586142</v>
      </c>
      <c r="Y668" s="39">
        <f>MIP_4[[#This Row],[HH disponível]]-MIP_4[[#This Row],[HH AC TOT]]</f>
        <v>0.26944444444444443</v>
      </c>
      <c r="Z668" s="38">
        <f ca="1">MIP_4[[#This Row],[HH Produtivo
Total]]/MIP_4[[#This Row],[HH Trabalhado]]</f>
        <v>1.2091182018526816</v>
      </c>
      <c r="AA668" s="38">
        <f ca="1">MIP_4[[#This Row],[HH Produtivo
Total]]/MIP_4[[#This Row],[HH disponível]]</f>
        <v>0.87200346155918285</v>
      </c>
      <c r="AB668" s="38">
        <f>MIP_4[[#This Row],[HH Trabalhado]]/MIP_4[[#This Row],[HH disponível]]</f>
        <v>0.72118959107806679</v>
      </c>
      <c r="AC668" s="37" t="str">
        <f>LEFT(MIP_4[[#This Row],[Equipe]], SEARCH("/",MIP_4[[#This Row],[Equipe]],1)-1)</f>
        <v xml:space="preserve">EDILTON </v>
      </c>
      <c r="AD668" s="37" t="str">
        <f>RIGHT(MIP_4[[#This Row],[Equipe]], LEN(MIP_4[[#This Row],[Equipe]])-SEARCH("/",MIP_4[[#This Row],[Equipe]],1))</f>
        <v xml:space="preserve"> GECIVALDO</v>
      </c>
      <c r="AE668" s="44">
        <f>COUNTIFS('[1]Tempo parado'!G:G,"&gt;="&amp;MIP_4[[#This Row],[S.B Sitrack]],'[1]Tempo parado'!H:H,"&lt;="&amp;MIP_4[[#This Row],[C.B Sitrack]],'[1]Tempo parado'!A:A,MIP_4[[#This Row],[Placa]])</f>
        <v>0</v>
      </c>
      <c r="AF668" s="36"/>
      <c r="AG668" s="35"/>
      <c r="AH668" s="34"/>
      <c r="AI668" s="34"/>
      <c r="AJ66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6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6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68" s="32" t="str">
        <f>IFERROR(MIP_4[[#This Row],[Tempo parado]]/(MIP_4[[#This Row],[C.B Sitrack]]-MIP_4[[#This Row],[S.B Sitrack]]),"")</f>
        <v/>
      </c>
      <c r="AN668" s="30"/>
      <c r="AO668" s="44">
        <f>IF(AND(MIP_4[Exc]=0,MIP_4[Previsto / Realizado]="Realizado"),MIP_4[Sem],0)</f>
        <v>42</v>
      </c>
      <c r="AP668" s="29">
        <f>IF(AND(MIP_4[Exc]=0,MIP_4[Previsto / Realizado]="Realizado",ISBLANK(MIP_4[[#This Row],[S.B Sitrack]])=FALSE,ISBLANK(MIP_4[[#This Row],[C.B Sitrack]])=FALSE),MIP_4[Sem],0)</f>
        <v>0</v>
      </c>
    </row>
    <row r="669" spans="1:42" ht="15.75" x14ac:dyDescent="0.25">
      <c r="A669" s="29">
        <f>WEEKNUM(MIP_4[[#This Row],[Data]])</f>
        <v>42</v>
      </c>
      <c r="B669" s="45">
        <v>43025</v>
      </c>
      <c r="C669" s="45"/>
      <c r="D669" s="35" t="s">
        <v>3</v>
      </c>
      <c r="E669" s="35" t="s">
        <v>5</v>
      </c>
      <c r="F669" s="35"/>
      <c r="G669" s="44">
        <v>2</v>
      </c>
      <c r="H669" s="44">
        <v>4</v>
      </c>
      <c r="I669" s="44">
        <v>2</v>
      </c>
      <c r="J669" s="44">
        <v>0</v>
      </c>
      <c r="K669" s="44">
        <v>4</v>
      </c>
      <c r="L669" s="43">
        <v>0.625</v>
      </c>
      <c r="M669" s="43">
        <v>0.64583333333333337</v>
      </c>
      <c r="N669" s="43">
        <v>1.0125</v>
      </c>
      <c r="O669" s="43">
        <v>1.0333333333333334</v>
      </c>
      <c r="P669" s="39"/>
      <c r="Q669" s="42"/>
      <c r="R669" s="29">
        <v>12</v>
      </c>
      <c r="S66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66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669" s="41">
        <f ca="1">MIP_4[[#This Row],[Eficiência]]</f>
        <v>0.82742457712264483</v>
      </c>
      <c r="V66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69" s="39">
        <f>IF(MIP_4[[#This Row],[P.S]]-MIP_4[[#This Row],[P.E]]&lt;0,1+MIP_4[[#This Row],[P.S]]-MIP_4[[#This Row],[P.E]]-1/24,MIP_4[[#This Row],[P.S]]-MIP_4[[#This Row],[P.E]]-1/24)</f>
        <v>0.36666666666666675</v>
      </c>
      <c r="X669" s="39">
        <f ca="1">MIP_4[[#This Row],[PT-1]]*$S$3+MIP_4[[#This Row],[PT-2]]*$T$3+MIP_4[[#This Row],[PT-3]]*$U$3+MIP_4[[#This Row],[PT &gt; 3 Pontos]]*$V$3</f>
        <v>0.26891298756485948</v>
      </c>
      <c r="Y669" s="39">
        <f>MIP_4[[#This Row],[HH disponível]]-MIP_4[[#This Row],[HH AC TOT]]</f>
        <v>0.3249999999999999</v>
      </c>
      <c r="Z669" s="38">
        <f ca="1">MIP_4[[#This Row],[HH Produtivo
Total]]/MIP_4[[#This Row],[HH Trabalhado]]</f>
        <v>0.82742457712264483</v>
      </c>
      <c r="AA669" s="38">
        <f ca="1">MIP_4[[#This Row],[HH Produtivo
Total]]/MIP_4[[#This Row],[HH disponível]]</f>
        <v>0.73339905699507113</v>
      </c>
      <c r="AB669" s="38">
        <f>MIP_4[[#This Row],[HH Trabalhado]]/MIP_4[[#This Row],[HH disponível]]</f>
        <v>0.88636363636363591</v>
      </c>
      <c r="AC669" s="37" t="str">
        <f>LEFT(MIP_4[[#This Row],[Equipe]], SEARCH("/",MIP_4[[#This Row],[Equipe]],1)-1)</f>
        <v xml:space="preserve">EDILTON </v>
      </c>
      <c r="AD669" s="37" t="str">
        <f>RIGHT(MIP_4[[#This Row],[Equipe]], LEN(MIP_4[[#This Row],[Equipe]])-SEARCH("/",MIP_4[[#This Row],[Equipe]],1))</f>
        <v xml:space="preserve"> GECIVALDO</v>
      </c>
      <c r="AE669" s="44">
        <f>COUNTIFS('[1]Tempo parado'!G:G,"&gt;="&amp;MIP_4[[#This Row],[S.B Sitrack]],'[1]Tempo parado'!H:H,"&lt;="&amp;MIP_4[[#This Row],[C.B Sitrack]],'[1]Tempo parado'!A:A,MIP_4[[#This Row],[Placa]])</f>
        <v>0</v>
      </c>
      <c r="AF669" s="36"/>
      <c r="AG669" s="35"/>
      <c r="AH669" s="34"/>
      <c r="AI669" s="34"/>
      <c r="AJ66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6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6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69" s="32" t="str">
        <f>IFERROR(MIP_4[[#This Row],[Tempo parado]]/(MIP_4[[#This Row],[C.B Sitrack]]-MIP_4[[#This Row],[S.B Sitrack]]),"")</f>
        <v/>
      </c>
      <c r="AN669" s="30"/>
      <c r="AO669" s="44">
        <f>IF(AND(MIP_4[Exc]=0,MIP_4[Previsto / Realizado]="Realizado"),MIP_4[Sem],0)</f>
        <v>0</v>
      </c>
      <c r="AP669" s="29">
        <f>IF(AND(MIP_4[Exc]=0,MIP_4[Previsto / Realizado]="Realizado",ISBLANK(MIP_4[[#This Row],[S.B Sitrack]])=FALSE,ISBLANK(MIP_4[[#This Row],[C.B Sitrack]])=FALSE),MIP_4[Sem],0)</f>
        <v>0</v>
      </c>
    </row>
    <row r="670" spans="1:42" ht="15.75" x14ac:dyDescent="0.25">
      <c r="A670" s="29">
        <f>WEEKNUM(MIP_4[[#This Row],[Data]])</f>
        <v>42</v>
      </c>
      <c r="B670" s="45">
        <v>43024</v>
      </c>
      <c r="C670" s="45"/>
      <c r="D670" s="35" t="s">
        <v>7</v>
      </c>
      <c r="E670" s="35" t="s">
        <v>2</v>
      </c>
      <c r="F670" s="35"/>
      <c r="G670" s="44">
        <v>2</v>
      </c>
      <c r="H670" s="44">
        <v>12</v>
      </c>
      <c r="I670" s="44">
        <v>1</v>
      </c>
      <c r="J670" s="44">
        <v>0</v>
      </c>
      <c r="K670" s="44">
        <v>0</v>
      </c>
      <c r="L670" s="43">
        <v>0.62291666666666667</v>
      </c>
      <c r="M670" s="43">
        <v>0.6958333333333333</v>
      </c>
      <c r="N670" s="43">
        <v>1.0104166666666667</v>
      </c>
      <c r="O670" s="43">
        <v>1.0409722222222222</v>
      </c>
      <c r="P670" s="39"/>
      <c r="Q670" s="42" t="s">
        <v>183</v>
      </c>
      <c r="R670" s="29">
        <v>14</v>
      </c>
      <c r="S67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0.10347222222222208</v>
      </c>
      <c r="T67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0.10347222222222208</v>
      </c>
      <c r="U670" s="41">
        <f ca="1">MIP_4[[#This Row],[Eficiência]]</f>
        <v>1.2612604639156237</v>
      </c>
      <c r="V67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70" s="39">
        <f>IF(MIP_4[[#This Row],[P.S]]-MIP_4[[#This Row],[P.E]]&lt;0,1+MIP_4[[#This Row],[P.S]]-MIP_4[[#This Row],[P.E]]-1/24,MIP_4[[#This Row],[P.S]]-MIP_4[[#This Row],[P.E]]-1/24)</f>
        <v>0.37638888888888883</v>
      </c>
      <c r="X670" s="39">
        <f ca="1">MIP_4[[#This Row],[PT-1]]*$S$3+MIP_4[[#This Row],[PT-2]]*$T$3+MIP_4[[#This Row],[PT-3]]*$U$3+MIP_4[[#This Row],[PT &gt; 3 Pontos]]*$V$3</f>
        <v>0.34421900161030577</v>
      </c>
      <c r="Y670" s="39">
        <f>MIP_4[[#This Row],[HH disponível]]-MIP_4[[#This Row],[HH AC TOT]]</f>
        <v>0.27291666666666675</v>
      </c>
      <c r="Z670" s="38">
        <f ca="1">MIP_4[[#This Row],[HH Produtivo
Total]]/MIP_4[[#This Row],[HH Trabalhado]]</f>
        <v>1.2612604639156237</v>
      </c>
      <c r="AA670" s="38">
        <f ca="1">MIP_4[[#This Row],[HH Produtivo
Total]]/MIP_4[[#This Row],[HH disponível]]</f>
        <v>0.91453018878014836</v>
      </c>
      <c r="AB670" s="38">
        <f>MIP_4[[#This Row],[HH Trabalhado]]/MIP_4[[#This Row],[HH disponível]]</f>
        <v>0.72509225092250962</v>
      </c>
      <c r="AC670" s="37" t="str">
        <f>LEFT(MIP_4[[#This Row],[Equipe]], SEARCH("/",MIP_4[[#This Row],[Equipe]],1)-1)</f>
        <v xml:space="preserve">ANDERSON </v>
      </c>
      <c r="AD670" s="37" t="str">
        <f>RIGHT(MIP_4[[#This Row],[Equipe]], LEN(MIP_4[[#This Row],[Equipe]])-SEARCH("/",MIP_4[[#This Row],[Equipe]],1))</f>
        <v xml:space="preserve"> MARCO</v>
      </c>
      <c r="AE670" s="44">
        <f>COUNTIFS('[1]Tempo parado'!G:G,"&gt;="&amp;MIP_4[[#This Row],[S.B Sitrack]],'[1]Tempo parado'!H:H,"&lt;="&amp;MIP_4[[#This Row],[C.B Sitrack]],'[1]Tempo parado'!A:A,MIP_4[[#This Row],[Placa]])</f>
        <v>0</v>
      </c>
      <c r="AF670" s="36"/>
      <c r="AG670" s="35"/>
      <c r="AH670" s="34"/>
      <c r="AI670" s="34"/>
      <c r="AJ67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7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7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70" s="32" t="str">
        <f>IFERROR(MIP_4[[#This Row],[Tempo parado]]/(MIP_4[[#This Row],[C.B Sitrack]]-MIP_4[[#This Row],[S.B Sitrack]]),"")</f>
        <v/>
      </c>
      <c r="AN670" s="30"/>
      <c r="AO670" s="44">
        <f>IF(AND(MIP_4[Exc]=0,MIP_4[Previsto / Realizado]="Realizado"),MIP_4[Sem],0)</f>
        <v>42</v>
      </c>
      <c r="AP670" s="29">
        <f>IF(AND(MIP_4[Exc]=0,MIP_4[Previsto / Realizado]="Realizado",ISBLANK(MIP_4[[#This Row],[S.B Sitrack]])=FALSE,ISBLANK(MIP_4[[#This Row],[C.B Sitrack]])=FALSE),MIP_4[Sem],0)</f>
        <v>0</v>
      </c>
    </row>
    <row r="671" spans="1:42" ht="15.75" x14ac:dyDescent="0.25">
      <c r="A671" s="29">
        <f>WEEKNUM(MIP_4[[#This Row],[Data]])</f>
        <v>42</v>
      </c>
      <c r="B671" s="45">
        <v>43026</v>
      </c>
      <c r="C671" s="45"/>
      <c r="D671" s="35" t="s">
        <v>10</v>
      </c>
      <c r="E671" s="35" t="s">
        <v>5</v>
      </c>
      <c r="F671" s="35"/>
      <c r="G671" s="44">
        <v>2</v>
      </c>
      <c r="H671" s="44">
        <v>7</v>
      </c>
      <c r="I671" s="44">
        <v>1</v>
      </c>
      <c r="J671" s="44">
        <v>1</v>
      </c>
      <c r="K671" s="44">
        <v>0</v>
      </c>
      <c r="L671" s="43">
        <v>0.25</v>
      </c>
      <c r="M671" s="43">
        <v>0.27083333333333331</v>
      </c>
      <c r="N671" s="43">
        <v>0.63750000000000007</v>
      </c>
      <c r="O671" s="43">
        <v>0.65833333333333333</v>
      </c>
      <c r="P671" s="39"/>
      <c r="Q671" s="42"/>
      <c r="R671" s="29">
        <v>12</v>
      </c>
      <c r="S67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67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671" s="41">
        <f ca="1">MIP_4[[#This Row],[Eficiência]]</f>
        <v>0.86732743403939005</v>
      </c>
      <c r="V67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71" s="39">
        <f>IF(MIP_4[[#This Row],[P.S]]-MIP_4[[#This Row],[P.E]]&lt;0,1+MIP_4[[#This Row],[P.S]]-MIP_4[[#This Row],[P.E]]-1/24,MIP_4[[#This Row],[P.S]]-MIP_4[[#This Row],[P.E]]-1/24)</f>
        <v>0.36666666666666664</v>
      </c>
      <c r="X671" s="39">
        <f ca="1">MIP_4[[#This Row],[PT-1]]*$S$3+MIP_4[[#This Row],[PT-2]]*$T$3+MIP_4[[#This Row],[PT-3]]*$U$3+MIP_4[[#This Row],[PT &gt; 3 Pontos]]*$V$3</f>
        <v>0.28188141606280182</v>
      </c>
      <c r="Y671" s="39">
        <f>MIP_4[[#This Row],[HH disponível]]-MIP_4[[#This Row],[HH AC TOT]]</f>
        <v>0.32500000000000007</v>
      </c>
      <c r="Z671" s="38">
        <f ca="1">MIP_4[[#This Row],[HH Produtivo
Total]]/MIP_4[[#This Row],[HH Trabalhado]]</f>
        <v>0.86732743403939005</v>
      </c>
      <c r="AA671" s="38">
        <f ca="1">MIP_4[[#This Row],[HH Produtivo
Total]]/MIP_4[[#This Row],[HH disponível]]</f>
        <v>0.76876749835309588</v>
      </c>
      <c r="AB671" s="38">
        <f>MIP_4[[#This Row],[HH Trabalhado]]/MIP_4[[#This Row],[HH disponível]]</f>
        <v>0.88636363636363658</v>
      </c>
      <c r="AC671" s="37" t="str">
        <f>LEFT(MIP_4[[#This Row],[Equipe]], SEARCH("/",MIP_4[[#This Row],[Equipe]],1)-1)</f>
        <v xml:space="preserve">JOILSON </v>
      </c>
      <c r="AD671" s="37" t="str">
        <f>RIGHT(MIP_4[[#This Row],[Equipe]], LEN(MIP_4[[#This Row],[Equipe]])-SEARCH("/",MIP_4[[#This Row],[Equipe]],1))</f>
        <v xml:space="preserve"> VALDEI</v>
      </c>
      <c r="AE671" s="44">
        <f>COUNTIFS('[1]Tempo parado'!G:G,"&gt;="&amp;MIP_4[[#This Row],[S.B Sitrack]],'[1]Tempo parado'!H:H,"&lt;="&amp;MIP_4[[#This Row],[C.B Sitrack]],'[1]Tempo parado'!A:A,MIP_4[[#This Row],[Placa]])</f>
        <v>0</v>
      </c>
      <c r="AF671" s="36"/>
      <c r="AG671" s="35"/>
      <c r="AH671" s="34"/>
      <c r="AI671" s="34"/>
      <c r="AJ67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7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7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71" s="32" t="str">
        <f>IFERROR(MIP_4[[#This Row],[Tempo parado]]/(MIP_4[[#This Row],[C.B Sitrack]]-MIP_4[[#This Row],[S.B Sitrack]]),"")</f>
        <v/>
      </c>
      <c r="AN671" s="30"/>
      <c r="AO671" s="44">
        <f>IF(AND(MIP_4[Exc]=0,MIP_4[Previsto / Realizado]="Realizado"),MIP_4[Sem],0)</f>
        <v>0</v>
      </c>
      <c r="AP671" s="29">
        <f>IF(AND(MIP_4[Exc]=0,MIP_4[Previsto / Realizado]="Realizado",ISBLANK(MIP_4[[#This Row],[S.B Sitrack]])=FALSE,ISBLANK(MIP_4[[#This Row],[C.B Sitrack]])=FALSE),MIP_4[Sem],0)</f>
        <v>0</v>
      </c>
    </row>
    <row r="672" spans="1:42" ht="15.75" x14ac:dyDescent="0.25">
      <c r="A672" s="29">
        <f>WEEKNUM(MIP_4[[#This Row],[Data]])</f>
        <v>42</v>
      </c>
      <c r="B672" s="45">
        <v>43028</v>
      </c>
      <c r="C672" s="45"/>
      <c r="D672" s="35" t="s">
        <v>19</v>
      </c>
      <c r="E672" s="35" t="s">
        <v>2</v>
      </c>
      <c r="F672" s="35"/>
      <c r="G672" s="44">
        <v>2</v>
      </c>
      <c r="H672" s="44">
        <v>3</v>
      </c>
      <c r="I672" s="44">
        <v>1</v>
      </c>
      <c r="J672" s="44">
        <v>0</v>
      </c>
      <c r="K672" s="44">
        <v>5</v>
      </c>
      <c r="L672" s="43">
        <v>0.63472222222222219</v>
      </c>
      <c r="M672" s="43">
        <v>0.70694444444444438</v>
      </c>
      <c r="N672" s="43">
        <v>1.0069444444444444</v>
      </c>
      <c r="O672" s="43">
        <v>1.0368055555555555</v>
      </c>
      <c r="P672" s="39">
        <v>3.1944444444444449E-2</v>
      </c>
      <c r="Q672" s="42" t="s">
        <v>182</v>
      </c>
      <c r="R672" s="29">
        <v>10</v>
      </c>
      <c r="S67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0.13402777777777775</v>
      </c>
      <c r="T67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0.1020833333333333</v>
      </c>
      <c r="U672" s="41">
        <f ca="1">MIP_4[[#This Row],[Eficiência]]</f>
        <v>0.97277909911778937</v>
      </c>
      <c r="V67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72" s="39">
        <f>IF(MIP_4[[#This Row],[P.S]]-MIP_4[[#This Row],[P.E]]&lt;0,1+MIP_4[[#This Row],[P.S]]-MIP_4[[#This Row],[P.E]]-1/24,MIP_4[[#This Row],[P.S]]-MIP_4[[#This Row],[P.E]]-1/24)</f>
        <v>0.36041666666666666</v>
      </c>
      <c r="X672" s="39">
        <f ca="1">MIP_4[[#This Row],[PT-1]]*$S$3+MIP_4[[#This Row],[PT-2]]*$T$3+MIP_4[[#This Row],[PT-3]]*$U$3+MIP_4[[#This Row],[PT &gt; 3 Pontos]]*$V$3</f>
        <v>0.22022637938361067</v>
      </c>
      <c r="Y672" s="39">
        <f>MIP_4[[#This Row],[HH disponível]]-MIP_4[[#This Row],[HH AC TOT]]</f>
        <v>0.22638888888888892</v>
      </c>
      <c r="Z672" s="38">
        <f ca="1">MIP_4[[#This Row],[HH Produtivo
Total]]/MIP_4[[#This Row],[HH Trabalhado]]</f>
        <v>0.97277909911778937</v>
      </c>
      <c r="AA672" s="38">
        <f ca="1">MIP_4[[#This Row],[HH Produtivo
Total]]/MIP_4[[#This Row],[HH disponível]]</f>
        <v>0.61103272892562499</v>
      </c>
      <c r="AB672" s="38">
        <f>MIP_4[[#This Row],[HH Trabalhado]]/MIP_4[[#This Row],[HH disponível]]</f>
        <v>0.62813102119460507</v>
      </c>
      <c r="AC672" s="37" t="str">
        <f>LEFT(MIP_4[[#This Row],[Equipe]], SEARCH("/",MIP_4[[#This Row],[Equipe]],1)-1)</f>
        <v xml:space="preserve">ADEMÁRIO </v>
      </c>
      <c r="AD672" s="37" t="str">
        <f>RIGHT(MIP_4[[#This Row],[Equipe]], LEN(MIP_4[[#This Row],[Equipe]])-SEARCH("/",MIP_4[[#This Row],[Equipe]],1))</f>
        <v xml:space="preserve"> RONALDO</v>
      </c>
      <c r="AE672" s="44">
        <f>COUNTIFS('[1]Tempo parado'!G:G,"&gt;="&amp;MIP_4[[#This Row],[S.B Sitrack]],'[1]Tempo parado'!H:H,"&lt;="&amp;MIP_4[[#This Row],[C.B Sitrack]],'[1]Tempo parado'!A:A,MIP_4[[#This Row],[Placa]])</f>
        <v>0</v>
      </c>
      <c r="AF672" s="36"/>
      <c r="AG672" s="35"/>
      <c r="AH672" s="34"/>
      <c r="AI672" s="34"/>
      <c r="AJ67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7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7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72" s="32" t="str">
        <f>IFERROR(MIP_4[[#This Row],[Tempo parado]]/(MIP_4[[#This Row],[C.B Sitrack]]-MIP_4[[#This Row],[S.B Sitrack]]),"")</f>
        <v/>
      </c>
      <c r="AN672" s="30"/>
      <c r="AO672" s="44">
        <f>IF(AND(MIP_4[Exc]=0,MIP_4[Previsto / Realizado]="Realizado"),MIP_4[Sem],0)</f>
        <v>42</v>
      </c>
      <c r="AP672" s="29">
        <f>IF(AND(MIP_4[Exc]=0,MIP_4[Previsto / Realizado]="Realizado",ISBLANK(MIP_4[[#This Row],[S.B Sitrack]])=FALSE,ISBLANK(MIP_4[[#This Row],[C.B Sitrack]])=FALSE),MIP_4[Sem],0)</f>
        <v>0</v>
      </c>
    </row>
    <row r="673" spans="1:42" ht="15.75" x14ac:dyDescent="0.25">
      <c r="A673" s="29">
        <f>WEEKNUM(MIP_4[[#This Row],[Data]])</f>
        <v>42</v>
      </c>
      <c r="B673" s="45">
        <v>43026</v>
      </c>
      <c r="C673" s="45"/>
      <c r="D673" s="35" t="s">
        <v>83</v>
      </c>
      <c r="E673" s="35" t="s">
        <v>5</v>
      </c>
      <c r="F673" s="35"/>
      <c r="G673" s="44">
        <v>3</v>
      </c>
      <c r="H673" s="44">
        <v>4</v>
      </c>
      <c r="I673" s="44">
        <v>1</v>
      </c>
      <c r="J673" s="44">
        <v>1</v>
      </c>
      <c r="K673" s="44">
        <v>0</v>
      </c>
      <c r="L673" s="43">
        <v>0.625</v>
      </c>
      <c r="M673" s="43">
        <v>0.64583333333333337</v>
      </c>
      <c r="N673" s="43">
        <v>1.0125</v>
      </c>
      <c r="O673" s="43">
        <v>1.0333333333333334</v>
      </c>
      <c r="P673" s="39"/>
      <c r="Q673" s="42" t="s">
        <v>36</v>
      </c>
      <c r="R673" s="29">
        <v>9</v>
      </c>
      <c r="S67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67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673" s="41">
        <f ca="1">MIP_4[[#This Row],[Eficiência]]</f>
        <v>0.63631956057227801</v>
      </c>
      <c r="V67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73" s="39">
        <f>IF(MIP_4[[#This Row],[P.S]]-MIP_4[[#This Row],[P.E]]&lt;0,1+MIP_4[[#This Row],[P.S]]-MIP_4[[#This Row],[P.E]]-1/24,MIP_4[[#This Row],[P.S]]-MIP_4[[#This Row],[P.E]]-1/24)</f>
        <v>0.36666666666666675</v>
      </c>
      <c r="X673" s="39">
        <f ca="1">MIP_4[[#This Row],[PT-1]]*$S$3+MIP_4[[#This Row],[PT-2]]*$T$3+MIP_4[[#This Row],[PT-3]]*$U$3+MIP_4[[#This Row],[PT &gt; 3 Pontos]]*$V$3</f>
        <v>0.20680385718599029</v>
      </c>
      <c r="Y673" s="39">
        <f>MIP_4[[#This Row],[HH disponível]]-MIP_4[[#This Row],[HH AC TOT]]</f>
        <v>0.3249999999999999</v>
      </c>
      <c r="Z673" s="38">
        <f ca="1">MIP_4[[#This Row],[HH Produtivo
Total]]/MIP_4[[#This Row],[HH Trabalhado]]</f>
        <v>0.63631956057227801</v>
      </c>
      <c r="AA673" s="38">
        <f ca="1">MIP_4[[#This Row],[HH Produtivo
Total]]/MIP_4[[#This Row],[HH disponível]]</f>
        <v>0.56401051959815518</v>
      </c>
      <c r="AB673" s="38">
        <f>MIP_4[[#This Row],[HH Trabalhado]]/MIP_4[[#This Row],[HH disponível]]</f>
        <v>0.88636363636363591</v>
      </c>
      <c r="AC673" s="37" t="str">
        <f>LEFT(MIP_4[[#This Row],[Equipe]], SEARCH("/",MIP_4[[#This Row],[Equipe]],1)-1)</f>
        <v xml:space="preserve">ADEMÁRIO </v>
      </c>
      <c r="AD673" s="37" t="str">
        <f>RIGHT(MIP_4[[#This Row],[Equipe]], LEN(MIP_4[[#This Row],[Equipe]])-SEARCH("/",MIP_4[[#This Row],[Equipe]],1))</f>
        <v xml:space="preserve"> GECIVALDO / RONALDO</v>
      </c>
      <c r="AE673" s="44">
        <f>COUNTIFS('[1]Tempo parado'!G:G,"&gt;="&amp;MIP_4[[#This Row],[S.B Sitrack]],'[1]Tempo parado'!H:H,"&lt;="&amp;MIP_4[[#This Row],[C.B Sitrack]],'[1]Tempo parado'!A:A,MIP_4[[#This Row],[Placa]])</f>
        <v>0</v>
      </c>
      <c r="AF673" s="36"/>
      <c r="AG673" s="35"/>
      <c r="AH673" s="34"/>
      <c r="AI673" s="34"/>
      <c r="AJ67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7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7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73" s="32" t="str">
        <f>IFERROR(MIP_4[[#This Row],[Tempo parado]]/(MIP_4[[#This Row],[C.B Sitrack]]-MIP_4[[#This Row],[S.B Sitrack]]),"")</f>
        <v/>
      </c>
      <c r="AN673" s="30"/>
      <c r="AO673" s="44">
        <f>IF(AND(MIP_4[Exc]=0,MIP_4[Previsto / Realizado]="Realizado"),MIP_4[Sem],0)</f>
        <v>0</v>
      </c>
      <c r="AP673" s="29">
        <f>IF(AND(MIP_4[Exc]=0,MIP_4[Previsto / Realizado]="Realizado",ISBLANK(MIP_4[[#This Row],[S.B Sitrack]])=FALSE,ISBLANK(MIP_4[[#This Row],[C.B Sitrack]])=FALSE),MIP_4[Sem],0)</f>
        <v>0</v>
      </c>
    </row>
    <row r="674" spans="1:42" ht="15.75" x14ac:dyDescent="0.25">
      <c r="A674" s="29">
        <f>WEEKNUM(MIP_4[[#This Row],[Data]])</f>
        <v>42</v>
      </c>
      <c r="B674" s="45">
        <v>43025</v>
      </c>
      <c r="C674" s="45"/>
      <c r="D674" s="35" t="s">
        <v>10</v>
      </c>
      <c r="E674" s="35" t="s">
        <v>2</v>
      </c>
      <c r="F674" s="35"/>
      <c r="G674" s="44">
        <v>2</v>
      </c>
      <c r="H674" s="44">
        <v>4</v>
      </c>
      <c r="I674" s="44">
        <v>4</v>
      </c>
      <c r="J674" s="44">
        <v>0</v>
      </c>
      <c r="K674" s="44">
        <v>0</v>
      </c>
      <c r="L674" s="43">
        <v>0.24722222222222223</v>
      </c>
      <c r="M674" s="43">
        <v>0.27777777777777779</v>
      </c>
      <c r="N674" s="43">
        <v>0.61111111111111105</v>
      </c>
      <c r="O674" s="43">
        <v>0.67708333333333337</v>
      </c>
      <c r="P674" s="39"/>
      <c r="Q674" s="42" t="s">
        <v>181</v>
      </c>
      <c r="R674" s="29">
        <v>12</v>
      </c>
      <c r="S67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9.6527777777777879E-2</v>
      </c>
      <c r="T67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9.6527777777777879E-2</v>
      </c>
      <c r="U674" s="41">
        <f ca="1">MIP_4[[#This Row],[Eficiência]]</f>
        <v>0.94538906142167034</v>
      </c>
      <c r="V67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74" s="39">
        <f>IF(MIP_4[[#This Row],[P.S]]-MIP_4[[#This Row],[P.E]]&lt;0,1+MIP_4[[#This Row],[P.S]]-MIP_4[[#This Row],[P.E]]-1/24,MIP_4[[#This Row],[P.S]]-MIP_4[[#This Row],[P.E]]-1/24)</f>
        <v>0.38819444444444445</v>
      </c>
      <c r="X674" s="39">
        <f ca="1">MIP_4[[#This Row],[PT-1]]*$S$3+MIP_4[[#This Row],[PT-2]]*$T$3+MIP_4[[#This Row],[PT-3]]*$U$3+MIP_4[[#This Row],[PT &gt; 3 Pontos]]*$V$3</f>
        <v>0.27573847624798709</v>
      </c>
      <c r="Y674" s="39">
        <f>MIP_4[[#This Row],[HH disponível]]-MIP_4[[#This Row],[HH AC TOT]]</f>
        <v>0.29166666666666657</v>
      </c>
      <c r="Z674" s="38">
        <f ca="1">MIP_4[[#This Row],[HH Produtivo
Total]]/MIP_4[[#This Row],[HH Trabalhado]]</f>
        <v>0.94538906142167034</v>
      </c>
      <c r="AA674" s="38">
        <f ca="1">MIP_4[[#This Row],[HH Produtivo
Total]]/MIP_4[[#This Row],[HH disponível]]</f>
        <v>0.71031020715044968</v>
      </c>
      <c r="AB674" s="38">
        <f>MIP_4[[#This Row],[HH Trabalhado]]/MIP_4[[#This Row],[HH disponível]]</f>
        <v>0.75134168157423942</v>
      </c>
      <c r="AC674" s="37" t="str">
        <f>LEFT(MIP_4[[#This Row],[Equipe]], SEARCH("/",MIP_4[[#This Row],[Equipe]],1)-1)</f>
        <v xml:space="preserve">JOILSON </v>
      </c>
      <c r="AD674" s="37" t="str">
        <f>RIGHT(MIP_4[[#This Row],[Equipe]], LEN(MIP_4[[#This Row],[Equipe]])-SEARCH("/",MIP_4[[#This Row],[Equipe]],1))</f>
        <v xml:space="preserve"> VALDEI</v>
      </c>
      <c r="AE674" s="44">
        <f>COUNTIFS('[1]Tempo parado'!G:G,"&gt;="&amp;MIP_4[[#This Row],[S.B Sitrack]],'[1]Tempo parado'!H:H,"&lt;="&amp;MIP_4[[#This Row],[C.B Sitrack]],'[1]Tempo parado'!A:A,MIP_4[[#This Row],[Placa]])</f>
        <v>0</v>
      </c>
      <c r="AF674" s="36"/>
      <c r="AG674" s="35"/>
      <c r="AH674" s="34"/>
      <c r="AI674" s="34"/>
      <c r="AJ67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7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7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74" s="32" t="str">
        <f>IFERROR(MIP_4[[#This Row],[Tempo parado]]/(MIP_4[[#This Row],[C.B Sitrack]]-MIP_4[[#This Row],[S.B Sitrack]]),"")</f>
        <v/>
      </c>
      <c r="AN674" s="30"/>
      <c r="AO674" s="44">
        <f>IF(AND(MIP_4[Exc]=0,MIP_4[Previsto / Realizado]="Realizado"),MIP_4[Sem],0)</f>
        <v>42</v>
      </c>
      <c r="AP674" s="29">
        <f>IF(AND(MIP_4[Exc]=0,MIP_4[Previsto / Realizado]="Realizado",ISBLANK(MIP_4[[#This Row],[S.B Sitrack]])=FALSE,ISBLANK(MIP_4[[#This Row],[C.B Sitrack]])=FALSE),MIP_4[Sem],0)</f>
        <v>0</v>
      </c>
    </row>
    <row r="675" spans="1:42" ht="15.75" x14ac:dyDescent="0.25">
      <c r="A675" s="29">
        <f>WEEKNUM(MIP_4[[#This Row],[Data]])</f>
        <v>42</v>
      </c>
      <c r="B675" s="45">
        <v>43027</v>
      </c>
      <c r="C675" s="45"/>
      <c r="D675" s="35" t="s">
        <v>10</v>
      </c>
      <c r="E675" s="35" t="s">
        <v>5</v>
      </c>
      <c r="F675" s="35"/>
      <c r="G675" s="44">
        <v>2</v>
      </c>
      <c r="H675" s="44">
        <v>3</v>
      </c>
      <c r="I675" s="44">
        <v>1</v>
      </c>
      <c r="J675" s="44">
        <v>1</v>
      </c>
      <c r="K675" s="44">
        <v>0</v>
      </c>
      <c r="L675" s="43">
        <v>0.25</v>
      </c>
      <c r="M675" s="43">
        <v>0.27083333333333331</v>
      </c>
      <c r="N675" s="43">
        <v>0.63750000000000007</v>
      </c>
      <c r="O675" s="43">
        <v>0.65833333333333333</v>
      </c>
      <c r="P675" s="39"/>
      <c r="Q675" s="42"/>
      <c r="R675" s="29">
        <v>8</v>
      </c>
      <c r="S67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67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675" s="41">
        <f ca="1">MIP_4[[#This Row],[Eficiência]]</f>
        <v>0.55931693608324029</v>
      </c>
      <c r="V67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75" s="39">
        <f>IF(MIP_4[[#This Row],[P.S]]-MIP_4[[#This Row],[P.E]]&lt;0,1+MIP_4[[#This Row],[P.S]]-MIP_4[[#This Row],[P.E]]-1/24,MIP_4[[#This Row],[P.S]]-MIP_4[[#This Row],[P.E]]-1/24)</f>
        <v>0.36666666666666664</v>
      </c>
      <c r="X675" s="39">
        <f ca="1">MIP_4[[#This Row],[PT-1]]*$S$3+MIP_4[[#This Row],[PT-2]]*$T$3+MIP_4[[#This Row],[PT-3]]*$U$3+MIP_4[[#This Row],[PT &gt; 3 Pontos]]*$V$3</f>
        <v>0.18177800422705312</v>
      </c>
      <c r="Y675" s="39">
        <f>MIP_4[[#This Row],[HH disponível]]-MIP_4[[#This Row],[HH AC TOT]]</f>
        <v>0.32500000000000007</v>
      </c>
      <c r="Z675" s="38">
        <f ca="1">MIP_4[[#This Row],[HH Produtivo
Total]]/MIP_4[[#This Row],[HH Trabalhado]]</f>
        <v>0.55931693608324029</v>
      </c>
      <c r="AA675" s="38">
        <f ca="1">MIP_4[[#This Row],[HH Produtivo
Total]]/MIP_4[[#This Row],[HH disponível]]</f>
        <v>0.49575819334650856</v>
      </c>
      <c r="AB675" s="38">
        <f>MIP_4[[#This Row],[HH Trabalhado]]/MIP_4[[#This Row],[HH disponível]]</f>
        <v>0.88636363636363658</v>
      </c>
      <c r="AC675" s="37" t="str">
        <f>LEFT(MIP_4[[#This Row],[Equipe]], SEARCH("/",MIP_4[[#This Row],[Equipe]],1)-1)</f>
        <v xml:space="preserve">JOILSON </v>
      </c>
      <c r="AD675" s="37" t="str">
        <f>RIGHT(MIP_4[[#This Row],[Equipe]], LEN(MIP_4[[#This Row],[Equipe]])-SEARCH("/",MIP_4[[#This Row],[Equipe]],1))</f>
        <v xml:space="preserve"> VALDEI</v>
      </c>
      <c r="AE675" s="44">
        <f>COUNTIFS('[1]Tempo parado'!G:G,"&gt;="&amp;MIP_4[[#This Row],[S.B Sitrack]],'[1]Tempo parado'!H:H,"&lt;="&amp;MIP_4[[#This Row],[C.B Sitrack]],'[1]Tempo parado'!A:A,MIP_4[[#This Row],[Placa]])</f>
        <v>0</v>
      </c>
      <c r="AF675" s="36"/>
      <c r="AG675" s="35"/>
      <c r="AH675" s="34"/>
      <c r="AI675" s="34"/>
      <c r="AJ67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7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7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75" s="32" t="str">
        <f>IFERROR(MIP_4[[#This Row],[Tempo parado]]/(MIP_4[[#This Row],[C.B Sitrack]]-MIP_4[[#This Row],[S.B Sitrack]]),"")</f>
        <v/>
      </c>
      <c r="AN675" s="30"/>
      <c r="AO675" s="44">
        <f>IF(AND(MIP_4[Exc]=0,MIP_4[Previsto / Realizado]="Realizado"),MIP_4[Sem],0)</f>
        <v>0</v>
      </c>
      <c r="AP675" s="29">
        <f>IF(AND(MIP_4[Exc]=0,MIP_4[Previsto / Realizado]="Realizado",ISBLANK(MIP_4[[#This Row],[S.B Sitrack]])=FALSE,ISBLANK(MIP_4[[#This Row],[C.B Sitrack]])=FALSE),MIP_4[Sem],0)</f>
        <v>0</v>
      </c>
    </row>
    <row r="676" spans="1:42" ht="15.75" x14ac:dyDescent="0.25">
      <c r="A676" s="29">
        <f>WEEKNUM(MIP_4[[#This Row],[Data]])</f>
        <v>42</v>
      </c>
      <c r="B676" s="45">
        <v>43028</v>
      </c>
      <c r="C676" s="45"/>
      <c r="D676" s="35" t="s">
        <v>178</v>
      </c>
      <c r="E676" s="35" t="s">
        <v>2</v>
      </c>
      <c r="F676" s="35"/>
      <c r="G676" s="44">
        <v>2</v>
      </c>
      <c r="H676" s="44">
        <v>7</v>
      </c>
      <c r="I676" s="44">
        <v>1</v>
      </c>
      <c r="J676" s="44">
        <v>0</v>
      </c>
      <c r="K676" s="44">
        <v>5</v>
      </c>
      <c r="L676" s="43">
        <v>0.25069444444444444</v>
      </c>
      <c r="M676" s="43">
        <v>0.28125</v>
      </c>
      <c r="N676" s="43">
        <v>0.62986111111111109</v>
      </c>
      <c r="O676" s="43">
        <v>0.68888888888888899</v>
      </c>
      <c r="P676" s="39"/>
      <c r="Q676" s="42" t="s">
        <v>180</v>
      </c>
      <c r="R676" s="29">
        <v>14</v>
      </c>
      <c r="S67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8.9583333333333459E-2</v>
      </c>
      <c r="T67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8.9583333333333459E-2</v>
      </c>
      <c r="U676" s="41">
        <f ca="1">MIP_4[[#This Row],[Eficiência]]</f>
        <v>1.0436083695834335</v>
      </c>
      <c r="V67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76" s="39">
        <f>IF(MIP_4[[#This Row],[P.S]]-MIP_4[[#This Row],[P.E]]&lt;0,1+MIP_4[[#This Row],[P.S]]-MIP_4[[#This Row],[P.E]]-1/24,MIP_4[[#This Row],[P.S]]-MIP_4[[#This Row],[P.E]]-1/24)</f>
        <v>0.39652777777777787</v>
      </c>
      <c r="X676" s="39">
        <f ca="1">MIP_4[[#This Row],[PT-1]]*$S$3+MIP_4[[#This Row],[PT-2]]*$T$3+MIP_4[[#This Row],[PT-3]]*$U$3+MIP_4[[#This Row],[PT &gt; 3 Pontos]]*$V$3</f>
        <v>0.32032979121935939</v>
      </c>
      <c r="Y676" s="39">
        <f>MIP_4[[#This Row],[HH disponível]]-MIP_4[[#This Row],[HH AC TOT]]</f>
        <v>0.30694444444444441</v>
      </c>
      <c r="Z676" s="38">
        <f ca="1">MIP_4[[#This Row],[HH Produtivo
Total]]/MIP_4[[#This Row],[HH Trabalhado]]</f>
        <v>1.0436083695834335</v>
      </c>
      <c r="AA676" s="38">
        <f ca="1">MIP_4[[#This Row],[HH Produtivo
Total]]/MIP_4[[#This Row],[HH disponível]]</f>
        <v>0.80783695158647539</v>
      </c>
      <c r="AB676" s="38">
        <f>MIP_4[[#This Row],[HH Trabalhado]]/MIP_4[[#This Row],[HH disponível]]</f>
        <v>0.77408056042031492</v>
      </c>
      <c r="AC676" s="37" t="str">
        <f>LEFT(MIP_4[[#This Row],[Equipe]], SEARCH("/",MIP_4[[#This Row],[Equipe]],1)-1)</f>
        <v xml:space="preserve">HERVAL </v>
      </c>
      <c r="AD676" s="37" t="str">
        <f>RIGHT(MIP_4[[#This Row],[Equipe]], LEN(MIP_4[[#This Row],[Equipe]])-SEARCH("/",MIP_4[[#This Row],[Equipe]],1))</f>
        <v xml:space="preserve"> VALDEI</v>
      </c>
      <c r="AE676" s="44">
        <f>COUNTIFS('[1]Tempo parado'!G:G,"&gt;="&amp;MIP_4[[#This Row],[S.B Sitrack]],'[1]Tempo parado'!H:H,"&lt;="&amp;MIP_4[[#This Row],[C.B Sitrack]],'[1]Tempo parado'!A:A,MIP_4[[#This Row],[Placa]])</f>
        <v>0</v>
      </c>
      <c r="AF676" s="36"/>
      <c r="AG676" s="35"/>
      <c r="AH676" s="34"/>
      <c r="AI676" s="34"/>
      <c r="AJ67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7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7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76" s="32" t="str">
        <f>IFERROR(MIP_4[[#This Row],[Tempo parado]]/(MIP_4[[#This Row],[C.B Sitrack]]-MIP_4[[#This Row],[S.B Sitrack]]),"")</f>
        <v/>
      </c>
      <c r="AN676" s="30"/>
      <c r="AO676" s="44">
        <f>IF(AND(MIP_4[Exc]=0,MIP_4[Previsto / Realizado]="Realizado"),MIP_4[Sem],0)</f>
        <v>42</v>
      </c>
      <c r="AP676" s="29">
        <f>IF(AND(MIP_4[Exc]=0,MIP_4[Previsto / Realizado]="Realizado",ISBLANK(MIP_4[[#This Row],[S.B Sitrack]])=FALSE,ISBLANK(MIP_4[[#This Row],[C.B Sitrack]])=FALSE),MIP_4[Sem],0)</f>
        <v>0</v>
      </c>
    </row>
    <row r="677" spans="1:42" ht="15.75" x14ac:dyDescent="0.25">
      <c r="A677" s="29">
        <f>WEEKNUM(MIP_4[[#This Row],[Data]])</f>
        <v>42</v>
      </c>
      <c r="B677" s="45">
        <v>43027</v>
      </c>
      <c r="C677" s="45"/>
      <c r="D677" s="35" t="s">
        <v>19</v>
      </c>
      <c r="E677" s="35" t="s">
        <v>5</v>
      </c>
      <c r="F677" s="35"/>
      <c r="G677" s="44">
        <v>2</v>
      </c>
      <c r="H677" s="44">
        <v>2</v>
      </c>
      <c r="I677" s="44">
        <v>0</v>
      </c>
      <c r="J677" s="44">
        <v>2</v>
      </c>
      <c r="K677" s="44">
        <v>0</v>
      </c>
      <c r="L677" s="43">
        <v>0.625</v>
      </c>
      <c r="M677" s="43">
        <v>0.64583333333333337</v>
      </c>
      <c r="N677" s="43">
        <v>1.0125</v>
      </c>
      <c r="O677" s="43">
        <v>1.0333333333333334</v>
      </c>
      <c r="P677" s="39"/>
      <c r="Q677" s="42"/>
      <c r="R677" s="29">
        <v>8</v>
      </c>
      <c r="S67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67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677" s="41">
        <f ca="1">MIP_4[[#This Row],[Eficiência]]</f>
        <v>0.5404155828068874</v>
      </c>
      <c r="V67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77" s="39">
        <f>IF(MIP_4[[#This Row],[P.S]]-MIP_4[[#This Row],[P.E]]&lt;0,1+MIP_4[[#This Row],[P.S]]-MIP_4[[#This Row],[P.E]]-1/24,MIP_4[[#This Row],[P.S]]-MIP_4[[#This Row],[P.E]]-1/24)</f>
        <v>0.36666666666666675</v>
      </c>
      <c r="X677" s="39">
        <f ca="1">MIP_4[[#This Row],[PT-1]]*$S$3+MIP_4[[#This Row],[PT-2]]*$T$3+MIP_4[[#This Row],[PT-3]]*$U$3+MIP_4[[#This Row],[PT &gt; 3 Pontos]]*$V$3</f>
        <v>0.17563506441223833</v>
      </c>
      <c r="Y677" s="39">
        <f>MIP_4[[#This Row],[HH disponível]]-MIP_4[[#This Row],[HH AC TOT]]</f>
        <v>0.3249999999999999</v>
      </c>
      <c r="Z677" s="38">
        <f ca="1">MIP_4[[#This Row],[HH Produtivo
Total]]/MIP_4[[#This Row],[HH Trabalhado]]</f>
        <v>0.5404155828068874</v>
      </c>
      <c r="AA677" s="38">
        <f ca="1">MIP_4[[#This Row],[HH Produtivo
Total]]/MIP_4[[#This Row],[HH disponível]]</f>
        <v>0.47900472112428627</v>
      </c>
      <c r="AB677" s="38">
        <f>MIP_4[[#This Row],[HH Trabalhado]]/MIP_4[[#This Row],[HH disponível]]</f>
        <v>0.88636363636363591</v>
      </c>
      <c r="AC677" s="37" t="str">
        <f>LEFT(MIP_4[[#This Row],[Equipe]], SEARCH("/",MIP_4[[#This Row],[Equipe]],1)-1)</f>
        <v xml:space="preserve">ADEMÁRIO </v>
      </c>
      <c r="AD677" s="37" t="str">
        <f>RIGHT(MIP_4[[#This Row],[Equipe]], LEN(MIP_4[[#This Row],[Equipe]])-SEARCH("/",MIP_4[[#This Row],[Equipe]],1))</f>
        <v xml:space="preserve"> RONALDO</v>
      </c>
      <c r="AE677" s="44">
        <f>COUNTIFS('[1]Tempo parado'!G:G,"&gt;="&amp;MIP_4[[#This Row],[S.B Sitrack]],'[1]Tempo parado'!H:H,"&lt;="&amp;MIP_4[[#This Row],[C.B Sitrack]],'[1]Tempo parado'!A:A,MIP_4[[#This Row],[Placa]])</f>
        <v>0</v>
      </c>
      <c r="AF677" s="36"/>
      <c r="AG677" s="35"/>
      <c r="AH677" s="34"/>
      <c r="AI677" s="34"/>
      <c r="AJ67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7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7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77" s="32" t="str">
        <f>IFERROR(MIP_4[[#This Row],[Tempo parado]]/(MIP_4[[#This Row],[C.B Sitrack]]-MIP_4[[#This Row],[S.B Sitrack]]),"")</f>
        <v/>
      </c>
      <c r="AN677" s="30"/>
      <c r="AO677" s="44">
        <f>IF(AND(MIP_4[Exc]=0,MIP_4[Previsto / Realizado]="Realizado"),MIP_4[Sem],0)</f>
        <v>0</v>
      </c>
      <c r="AP677" s="29">
        <f>IF(AND(MIP_4[Exc]=0,MIP_4[Previsto / Realizado]="Realizado",ISBLANK(MIP_4[[#This Row],[S.B Sitrack]])=FALSE,ISBLANK(MIP_4[[#This Row],[C.B Sitrack]])=FALSE),MIP_4[Sem],0)</f>
        <v>0</v>
      </c>
    </row>
    <row r="678" spans="1:42" ht="15.75" x14ac:dyDescent="0.25">
      <c r="A678" s="29">
        <f>WEEKNUM(MIP_4[[#This Row],[Data]])</f>
        <v>42</v>
      </c>
      <c r="B678" s="45">
        <v>43026</v>
      </c>
      <c r="C678" s="45"/>
      <c r="D678" s="35" t="s">
        <v>83</v>
      </c>
      <c r="E678" s="35" t="s">
        <v>2</v>
      </c>
      <c r="F678" s="35"/>
      <c r="G678" s="44">
        <v>3</v>
      </c>
      <c r="H678" s="44">
        <v>4</v>
      </c>
      <c r="I678" s="44">
        <v>1</v>
      </c>
      <c r="J678" s="44">
        <v>1</v>
      </c>
      <c r="K678" s="44">
        <v>0</v>
      </c>
      <c r="L678" s="43">
        <v>0.63888888888888895</v>
      </c>
      <c r="M678" s="43">
        <v>0.70000000000000007</v>
      </c>
      <c r="N678" s="43">
        <v>1.0083333333333333</v>
      </c>
      <c r="O678" s="43">
        <v>1.0361111111111112</v>
      </c>
      <c r="P678" s="39"/>
      <c r="Q678" s="42" t="s">
        <v>179</v>
      </c>
      <c r="R678" s="29">
        <v>9</v>
      </c>
      <c r="S67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8.8888888888889017E-2</v>
      </c>
      <c r="T67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8.8888888888889017E-2</v>
      </c>
      <c r="U678" s="41">
        <f ca="1">MIP_4[[#This Row],[Eficiência]]</f>
        <v>0.77551446444746386</v>
      </c>
      <c r="V67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78" s="39">
        <f>IF(MIP_4[[#This Row],[P.S]]-MIP_4[[#This Row],[P.E]]&lt;0,1+MIP_4[[#This Row],[P.S]]-MIP_4[[#This Row],[P.E]]-1/24,MIP_4[[#This Row],[P.S]]-MIP_4[[#This Row],[P.E]]-1/24)</f>
        <v>0.35555555555555557</v>
      </c>
      <c r="X678" s="39">
        <f ca="1">MIP_4[[#This Row],[PT-1]]*$S$3+MIP_4[[#This Row],[PT-2]]*$T$3+MIP_4[[#This Row],[PT-3]]*$U$3+MIP_4[[#This Row],[PT &gt; 3 Pontos]]*$V$3</f>
        <v>0.20680385718599029</v>
      </c>
      <c r="Y678" s="39">
        <f>MIP_4[[#This Row],[HH disponível]]-MIP_4[[#This Row],[HH AC TOT]]</f>
        <v>0.26666666666666655</v>
      </c>
      <c r="Z678" s="38">
        <f ca="1">MIP_4[[#This Row],[HH Produtivo
Total]]/MIP_4[[#This Row],[HH Trabalhado]]</f>
        <v>0.77551446444746386</v>
      </c>
      <c r="AA678" s="38">
        <f ca="1">MIP_4[[#This Row],[HH Produtivo
Total]]/MIP_4[[#This Row],[HH disponível]]</f>
        <v>0.58163584833559767</v>
      </c>
      <c r="AB678" s="38">
        <f>MIP_4[[#This Row],[HH Trabalhado]]/MIP_4[[#This Row],[HH disponível]]</f>
        <v>0.74999999999999967</v>
      </c>
      <c r="AC678" s="37" t="str">
        <f>LEFT(MIP_4[[#This Row],[Equipe]], SEARCH("/",MIP_4[[#This Row],[Equipe]],1)-1)</f>
        <v xml:space="preserve">ADEMÁRIO </v>
      </c>
      <c r="AD678" s="37" t="str">
        <f>RIGHT(MIP_4[[#This Row],[Equipe]], LEN(MIP_4[[#This Row],[Equipe]])-SEARCH("/",MIP_4[[#This Row],[Equipe]],1))</f>
        <v xml:space="preserve"> GECIVALDO / RONALDO</v>
      </c>
      <c r="AE678" s="44">
        <f>COUNTIFS('[1]Tempo parado'!G:G,"&gt;="&amp;MIP_4[[#This Row],[S.B Sitrack]],'[1]Tempo parado'!H:H,"&lt;="&amp;MIP_4[[#This Row],[C.B Sitrack]],'[1]Tempo parado'!A:A,MIP_4[[#This Row],[Placa]])</f>
        <v>0</v>
      </c>
      <c r="AF678" s="36"/>
      <c r="AG678" s="35"/>
      <c r="AH678" s="34"/>
      <c r="AI678" s="34"/>
      <c r="AJ67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7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7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78" s="32" t="str">
        <f>IFERROR(MIP_4[[#This Row],[Tempo parado]]/(MIP_4[[#This Row],[C.B Sitrack]]-MIP_4[[#This Row],[S.B Sitrack]]),"")</f>
        <v/>
      </c>
      <c r="AN678" s="30"/>
      <c r="AO678" s="44">
        <f>IF(AND(MIP_4[Exc]=0,MIP_4[Previsto / Realizado]="Realizado"),MIP_4[Sem],0)</f>
        <v>42</v>
      </c>
      <c r="AP678" s="29">
        <f>IF(AND(MIP_4[Exc]=0,MIP_4[Previsto / Realizado]="Realizado",ISBLANK(MIP_4[[#This Row],[S.B Sitrack]])=FALSE,ISBLANK(MIP_4[[#This Row],[C.B Sitrack]])=FALSE),MIP_4[Sem],0)</f>
        <v>0</v>
      </c>
    </row>
    <row r="679" spans="1:42" ht="15.75" x14ac:dyDescent="0.25">
      <c r="A679" s="29">
        <f>WEEKNUM(MIP_4[[#This Row],[Data]])</f>
        <v>42</v>
      </c>
      <c r="B679" s="45">
        <v>43028</v>
      </c>
      <c r="C679" s="45"/>
      <c r="D679" s="35" t="s">
        <v>178</v>
      </c>
      <c r="E679" s="35" t="s">
        <v>5</v>
      </c>
      <c r="F679" s="35"/>
      <c r="G679" s="44">
        <v>2</v>
      </c>
      <c r="H679" s="44">
        <v>5</v>
      </c>
      <c r="I679" s="44">
        <v>1</v>
      </c>
      <c r="J679" s="44">
        <v>0</v>
      </c>
      <c r="K679" s="44">
        <v>5</v>
      </c>
      <c r="L679" s="43">
        <v>0.25</v>
      </c>
      <c r="M679" s="43">
        <v>0.27083333333333331</v>
      </c>
      <c r="N679" s="43">
        <v>0.63750000000000007</v>
      </c>
      <c r="O679" s="43">
        <v>0.65833333333333333</v>
      </c>
      <c r="P679" s="39"/>
      <c r="Q679" s="42" t="s">
        <v>4</v>
      </c>
      <c r="R679" s="29">
        <v>12</v>
      </c>
      <c r="S67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67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679" s="41">
        <f ca="1">MIP_4[[#This Row],[Eficiência]]</f>
        <v>0.83162487785072292</v>
      </c>
      <c r="V67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79" s="39">
        <f>IF(MIP_4[[#This Row],[P.S]]-MIP_4[[#This Row],[P.E]]&lt;0,1+MIP_4[[#This Row],[P.S]]-MIP_4[[#This Row],[P.E]]-1/24,MIP_4[[#This Row],[P.S]]-MIP_4[[#This Row],[P.E]]-1/24)</f>
        <v>0.36666666666666664</v>
      </c>
      <c r="X679" s="39">
        <f ca="1">MIP_4[[#This Row],[PT-1]]*$S$3+MIP_4[[#This Row],[PT-2]]*$T$3+MIP_4[[#This Row],[PT-3]]*$U$3+MIP_4[[#This Row],[PT &gt; 3 Pontos]]*$V$3</f>
        <v>0.270278085301485</v>
      </c>
      <c r="Y679" s="39">
        <f>MIP_4[[#This Row],[HH disponível]]-MIP_4[[#This Row],[HH AC TOT]]</f>
        <v>0.32500000000000007</v>
      </c>
      <c r="Z679" s="38">
        <f ca="1">MIP_4[[#This Row],[HH Produtivo
Total]]/MIP_4[[#This Row],[HH Trabalhado]]</f>
        <v>0.83162487785072292</v>
      </c>
      <c r="AA679" s="38">
        <f ca="1">MIP_4[[#This Row],[HH Produtivo
Total]]/MIP_4[[#This Row],[HH disponível]]</f>
        <v>0.73712205082223192</v>
      </c>
      <c r="AB679" s="38">
        <f>MIP_4[[#This Row],[HH Trabalhado]]/MIP_4[[#This Row],[HH disponível]]</f>
        <v>0.88636363636363658</v>
      </c>
      <c r="AC679" s="37" t="str">
        <f>LEFT(MIP_4[[#This Row],[Equipe]], SEARCH("/",MIP_4[[#This Row],[Equipe]],1)-1)</f>
        <v xml:space="preserve">HERVAL </v>
      </c>
      <c r="AD679" s="37" t="str">
        <f>RIGHT(MIP_4[[#This Row],[Equipe]], LEN(MIP_4[[#This Row],[Equipe]])-SEARCH("/",MIP_4[[#This Row],[Equipe]],1))</f>
        <v xml:space="preserve"> VALDEI</v>
      </c>
      <c r="AE679" s="44">
        <f>COUNTIFS('[1]Tempo parado'!G:G,"&gt;="&amp;MIP_4[[#This Row],[S.B Sitrack]],'[1]Tempo parado'!H:H,"&lt;="&amp;MIP_4[[#This Row],[C.B Sitrack]],'[1]Tempo parado'!A:A,MIP_4[[#This Row],[Placa]])</f>
        <v>0</v>
      </c>
      <c r="AF679" s="36"/>
      <c r="AG679" s="35"/>
      <c r="AH679" s="34"/>
      <c r="AI679" s="34"/>
      <c r="AJ67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7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7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79" s="32" t="str">
        <f>IFERROR(MIP_4[[#This Row],[Tempo parado]]/(MIP_4[[#This Row],[C.B Sitrack]]-MIP_4[[#This Row],[S.B Sitrack]]),"")</f>
        <v/>
      </c>
      <c r="AN679" s="30"/>
      <c r="AO679" s="44">
        <f>IF(AND(MIP_4[Exc]=0,MIP_4[Previsto / Realizado]="Realizado"),MIP_4[Sem],0)</f>
        <v>0</v>
      </c>
      <c r="AP679" s="29">
        <f>IF(AND(MIP_4[Exc]=0,MIP_4[Previsto / Realizado]="Realizado",ISBLANK(MIP_4[[#This Row],[S.B Sitrack]])=FALSE,ISBLANK(MIP_4[[#This Row],[C.B Sitrack]])=FALSE),MIP_4[Sem],0)</f>
        <v>0</v>
      </c>
    </row>
    <row r="680" spans="1:42" ht="15.75" x14ac:dyDescent="0.25">
      <c r="A680" s="29">
        <f>WEEKNUM(MIP_4[[#This Row],[Data]])</f>
        <v>42</v>
      </c>
      <c r="B680" s="45">
        <v>43024</v>
      </c>
      <c r="C680" s="45"/>
      <c r="D680" s="35" t="s">
        <v>3</v>
      </c>
      <c r="E680" s="35" t="s">
        <v>2</v>
      </c>
      <c r="F680" s="35"/>
      <c r="G680" s="44">
        <v>2</v>
      </c>
      <c r="H680" s="44">
        <v>4</v>
      </c>
      <c r="I680" s="44">
        <v>3</v>
      </c>
      <c r="J680" s="44">
        <v>1</v>
      </c>
      <c r="K680" s="44">
        <v>0</v>
      </c>
      <c r="L680" s="43">
        <v>0.62708333333333333</v>
      </c>
      <c r="M680" s="43">
        <v>0.69027777777777777</v>
      </c>
      <c r="N680" s="43">
        <v>1.0104166666666667</v>
      </c>
      <c r="O680" s="43">
        <v>1.0333333333333334</v>
      </c>
      <c r="P680" s="39"/>
      <c r="Q680" s="42" t="s">
        <v>100</v>
      </c>
      <c r="R680" s="29">
        <v>13</v>
      </c>
      <c r="S68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8.6111111111111138E-2</v>
      </c>
      <c r="T68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8.6111111111111138E-2</v>
      </c>
      <c r="U680" s="41">
        <f ca="1">MIP_4[[#This Row],[Eficiência]]</f>
        <v>1.0579920217572008</v>
      </c>
      <c r="V68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80" s="39">
        <f>IF(MIP_4[[#This Row],[P.S]]-MIP_4[[#This Row],[P.E]]&lt;0,1+MIP_4[[#This Row],[P.S]]-MIP_4[[#This Row],[P.E]]-1/24,MIP_4[[#This Row],[P.S]]-MIP_4[[#This Row],[P.E]]-1/24)</f>
        <v>0.36458333333333343</v>
      </c>
      <c r="X680" s="39">
        <f ca="1">MIP_4[[#This Row],[PT-1]]*$S$3+MIP_4[[#This Row],[PT-2]]*$T$3+MIP_4[[#This Row],[PT-3]]*$U$3+MIP_4[[#This Row],[PT &gt; 3 Pontos]]*$V$3</f>
        <v>0.29462138939210947</v>
      </c>
      <c r="Y680" s="39">
        <f>MIP_4[[#This Row],[HH disponível]]-MIP_4[[#This Row],[HH AC TOT]]</f>
        <v>0.27847222222222229</v>
      </c>
      <c r="Z680" s="38">
        <f ca="1">MIP_4[[#This Row],[HH Produtivo
Total]]/MIP_4[[#This Row],[HH Trabalhado]]</f>
        <v>1.0579920217572008</v>
      </c>
      <c r="AA680" s="38">
        <f ca="1">MIP_4[[#This Row],[HH Produtivo
Total]]/MIP_4[[#This Row],[HH disponível]]</f>
        <v>0.80810438233264292</v>
      </c>
      <c r="AB680" s="38">
        <f>MIP_4[[#This Row],[HH Trabalhado]]/MIP_4[[#This Row],[HH disponível]]</f>
        <v>0.76380952380952383</v>
      </c>
      <c r="AC680" s="37" t="str">
        <f>LEFT(MIP_4[[#This Row],[Equipe]], SEARCH("/",MIP_4[[#This Row],[Equipe]],1)-1)</f>
        <v xml:space="preserve">EDILTON </v>
      </c>
      <c r="AD680" s="37" t="str">
        <f>RIGHT(MIP_4[[#This Row],[Equipe]], LEN(MIP_4[[#This Row],[Equipe]])-SEARCH("/",MIP_4[[#This Row],[Equipe]],1))</f>
        <v xml:space="preserve"> GECIVALDO</v>
      </c>
      <c r="AE680" s="44">
        <f>COUNTIFS('[1]Tempo parado'!G:G,"&gt;="&amp;MIP_4[[#This Row],[S.B Sitrack]],'[1]Tempo parado'!H:H,"&lt;="&amp;MIP_4[[#This Row],[C.B Sitrack]],'[1]Tempo parado'!A:A,MIP_4[[#This Row],[Placa]])</f>
        <v>0</v>
      </c>
      <c r="AF680" s="36"/>
      <c r="AG680" s="35"/>
      <c r="AH680" s="34"/>
      <c r="AI680" s="34"/>
      <c r="AJ68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8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8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80" s="32" t="str">
        <f>IFERROR(MIP_4[[#This Row],[Tempo parado]]/(MIP_4[[#This Row],[C.B Sitrack]]-MIP_4[[#This Row],[S.B Sitrack]]),"")</f>
        <v/>
      </c>
      <c r="AN680" s="30"/>
      <c r="AO680" s="44">
        <f>IF(AND(MIP_4[Exc]=0,MIP_4[Previsto / Realizado]="Realizado"),MIP_4[Sem],0)</f>
        <v>42</v>
      </c>
      <c r="AP680" s="29">
        <f>IF(AND(MIP_4[Exc]=0,MIP_4[Previsto / Realizado]="Realizado",ISBLANK(MIP_4[[#This Row],[S.B Sitrack]])=FALSE,ISBLANK(MIP_4[[#This Row],[C.B Sitrack]])=FALSE),MIP_4[Sem],0)</f>
        <v>0</v>
      </c>
    </row>
    <row r="681" spans="1:42" ht="15.75" x14ac:dyDescent="0.25">
      <c r="A681" s="29">
        <f>WEEKNUM(MIP_4[[#This Row],[Data]])</f>
        <v>42</v>
      </c>
      <c r="B681" s="45">
        <v>43028</v>
      </c>
      <c r="C681" s="45"/>
      <c r="D681" s="35" t="s">
        <v>3</v>
      </c>
      <c r="E681" s="35" t="s">
        <v>5</v>
      </c>
      <c r="F681" s="35"/>
      <c r="G681" s="44">
        <v>2</v>
      </c>
      <c r="H681" s="44">
        <v>2</v>
      </c>
      <c r="I681" s="44">
        <v>2</v>
      </c>
      <c r="J681" s="44">
        <v>1</v>
      </c>
      <c r="K681" s="44">
        <v>0</v>
      </c>
      <c r="L681" s="43">
        <v>0.625</v>
      </c>
      <c r="M681" s="43">
        <v>0.64583333333333337</v>
      </c>
      <c r="N681" s="43">
        <v>1.0125</v>
      </c>
      <c r="O681" s="43">
        <v>1.0333333333333334</v>
      </c>
      <c r="P681" s="39"/>
      <c r="Q681" s="42" t="s">
        <v>4</v>
      </c>
      <c r="R681" s="29">
        <v>9</v>
      </c>
      <c r="S68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68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681" s="41">
        <f ca="1">MIP_4[[#This Row],[Eficiência]]</f>
        <v>0.61741820729592489</v>
      </c>
      <c r="V68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81" s="39">
        <f>IF(MIP_4[[#This Row],[P.S]]-MIP_4[[#This Row],[P.E]]&lt;0,1+MIP_4[[#This Row],[P.S]]-MIP_4[[#This Row],[P.E]]-1/24,MIP_4[[#This Row],[P.S]]-MIP_4[[#This Row],[P.E]]-1/24)</f>
        <v>0.36666666666666675</v>
      </c>
      <c r="X681" s="39">
        <f ca="1">MIP_4[[#This Row],[PT-1]]*$S$3+MIP_4[[#This Row],[PT-2]]*$T$3+MIP_4[[#This Row],[PT-3]]*$U$3+MIP_4[[#This Row],[PT &gt; 3 Pontos]]*$V$3</f>
        <v>0.20066091737117553</v>
      </c>
      <c r="Y681" s="39">
        <f>MIP_4[[#This Row],[HH disponível]]-MIP_4[[#This Row],[HH AC TOT]]</f>
        <v>0.3249999999999999</v>
      </c>
      <c r="Z681" s="38">
        <f ca="1">MIP_4[[#This Row],[HH Produtivo
Total]]/MIP_4[[#This Row],[HH Trabalhado]]</f>
        <v>0.61741820729592489</v>
      </c>
      <c r="AA681" s="38">
        <f ca="1">MIP_4[[#This Row],[HH Produtivo
Total]]/MIP_4[[#This Row],[HH disponível]]</f>
        <v>0.54725704737593317</v>
      </c>
      <c r="AB681" s="38">
        <f>MIP_4[[#This Row],[HH Trabalhado]]/MIP_4[[#This Row],[HH disponível]]</f>
        <v>0.88636363636363591</v>
      </c>
      <c r="AC681" s="37" t="str">
        <f>LEFT(MIP_4[[#This Row],[Equipe]], SEARCH("/",MIP_4[[#This Row],[Equipe]],1)-1)</f>
        <v xml:space="preserve">EDILTON </v>
      </c>
      <c r="AD681" s="37" t="str">
        <f>RIGHT(MIP_4[[#This Row],[Equipe]], LEN(MIP_4[[#This Row],[Equipe]])-SEARCH("/",MIP_4[[#This Row],[Equipe]],1))</f>
        <v xml:space="preserve"> GECIVALDO</v>
      </c>
      <c r="AE681" s="44">
        <f>COUNTIFS('[1]Tempo parado'!G:G,"&gt;="&amp;MIP_4[[#This Row],[S.B Sitrack]],'[1]Tempo parado'!H:H,"&lt;="&amp;MIP_4[[#This Row],[C.B Sitrack]],'[1]Tempo parado'!A:A,MIP_4[[#This Row],[Placa]])</f>
        <v>0</v>
      </c>
      <c r="AF681" s="36"/>
      <c r="AG681" s="35"/>
      <c r="AH681" s="34"/>
      <c r="AI681" s="34"/>
      <c r="AJ68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8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8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81" s="32" t="str">
        <f>IFERROR(MIP_4[[#This Row],[Tempo parado]]/(MIP_4[[#This Row],[C.B Sitrack]]-MIP_4[[#This Row],[S.B Sitrack]]),"")</f>
        <v/>
      </c>
      <c r="AN681" s="30"/>
      <c r="AO681" s="44">
        <f>IF(AND(MIP_4[Exc]=0,MIP_4[Previsto / Realizado]="Realizado"),MIP_4[Sem],0)</f>
        <v>0</v>
      </c>
      <c r="AP681" s="29">
        <f>IF(AND(MIP_4[Exc]=0,MIP_4[Previsto / Realizado]="Realizado",ISBLANK(MIP_4[[#This Row],[S.B Sitrack]])=FALSE,ISBLANK(MIP_4[[#This Row],[C.B Sitrack]])=FALSE),MIP_4[Sem],0)</f>
        <v>0</v>
      </c>
    </row>
    <row r="682" spans="1:42" ht="15.75" x14ac:dyDescent="0.25">
      <c r="A682" s="29">
        <f>WEEKNUM(MIP_4[[#This Row],[Data]])</f>
        <v>42</v>
      </c>
      <c r="B682" s="45">
        <v>43026</v>
      </c>
      <c r="C682" s="45"/>
      <c r="D682" s="35" t="s">
        <v>10</v>
      </c>
      <c r="E682" s="35" t="s">
        <v>2</v>
      </c>
      <c r="F682" s="35"/>
      <c r="G682" s="44">
        <v>2</v>
      </c>
      <c r="H682" s="44">
        <v>6</v>
      </c>
      <c r="I682" s="44">
        <v>1</v>
      </c>
      <c r="J682" s="44">
        <v>0</v>
      </c>
      <c r="K682" s="44">
        <v>0</v>
      </c>
      <c r="L682" s="43">
        <v>0.24652777777777779</v>
      </c>
      <c r="M682" s="43">
        <v>0.2673611111111111</v>
      </c>
      <c r="N682" s="43">
        <v>0.61805555555555558</v>
      </c>
      <c r="O682" s="43">
        <v>0.68125000000000002</v>
      </c>
      <c r="P682" s="39"/>
      <c r="Q682" s="42" t="s">
        <v>177</v>
      </c>
      <c r="R682" s="29">
        <v>8</v>
      </c>
      <c r="S68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8.4027777777777757E-2</v>
      </c>
      <c r="T68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8.4027777777777757E-2</v>
      </c>
      <c r="U682" s="41">
        <f ca="1">MIP_4[[#This Row],[Eficiência]]</f>
        <v>0.62798200618791689</v>
      </c>
      <c r="V68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82" s="39">
        <f>IF(MIP_4[[#This Row],[P.S]]-MIP_4[[#This Row],[P.E]]&lt;0,1+MIP_4[[#This Row],[P.S]]-MIP_4[[#This Row],[P.E]]-1/24,MIP_4[[#This Row],[P.S]]-MIP_4[[#This Row],[P.E]]-1/24)</f>
        <v>0.39305555555555555</v>
      </c>
      <c r="X682" s="39">
        <f ca="1">MIP_4[[#This Row],[PT-1]]*$S$3+MIP_4[[#This Row],[PT-2]]*$T$3+MIP_4[[#This Row],[PT-3]]*$U$3+MIP_4[[#This Row],[PT &gt; 3 Pontos]]*$V$3</f>
        <v>0.19406388385668266</v>
      </c>
      <c r="Y682" s="39">
        <f>MIP_4[[#This Row],[HH disponível]]-MIP_4[[#This Row],[HH AC TOT]]</f>
        <v>0.30902777777777779</v>
      </c>
      <c r="Z682" s="38">
        <f ca="1">MIP_4[[#This Row],[HH Produtivo
Total]]/MIP_4[[#This Row],[HH Trabalhado]]</f>
        <v>0.62798200618791689</v>
      </c>
      <c r="AA682" s="38">
        <f ca="1">MIP_4[[#This Row],[HH Produtivo
Total]]/MIP_4[[#This Row],[HH disponível]]</f>
        <v>0.49373143596046476</v>
      </c>
      <c r="AB682" s="38">
        <f>MIP_4[[#This Row],[HH Trabalhado]]/MIP_4[[#This Row],[HH disponível]]</f>
        <v>0.78621908127208484</v>
      </c>
      <c r="AC682" s="37" t="str">
        <f>LEFT(MIP_4[[#This Row],[Equipe]], SEARCH("/",MIP_4[[#This Row],[Equipe]],1)-1)</f>
        <v xml:space="preserve">JOILSON </v>
      </c>
      <c r="AD682" s="37" t="str">
        <f>RIGHT(MIP_4[[#This Row],[Equipe]], LEN(MIP_4[[#This Row],[Equipe]])-SEARCH("/",MIP_4[[#This Row],[Equipe]],1))</f>
        <v xml:space="preserve"> VALDEI</v>
      </c>
      <c r="AE682" s="44">
        <f>COUNTIFS('[1]Tempo parado'!G:G,"&gt;="&amp;MIP_4[[#This Row],[S.B Sitrack]],'[1]Tempo parado'!H:H,"&lt;="&amp;MIP_4[[#This Row],[C.B Sitrack]],'[1]Tempo parado'!A:A,MIP_4[[#This Row],[Placa]])</f>
        <v>0</v>
      </c>
      <c r="AF682" s="36"/>
      <c r="AG682" s="35"/>
      <c r="AH682" s="34"/>
      <c r="AI682" s="34"/>
      <c r="AJ68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8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8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82" s="32" t="str">
        <f>IFERROR(MIP_4[[#This Row],[Tempo parado]]/(MIP_4[[#This Row],[C.B Sitrack]]-MIP_4[[#This Row],[S.B Sitrack]]),"")</f>
        <v/>
      </c>
      <c r="AN682" s="30"/>
      <c r="AO682" s="44">
        <f>IF(AND(MIP_4[Exc]=0,MIP_4[Previsto / Realizado]="Realizado"),MIP_4[Sem],0)</f>
        <v>42</v>
      </c>
      <c r="AP682" s="29">
        <f>IF(AND(MIP_4[Exc]=0,MIP_4[Previsto / Realizado]="Realizado",ISBLANK(MIP_4[[#This Row],[S.B Sitrack]])=FALSE,ISBLANK(MIP_4[[#This Row],[C.B Sitrack]])=FALSE),MIP_4[Sem],0)</f>
        <v>0</v>
      </c>
    </row>
    <row r="683" spans="1:42" ht="15.75" x14ac:dyDescent="0.25">
      <c r="A683" s="29">
        <f>WEEKNUM(MIP_4[[#This Row],[Data]])</f>
        <v>42</v>
      </c>
      <c r="B683" s="45">
        <v>43028</v>
      </c>
      <c r="C683" s="45"/>
      <c r="D683" s="35" t="s">
        <v>19</v>
      </c>
      <c r="E683" s="35" t="s">
        <v>5</v>
      </c>
      <c r="F683" s="35"/>
      <c r="G683" s="44">
        <v>2</v>
      </c>
      <c r="H683" s="44">
        <v>0</v>
      </c>
      <c r="I683" s="44">
        <v>0</v>
      </c>
      <c r="J683" s="44">
        <v>0</v>
      </c>
      <c r="K683" s="44">
        <v>5</v>
      </c>
      <c r="L683" s="43">
        <v>0.625</v>
      </c>
      <c r="M683" s="43">
        <v>0.64583333333333337</v>
      </c>
      <c r="N683" s="43">
        <v>1.0125</v>
      </c>
      <c r="O683" s="43">
        <v>1.0333333333333334</v>
      </c>
      <c r="P683" s="39"/>
      <c r="Q683" s="42" t="s">
        <v>176</v>
      </c>
      <c r="R683" s="29">
        <v>5</v>
      </c>
      <c r="S68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68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683" s="41">
        <f ca="1">MIP_4[[#This Row],[Eficiência]]</f>
        <v>0.31150785970381406</v>
      </c>
      <c r="V68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83" s="39">
        <f>IF(MIP_4[[#This Row],[P.S]]-MIP_4[[#This Row],[P.E]]&lt;0,1+MIP_4[[#This Row],[P.S]]-MIP_4[[#This Row],[P.E]]-1/24,MIP_4[[#This Row],[P.S]]-MIP_4[[#This Row],[P.E]]-1/24)</f>
        <v>0.36666666666666675</v>
      </c>
      <c r="X683" s="39">
        <f ca="1">MIP_4[[#This Row],[PT-1]]*$S$3+MIP_4[[#This Row],[PT-2]]*$T$3+MIP_4[[#This Row],[PT-3]]*$U$3+MIP_4[[#This Row],[PT &gt; 3 Pontos]]*$V$3</f>
        <v>0.10124005440373954</v>
      </c>
      <c r="Y683" s="39">
        <f>MIP_4[[#This Row],[HH disponível]]-MIP_4[[#This Row],[HH AC TOT]]</f>
        <v>0.3249999999999999</v>
      </c>
      <c r="Z683" s="38">
        <f ca="1">MIP_4[[#This Row],[HH Produtivo
Total]]/MIP_4[[#This Row],[HH Trabalhado]]</f>
        <v>0.31150785970381406</v>
      </c>
      <c r="AA683" s="38">
        <f ca="1">MIP_4[[#This Row],[HH Produtivo
Total]]/MIP_4[[#This Row],[HH disponível]]</f>
        <v>0.27610923928292597</v>
      </c>
      <c r="AB683" s="38">
        <f>MIP_4[[#This Row],[HH Trabalhado]]/MIP_4[[#This Row],[HH disponível]]</f>
        <v>0.88636363636363591</v>
      </c>
      <c r="AC683" s="37" t="str">
        <f>LEFT(MIP_4[[#This Row],[Equipe]], SEARCH("/",MIP_4[[#This Row],[Equipe]],1)-1)</f>
        <v xml:space="preserve">ADEMÁRIO </v>
      </c>
      <c r="AD683" s="37" t="str">
        <f>RIGHT(MIP_4[[#This Row],[Equipe]], LEN(MIP_4[[#This Row],[Equipe]])-SEARCH("/",MIP_4[[#This Row],[Equipe]],1))</f>
        <v xml:space="preserve"> RONALDO</v>
      </c>
      <c r="AE683" s="44">
        <f>COUNTIFS('[1]Tempo parado'!G:G,"&gt;="&amp;MIP_4[[#This Row],[S.B Sitrack]],'[1]Tempo parado'!H:H,"&lt;="&amp;MIP_4[[#This Row],[C.B Sitrack]],'[1]Tempo parado'!A:A,MIP_4[[#This Row],[Placa]])</f>
        <v>0</v>
      </c>
      <c r="AF683" s="36"/>
      <c r="AG683" s="35"/>
      <c r="AH683" s="34"/>
      <c r="AI683" s="34"/>
      <c r="AJ68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8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8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83" s="32" t="str">
        <f>IFERROR(MIP_4[[#This Row],[Tempo parado]]/(MIP_4[[#This Row],[C.B Sitrack]]-MIP_4[[#This Row],[S.B Sitrack]]),"")</f>
        <v/>
      </c>
      <c r="AN683" s="30"/>
      <c r="AO683" s="44">
        <f>IF(AND(MIP_4[Exc]=0,MIP_4[Previsto / Realizado]="Realizado"),MIP_4[Sem],0)</f>
        <v>0</v>
      </c>
      <c r="AP683" s="29">
        <f>IF(AND(MIP_4[Exc]=0,MIP_4[Previsto / Realizado]="Realizado",ISBLANK(MIP_4[[#This Row],[S.B Sitrack]])=FALSE,ISBLANK(MIP_4[[#This Row],[C.B Sitrack]])=FALSE),MIP_4[Sem],0)</f>
        <v>0</v>
      </c>
    </row>
    <row r="684" spans="1:42" ht="15.75" x14ac:dyDescent="0.25">
      <c r="A684" s="29">
        <f>WEEKNUM(MIP_4[[#This Row],[Data]])</f>
        <v>42</v>
      </c>
      <c r="B684" s="45">
        <v>43023</v>
      </c>
      <c r="C684" s="45"/>
      <c r="D684" s="35" t="s">
        <v>10</v>
      </c>
      <c r="E684" s="35" t="s">
        <v>2</v>
      </c>
      <c r="F684" s="35"/>
      <c r="G684" s="44">
        <v>2</v>
      </c>
      <c r="H684" s="44">
        <v>4</v>
      </c>
      <c r="I684" s="44">
        <v>2</v>
      </c>
      <c r="J684" s="44">
        <v>1</v>
      </c>
      <c r="K684" s="44">
        <v>0</v>
      </c>
      <c r="L684" s="43">
        <v>0.24305555555555555</v>
      </c>
      <c r="M684" s="43">
        <v>0.2638888888888889</v>
      </c>
      <c r="N684" s="43">
        <v>0.59722222222222221</v>
      </c>
      <c r="O684" s="43">
        <v>0.65833333333333333</v>
      </c>
      <c r="P684" s="39">
        <v>5.9027777777777783E-2</v>
      </c>
      <c r="Q684" s="42" t="s">
        <v>175</v>
      </c>
      <c r="R684" s="29">
        <v>11</v>
      </c>
      <c r="S68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0.14097222222222225</v>
      </c>
      <c r="T68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8.1944444444444459E-2</v>
      </c>
      <c r="U684" s="41">
        <f ca="1">MIP_4[[#This Row],[Eficiência]]</f>
        <v>1.0776900821977071</v>
      </c>
      <c r="V68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84" s="39">
        <f>IF(MIP_4[[#This Row],[P.S]]-MIP_4[[#This Row],[P.E]]&lt;0,1+MIP_4[[#This Row],[P.S]]-MIP_4[[#This Row],[P.E]]-1/24,MIP_4[[#This Row],[P.S]]-MIP_4[[#This Row],[P.E]]-1/24)</f>
        <v>0.37361111111111106</v>
      </c>
      <c r="X684" s="39">
        <f ca="1">MIP_4[[#This Row],[PT-1]]*$S$3+MIP_4[[#This Row],[PT-2]]*$T$3+MIP_4[[#This Row],[PT-3]]*$U$3+MIP_4[[#This Row],[PT &gt; 3 Pontos]]*$V$3</f>
        <v>0.25071262328904986</v>
      </c>
      <c r="Y684" s="39">
        <f>MIP_4[[#This Row],[HH disponível]]-MIP_4[[#This Row],[HH AC TOT]]</f>
        <v>0.23263888888888881</v>
      </c>
      <c r="Z684" s="38">
        <f ca="1">MIP_4[[#This Row],[HH Produtivo
Total]]/MIP_4[[#This Row],[HH Trabalhado]]</f>
        <v>1.0776900821977071</v>
      </c>
      <c r="AA684" s="38">
        <f ca="1">MIP_4[[#This Row],[HH Produtivo
Total]]/MIP_4[[#This Row],[HH disponível]]</f>
        <v>0.67105237460266143</v>
      </c>
      <c r="AB684" s="38">
        <f>MIP_4[[#This Row],[HH Trabalhado]]/MIP_4[[#This Row],[HH disponível]]</f>
        <v>0.6226765799256504</v>
      </c>
      <c r="AC684" s="37" t="str">
        <f>LEFT(MIP_4[[#This Row],[Equipe]], SEARCH("/",MIP_4[[#This Row],[Equipe]],1)-1)</f>
        <v xml:space="preserve">JOILSON </v>
      </c>
      <c r="AD684" s="37" t="str">
        <f>RIGHT(MIP_4[[#This Row],[Equipe]], LEN(MIP_4[[#This Row],[Equipe]])-SEARCH("/",MIP_4[[#This Row],[Equipe]],1))</f>
        <v xml:space="preserve"> VALDEI</v>
      </c>
      <c r="AE684" s="44">
        <f>COUNTIFS('[1]Tempo parado'!G:G,"&gt;="&amp;MIP_4[[#This Row],[S.B Sitrack]],'[1]Tempo parado'!H:H,"&lt;="&amp;MIP_4[[#This Row],[C.B Sitrack]],'[1]Tempo parado'!A:A,MIP_4[[#This Row],[Placa]])</f>
        <v>0</v>
      </c>
      <c r="AF684" s="36"/>
      <c r="AG684" s="35"/>
      <c r="AH684" s="34"/>
      <c r="AI684" s="34"/>
      <c r="AJ68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8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8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84" s="32" t="str">
        <f>IFERROR(MIP_4[[#This Row],[Tempo parado]]/(MIP_4[[#This Row],[C.B Sitrack]]-MIP_4[[#This Row],[S.B Sitrack]]),"")</f>
        <v/>
      </c>
      <c r="AN684" s="30"/>
      <c r="AO684" s="44">
        <f>IF(AND(MIP_4[Exc]=0,MIP_4[Previsto / Realizado]="Realizado"),MIP_4[Sem],0)</f>
        <v>42</v>
      </c>
      <c r="AP684" s="29">
        <f>IF(AND(MIP_4[Exc]=0,MIP_4[Previsto / Realizado]="Realizado",ISBLANK(MIP_4[[#This Row],[S.B Sitrack]])=FALSE,ISBLANK(MIP_4[[#This Row],[C.B Sitrack]])=FALSE),MIP_4[Sem],0)</f>
        <v>0</v>
      </c>
    </row>
    <row r="685" spans="1:42" ht="15.75" x14ac:dyDescent="0.25">
      <c r="A685" s="29">
        <f>WEEKNUM(MIP_4[[#This Row],[Data]])</f>
        <v>42</v>
      </c>
      <c r="B685" s="45">
        <v>43029</v>
      </c>
      <c r="C685" s="45"/>
      <c r="D685" s="35" t="s">
        <v>3</v>
      </c>
      <c r="E685" s="35" t="s">
        <v>5</v>
      </c>
      <c r="F685" s="35"/>
      <c r="G685" s="44">
        <v>2</v>
      </c>
      <c r="H685" s="44">
        <v>0</v>
      </c>
      <c r="I685" s="44">
        <v>0</v>
      </c>
      <c r="J685" s="44">
        <v>0</v>
      </c>
      <c r="K685" s="44">
        <v>0</v>
      </c>
      <c r="L685" s="43">
        <v>0.625</v>
      </c>
      <c r="M685" s="43">
        <v>0.64583333333333337</v>
      </c>
      <c r="N685" s="43">
        <v>1.0125</v>
      </c>
      <c r="O685" s="43">
        <v>1.0333333333333334</v>
      </c>
      <c r="P685" s="39"/>
      <c r="Q685" s="42" t="s">
        <v>4</v>
      </c>
      <c r="R685" s="29">
        <v>0</v>
      </c>
      <c r="S68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68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685" s="41">
        <f ca="1">MIP_4[[#This Row],[Eficiência]]</f>
        <v>0</v>
      </c>
      <c r="V68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85" s="39">
        <f>IF(MIP_4[[#This Row],[P.S]]-MIP_4[[#This Row],[P.E]]&lt;0,1+MIP_4[[#This Row],[P.S]]-MIP_4[[#This Row],[P.E]]-1/24,MIP_4[[#This Row],[P.S]]-MIP_4[[#This Row],[P.E]]-1/24)</f>
        <v>0.36666666666666675</v>
      </c>
      <c r="X685" s="39">
        <f ca="1">MIP_4[[#This Row],[PT-1]]*$S$3+MIP_4[[#This Row],[PT-2]]*$T$3+MIP_4[[#This Row],[PT-3]]*$U$3+MIP_4[[#This Row],[PT &gt; 3 Pontos]]*$V$3</f>
        <v>0</v>
      </c>
      <c r="Y685" s="39">
        <f>MIP_4[[#This Row],[HH disponível]]-MIP_4[[#This Row],[HH AC TOT]]</f>
        <v>0.3249999999999999</v>
      </c>
      <c r="Z685" s="38">
        <f ca="1">MIP_4[[#This Row],[HH Produtivo
Total]]/MIP_4[[#This Row],[HH Trabalhado]]</f>
        <v>0</v>
      </c>
      <c r="AA685" s="38">
        <f ca="1">MIP_4[[#This Row],[HH Produtivo
Total]]/MIP_4[[#This Row],[HH disponível]]</f>
        <v>0</v>
      </c>
      <c r="AB685" s="38">
        <f>MIP_4[[#This Row],[HH Trabalhado]]/MIP_4[[#This Row],[HH disponível]]</f>
        <v>0.88636363636363591</v>
      </c>
      <c r="AC685" s="37" t="str">
        <f>LEFT(MIP_4[[#This Row],[Equipe]], SEARCH("/",MIP_4[[#This Row],[Equipe]],1)-1)</f>
        <v xml:space="preserve">EDILTON </v>
      </c>
      <c r="AD685" s="37" t="str">
        <f>RIGHT(MIP_4[[#This Row],[Equipe]], LEN(MIP_4[[#This Row],[Equipe]])-SEARCH("/",MIP_4[[#This Row],[Equipe]],1))</f>
        <v xml:space="preserve"> GECIVALDO</v>
      </c>
      <c r="AE685" s="44">
        <f>COUNTIFS('[1]Tempo parado'!G:G,"&gt;="&amp;MIP_4[[#This Row],[S.B Sitrack]],'[1]Tempo parado'!H:H,"&lt;="&amp;MIP_4[[#This Row],[C.B Sitrack]],'[1]Tempo parado'!A:A,MIP_4[[#This Row],[Placa]])</f>
        <v>0</v>
      </c>
      <c r="AF685" s="36"/>
      <c r="AG685" s="35"/>
      <c r="AH685" s="34"/>
      <c r="AI685" s="34"/>
      <c r="AJ68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8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8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85" s="32" t="str">
        <f>IFERROR(MIP_4[[#This Row],[Tempo parado]]/(MIP_4[[#This Row],[C.B Sitrack]]-MIP_4[[#This Row],[S.B Sitrack]]),"")</f>
        <v/>
      </c>
      <c r="AN685" s="30"/>
      <c r="AO685" s="44">
        <f>IF(AND(MIP_4[Exc]=0,MIP_4[Previsto / Realizado]="Realizado"),MIP_4[Sem],0)</f>
        <v>0</v>
      </c>
      <c r="AP685" s="29">
        <f>IF(AND(MIP_4[Exc]=0,MIP_4[Previsto / Realizado]="Realizado",ISBLANK(MIP_4[[#This Row],[S.B Sitrack]])=FALSE,ISBLANK(MIP_4[[#This Row],[C.B Sitrack]])=FALSE),MIP_4[Sem],0)</f>
        <v>0</v>
      </c>
    </row>
    <row r="686" spans="1:42" ht="15.75" x14ac:dyDescent="0.25">
      <c r="A686" s="29">
        <f>WEEKNUM(MIP_4[[#This Row],[Data]])</f>
        <v>42</v>
      </c>
      <c r="B686" s="45">
        <v>43029</v>
      </c>
      <c r="C686" s="45"/>
      <c r="D686" s="35" t="s">
        <v>3</v>
      </c>
      <c r="E686" s="35" t="s">
        <v>2</v>
      </c>
      <c r="F686" s="35"/>
      <c r="G686" s="44">
        <v>2</v>
      </c>
      <c r="H686" s="44">
        <v>7</v>
      </c>
      <c r="I686" s="44">
        <v>1</v>
      </c>
      <c r="J686" s="44">
        <v>1</v>
      </c>
      <c r="K686" s="44">
        <v>0</v>
      </c>
      <c r="L686" s="43">
        <v>0.62777777777777777</v>
      </c>
      <c r="M686" s="43">
        <v>0.65138888888888891</v>
      </c>
      <c r="N686" s="43">
        <v>0.97916666666666663</v>
      </c>
      <c r="O686" s="43">
        <v>1.0361111111111112</v>
      </c>
      <c r="P686" s="39"/>
      <c r="Q686" s="42" t="s">
        <v>21</v>
      </c>
      <c r="R686" s="29">
        <v>12</v>
      </c>
      <c r="S68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8.0555555555555713E-2</v>
      </c>
      <c r="T68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8.0555555555555713E-2</v>
      </c>
      <c r="U686" s="41">
        <f ca="1">MIP_4[[#This Row],[Eficiência]]</f>
        <v>0.98521659983115217</v>
      </c>
      <c r="V68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86" s="39">
        <f>IF(MIP_4[[#This Row],[P.S]]-MIP_4[[#This Row],[P.E]]&lt;0,1+MIP_4[[#This Row],[P.S]]-MIP_4[[#This Row],[P.E]]-1/24,MIP_4[[#This Row],[P.S]]-MIP_4[[#This Row],[P.E]]-1/24)</f>
        <v>0.36666666666666675</v>
      </c>
      <c r="X686" s="39">
        <f ca="1">MIP_4[[#This Row],[PT-1]]*$S$3+MIP_4[[#This Row],[PT-2]]*$T$3+MIP_4[[#This Row],[PT-3]]*$U$3+MIP_4[[#This Row],[PT &gt; 3 Pontos]]*$V$3</f>
        <v>0.28188141606280182</v>
      </c>
      <c r="Y686" s="39">
        <f>MIP_4[[#This Row],[HH disponível]]-MIP_4[[#This Row],[HH AC TOT]]</f>
        <v>0.28611111111111104</v>
      </c>
      <c r="Z686" s="38">
        <f ca="1">MIP_4[[#This Row],[HH Produtivo
Total]]/MIP_4[[#This Row],[HH Trabalhado]]</f>
        <v>0.98521659983115217</v>
      </c>
      <c r="AA686" s="38">
        <f ca="1">MIP_4[[#This Row],[HH Produtivo
Total]]/MIP_4[[#This Row],[HH disponível]]</f>
        <v>0.76876749835309566</v>
      </c>
      <c r="AB686" s="38">
        <f>MIP_4[[#This Row],[HH Trabalhado]]/MIP_4[[#This Row],[HH disponível]]</f>
        <v>0.78030303030302994</v>
      </c>
      <c r="AC686" s="37" t="str">
        <f>LEFT(MIP_4[[#This Row],[Equipe]], SEARCH("/",MIP_4[[#This Row],[Equipe]],1)-1)</f>
        <v xml:space="preserve">EDILTON </v>
      </c>
      <c r="AD686" s="37" t="str">
        <f>RIGHT(MIP_4[[#This Row],[Equipe]], LEN(MIP_4[[#This Row],[Equipe]])-SEARCH("/",MIP_4[[#This Row],[Equipe]],1))</f>
        <v xml:space="preserve"> GECIVALDO</v>
      </c>
      <c r="AE686" s="44">
        <f>COUNTIFS('[1]Tempo parado'!G:G,"&gt;="&amp;MIP_4[[#This Row],[S.B Sitrack]],'[1]Tempo parado'!H:H,"&lt;="&amp;MIP_4[[#This Row],[C.B Sitrack]],'[1]Tempo parado'!A:A,MIP_4[[#This Row],[Placa]])</f>
        <v>0</v>
      </c>
      <c r="AF686" s="36"/>
      <c r="AG686" s="35"/>
      <c r="AH686" s="34"/>
      <c r="AI686" s="34"/>
      <c r="AJ68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8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8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86" s="32" t="str">
        <f>IFERROR(MIP_4[[#This Row],[Tempo parado]]/(MIP_4[[#This Row],[C.B Sitrack]]-MIP_4[[#This Row],[S.B Sitrack]]),"")</f>
        <v/>
      </c>
      <c r="AN686" s="30"/>
      <c r="AO686" s="44">
        <f>IF(AND(MIP_4[Exc]=0,MIP_4[Previsto / Realizado]="Realizado"),MIP_4[Sem],0)</f>
        <v>42</v>
      </c>
      <c r="AP686" s="29">
        <f>IF(AND(MIP_4[Exc]=0,MIP_4[Previsto / Realizado]="Realizado",ISBLANK(MIP_4[[#This Row],[S.B Sitrack]])=FALSE,ISBLANK(MIP_4[[#This Row],[C.B Sitrack]])=FALSE),MIP_4[Sem],0)</f>
        <v>0</v>
      </c>
    </row>
    <row r="687" spans="1:42" ht="15.75" x14ac:dyDescent="0.25">
      <c r="A687" s="29">
        <f>WEEKNUM(MIP_4[[#This Row],[Data]])</f>
        <v>42</v>
      </c>
      <c r="B687" s="45">
        <v>43029</v>
      </c>
      <c r="C687" s="45"/>
      <c r="D687" s="35" t="s">
        <v>7</v>
      </c>
      <c r="E687" s="35" t="s">
        <v>5</v>
      </c>
      <c r="F687" s="35"/>
      <c r="G687" s="44">
        <v>2</v>
      </c>
      <c r="H687" s="44">
        <v>0</v>
      </c>
      <c r="I687" s="44">
        <v>0</v>
      </c>
      <c r="J687" s="44">
        <v>0</v>
      </c>
      <c r="K687" s="44">
        <v>0</v>
      </c>
      <c r="L687" s="43">
        <v>0.625</v>
      </c>
      <c r="M687" s="43">
        <v>0.64583333333333337</v>
      </c>
      <c r="N687" s="43">
        <v>1.0125</v>
      </c>
      <c r="O687" s="43">
        <v>1.0333333333333334</v>
      </c>
      <c r="P687" s="39"/>
      <c r="Q687" s="42" t="s">
        <v>174</v>
      </c>
      <c r="R687" s="29">
        <v>0</v>
      </c>
      <c r="S68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68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687" s="41">
        <f ca="1">MIP_4[[#This Row],[Eficiência]]</f>
        <v>0</v>
      </c>
      <c r="V68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87" s="39">
        <f>IF(MIP_4[[#This Row],[P.S]]-MIP_4[[#This Row],[P.E]]&lt;0,1+MIP_4[[#This Row],[P.S]]-MIP_4[[#This Row],[P.E]]-1/24,MIP_4[[#This Row],[P.S]]-MIP_4[[#This Row],[P.E]]-1/24)</f>
        <v>0.36666666666666675</v>
      </c>
      <c r="X687" s="39">
        <f ca="1">MIP_4[[#This Row],[PT-1]]*$S$3+MIP_4[[#This Row],[PT-2]]*$T$3+MIP_4[[#This Row],[PT-3]]*$U$3+MIP_4[[#This Row],[PT &gt; 3 Pontos]]*$V$3</f>
        <v>0</v>
      </c>
      <c r="Y687" s="39">
        <f>MIP_4[[#This Row],[HH disponível]]-MIP_4[[#This Row],[HH AC TOT]]</f>
        <v>0.3249999999999999</v>
      </c>
      <c r="Z687" s="38">
        <f ca="1">MIP_4[[#This Row],[HH Produtivo
Total]]/MIP_4[[#This Row],[HH Trabalhado]]</f>
        <v>0</v>
      </c>
      <c r="AA687" s="38">
        <f ca="1">MIP_4[[#This Row],[HH Produtivo
Total]]/MIP_4[[#This Row],[HH disponível]]</f>
        <v>0</v>
      </c>
      <c r="AB687" s="38">
        <f>MIP_4[[#This Row],[HH Trabalhado]]/MIP_4[[#This Row],[HH disponível]]</f>
        <v>0.88636363636363591</v>
      </c>
      <c r="AC687" s="37" t="str">
        <f>LEFT(MIP_4[[#This Row],[Equipe]], SEARCH("/",MIP_4[[#This Row],[Equipe]],1)-1)</f>
        <v xml:space="preserve">ANDERSON </v>
      </c>
      <c r="AD687" s="37" t="str">
        <f>RIGHT(MIP_4[[#This Row],[Equipe]], LEN(MIP_4[[#This Row],[Equipe]])-SEARCH("/",MIP_4[[#This Row],[Equipe]],1))</f>
        <v xml:space="preserve"> MARCO</v>
      </c>
      <c r="AE687" s="44">
        <f>COUNTIFS('[1]Tempo parado'!G:G,"&gt;="&amp;MIP_4[[#This Row],[S.B Sitrack]],'[1]Tempo parado'!H:H,"&lt;="&amp;MIP_4[[#This Row],[C.B Sitrack]],'[1]Tempo parado'!A:A,MIP_4[[#This Row],[Placa]])</f>
        <v>0</v>
      </c>
      <c r="AF687" s="36"/>
      <c r="AG687" s="35"/>
      <c r="AH687" s="34"/>
      <c r="AI687" s="34"/>
      <c r="AJ68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8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8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87" s="32" t="str">
        <f>IFERROR(MIP_4[[#This Row],[Tempo parado]]/(MIP_4[[#This Row],[C.B Sitrack]]-MIP_4[[#This Row],[S.B Sitrack]]),"")</f>
        <v/>
      </c>
      <c r="AN687" s="30"/>
      <c r="AO687" s="44">
        <f>IF(AND(MIP_4[Exc]=0,MIP_4[Previsto / Realizado]="Realizado"),MIP_4[Sem],0)</f>
        <v>0</v>
      </c>
      <c r="AP687" s="29">
        <f>IF(AND(MIP_4[Exc]=0,MIP_4[Previsto / Realizado]="Realizado",ISBLANK(MIP_4[[#This Row],[S.B Sitrack]])=FALSE,ISBLANK(MIP_4[[#This Row],[C.B Sitrack]])=FALSE),MIP_4[Sem],0)</f>
        <v>0</v>
      </c>
    </row>
    <row r="688" spans="1:42" ht="15.75" x14ac:dyDescent="0.25">
      <c r="A688" s="29">
        <f>WEEKNUM(MIP_4[[#This Row],[Data]])</f>
        <v>42</v>
      </c>
      <c r="B688" s="45">
        <v>43029</v>
      </c>
      <c r="C688" s="45"/>
      <c r="D688" s="35" t="s">
        <v>7</v>
      </c>
      <c r="E688" s="35" t="s">
        <v>2</v>
      </c>
      <c r="F688" s="35"/>
      <c r="G688" s="44">
        <v>2</v>
      </c>
      <c r="H688" s="44">
        <v>10</v>
      </c>
      <c r="I688" s="44">
        <v>1</v>
      </c>
      <c r="J688" s="44">
        <v>0</v>
      </c>
      <c r="K688" s="44">
        <v>0</v>
      </c>
      <c r="L688" s="43">
        <v>0.62986111111111109</v>
      </c>
      <c r="M688" s="43">
        <v>0.65277777777777779</v>
      </c>
      <c r="N688" s="43">
        <v>1.0138888888888888</v>
      </c>
      <c r="O688" s="43">
        <v>1.0333333333333334</v>
      </c>
      <c r="P688" s="39">
        <v>3.125E-2</v>
      </c>
      <c r="Q688" s="42" t="s">
        <v>173</v>
      </c>
      <c r="R688" s="29">
        <v>12</v>
      </c>
      <c r="S68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7.3611111111111294E-2</v>
      </c>
      <c r="T68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4.2361111111111294E-2</v>
      </c>
      <c r="U688" s="41">
        <f ca="1">MIP_4[[#This Row],[Eficiência]]</f>
        <v>1.0207250742098828</v>
      </c>
      <c r="V68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88" s="39">
        <f>IF(MIP_4[[#This Row],[P.S]]-MIP_4[[#This Row],[P.E]]&lt;0,1+MIP_4[[#This Row],[P.S]]-MIP_4[[#This Row],[P.E]]-1/24,MIP_4[[#This Row],[P.S]]-MIP_4[[#This Row],[P.E]]-1/24)</f>
        <v>0.36180555555555566</v>
      </c>
      <c r="X688" s="39">
        <f ca="1">MIP_4[[#This Row],[PT-1]]*$S$3+MIP_4[[#This Row],[PT-2]]*$T$3+MIP_4[[#This Row],[PT-3]]*$U$3+MIP_4[[#This Row],[PT &gt; 3 Pontos]]*$V$3</f>
        <v>0.29416729569243139</v>
      </c>
      <c r="Y688" s="39">
        <f>MIP_4[[#This Row],[HH disponível]]-MIP_4[[#This Row],[HH AC TOT]]</f>
        <v>0.28819444444444436</v>
      </c>
      <c r="Z688" s="38">
        <f ca="1">MIP_4[[#This Row],[HH Produtivo
Total]]/MIP_4[[#This Row],[HH Trabalhado]]</f>
        <v>1.0207250742098828</v>
      </c>
      <c r="AA688" s="38">
        <f ca="1">MIP_4[[#This Row],[HH Produtivo
Total]]/MIP_4[[#This Row],[HH disponível]]</f>
        <v>0.81305356199059708</v>
      </c>
      <c r="AB688" s="38">
        <f>MIP_4[[#This Row],[HH Trabalhado]]/MIP_4[[#This Row],[HH disponível]]</f>
        <v>0.79654510556621838</v>
      </c>
      <c r="AC688" s="37" t="str">
        <f>LEFT(MIP_4[[#This Row],[Equipe]], SEARCH("/",MIP_4[[#This Row],[Equipe]],1)-1)</f>
        <v xml:space="preserve">ANDERSON </v>
      </c>
      <c r="AD688" s="37" t="str">
        <f>RIGHT(MIP_4[[#This Row],[Equipe]], LEN(MIP_4[[#This Row],[Equipe]])-SEARCH("/",MIP_4[[#This Row],[Equipe]],1))</f>
        <v xml:space="preserve"> MARCO</v>
      </c>
      <c r="AE688" s="44">
        <f>COUNTIFS('[1]Tempo parado'!G:G,"&gt;="&amp;MIP_4[[#This Row],[S.B Sitrack]],'[1]Tempo parado'!H:H,"&lt;="&amp;MIP_4[[#This Row],[C.B Sitrack]],'[1]Tempo parado'!A:A,MIP_4[[#This Row],[Placa]])</f>
        <v>0</v>
      </c>
      <c r="AF688" s="36"/>
      <c r="AG688" s="35"/>
      <c r="AH688" s="34"/>
      <c r="AI688" s="34"/>
      <c r="AJ68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8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8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88" s="32" t="str">
        <f>IFERROR(MIP_4[[#This Row],[Tempo parado]]/(MIP_4[[#This Row],[C.B Sitrack]]-MIP_4[[#This Row],[S.B Sitrack]]),"")</f>
        <v/>
      </c>
      <c r="AN688" s="30"/>
      <c r="AO688" s="44">
        <f>IF(AND(MIP_4[Exc]=0,MIP_4[Previsto / Realizado]="Realizado"),MIP_4[Sem],0)</f>
        <v>42</v>
      </c>
      <c r="AP688" s="29">
        <f>IF(AND(MIP_4[Exc]=0,MIP_4[Previsto / Realizado]="Realizado",ISBLANK(MIP_4[[#This Row],[S.B Sitrack]])=FALSE,ISBLANK(MIP_4[[#This Row],[C.B Sitrack]])=FALSE),MIP_4[Sem],0)</f>
        <v>0</v>
      </c>
    </row>
    <row r="689" spans="1:42" ht="15.75" x14ac:dyDescent="0.25">
      <c r="A689" s="29">
        <f>WEEKNUM(MIP_4[[#This Row],[Data]])</f>
        <v>43</v>
      </c>
      <c r="B689" s="45">
        <v>43030</v>
      </c>
      <c r="C689" s="45"/>
      <c r="D689" s="35" t="s">
        <v>3</v>
      </c>
      <c r="E689" s="35" t="s">
        <v>5</v>
      </c>
      <c r="F689" s="35"/>
      <c r="G689" s="44">
        <v>2</v>
      </c>
      <c r="H689" s="44">
        <v>0</v>
      </c>
      <c r="I689" s="44">
        <v>0</v>
      </c>
      <c r="J689" s="44">
        <v>0</v>
      </c>
      <c r="K689" s="44">
        <v>0</v>
      </c>
      <c r="L689" s="43">
        <v>0.625</v>
      </c>
      <c r="M689" s="43">
        <v>0.64583333333333337</v>
      </c>
      <c r="N689" s="43">
        <v>1.0125</v>
      </c>
      <c r="O689" s="43">
        <v>1.0333333333333334</v>
      </c>
      <c r="P689" s="39"/>
      <c r="Q689" s="42" t="s">
        <v>4</v>
      </c>
      <c r="R689" s="29">
        <v>0</v>
      </c>
      <c r="S68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68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689" s="41">
        <f ca="1">MIP_4[[#This Row],[Eficiência]]</f>
        <v>0</v>
      </c>
      <c r="V68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89" s="39">
        <f>IF(MIP_4[[#This Row],[P.S]]-MIP_4[[#This Row],[P.E]]&lt;0,1+MIP_4[[#This Row],[P.S]]-MIP_4[[#This Row],[P.E]]-1/24,MIP_4[[#This Row],[P.S]]-MIP_4[[#This Row],[P.E]]-1/24)</f>
        <v>0.36666666666666675</v>
      </c>
      <c r="X689" s="39">
        <f ca="1">MIP_4[[#This Row],[PT-1]]*$S$3+MIP_4[[#This Row],[PT-2]]*$T$3+MIP_4[[#This Row],[PT-3]]*$U$3+MIP_4[[#This Row],[PT &gt; 3 Pontos]]*$V$3</f>
        <v>0</v>
      </c>
      <c r="Y689" s="39">
        <f>MIP_4[[#This Row],[HH disponível]]-MIP_4[[#This Row],[HH AC TOT]]</f>
        <v>0.3249999999999999</v>
      </c>
      <c r="Z689" s="38">
        <f ca="1">MIP_4[[#This Row],[HH Produtivo
Total]]/MIP_4[[#This Row],[HH Trabalhado]]</f>
        <v>0</v>
      </c>
      <c r="AA689" s="38">
        <f ca="1">MIP_4[[#This Row],[HH Produtivo
Total]]/MIP_4[[#This Row],[HH disponível]]</f>
        <v>0</v>
      </c>
      <c r="AB689" s="38">
        <f>MIP_4[[#This Row],[HH Trabalhado]]/MIP_4[[#This Row],[HH disponível]]</f>
        <v>0.88636363636363591</v>
      </c>
      <c r="AC689" s="37" t="str">
        <f>LEFT(MIP_4[[#This Row],[Equipe]], SEARCH("/",MIP_4[[#This Row],[Equipe]],1)-1)</f>
        <v xml:space="preserve">EDILTON </v>
      </c>
      <c r="AD689" s="37" t="str">
        <f>RIGHT(MIP_4[[#This Row],[Equipe]], LEN(MIP_4[[#This Row],[Equipe]])-SEARCH("/",MIP_4[[#This Row],[Equipe]],1))</f>
        <v xml:space="preserve"> GECIVALDO</v>
      </c>
      <c r="AE689" s="44">
        <f>COUNTIFS('[1]Tempo parado'!G:G,"&gt;="&amp;MIP_4[[#This Row],[S.B Sitrack]],'[1]Tempo parado'!H:H,"&lt;="&amp;MIP_4[[#This Row],[C.B Sitrack]],'[1]Tempo parado'!A:A,MIP_4[[#This Row],[Placa]])</f>
        <v>0</v>
      </c>
      <c r="AF689" s="36"/>
      <c r="AG689" s="35"/>
      <c r="AH689" s="34"/>
      <c r="AI689" s="34"/>
      <c r="AJ68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8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8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89" s="32" t="str">
        <f>IFERROR(MIP_4[[#This Row],[Tempo parado]]/(MIP_4[[#This Row],[C.B Sitrack]]-MIP_4[[#This Row],[S.B Sitrack]]),"")</f>
        <v/>
      </c>
      <c r="AN689" s="30"/>
      <c r="AO689" s="44">
        <f>IF(AND(MIP_4[Exc]=0,MIP_4[Previsto / Realizado]="Realizado"),MIP_4[Sem],0)</f>
        <v>0</v>
      </c>
      <c r="AP689" s="29">
        <f>IF(AND(MIP_4[Exc]=0,MIP_4[Previsto / Realizado]="Realizado",ISBLANK(MIP_4[[#This Row],[S.B Sitrack]])=FALSE,ISBLANK(MIP_4[[#This Row],[C.B Sitrack]])=FALSE),MIP_4[Sem],0)</f>
        <v>0</v>
      </c>
    </row>
    <row r="690" spans="1:42" ht="15.75" x14ac:dyDescent="0.25">
      <c r="A690" s="29">
        <f>WEEKNUM(MIP_4[[#This Row],[Data]])</f>
        <v>43</v>
      </c>
      <c r="B690" s="45">
        <v>43030</v>
      </c>
      <c r="C690" s="45"/>
      <c r="D690" s="35" t="s">
        <v>3</v>
      </c>
      <c r="E690" s="35" t="s">
        <v>2</v>
      </c>
      <c r="F690" s="35"/>
      <c r="G690" s="44">
        <v>2</v>
      </c>
      <c r="H690" s="44">
        <v>1</v>
      </c>
      <c r="I690" s="44">
        <v>1</v>
      </c>
      <c r="J690" s="44">
        <v>1</v>
      </c>
      <c r="K690" s="44">
        <v>8</v>
      </c>
      <c r="L690" s="43">
        <v>0.62152777777777779</v>
      </c>
      <c r="M690" s="43">
        <v>0.63194444444444442</v>
      </c>
      <c r="N690" s="43">
        <v>1.0125</v>
      </c>
      <c r="O690" s="43">
        <v>1.0493055555555555</v>
      </c>
      <c r="P690" s="39"/>
      <c r="Q690" s="42" t="s">
        <v>92</v>
      </c>
      <c r="R690" s="29">
        <v>14</v>
      </c>
      <c r="S69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4.7222222222222165E-2</v>
      </c>
      <c r="T69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4.7222222222222165E-2</v>
      </c>
      <c r="U690" s="41">
        <f ca="1">MIP_4[[#This Row],[Eficiência]]</f>
        <v>0.86668638301523226</v>
      </c>
      <c r="V69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90" s="39">
        <f>IF(MIP_4[[#This Row],[P.S]]-MIP_4[[#This Row],[P.E]]&lt;0,1+MIP_4[[#This Row],[P.S]]-MIP_4[[#This Row],[P.E]]-1/24,MIP_4[[#This Row],[P.S]]-MIP_4[[#This Row],[P.E]]-1/24)</f>
        <v>0.38611111111111102</v>
      </c>
      <c r="X690" s="39">
        <f ca="1">MIP_4[[#This Row],[PT-1]]*$S$3+MIP_4[[#This Row],[PT-2]]*$T$3+MIP_4[[#This Row],[PT-3]]*$U$3+MIP_4[[#This Row],[PT &gt; 3 Pontos]]*$V$3</f>
        <v>0.29371038535516203</v>
      </c>
      <c r="Y690" s="39">
        <f>MIP_4[[#This Row],[HH disponível]]-MIP_4[[#This Row],[HH AC TOT]]</f>
        <v>0.33888888888888885</v>
      </c>
      <c r="Z690" s="38">
        <f ca="1">MIP_4[[#This Row],[HH Produtivo
Total]]/MIP_4[[#This Row],[HH Trabalhado]]</f>
        <v>0.86668638301523226</v>
      </c>
      <c r="AA690" s="38">
        <f ca="1">MIP_4[[#This Row],[HH Produtivo
Total]]/MIP_4[[#This Row],[HH disponível]]</f>
        <v>0.76068876782631911</v>
      </c>
      <c r="AB690" s="38">
        <f>MIP_4[[#This Row],[HH Trabalhado]]/MIP_4[[#This Row],[HH disponível]]</f>
        <v>0.8776978417266188</v>
      </c>
      <c r="AC690" s="37" t="str">
        <f>LEFT(MIP_4[[#This Row],[Equipe]], SEARCH("/",MIP_4[[#This Row],[Equipe]],1)-1)</f>
        <v xml:space="preserve">EDILTON </v>
      </c>
      <c r="AD690" s="37" t="str">
        <f>RIGHT(MIP_4[[#This Row],[Equipe]], LEN(MIP_4[[#This Row],[Equipe]])-SEARCH("/",MIP_4[[#This Row],[Equipe]],1))</f>
        <v xml:space="preserve"> GECIVALDO</v>
      </c>
      <c r="AE690" s="44">
        <f>COUNTIFS('[1]Tempo parado'!G:G,"&gt;="&amp;MIP_4[[#This Row],[S.B Sitrack]],'[1]Tempo parado'!H:H,"&lt;="&amp;MIP_4[[#This Row],[C.B Sitrack]],'[1]Tempo parado'!A:A,MIP_4[[#This Row],[Placa]])</f>
        <v>0</v>
      </c>
      <c r="AF690" s="36"/>
      <c r="AG690" s="35"/>
      <c r="AH690" s="34"/>
      <c r="AI690" s="34"/>
      <c r="AJ69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9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9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90" s="32" t="str">
        <f>IFERROR(MIP_4[[#This Row],[Tempo parado]]/(MIP_4[[#This Row],[C.B Sitrack]]-MIP_4[[#This Row],[S.B Sitrack]]),"")</f>
        <v/>
      </c>
      <c r="AN690" s="30"/>
      <c r="AO690" s="44">
        <f>IF(AND(MIP_4[Exc]=0,MIP_4[Previsto / Realizado]="Realizado"),MIP_4[Sem],0)</f>
        <v>43</v>
      </c>
      <c r="AP690" s="29">
        <f>IF(AND(MIP_4[Exc]=0,MIP_4[Previsto / Realizado]="Realizado",ISBLANK(MIP_4[[#This Row],[S.B Sitrack]])=FALSE,ISBLANK(MIP_4[[#This Row],[C.B Sitrack]])=FALSE),MIP_4[Sem],0)</f>
        <v>0</v>
      </c>
    </row>
    <row r="691" spans="1:42" ht="15.75" x14ac:dyDescent="0.25">
      <c r="A691" s="29">
        <f>WEEKNUM(MIP_4[[#This Row],[Data]])</f>
        <v>43</v>
      </c>
      <c r="B691" s="45">
        <v>43031</v>
      </c>
      <c r="C691" s="45"/>
      <c r="D691" s="35" t="s">
        <v>10</v>
      </c>
      <c r="E691" s="35" t="s">
        <v>5</v>
      </c>
      <c r="F691" s="35"/>
      <c r="G691" s="44">
        <v>2</v>
      </c>
      <c r="H691" s="44">
        <v>4</v>
      </c>
      <c r="I691" s="44">
        <v>1</v>
      </c>
      <c r="J691" s="44">
        <v>0</v>
      </c>
      <c r="K691" s="44">
        <v>0</v>
      </c>
      <c r="L691" s="43">
        <v>0.25</v>
      </c>
      <c r="M691" s="43">
        <v>0.27083333333333331</v>
      </c>
      <c r="N691" s="43">
        <v>0.63750000000000007</v>
      </c>
      <c r="O691" s="43">
        <v>0.65833333333333333</v>
      </c>
      <c r="P691" s="39"/>
      <c r="Q691" s="42" t="s">
        <v>172</v>
      </c>
      <c r="R691" s="29">
        <v>6</v>
      </c>
      <c r="S69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69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691" s="41">
        <f ca="1">MIP_4[[#This Row],[Eficiência]]</f>
        <v>0.44311439365787159</v>
      </c>
      <c r="V69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91" s="39">
        <f>IF(MIP_4[[#This Row],[P.S]]-MIP_4[[#This Row],[P.E]]&lt;0,1+MIP_4[[#This Row],[P.S]]-MIP_4[[#This Row],[P.E]]-1/24,MIP_4[[#This Row],[P.S]]-MIP_4[[#This Row],[P.E]]-1/24)</f>
        <v>0.36666666666666664</v>
      </c>
      <c r="X691" s="39">
        <f ca="1">MIP_4[[#This Row],[PT-1]]*$S$3+MIP_4[[#This Row],[PT-2]]*$T$3+MIP_4[[#This Row],[PT-3]]*$U$3+MIP_4[[#This Row],[PT &gt; 3 Pontos]]*$V$3</f>
        <v>0.1440121779388083</v>
      </c>
      <c r="Y691" s="39">
        <f>MIP_4[[#This Row],[HH disponível]]-MIP_4[[#This Row],[HH AC TOT]]</f>
        <v>0.32500000000000007</v>
      </c>
      <c r="Z691" s="38">
        <f ca="1">MIP_4[[#This Row],[HH Produtivo
Total]]/MIP_4[[#This Row],[HH Trabalhado]]</f>
        <v>0.44311439365787159</v>
      </c>
      <c r="AA691" s="38">
        <f ca="1">MIP_4[[#This Row],[HH Produtivo
Total]]/MIP_4[[#This Row],[HH disponível]]</f>
        <v>0.392760485287659</v>
      </c>
      <c r="AB691" s="38">
        <f>MIP_4[[#This Row],[HH Trabalhado]]/MIP_4[[#This Row],[HH disponível]]</f>
        <v>0.88636363636363658</v>
      </c>
      <c r="AC691" s="37" t="str">
        <f>LEFT(MIP_4[[#This Row],[Equipe]], SEARCH("/",MIP_4[[#This Row],[Equipe]],1)-1)</f>
        <v xml:space="preserve">JOILSON </v>
      </c>
      <c r="AD691" s="37" t="str">
        <f>RIGHT(MIP_4[[#This Row],[Equipe]], LEN(MIP_4[[#This Row],[Equipe]])-SEARCH("/",MIP_4[[#This Row],[Equipe]],1))</f>
        <v xml:space="preserve"> VALDEI</v>
      </c>
      <c r="AE691" s="44">
        <f>COUNTIFS('[1]Tempo parado'!G:G,"&gt;="&amp;MIP_4[[#This Row],[S.B Sitrack]],'[1]Tempo parado'!H:H,"&lt;="&amp;MIP_4[[#This Row],[C.B Sitrack]],'[1]Tempo parado'!A:A,MIP_4[[#This Row],[Placa]])</f>
        <v>0</v>
      </c>
      <c r="AF691" s="36"/>
      <c r="AG691" s="35"/>
      <c r="AH691" s="34"/>
      <c r="AI691" s="34"/>
      <c r="AJ69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9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9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91" s="32" t="str">
        <f>IFERROR(MIP_4[[#This Row],[Tempo parado]]/(MIP_4[[#This Row],[C.B Sitrack]]-MIP_4[[#This Row],[S.B Sitrack]]),"")</f>
        <v/>
      </c>
      <c r="AN691" s="30"/>
      <c r="AO691" s="44">
        <f>IF(AND(MIP_4[Exc]=0,MIP_4[Previsto / Realizado]="Realizado"),MIP_4[Sem],0)</f>
        <v>0</v>
      </c>
      <c r="AP691" s="29">
        <f>IF(AND(MIP_4[Exc]=0,MIP_4[Previsto / Realizado]="Realizado",ISBLANK(MIP_4[[#This Row],[S.B Sitrack]])=FALSE,ISBLANK(MIP_4[[#This Row],[C.B Sitrack]])=FALSE),MIP_4[Sem],0)</f>
        <v>0</v>
      </c>
    </row>
    <row r="692" spans="1:42" ht="15.75" x14ac:dyDescent="0.25">
      <c r="A692" s="29">
        <f>WEEKNUM(MIP_4[[#This Row],[Data]])</f>
        <v>43</v>
      </c>
      <c r="B692" s="45">
        <v>43031</v>
      </c>
      <c r="C692" s="45"/>
      <c r="D692" s="35" t="s">
        <v>10</v>
      </c>
      <c r="E692" s="35" t="s">
        <v>2</v>
      </c>
      <c r="F692" s="35"/>
      <c r="G692" s="44">
        <v>2</v>
      </c>
      <c r="H692" s="44">
        <v>5</v>
      </c>
      <c r="I692" s="44">
        <v>1</v>
      </c>
      <c r="J692" s="44">
        <v>0</v>
      </c>
      <c r="K692" s="44">
        <v>0</v>
      </c>
      <c r="L692" s="43">
        <v>0.24444444444444446</v>
      </c>
      <c r="M692" s="43">
        <v>0.27430555555555552</v>
      </c>
      <c r="N692" s="43">
        <v>0.59513888888888888</v>
      </c>
      <c r="O692" s="43">
        <v>0.67013888888888884</v>
      </c>
      <c r="P692" s="39">
        <v>5.2083333333333336E-2</v>
      </c>
      <c r="Q692" s="42" t="s">
        <v>171</v>
      </c>
      <c r="R692" s="29">
        <v>7</v>
      </c>
      <c r="S69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0.15694444444444436</v>
      </c>
      <c r="T69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0.10486111111111102</v>
      </c>
      <c r="U692" s="41">
        <f ca="1">MIP_4[[#This Row],[Eficiência]]</f>
        <v>0.74438765899924608</v>
      </c>
      <c r="V69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92" s="39">
        <f>IF(MIP_4[[#This Row],[P.S]]-MIP_4[[#This Row],[P.E]]&lt;0,1+MIP_4[[#This Row],[P.S]]-MIP_4[[#This Row],[P.E]]-1/24,MIP_4[[#This Row],[P.S]]-MIP_4[[#This Row],[P.E]]-1/24)</f>
        <v>0.38402777777777769</v>
      </c>
      <c r="X692" s="39">
        <f ca="1">MIP_4[[#This Row],[PT-1]]*$S$3+MIP_4[[#This Row],[PT-2]]*$T$3+MIP_4[[#This Row],[PT-3]]*$U$3+MIP_4[[#This Row],[PT &gt; 3 Pontos]]*$V$3</f>
        <v>0.16903803089774547</v>
      </c>
      <c r="Y692" s="39">
        <f>MIP_4[[#This Row],[HH disponível]]-MIP_4[[#This Row],[HH AC TOT]]</f>
        <v>0.22708333333333333</v>
      </c>
      <c r="Z692" s="38">
        <f ca="1">MIP_4[[#This Row],[HH Produtivo
Total]]/MIP_4[[#This Row],[HH Trabalhado]]</f>
        <v>0.74438765899924608</v>
      </c>
      <c r="AA692" s="38">
        <f ca="1">MIP_4[[#This Row],[HH Produtivo
Total]]/MIP_4[[#This Row],[HH disponível]]</f>
        <v>0.44017136436302629</v>
      </c>
      <c r="AB692" s="38">
        <f>MIP_4[[#This Row],[HH Trabalhado]]/MIP_4[[#This Row],[HH disponível]]</f>
        <v>0.59132007233273065</v>
      </c>
      <c r="AC692" s="37" t="str">
        <f>LEFT(MIP_4[[#This Row],[Equipe]], SEARCH("/",MIP_4[[#This Row],[Equipe]],1)-1)</f>
        <v xml:space="preserve">JOILSON </v>
      </c>
      <c r="AD692" s="37" t="str">
        <f>RIGHT(MIP_4[[#This Row],[Equipe]], LEN(MIP_4[[#This Row],[Equipe]])-SEARCH("/",MIP_4[[#This Row],[Equipe]],1))</f>
        <v xml:space="preserve"> VALDEI</v>
      </c>
      <c r="AE692" s="44">
        <f>COUNTIFS('[1]Tempo parado'!G:G,"&gt;="&amp;MIP_4[[#This Row],[S.B Sitrack]],'[1]Tempo parado'!H:H,"&lt;="&amp;MIP_4[[#This Row],[C.B Sitrack]],'[1]Tempo parado'!A:A,MIP_4[[#This Row],[Placa]])</f>
        <v>0</v>
      </c>
      <c r="AF692" s="36"/>
      <c r="AG692" s="35"/>
      <c r="AH692" s="34"/>
      <c r="AI692" s="34"/>
      <c r="AJ69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9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9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92" s="32" t="str">
        <f>IFERROR(MIP_4[[#This Row],[Tempo parado]]/(MIP_4[[#This Row],[C.B Sitrack]]-MIP_4[[#This Row],[S.B Sitrack]]),"")</f>
        <v/>
      </c>
      <c r="AN692" s="30"/>
      <c r="AO692" s="44">
        <f>IF(AND(MIP_4[Exc]=0,MIP_4[Previsto / Realizado]="Realizado"),MIP_4[Sem],0)</f>
        <v>43</v>
      </c>
      <c r="AP692" s="29">
        <f>IF(AND(MIP_4[Exc]=0,MIP_4[Previsto / Realizado]="Realizado",ISBLANK(MIP_4[[#This Row],[S.B Sitrack]])=FALSE,ISBLANK(MIP_4[[#This Row],[C.B Sitrack]])=FALSE),MIP_4[Sem],0)</f>
        <v>0</v>
      </c>
    </row>
    <row r="693" spans="1:42" ht="15.75" x14ac:dyDescent="0.25">
      <c r="A693" s="29">
        <f>WEEKNUM(MIP_4[[#This Row],[Data]])</f>
        <v>43</v>
      </c>
      <c r="B693" s="45">
        <v>43031</v>
      </c>
      <c r="C693" s="45"/>
      <c r="D693" s="35" t="s">
        <v>7</v>
      </c>
      <c r="E693" s="35" t="s">
        <v>5</v>
      </c>
      <c r="F693" s="35"/>
      <c r="G693" s="44">
        <v>2</v>
      </c>
      <c r="H693" s="44">
        <v>2</v>
      </c>
      <c r="I693" s="44">
        <v>1</v>
      </c>
      <c r="J693" s="44">
        <v>1</v>
      </c>
      <c r="K693" s="44">
        <v>0</v>
      </c>
      <c r="L693" s="43">
        <v>0.625</v>
      </c>
      <c r="M693" s="43">
        <v>0.64583333333333337</v>
      </c>
      <c r="N693" s="43">
        <v>1.0125</v>
      </c>
      <c r="O693" s="43">
        <v>1.0333333333333334</v>
      </c>
      <c r="P693" s="39"/>
      <c r="Q693" s="42" t="s">
        <v>4</v>
      </c>
      <c r="R693" s="29">
        <v>7</v>
      </c>
      <c r="S69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69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693" s="41">
        <f ca="1">MIP_4[[#This Row],[Eficiência]]</f>
        <v>0.48231431159420302</v>
      </c>
      <c r="V69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93" s="39">
        <f>IF(MIP_4[[#This Row],[P.S]]-MIP_4[[#This Row],[P.E]]&lt;0,1+MIP_4[[#This Row],[P.S]]-MIP_4[[#This Row],[P.E]]-1/24,MIP_4[[#This Row],[P.S]]-MIP_4[[#This Row],[P.E]]-1/24)</f>
        <v>0.36666666666666675</v>
      </c>
      <c r="X693" s="39">
        <f ca="1">MIP_4[[#This Row],[PT-1]]*$S$3+MIP_4[[#This Row],[PT-2]]*$T$3+MIP_4[[#This Row],[PT-3]]*$U$3+MIP_4[[#This Row],[PT &gt; 3 Pontos]]*$V$3</f>
        <v>0.15675215126811592</v>
      </c>
      <c r="Y693" s="39">
        <f>MIP_4[[#This Row],[HH disponível]]-MIP_4[[#This Row],[HH AC TOT]]</f>
        <v>0.3249999999999999</v>
      </c>
      <c r="Z693" s="38">
        <f ca="1">MIP_4[[#This Row],[HH Produtivo
Total]]/MIP_4[[#This Row],[HH Trabalhado]]</f>
        <v>0.48231431159420302</v>
      </c>
      <c r="AA693" s="38">
        <f ca="1">MIP_4[[#This Row],[HH Produtivo
Total]]/MIP_4[[#This Row],[HH disponível]]</f>
        <v>0.42750586709486149</v>
      </c>
      <c r="AB693" s="38">
        <f>MIP_4[[#This Row],[HH Trabalhado]]/MIP_4[[#This Row],[HH disponível]]</f>
        <v>0.88636363636363591</v>
      </c>
      <c r="AC693" s="37" t="str">
        <f>LEFT(MIP_4[[#This Row],[Equipe]], SEARCH("/",MIP_4[[#This Row],[Equipe]],1)-1)</f>
        <v xml:space="preserve">ANDERSON </v>
      </c>
      <c r="AD693" s="37" t="str">
        <f>RIGHT(MIP_4[[#This Row],[Equipe]], LEN(MIP_4[[#This Row],[Equipe]])-SEARCH("/",MIP_4[[#This Row],[Equipe]],1))</f>
        <v xml:space="preserve"> MARCO</v>
      </c>
      <c r="AE693" s="44">
        <f>COUNTIFS('[1]Tempo parado'!G:G,"&gt;="&amp;MIP_4[[#This Row],[S.B Sitrack]],'[1]Tempo parado'!H:H,"&lt;="&amp;MIP_4[[#This Row],[C.B Sitrack]],'[1]Tempo parado'!A:A,MIP_4[[#This Row],[Placa]])</f>
        <v>0</v>
      </c>
      <c r="AF693" s="36"/>
      <c r="AG693" s="35"/>
      <c r="AH693" s="34"/>
      <c r="AI693" s="34"/>
      <c r="AJ69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9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9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93" s="32" t="str">
        <f>IFERROR(MIP_4[[#This Row],[Tempo parado]]/(MIP_4[[#This Row],[C.B Sitrack]]-MIP_4[[#This Row],[S.B Sitrack]]),"")</f>
        <v/>
      </c>
      <c r="AN693" s="30"/>
      <c r="AO693" s="44">
        <f>IF(AND(MIP_4[Exc]=0,MIP_4[Previsto / Realizado]="Realizado"),MIP_4[Sem],0)</f>
        <v>0</v>
      </c>
      <c r="AP693" s="29">
        <f>IF(AND(MIP_4[Exc]=0,MIP_4[Previsto / Realizado]="Realizado",ISBLANK(MIP_4[[#This Row],[S.B Sitrack]])=FALSE,ISBLANK(MIP_4[[#This Row],[C.B Sitrack]])=FALSE),MIP_4[Sem],0)</f>
        <v>0</v>
      </c>
    </row>
    <row r="694" spans="1:42" ht="15.75" x14ac:dyDescent="0.25">
      <c r="A694" s="29">
        <f>WEEKNUM(MIP_4[[#This Row],[Data]])</f>
        <v>43</v>
      </c>
      <c r="B694" s="45">
        <v>43031</v>
      </c>
      <c r="C694" s="45"/>
      <c r="D694" s="35" t="s">
        <v>7</v>
      </c>
      <c r="E694" s="35" t="s">
        <v>2</v>
      </c>
      <c r="F694" s="35"/>
      <c r="G694" s="44">
        <v>2</v>
      </c>
      <c r="H694" s="44">
        <v>6</v>
      </c>
      <c r="I694" s="44">
        <v>2</v>
      </c>
      <c r="J694" s="44">
        <v>1</v>
      </c>
      <c r="K694" s="44">
        <v>0</v>
      </c>
      <c r="L694" s="43">
        <v>0.62847222222222221</v>
      </c>
      <c r="M694" s="43">
        <v>0.67708333333333337</v>
      </c>
      <c r="N694" s="43">
        <v>1.0173611111111112</v>
      </c>
      <c r="O694" s="43">
        <v>1.0333333333333334</v>
      </c>
      <c r="P694" s="39">
        <v>2.4305555555555556E-2</v>
      </c>
      <c r="Q694" s="42" t="s">
        <v>170</v>
      </c>
      <c r="R694" s="29">
        <v>13</v>
      </c>
      <c r="S69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8.8888888888888989E-2</v>
      </c>
      <c r="T69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6.4583333333333437E-2</v>
      </c>
      <c r="U694" s="41">
        <f ca="1">MIP_4[[#This Row],[Eficiência]]</f>
        <v>1.0964573014125845</v>
      </c>
      <c r="V69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94" s="39">
        <f>IF(MIP_4[[#This Row],[P.S]]-MIP_4[[#This Row],[P.E]]&lt;0,1+MIP_4[[#This Row],[P.S]]-MIP_4[[#This Row],[P.E]]-1/24,MIP_4[[#This Row],[P.S]]-MIP_4[[#This Row],[P.E]]-1/24)</f>
        <v>0.36319444444444454</v>
      </c>
      <c r="X694" s="39">
        <f ca="1">MIP_4[[#This Row],[PT-1]]*$S$3+MIP_4[[#This Row],[PT-2]]*$T$3+MIP_4[[#This Row],[PT-3]]*$U$3+MIP_4[[#This Row],[PT &gt; 3 Pontos]]*$V$3</f>
        <v>0.30076432920692425</v>
      </c>
      <c r="Y694" s="39">
        <f>MIP_4[[#This Row],[HH disponível]]-MIP_4[[#This Row],[HH AC TOT]]</f>
        <v>0.27430555555555558</v>
      </c>
      <c r="Z694" s="38">
        <f ca="1">MIP_4[[#This Row],[HH Produtivo
Total]]/MIP_4[[#This Row],[HH Trabalhado]]</f>
        <v>1.0964573014125845</v>
      </c>
      <c r="AA694" s="38">
        <f ca="1">MIP_4[[#This Row],[HH Produtivo
Total]]/MIP_4[[#This Row],[HH disponível]]</f>
        <v>0.8281082869177262</v>
      </c>
      <c r="AB694" s="38">
        <f>MIP_4[[#This Row],[HH Trabalhado]]/MIP_4[[#This Row],[HH disponível]]</f>
        <v>0.75525812619502852</v>
      </c>
      <c r="AC694" s="37" t="str">
        <f>LEFT(MIP_4[[#This Row],[Equipe]], SEARCH("/",MIP_4[[#This Row],[Equipe]],1)-1)</f>
        <v xml:space="preserve">ANDERSON </v>
      </c>
      <c r="AD694" s="37" t="str">
        <f>RIGHT(MIP_4[[#This Row],[Equipe]], LEN(MIP_4[[#This Row],[Equipe]])-SEARCH("/",MIP_4[[#This Row],[Equipe]],1))</f>
        <v xml:space="preserve"> MARCO</v>
      </c>
      <c r="AE694" s="44">
        <f>COUNTIFS('[1]Tempo parado'!G:G,"&gt;="&amp;MIP_4[[#This Row],[S.B Sitrack]],'[1]Tempo parado'!H:H,"&lt;="&amp;MIP_4[[#This Row],[C.B Sitrack]],'[1]Tempo parado'!A:A,MIP_4[[#This Row],[Placa]])</f>
        <v>0</v>
      </c>
      <c r="AF694" s="36"/>
      <c r="AG694" s="35"/>
      <c r="AH694" s="34"/>
      <c r="AI694" s="34"/>
      <c r="AJ69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9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9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94" s="32" t="str">
        <f>IFERROR(MIP_4[[#This Row],[Tempo parado]]/(MIP_4[[#This Row],[C.B Sitrack]]-MIP_4[[#This Row],[S.B Sitrack]]),"")</f>
        <v/>
      </c>
      <c r="AN694" s="30"/>
      <c r="AO694" s="44">
        <f>IF(AND(MIP_4[Exc]=0,MIP_4[Previsto / Realizado]="Realizado"),MIP_4[Sem],0)</f>
        <v>43</v>
      </c>
      <c r="AP694" s="29">
        <f>IF(AND(MIP_4[Exc]=0,MIP_4[Previsto / Realizado]="Realizado",ISBLANK(MIP_4[[#This Row],[S.B Sitrack]])=FALSE,ISBLANK(MIP_4[[#This Row],[C.B Sitrack]])=FALSE),MIP_4[Sem],0)</f>
        <v>0</v>
      </c>
    </row>
    <row r="695" spans="1:42" ht="15.75" x14ac:dyDescent="0.25">
      <c r="A695" s="29">
        <f>WEEKNUM(MIP_4[[#This Row],[Data]])</f>
        <v>43</v>
      </c>
      <c r="B695" s="45">
        <v>43031</v>
      </c>
      <c r="C695" s="45"/>
      <c r="D695" s="35" t="s">
        <v>19</v>
      </c>
      <c r="E695" s="35" t="s">
        <v>5</v>
      </c>
      <c r="F695" s="35"/>
      <c r="G695" s="44">
        <v>2</v>
      </c>
      <c r="H695" s="44">
        <v>4</v>
      </c>
      <c r="I695" s="44">
        <v>0</v>
      </c>
      <c r="J695" s="44">
        <v>0</v>
      </c>
      <c r="K695" s="44">
        <v>0</v>
      </c>
      <c r="L695" s="43">
        <v>0.625</v>
      </c>
      <c r="M695" s="43">
        <v>0.64583333333333337</v>
      </c>
      <c r="N695" s="43">
        <v>1.0125</v>
      </c>
      <c r="O695" s="43">
        <v>1.0333333333333334</v>
      </c>
      <c r="P695" s="39"/>
      <c r="Q695" s="42" t="s">
        <v>4</v>
      </c>
      <c r="R695" s="29">
        <v>4</v>
      </c>
      <c r="S69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69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695" s="41">
        <f ca="1">MIP_4[[#This Row],[Eficiência]]</f>
        <v>0.30801049795614999</v>
      </c>
      <c r="V69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95" s="39">
        <f>IF(MIP_4[[#This Row],[P.S]]-MIP_4[[#This Row],[P.E]]&lt;0,1+MIP_4[[#This Row],[P.S]]-MIP_4[[#This Row],[P.E]]-1/24,MIP_4[[#This Row],[P.S]]-MIP_4[[#This Row],[P.E]]-1/24)</f>
        <v>0.36666666666666675</v>
      </c>
      <c r="X695" s="39">
        <f ca="1">MIP_4[[#This Row],[PT-1]]*$S$3+MIP_4[[#This Row],[PT-2]]*$T$3+MIP_4[[#This Row],[PT-3]]*$U$3+MIP_4[[#This Row],[PT &gt; 3 Pontos]]*$V$3</f>
        <v>0.10010341183574872</v>
      </c>
      <c r="Y695" s="39">
        <f>MIP_4[[#This Row],[HH disponível]]-MIP_4[[#This Row],[HH AC TOT]]</f>
        <v>0.3249999999999999</v>
      </c>
      <c r="Z695" s="38">
        <f ca="1">MIP_4[[#This Row],[HH Produtivo
Total]]/MIP_4[[#This Row],[HH Trabalhado]]</f>
        <v>0.30801049795614999</v>
      </c>
      <c r="AA695" s="38">
        <f ca="1">MIP_4[[#This Row],[HH Produtivo
Total]]/MIP_4[[#This Row],[HH disponível]]</f>
        <v>0.27300930500658738</v>
      </c>
      <c r="AB695" s="38">
        <f>MIP_4[[#This Row],[HH Trabalhado]]/MIP_4[[#This Row],[HH disponível]]</f>
        <v>0.88636363636363591</v>
      </c>
      <c r="AC695" s="37" t="str">
        <f>LEFT(MIP_4[[#This Row],[Equipe]], SEARCH("/",MIP_4[[#This Row],[Equipe]],1)-1)</f>
        <v xml:space="preserve">ADEMÁRIO </v>
      </c>
      <c r="AD695" s="37" t="str">
        <f>RIGHT(MIP_4[[#This Row],[Equipe]], LEN(MIP_4[[#This Row],[Equipe]])-SEARCH("/",MIP_4[[#This Row],[Equipe]],1))</f>
        <v xml:space="preserve"> RONALDO</v>
      </c>
      <c r="AE695" s="44">
        <f>COUNTIFS('[1]Tempo parado'!G:G,"&gt;="&amp;MIP_4[[#This Row],[S.B Sitrack]],'[1]Tempo parado'!H:H,"&lt;="&amp;MIP_4[[#This Row],[C.B Sitrack]],'[1]Tempo parado'!A:A,MIP_4[[#This Row],[Placa]])</f>
        <v>0</v>
      </c>
      <c r="AF695" s="36"/>
      <c r="AG695" s="35"/>
      <c r="AH695" s="34"/>
      <c r="AI695" s="34"/>
      <c r="AJ69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9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9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95" s="32" t="str">
        <f>IFERROR(MIP_4[[#This Row],[Tempo parado]]/(MIP_4[[#This Row],[C.B Sitrack]]-MIP_4[[#This Row],[S.B Sitrack]]),"")</f>
        <v/>
      </c>
      <c r="AN695" s="30"/>
      <c r="AO695" s="44">
        <f>IF(AND(MIP_4[Exc]=0,MIP_4[Previsto / Realizado]="Realizado"),MIP_4[Sem],0)</f>
        <v>0</v>
      </c>
      <c r="AP695" s="29">
        <f>IF(AND(MIP_4[Exc]=0,MIP_4[Previsto / Realizado]="Realizado",ISBLANK(MIP_4[[#This Row],[S.B Sitrack]])=FALSE,ISBLANK(MIP_4[[#This Row],[C.B Sitrack]])=FALSE),MIP_4[Sem],0)</f>
        <v>0</v>
      </c>
    </row>
    <row r="696" spans="1:42" ht="15.75" x14ac:dyDescent="0.25">
      <c r="A696" s="29">
        <f>WEEKNUM(MIP_4[[#This Row],[Data]])</f>
        <v>43</v>
      </c>
      <c r="B696" s="45">
        <v>43031</v>
      </c>
      <c r="C696" s="45"/>
      <c r="D696" s="35" t="s">
        <v>19</v>
      </c>
      <c r="E696" s="35" t="s">
        <v>2</v>
      </c>
      <c r="F696" s="35"/>
      <c r="G696" s="44">
        <v>2</v>
      </c>
      <c r="H696" s="44">
        <v>5</v>
      </c>
      <c r="I696" s="44">
        <v>3</v>
      </c>
      <c r="J696" s="44">
        <v>0</v>
      </c>
      <c r="K696" s="44">
        <v>0</v>
      </c>
      <c r="L696" s="43">
        <v>0.63541666666666663</v>
      </c>
      <c r="M696" s="43">
        <v>0.67361111111111116</v>
      </c>
      <c r="N696" s="43">
        <v>1.007638888888889</v>
      </c>
      <c r="O696" s="43">
        <v>1.038888888888889</v>
      </c>
      <c r="P696" s="39"/>
      <c r="Q696" s="42" t="s">
        <v>158</v>
      </c>
      <c r="R696" s="29">
        <v>11</v>
      </c>
      <c r="S69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6.9444444444444531E-2</v>
      </c>
      <c r="T69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6.9444444444444531E-2</v>
      </c>
      <c r="U696" s="41">
        <f ca="1">MIP_4[[#This Row],[Eficiência]]</f>
        <v>0.87855584529587905</v>
      </c>
      <c r="V69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96" s="39">
        <f>IF(MIP_4[[#This Row],[P.S]]-MIP_4[[#This Row],[P.E]]&lt;0,1+MIP_4[[#This Row],[P.S]]-MIP_4[[#This Row],[P.E]]-1/24,MIP_4[[#This Row],[P.S]]-MIP_4[[#This Row],[P.E]]-1/24)</f>
        <v>0.36180555555555566</v>
      </c>
      <c r="X696" s="39">
        <f ca="1">MIP_4[[#This Row],[PT-1]]*$S$3+MIP_4[[#This Row],[PT-2]]*$T$3+MIP_4[[#This Row],[PT-3]]*$U$3+MIP_4[[#This Row],[PT &gt; 3 Pontos]]*$V$3</f>
        <v>0.25685556310386465</v>
      </c>
      <c r="Y696" s="39">
        <f>MIP_4[[#This Row],[HH disponível]]-MIP_4[[#This Row],[HH AC TOT]]</f>
        <v>0.29236111111111113</v>
      </c>
      <c r="Z696" s="38">
        <f ca="1">MIP_4[[#This Row],[HH Produtivo
Total]]/MIP_4[[#This Row],[HH Trabalhado]]</f>
        <v>0.87855584529587905</v>
      </c>
      <c r="AA696" s="38">
        <f ca="1">MIP_4[[#This Row],[HH Produtivo
Total]]/MIP_4[[#This Row],[HH disponível]]</f>
        <v>0.70992708420261996</v>
      </c>
      <c r="AB696" s="38">
        <f>MIP_4[[#This Row],[HH Trabalhado]]/MIP_4[[#This Row],[HH disponível]]</f>
        <v>0.80806142034548922</v>
      </c>
      <c r="AC696" s="37" t="str">
        <f>LEFT(MIP_4[[#This Row],[Equipe]], SEARCH("/",MIP_4[[#This Row],[Equipe]],1)-1)</f>
        <v xml:space="preserve">ADEMÁRIO </v>
      </c>
      <c r="AD696" s="37" t="str">
        <f>RIGHT(MIP_4[[#This Row],[Equipe]], LEN(MIP_4[[#This Row],[Equipe]])-SEARCH("/",MIP_4[[#This Row],[Equipe]],1))</f>
        <v xml:space="preserve"> RONALDO</v>
      </c>
      <c r="AE696" s="44">
        <f>COUNTIFS('[1]Tempo parado'!G:G,"&gt;="&amp;MIP_4[[#This Row],[S.B Sitrack]],'[1]Tempo parado'!H:H,"&lt;="&amp;MIP_4[[#This Row],[C.B Sitrack]],'[1]Tempo parado'!A:A,MIP_4[[#This Row],[Placa]])</f>
        <v>0</v>
      </c>
      <c r="AF696" s="36"/>
      <c r="AG696" s="35"/>
      <c r="AH696" s="34"/>
      <c r="AI696" s="34"/>
      <c r="AJ69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9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9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96" s="32" t="str">
        <f>IFERROR(MIP_4[[#This Row],[Tempo parado]]/(MIP_4[[#This Row],[C.B Sitrack]]-MIP_4[[#This Row],[S.B Sitrack]]),"")</f>
        <v/>
      </c>
      <c r="AN696" s="30"/>
      <c r="AO696" s="44">
        <f>IF(AND(MIP_4[Exc]=0,MIP_4[Previsto / Realizado]="Realizado"),MIP_4[Sem],0)</f>
        <v>43</v>
      </c>
      <c r="AP696" s="29">
        <f>IF(AND(MIP_4[Exc]=0,MIP_4[Previsto / Realizado]="Realizado",ISBLANK(MIP_4[[#This Row],[S.B Sitrack]])=FALSE,ISBLANK(MIP_4[[#This Row],[C.B Sitrack]])=FALSE),MIP_4[Sem],0)</f>
        <v>0</v>
      </c>
    </row>
    <row r="697" spans="1:42" ht="15.75" x14ac:dyDescent="0.25">
      <c r="A697" s="29">
        <f>WEEKNUM(MIP_4[[#This Row],[Data]])</f>
        <v>43</v>
      </c>
      <c r="B697" s="45">
        <v>43032</v>
      </c>
      <c r="C697" s="45"/>
      <c r="D697" s="35" t="s">
        <v>10</v>
      </c>
      <c r="E697" s="35" t="s">
        <v>5</v>
      </c>
      <c r="F697" s="35"/>
      <c r="G697" s="44">
        <v>2</v>
      </c>
      <c r="H697" s="44">
        <v>3</v>
      </c>
      <c r="I697" s="44">
        <v>1</v>
      </c>
      <c r="J697" s="44">
        <v>0</v>
      </c>
      <c r="K697" s="44">
        <v>0</v>
      </c>
      <c r="L697" s="43">
        <v>0.25</v>
      </c>
      <c r="M697" s="43">
        <v>0.27083333333333331</v>
      </c>
      <c r="N697" s="43">
        <v>0.63750000000000007</v>
      </c>
      <c r="O697" s="43">
        <v>0.65833333333333333</v>
      </c>
      <c r="P697" s="39"/>
      <c r="Q697" s="42" t="s">
        <v>169</v>
      </c>
      <c r="R697" s="29">
        <v>5</v>
      </c>
      <c r="S69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69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697" s="41">
        <f ca="1">MIP_4[[#This Row],[Eficiência]]</f>
        <v>0.3661117691688342</v>
      </c>
      <c r="V69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97" s="39">
        <f>IF(MIP_4[[#This Row],[P.S]]-MIP_4[[#This Row],[P.E]]&lt;0,1+MIP_4[[#This Row],[P.S]]-MIP_4[[#This Row],[P.E]]-1/24,MIP_4[[#This Row],[P.S]]-MIP_4[[#This Row],[P.E]]-1/24)</f>
        <v>0.36666666666666664</v>
      </c>
      <c r="X697" s="39">
        <f ca="1">MIP_4[[#This Row],[PT-1]]*$S$3+MIP_4[[#This Row],[PT-2]]*$T$3+MIP_4[[#This Row],[PT-3]]*$U$3+MIP_4[[#This Row],[PT &gt; 3 Pontos]]*$V$3</f>
        <v>0.11898632497987113</v>
      </c>
      <c r="Y697" s="39">
        <f>MIP_4[[#This Row],[HH disponível]]-MIP_4[[#This Row],[HH AC TOT]]</f>
        <v>0.32500000000000007</v>
      </c>
      <c r="Z697" s="38">
        <f ca="1">MIP_4[[#This Row],[HH Produtivo
Total]]/MIP_4[[#This Row],[HH Trabalhado]]</f>
        <v>0.3661117691688342</v>
      </c>
      <c r="AA697" s="38">
        <f ca="1">MIP_4[[#This Row],[HH Produtivo
Total]]/MIP_4[[#This Row],[HH disponível]]</f>
        <v>0.32450815903601221</v>
      </c>
      <c r="AB697" s="38">
        <f>MIP_4[[#This Row],[HH Trabalhado]]/MIP_4[[#This Row],[HH disponível]]</f>
        <v>0.88636363636363658</v>
      </c>
      <c r="AC697" s="37" t="str">
        <f>LEFT(MIP_4[[#This Row],[Equipe]], SEARCH("/",MIP_4[[#This Row],[Equipe]],1)-1)</f>
        <v xml:space="preserve">JOILSON </v>
      </c>
      <c r="AD697" s="37" t="str">
        <f>RIGHT(MIP_4[[#This Row],[Equipe]], LEN(MIP_4[[#This Row],[Equipe]])-SEARCH("/",MIP_4[[#This Row],[Equipe]],1))</f>
        <v xml:space="preserve"> VALDEI</v>
      </c>
      <c r="AE697" s="44">
        <f>COUNTIFS('[1]Tempo parado'!G:G,"&gt;="&amp;MIP_4[[#This Row],[S.B Sitrack]],'[1]Tempo parado'!H:H,"&lt;="&amp;MIP_4[[#This Row],[C.B Sitrack]],'[1]Tempo parado'!A:A,MIP_4[[#This Row],[Placa]])</f>
        <v>0</v>
      </c>
      <c r="AF697" s="36"/>
      <c r="AG697" s="35"/>
      <c r="AH697" s="34"/>
      <c r="AI697" s="34"/>
      <c r="AJ69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9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9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97" s="32" t="str">
        <f>IFERROR(MIP_4[[#This Row],[Tempo parado]]/(MIP_4[[#This Row],[C.B Sitrack]]-MIP_4[[#This Row],[S.B Sitrack]]),"")</f>
        <v/>
      </c>
      <c r="AN697" s="30"/>
      <c r="AO697" s="44">
        <f>IF(AND(MIP_4[Exc]=0,MIP_4[Previsto / Realizado]="Realizado"),MIP_4[Sem],0)</f>
        <v>0</v>
      </c>
      <c r="AP697" s="29">
        <f>IF(AND(MIP_4[Exc]=0,MIP_4[Previsto / Realizado]="Realizado",ISBLANK(MIP_4[[#This Row],[S.B Sitrack]])=FALSE,ISBLANK(MIP_4[[#This Row],[C.B Sitrack]])=FALSE),MIP_4[Sem],0)</f>
        <v>0</v>
      </c>
    </row>
    <row r="698" spans="1:42" ht="15.75" x14ac:dyDescent="0.25">
      <c r="A698" s="29">
        <f>WEEKNUM(MIP_4[[#This Row],[Data]])</f>
        <v>43</v>
      </c>
      <c r="B698" s="45">
        <v>43032</v>
      </c>
      <c r="C698" s="45"/>
      <c r="D698" s="35" t="s">
        <v>10</v>
      </c>
      <c r="E698" s="35" t="s">
        <v>2</v>
      </c>
      <c r="F698" s="35"/>
      <c r="G698" s="44">
        <v>2</v>
      </c>
      <c r="H698" s="44">
        <v>4</v>
      </c>
      <c r="I698" s="44">
        <v>1</v>
      </c>
      <c r="J698" s="44">
        <v>0</v>
      </c>
      <c r="K698" s="44">
        <v>0</v>
      </c>
      <c r="L698" s="43">
        <v>0.24513888888888888</v>
      </c>
      <c r="M698" s="43">
        <v>0.27083333333333331</v>
      </c>
      <c r="N698" s="43">
        <v>0.62013888888888891</v>
      </c>
      <c r="O698" s="43">
        <v>0.65902777777777777</v>
      </c>
      <c r="P698" s="39">
        <v>9.5138888888888884E-2</v>
      </c>
      <c r="Q698" s="42" t="s">
        <v>168</v>
      </c>
      <c r="R698" s="29">
        <v>6</v>
      </c>
      <c r="S69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0.15972222222222218</v>
      </c>
      <c r="T69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6.4583333333333298E-2</v>
      </c>
      <c r="U698" s="41">
        <f ca="1">MIP_4[[#This Row],[Eficiência]]</f>
        <v>0.67770436677086265</v>
      </c>
      <c r="V69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98" s="39">
        <f>IF(MIP_4[[#This Row],[P.S]]-MIP_4[[#This Row],[P.E]]&lt;0,1+MIP_4[[#This Row],[P.S]]-MIP_4[[#This Row],[P.E]]-1/24,MIP_4[[#This Row],[P.S]]-MIP_4[[#This Row],[P.E]]-1/24)</f>
        <v>0.37222222222222218</v>
      </c>
      <c r="X698" s="39">
        <f ca="1">MIP_4[[#This Row],[PT-1]]*$S$3+MIP_4[[#This Row],[PT-2]]*$T$3+MIP_4[[#This Row],[PT-3]]*$U$3+MIP_4[[#This Row],[PT &gt; 3 Pontos]]*$V$3</f>
        <v>0.1440121779388083</v>
      </c>
      <c r="Y698" s="39">
        <f>MIP_4[[#This Row],[HH disponível]]-MIP_4[[#This Row],[HH AC TOT]]</f>
        <v>0.21249999999999999</v>
      </c>
      <c r="Z698" s="38">
        <f ca="1">MIP_4[[#This Row],[HH Produtivo
Total]]/MIP_4[[#This Row],[HH Trabalhado]]</f>
        <v>0.67770436677086265</v>
      </c>
      <c r="AA698" s="38">
        <f ca="1">MIP_4[[#This Row],[HH Produtivo
Total]]/MIP_4[[#This Row],[HH disponível]]</f>
        <v>0.38689838849232083</v>
      </c>
      <c r="AB698" s="38">
        <f>MIP_4[[#This Row],[HH Trabalhado]]/MIP_4[[#This Row],[HH disponível]]</f>
        <v>0.57089552238805974</v>
      </c>
      <c r="AC698" s="37" t="str">
        <f>LEFT(MIP_4[[#This Row],[Equipe]], SEARCH("/",MIP_4[[#This Row],[Equipe]],1)-1)</f>
        <v xml:space="preserve">JOILSON </v>
      </c>
      <c r="AD698" s="37" t="str">
        <f>RIGHT(MIP_4[[#This Row],[Equipe]], LEN(MIP_4[[#This Row],[Equipe]])-SEARCH("/",MIP_4[[#This Row],[Equipe]],1))</f>
        <v xml:space="preserve"> VALDEI</v>
      </c>
      <c r="AE698" s="44">
        <f>COUNTIFS('[1]Tempo parado'!G:G,"&gt;="&amp;MIP_4[[#This Row],[S.B Sitrack]],'[1]Tempo parado'!H:H,"&lt;="&amp;MIP_4[[#This Row],[C.B Sitrack]],'[1]Tempo parado'!A:A,MIP_4[[#This Row],[Placa]])</f>
        <v>0</v>
      </c>
      <c r="AF698" s="36"/>
      <c r="AG698" s="35"/>
      <c r="AH698" s="34"/>
      <c r="AI698" s="34"/>
      <c r="AJ69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9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9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98" s="32" t="str">
        <f>IFERROR(MIP_4[[#This Row],[Tempo parado]]/(MIP_4[[#This Row],[C.B Sitrack]]-MIP_4[[#This Row],[S.B Sitrack]]),"")</f>
        <v/>
      </c>
      <c r="AN698" s="30"/>
      <c r="AO698" s="44">
        <f>IF(AND(MIP_4[Exc]=0,MIP_4[Previsto / Realizado]="Realizado"),MIP_4[Sem],0)</f>
        <v>43</v>
      </c>
      <c r="AP698" s="29">
        <f>IF(AND(MIP_4[Exc]=0,MIP_4[Previsto / Realizado]="Realizado",ISBLANK(MIP_4[[#This Row],[S.B Sitrack]])=FALSE,ISBLANK(MIP_4[[#This Row],[C.B Sitrack]])=FALSE),MIP_4[Sem],0)</f>
        <v>0</v>
      </c>
    </row>
    <row r="699" spans="1:42" ht="15.75" x14ac:dyDescent="0.25">
      <c r="A699" s="29">
        <f>WEEKNUM(MIP_4[[#This Row],[Data]])</f>
        <v>43</v>
      </c>
      <c r="B699" s="45">
        <v>43032</v>
      </c>
      <c r="C699" s="45"/>
      <c r="D699" s="35" t="s">
        <v>3</v>
      </c>
      <c r="E699" s="35" t="s">
        <v>5</v>
      </c>
      <c r="F699" s="35"/>
      <c r="G699" s="44">
        <v>2</v>
      </c>
      <c r="H699" s="44">
        <v>2</v>
      </c>
      <c r="I699" s="44">
        <v>0</v>
      </c>
      <c r="J699" s="44">
        <v>0</v>
      </c>
      <c r="K699" s="44">
        <v>10</v>
      </c>
      <c r="L699" s="43">
        <v>0.625</v>
      </c>
      <c r="M699" s="43">
        <v>0.64583333333333337</v>
      </c>
      <c r="N699" s="43">
        <v>1.0125</v>
      </c>
      <c r="O699" s="43">
        <v>1.0333333333333334</v>
      </c>
      <c r="P699" s="39"/>
      <c r="Q699" s="42" t="s">
        <v>4</v>
      </c>
      <c r="R699" s="29">
        <v>12</v>
      </c>
      <c r="S69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69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699" s="41">
        <f ca="1">MIP_4[[#This Row],[Eficiência]]</f>
        <v>0.77702096838570323</v>
      </c>
      <c r="V69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699" s="39">
        <f>IF(MIP_4[[#This Row],[P.S]]-MIP_4[[#This Row],[P.E]]&lt;0,1+MIP_4[[#This Row],[P.S]]-MIP_4[[#This Row],[P.E]]-1/24,MIP_4[[#This Row],[P.S]]-MIP_4[[#This Row],[P.E]]-1/24)</f>
        <v>0.36666666666666675</v>
      </c>
      <c r="X699" s="39">
        <f ca="1">MIP_4[[#This Row],[PT-1]]*$S$3+MIP_4[[#This Row],[PT-2]]*$T$3+MIP_4[[#This Row],[PT-3]]*$U$3+MIP_4[[#This Row],[PT &gt; 3 Pontos]]*$V$3</f>
        <v>0.25253181472535347</v>
      </c>
      <c r="Y699" s="39">
        <f>MIP_4[[#This Row],[HH disponível]]-MIP_4[[#This Row],[HH AC TOT]]</f>
        <v>0.3249999999999999</v>
      </c>
      <c r="Z699" s="38">
        <f ca="1">MIP_4[[#This Row],[HH Produtivo
Total]]/MIP_4[[#This Row],[HH Trabalhado]]</f>
        <v>0.77702096838570323</v>
      </c>
      <c r="AA699" s="38">
        <f ca="1">MIP_4[[#This Row],[HH Produtivo
Total]]/MIP_4[[#This Row],[HH disponível]]</f>
        <v>0.68872313106914562</v>
      </c>
      <c r="AB699" s="38">
        <f>MIP_4[[#This Row],[HH Trabalhado]]/MIP_4[[#This Row],[HH disponível]]</f>
        <v>0.88636363636363591</v>
      </c>
      <c r="AC699" s="37" t="str">
        <f>LEFT(MIP_4[[#This Row],[Equipe]], SEARCH("/",MIP_4[[#This Row],[Equipe]],1)-1)</f>
        <v xml:space="preserve">EDILTON </v>
      </c>
      <c r="AD699" s="37" t="str">
        <f>RIGHT(MIP_4[[#This Row],[Equipe]], LEN(MIP_4[[#This Row],[Equipe]])-SEARCH("/",MIP_4[[#This Row],[Equipe]],1))</f>
        <v xml:space="preserve"> GECIVALDO</v>
      </c>
      <c r="AE699" s="44">
        <f>COUNTIFS('[1]Tempo parado'!G:G,"&gt;="&amp;MIP_4[[#This Row],[S.B Sitrack]],'[1]Tempo parado'!H:H,"&lt;="&amp;MIP_4[[#This Row],[C.B Sitrack]],'[1]Tempo parado'!A:A,MIP_4[[#This Row],[Placa]])</f>
        <v>0</v>
      </c>
      <c r="AF699" s="36"/>
      <c r="AG699" s="35"/>
      <c r="AH699" s="34"/>
      <c r="AI699" s="34"/>
      <c r="AJ69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69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69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699" s="32" t="str">
        <f>IFERROR(MIP_4[[#This Row],[Tempo parado]]/(MIP_4[[#This Row],[C.B Sitrack]]-MIP_4[[#This Row],[S.B Sitrack]]),"")</f>
        <v/>
      </c>
      <c r="AN699" s="30"/>
      <c r="AO699" s="44">
        <f>IF(AND(MIP_4[Exc]=0,MIP_4[Previsto / Realizado]="Realizado"),MIP_4[Sem],0)</f>
        <v>0</v>
      </c>
      <c r="AP699" s="29">
        <f>IF(AND(MIP_4[Exc]=0,MIP_4[Previsto / Realizado]="Realizado",ISBLANK(MIP_4[[#This Row],[S.B Sitrack]])=FALSE,ISBLANK(MIP_4[[#This Row],[C.B Sitrack]])=FALSE),MIP_4[Sem],0)</f>
        <v>0</v>
      </c>
    </row>
    <row r="700" spans="1:42" ht="15.75" x14ac:dyDescent="0.25">
      <c r="A700" s="29">
        <f>WEEKNUM(MIP_4[[#This Row],[Data]])</f>
        <v>43</v>
      </c>
      <c r="B700" s="45">
        <v>43032</v>
      </c>
      <c r="C700" s="45"/>
      <c r="D700" s="35" t="s">
        <v>3</v>
      </c>
      <c r="E700" s="35" t="s">
        <v>2</v>
      </c>
      <c r="F700" s="35"/>
      <c r="G700" s="44">
        <v>2</v>
      </c>
      <c r="H700" s="44">
        <v>4</v>
      </c>
      <c r="I700" s="44">
        <v>0</v>
      </c>
      <c r="J700" s="44">
        <v>0</v>
      </c>
      <c r="K700" s="44">
        <v>10</v>
      </c>
      <c r="L700" s="43">
        <v>0.60972222222222217</v>
      </c>
      <c r="M700" s="43">
        <v>0.67361111111111116</v>
      </c>
      <c r="N700" s="43">
        <v>1.0125</v>
      </c>
      <c r="O700" s="43">
        <v>1.0333333333333334</v>
      </c>
      <c r="P700" s="39"/>
      <c r="Q700" s="42" t="s">
        <v>167</v>
      </c>
      <c r="R700" s="29">
        <v>14</v>
      </c>
      <c r="S70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8.4722222222222476E-2</v>
      </c>
      <c r="T70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8.4722222222222476E-2</v>
      </c>
      <c r="U700" s="41">
        <f ca="1">MIP_4[[#This Row],[Eficiência]]</f>
        <v>1.0180380133790845</v>
      </c>
      <c r="V70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00" s="39">
        <f>IF(MIP_4[[#This Row],[P.S]]-MIP_4[[#This Row],[P.E]]&lt;0,1+MIP_4[[#This Row],[P.S]]-MIP_4[[#This Row],[P.E]]-1/24,MIP_4[[#This Row],[P.S]]-MIP_4[[#This Row],[P.E]]-1/24)</f>
        <v>0.38194444444444459</v>
      </c>
      <c r="X700" s="39">
        <f ca="1">MIP_4[[#This Row],[PT-1]]*$S$3+MIP_4[[#This Row],[PT-2]]*$T$3+MIP_4[[#This Row],[PT-3]]*$U$3+MIP_4[[#This Row],[PT &gt; 3 Pontos]]*$V$3</f>
        <v>0.3025835206432278</v>
      </c>
      <c r="Y700" s="39">
        <f>MIP_4[[#This Row],[HH disponível]]-MIP_4[[#This Row],[HH AC TOT]]</f>
        <v>0.29722222222222211</v>
      </c>
      <c r="Z700" s="38">
        <f ca="1">MIP_4[[#This Row],[HH Produtivo
Total]]/MIP_4[[#This Row],[HH Trabalhado]]</f>
        <v>1.0180380133790845</v>
      </c>
      <c r="AA700" s="38">
        <f ca="1">MIP_4[[#This Row],[HH Produtivo
Total]]/MIP_4[[#This Row],[HH disponível]]</f>
        <v>0.79221867222954157</v>
      </c>
      <c r="AB700" s="38">
        <f>MIP_4[[#This Row],[HH Trabalhado]]/MIP_4[[#This Row],[HH disponível]]</f>
        <v>0.77818181818181764</v>
      </c>
      <c r="AC700" s="37" t="str">
        <f>LEFT(MIP_4[[#This Row],[Equipe]], SEARCH("/",MIP_4[[#This Row],[Equipe]],1)-1)</f>
        <v xml:space="preserve">EDILTON </v>
      </c>
      <c r="AD700" s="37" t="str">
        <f>RIGHT(MIP_4[[#This Row],[Equipe]], LEN(MIP_4[[#This Row],[Equipe]])-SEARCH("/",MIP_4[[#This Row],[Equipe]],1))</f>
        <v xml:space="preserve"> GECIVALDO</v>
      </c>
      <c r="AE700" s="44">
        <f>COUNTIFS('[1]Tempo parado'!G:G,"&gt;="&amp;MIP_4[[#This Row],[S.B Sitrack]],'[1]Tempo parado'!H:H,"&lt;="&amp;MIP_4[[#This Row],[C.B Sitrack]],'[1]Tempo parado'!A:A,MIP_4[[#This Row],[Placa]])</f>
        <v>0</v>
      </c>
      <c r="AF700" s="36"/>
      <c r="AG700" s="35"/>
      <c r="AH700" s="34"/>
      <c r="AI700" s="34"/>
      <c r="AJ70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0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0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00" s="32" t="str">
        <f>IFERROR(MIP_4[[#This Row],[Tempo parado]]/(MIP_4[[#This Row],[C.B Sitrack]]-MIP_4[[#This Row],[S.B Sitrack]]),"")</f>
        <v/>
      </c>
      <c r="AN700" s="30"/>
      <c r="AO700" s="44">
        <f>IF(AND(MIP_4[Exc]=0,MIP_4[Previsto / Realizado]="Realizado"),MIP_4[Sem],0)</f>
        <v>43</v>
      </c>
      <c r="AP700" s="29">
        <f>IF(AND(MIP_4[Exc]=0,MIP_4[Previsto / Realizado]="Realizado",ISBLANK(MIP_4[[#This Row],[S.B Sitrack]])=FALSE,ISBLANK(MIP_4[[#This Row],[C.B Sitrack]])=FALSE),MIP_4[Sem],0)</f>
        <v>0</v>
      </c>
    </row>
    <row r="701" spans="1:42" ht="15.75" x14ac:dyDescent="0.25">
      <c r="A701" s="29">
        <f>WEEKNUM(MIP_4[[#This Row],[Data]])</f>
        <v>43</v>
      </c>
      <c r="B701" s="45">
        <v>43032</v>
      </c>
      <c r="C701" s="45"/>
      <c r="D701" s="35" t="s">
        <v>19</v>
      </c>
      <c r="E701" s="35" t="s">
        <v>5</v>
      </c>
      <c r="F701" s="35"/>
      <c r="G701" s="44">
        <v>2</v>
      </c>
      <c r="H701" s="44">
        <v>3</v>
      </c>
      <c r="I701" s="44">
        <v>0</v>
      </c>
      <c r="J701" s="44">
        <v>1</v>
      </c>
      <c r="K701" s="44">
        <v>4</v>
      </c>
      <c r="L701" s="43">
        <v>0.625</v>
      </c>
      <c r="M701" s="43">
        <v>0.64583333333333337</v>
      </c>
      <c r="N701" s="43">
        <v>1.0125</v>
      </c>
      <c r="O701" s="43">
        <v>1.0333333333333334</v>
      </c>
      <c r="P701" s="39"/>
      <c r="Q701" s="42" t="s">
        <v>166</v>
      </c>
      <c r="R701" s="29">
        <v>10</v>
      </c>
      <c r="S70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70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701" s="41">
        <f ca="1">MIP_4[[#This Row],[Eficiência]]</f>
        <v>0.67341932814456995</v>
      </c>
      <c r="V70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01" s="39">
        <f>IF(MIP_4[[#This Row],[P.S]]-MIP_4[[#This Row],[P.E]]&lt;0,1+MIP_4[[#This Row],[P.S]]-MIP_4[[#This Row],[P.E]]-1/24,MIP_4[[#This Row],[P.S]]-MIP_4[[#This Row],[P.E]]-1/24)</f>
        <v>0.36666666666666675</v>
      </c>
      <c r="X701" s="39">
        <f ca="1">MIP_4[[#This Row],[PT-1]]*$S$3+MIP_4[[#This Row],[PT-2]]*$T$3+MIP_4[[#This Row],[PT-3]]*$U$3+MIP_4[[#This Row],[PT &gt; 3 Pontos]]*$V$3</f>
        <v>0.21886128164698518</v>
      </c>
      <c r="Y701" s="39">
        <f>MIP_4[[#This Row],[HH disponível]]-MIP_4[[#This Row],[HH AC TOT]]</f>
        <v>0.3249999999999999</v>
      </c>
      <c r="Z701" s="38">
        <f ca="1">MIP_4[[#This Row],[HH Produtivo
Total]]/MIP_4[[#This Row],[HH Trabalhado]]</f>
        <v>0.67341932814456995</v>
      </c>
      <c r="AA701" s="38">
        <f ca="1">MIP_4[[#This Row],[HH Produtivo
Total]]/MIP_4[[#This Row],[HH disponível]]</f>
        <v>0.59689440449177766</v>
      </c>
      <c r="AB701" s="38">
        <f>MIP_4[[#This Row],[HH Trabalhado]]/MIP_4[[#This Row],[HH disponível]]</f>
        <v>0.88636363636363591</v>
      </c>
      <c r="AC701" s="37" t="str">
        <f>LEFT(MIP_4[[#This Row],[Equipe]], SEARCH("/",MIP_4[[#This Row],[Equipe]],1)-1)</f>
        <v xml:space="preserve">ADEMÁRIO </v>
      </c>
      <c r="AD701" s="37" t="str">
        <f>RIGHT(MIP_4[[#This Row],[Equipe]], LEN(MIP_4[[#This Row],[Equipe]])-SEARCH("/",MIP_4[[#This Row],[Equipe]],1))</f>
        <v xml:space="preserve"> RONALDO</v>
      </c>
      <c r="AE701" s="44">
        <f>COUNTIFS('[1]Tempo parado'!G:G,"&gt;="&amp;MIP_4[[#This Row],[S.B Sitrack]],'[1]Tempo parado'!H:H,"&lt;="&amp;MIP_4[[#This Row],[C.B Sitrack]],'[1]Tempo parado'!A:A,MIP_4[[#This Row],[Placa]])</f>
        <v>0</v>
      </c>
      <c r="AF701" s="36"/>
      <c r="AG701" s="35"/>
      <c r="AH701" s="34"/>
      <c r="AI701" s="34"/>
      <c r="AJ70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0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0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01" s="32" t="str">
        <f>IFERROR(MIP_4[[#This Row],[Tempo parado]]/(MIP_4[[#This Row],[C.B Sitrack]]-MIP_4[[#This Row],[S.B Sitrack]]),"")</f>
        <v/>
      </c>
      <c r="AN701" s="30"/>
      <c r="AO701" s="44">
        <f>IF(AND(MIP_4[Exc]=0,MIP_4[Previsto / Realizado]="Realizado"),MIP_4[Sem],0)</f>
        <v>0</v>
      </c>
      <c r="AP701" s="29">
        <f>IF(AND(MIP_4[Exc]=0,MIP_4[Previsto / Realizado]="Realizado",ISBLANK(MIP_4[[#This Row],[S.B Sitrack]])=FALSE,ISBLANK(MIP_4[[#This Row],[C.B Sitrack]])=FALSE),MIP_4[Sem],0)</f>
        <v>0</v>
      </c>
    </row>
    <row r="702" spans="1:42" ht="15.75" x14ac:dyDescent="0.25">
      <c r="A702" s="29">
        <f>WEEKNUM(MIP_4[[#This Row],[Data]])</f>
        <v>43</v>
      </c>
      <c r="B702" s="45">
        <v>43032</v>
      </c>
      <c r="C702" s="45"/>
      <c r="D702" s="35" t="s">
        <v>19</v>
      </c>
      <c r="E702" s="35" t="s">
        <v>2</v>
      </c>
      <c r="F702" s="35"/>
      <c r="G702" s="44">
        <v>2</v>
      </c>
      <c r="H702" s="44">
        <v>3</v>
      </c>
      <c r="I702" s="44">
        <v>1</v>
      </c>
      <c r="J702" s="44">
        <v>1</v>
      </c>
      <c r="K702" s="44">
        <v>8</v>
      </c>
      <c r="L702" s="43">
        <v>0.63750000000000007</v>
      </c>
      <c r="M702" s="43">
        <v>0.6743055555555556</v>
      </c>
      <c r="N702" s="43">
        <v>1.0013888888888889</v>
      </c>
      <c r="O702" s="43">
        <v>1.0361111111111112</v>
      </c>
      <c r="P702" s="39">
        <v>3.4722222222222224E-2</v>
      </c>
      <c r="Q702" s="42" t="s">
        <v>165</v>
      </c>
      <c r="R702" s="29">
        <v>16</v>
      </c>
      <c r="S70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0.10625000000000008</v>
      </c>
      <c r="T70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7.1527777777777857E-2</v>
      </c>
      <c r="U702" s="41">
        <f ca="1">MIP_4[[#This Row],[Eficiência]]</f>
        <v>1.3712393668508933</v>
      </c>
      <c r="V70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02" s="39">
        <f>IF(MIP_4[[#This Row],[P.S]]-MIP_4[[#This Row],[P.E]]&lt;0,1+MIP_4[[#This Row],[P.S]]-MIP_4[[#This Row],[P.E]]-1/24,MIP_4[[#This Row],[P.S]]-MIP_4[[#This Row],[P.E]]-1/24)</f>
        <v>0.35694444444444445</v>
      </c>
      <c r="X702" s="39">
        <f ca="1">MIP_4[[#This Row],[PT-1]]*$S$3+MIP_4[[#This Row],[PT-2]]*$T$3+MIP_4[[#This Row],[PT-3]]*$U$3+MIP_4[[#This Row],[PT &gt; 3 Pontos]]*$V$3</f>
        <v>0.34376209127303636</v>
      </c>
      <c r="Y702" s="39">
        <f>MIP_4[[#This Row],[HH disponível]]-MIP_4[[#This Row],[HH AC TOT]]</f>
        <v>0.25069444444444439</v>
      </c>
      <c r="Z702" s="38">
        <f ca="1">MIP_4[[#This Row],[HH Produtivo
Total]]/MIP_4[[#This Row],[HH Trabalhado]]</f>
        <v>1.3712393668508933</v>
      </c>
      <c r="AA702" s="38">
        <f ca="1">MIP_4[[#This Row],[HH Produtivo
Total]]/MIP_4[[#This Row],[HH disponível]]</f>
        <v>0.96306889383885674</v>
      </c>
      <c r="AB702" s="38">
        <f>MIP_4[[#This Row],[HH Trabalhado]]/MIP_4[[#This Row],[HH disponível]]</f>
        <v>0.70233463035019439</v>
      </c>
      <c r="AC702" s="37" t="str">
        <f>LEFT(MIP_4[[#This Row],[Equipe]], SEARCH("/",MIP_4[[#This Row],[Equipe]],1)-1)</f>
        <v xml:space="preserve">ADEMÁRIO </v>
      </c>
      <c r="AD702" s="37" t="str">
        <f>RIGHT(MIP_4[[#This Row],[Equipe]], LEN(MIP_4[[#This Row],[Equipe]])-SEARCH("/",MIP_4[[#This Row],[Equipe]],1))</f>
        <v xml:space="preserve"> RONALDO</v>
      </c>
      <c r="AE702" s="44">
        <f>COUNTIFS('[1]Tempo parado'!G:G,"&gt;="&amp;MIP_4[[#This Row],[S.B Sitrack]],'[1]Tempo parado'!H:H,"&lt;="&amp;MIP_4[[#This Row],[C.B Sitrack]],'[1]Tempo parado'!A:A,MIP_4[[#This Row],[Placa]])</f>
        <v>0</v>
      </c>
      <c r="AF702" s="36"/>
      <c r="AG702" s="35"/>
      <c r="AH702" s="34"/>
      <c r="AI702" s="34"/>
      <c r="AJ70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0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0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02" s="32" t="str">
        <f>IFERROR(MIP_4[[#This Row],[Tempo parado]]/(MIP_4[[#This Row],[C.B Sitrack]]-MIP_4[[#This Row],[S.B Sitrack]]),"")</f>
        <v/>
      </c>
      <c r="AN702" s="30"/>
      <c r="AO702" s="44">
        <f>IF(AND(MIP_4[Exc]=0,MIP_4[Previsto / Realizado]="Realizado"),MIP_4[Sem],0)</f>
        <v>43</v>
      </c>
      <c r="AP702" s="29">
        <f>IF(AND(MIP_4[Exc]=0,MIP_4[Previsto / Realizado]="Realizado",ISBLANK(MIP_4[[#This Row],[S.B Sitrack]])=FALSE,ISBLANK(MIP_4[[#This Row],[C.B Sitrack]])=FALSE),MIP_4[Sem],0)</f>
        <v>0</v>
      </c>
    </row>
    <row r="703" spans="1:42" ht="15.75" x14ac:dyDescent="0.25">
      <c r="A703" s="29">
        <f>WEEKNUM(MIP_4[[#This Row],[Data]])</f>
        <v>43</v>
      </c>
      <c r="B703" s="45">
        <v>43033</v>
      </c>
      <c r="C703" s="45"/>
      <c r="D703" s="35" t="s">
        <v>3</v>
      </c>
      <c r="E703" s="35" t="s">
        <v>5</v>
      </c>
      <c r="F703" s="35"/>
      <c r="G703" s="44">
        <v>2</v>
      </c>
      <c r="H703" s="44">
        <v>8</v>
      </c>
      <c r="I703" s="44">
        <v>0</v>
      </c>
      <c r="J703" s="44">
        <v>2</v>
      </c>
      <c r="K703" s="44">
        <v>0</v>
      </c>
      <c r="L703" s="43">
        <v>0.625</v>
      </c>
      <c r="M703" s="43">
        <v>0.64583333333333337</v>
      </c>
      <c r="N703" s="43">
        <v>1.0125</v>
      </c>
      <c r="O703" s="43">
        <v>1.0333333333333334</v>
      </c>
      <c r="P703" s="39"/>
      <c r="Q703" s="42"/>
      <c r="R703" s="29">
        <v>14</v>
      </c>
      <c r="S70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70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703" s="41">
        <f ca="1">MIP_4[[#This Row],[Eficiência]]</f>
        <v>1.0024313297411123</v>
      </c>
      <c r="V70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03" s="39">
        <f>IF(MIP_4[[#This Row],[P.S]]-MIP_4[[#This Row],[P.E]]&lt;0,1+MIP_4[[#This Row],[P.S]]-MIP_4[[#This Row],[P.E]]-1/24,MIP_4[[#This Row],[P.S]]-MIP_4[[#This Row],[P.E]]-1/24)</f>
        <v>0.36666666666666675</v>
      </c>
      <c r="X703" s="39">
        <f ca="1">MIP_4[[#This Row],[PT-1]]*$S$3+MIP_4[[#This Row],[PT-2]]*$T$3+MIP_4[[#This Row],[PT-3]]*$U$3+MIP_4[[#This Row],[PT &gt; 3 Pontos]]*$V$3</f>
        <v>0.32579018216586142</v>
      </c>
      <c r="Y703" s="39">
        <f>MIP_4[[#This Row],[HH disponível]]-MIP_4[[#This Row],[HH AC TOT]]</f>
        <v>0.3249999999999999</v>
      </c>
      <c r="Z703" s="38">
        <f ca="1">MIP_4[[#This Row],[HH Produtivo
Total]]/MIP_4[[#This Row],[HH Trabalhado]]</f>
        <v>1.0024313297411123</v>
      </c>
      <c r="AA703" s="38">
        <f ca="1">MIP_4[[#This Row],[HH Produtivo
Total]]/MIP_4[[#This Row],[HH disponível]]</f>
        <v>0.88851867863416734</v>
      </c>
      <c r="AB703" s="38">
        <f>MIP_4[[#This Row],[HH Trabalhado]]/MIP_4[[#This Row],[HH disponível]]</f>
        <v>0.88636363636363591</v>
      </c>
      <c r="AC703" s="37" t="str">
        <f>LEFT(MIP_4[[#This Row],[Equipe]], SEARCH("/",MIP_4[[#This Row],[Equipe]],1)-1)</f>
        <v xml:space="preserve">EDILTON </v>
      </c>
      <c r="AD703" s="37" t="str">
        <f>RIGHT(MIP_4[[#This Row],[Equipe]], LEN(MIP_4[[#This Row],[Equipe]])-SEARCH("/",MIP_4[[#This Row],[Equipe]],1))</f>
        <v xml:space="preserve"> GECIVALDO</v>
      </c>
      <c r="AE703" s="44">
        <f>COUNTIFS('[1]Tempo parado'!G:G,"&gt;="&amp;MIP_4[[#This Row],[S.B Sitrack]],'[1]Tempo parado'!H:H,"&lt;="&amp;MIP_4[[#This Row],[C.B Sitrack]],'[1]Tempo parado'!A:A,MIP_4[[#This Row],[Placa]])</f>
        <v>0</v>
      </c>
      <c r="AF703" s="36"/>
      <c r="AG703" s="35"/>
      <c r="AH703" s="34"/>
      <c r="AI703" s="34"/>
      <c r="AJ70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0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0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03" s="32" t="str">
        <f>IFERROR(MIP_4[[#This Row],[Tempo parado]]/(MIP_4[[#This Row],[C.B Sitrack]]-MIP_4[[#This Row],[S.B Sitrack]]),"")</f>
        <v/>
      </c>
      <c r="AN703" s="30"/>
      <c r="AO703" s="44">
        <f>IF(AND(MIP_4[Exc]=0,MIP_4[Previsto / Realizado]="Realizado"),MIP_4[Sem],0)</f>
        <v>0</v>
      </c>
      <c r="AP703" s="29">
        <f>IF(AND(MIP_4[Exc]=0,MIP_4[Previsto / Realizado]="Realizado",ISBLANK(MIP_4[[#This Row],[S.B Sitrack]])=FALSE,ISBLANK(MIP_4[[#This Row],[C.B Sitrack]])=FALSE),MIP_4[Sem],0)</f>
        <v>0</v>
      </c>
    </row>
    <row r="704" spans="1:42" ht="15.75" x14ac:dyDescent="0.25">
      <c r="A704" s="29">
        <f>WEEKNUM(MIP_4[[#This Row],[Data]])</f>
        <v>43</v>
      </c>
      <c r="B704" s="45">
        <v>43033</v>
      </c>
      <c r="C704" s="45"/>
      <c r="D704" s="35" t="s">
        <v>3</v>
      </c>
      <c r="E704" s="35" t="s">
        <v>2</v>
      </c>
      <c r="F704" s="35"/>
      <c r="G704" s="44">
        <v>2</v>
      </c>
      <c r="H704" s="44">
        <v>8</v>
      </c>
      <c r="I704" s="44">
        <v>0</v>
      </c>
      <c r="J704" s="44">
        <v>2</v>
      </c>
      <c r="K704" s="44">
        <v>0</v>
      </c>
      <c r="L704" s="43">
        <v>0.62152777777777779</v>
      </c>
      <c r="M704" s="43">
        <v>0.66666666666666663</v>
      </c>
      <c r="N704" s="43">
        <v>1.0145833333333334</v>
      </c>
      <c r="O704" s="43">
        <v>1.0340277777777778</v>
      </c>
      <c r="P704" s="39"/>
      <c r="Q704" s="42"/>
      <c r="R704" s="29">
        <v>14</v>
      </c>
      <c r="S70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6.4583333333333215E-2</v>
      </c>
      <c r="T70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6.4583333333333215E-2</v>
      </c>
      <c r="U704" s="41">
        <f ca="1">MIP_4[[#This Row],[Eficiência]]</f>
        <v>1.0638046764599554</v>
      </c>
      <c r="V70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04" s="39">
        <f>IF(MIP_4[[#This Row],[P.S]]-MIP_4[[#This Row],[P.E]]&lt;0,1+MIP_4[[#This Row],[P.S]]-MIP_4[[#This Row],[P.E]]-1/24,MIP_4[[#This Row],[P.S]]-MIP_4[[#This Row],[P.E]]-1/24)</f>
        <v>0.37083333333333329</v>
      </c>
      <c r="X704" s="39">
        <f ca="1">MIP_4[[#This Row],[PT-1]]*$S$3+MIP_4[[#This Row],[PT-2]]*$T$3+MIP_4[[#This Row],[PT-3]]*$U$3+MIP_4[[#This Row],[PT &gt; 3 Pontos]]*$V$3</f>
        <v>0.32579018216586142</v>
      </c>
      <c r="Y704" s="39">
        <f>MIP_4[[#This Row],[HH disponível]]-MIP_4[[#This Row],[HH AC TOT]]</f>
        <v>0.30625000000000008</v>
      </c>
      <c r="Z704" s="38">
        <f ca="1">MIP_4[[#This Row],[HH Produtivo
Total]]/MIP_4[[#This Row],[HH Trabalhado]]</f>
        <v>1.0638046764599554</v>
      </c>
      <c r="AA704" s="38">
        <f ca="1">MIP_4[[#This Row],[HH Produtivo
Total]]/MIP_4[[#This Row],[HH disponível]]</f>
        <v>0.87853532269445789</v>
      </c>
      <c r="AB704" s="38">
        <f>MIP_4[[#This Row],[HH Trabalhado]]/MIP_4[[#This Row],[HH disponível]]</f>
        <v>0.82584269662921383</v>
      </c>
      <c r="AC704" s="37" t="str">
        <f>LEFT(MIP_4[[#This Row],[Equipe]], SEARCH("/",MIP_4[[#This Row],[Equipe]],1)-1)</f>
        <v xml:space="preserve">EDILTON </v>
      </c>
      <c r="AD704" s="37" t="str">
        <f>RIGHT(MIP_4[[#This Row],[Equipe]], LEN(MIP_4[[#This Row],[Equipe]])-SEARCH("/",MIP_4[[#This Row],[Equipe]],1))</f>
        <v xml:space="preserve"> GECIVALDO</v>
      </c>
      <c r="AE704" s="44">
        <f>COUNTIFS('[1]Tempo parado'!G:G,"&gt;="&amp;MIP_4[[#This Row],[S.B Sitrack]],'[1]Tempo parado'!H:H,"&lt;="&amp;MIP_4[[#This Row],[C.B Sitrack]],'[1]Tempo parado'!A:A,MIP_4[[#This Row],[Placa]])</f>
        <v>0</v>
      </c>
      <c r="AF704" s="36"/>
      <c r="AG704" s="35"/>
      <c r="AH704" s="34"/>
      <c r="AI704" s="34"/>
      <c r="AJ70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0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0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04" s="32" t="str">
        <f>IFERROR(MIP_4[[#This Row],[Tempo parado]]/(MIP_4[[#This Row],[C.B Sitrack]]-MIP_4[[#This Row],[S.B Sitrack]]),"")</f>
        <v/>
      </c>
      <c r="AN704" s="30"/>
      <c r="AO704" s="44">
        <f>IF(AND(MIP_4[Exc]=0,MIP_4[Previsto / Realizado]="Realizado"),MIP_4[Sem],0)</f>
        <v>43</v>
      </c>
      <c r="AP704" s="29">
        <f>IF(AND(MIP_4[Exc]=0,MIP_4[Previsto / Realizado]="Realizado",ISBLANK(MIP_4[[#This Row],[S.B Sitrack]])=FALSE,ISBLANK(MIP_4[[#This Row],[C.B Sitrack]])=FALSE),MIP_4[Sem],0)</f>
        <v>0</v>
      </c>
    </row>
    <row r="705" spans="1:42" ht="15.75" x14ac:dyDescent="0.25">
      <c r="A705" s="29">
        <f>WEEKNUM(MIP_4[[#This Row],[Data]])</f>
        <v>43</v>
      </c>
      <c r="B705" s="45">
        <v>43033</v>
      </c>
      <c r="C705" s="45"/>
      <c r="D705" s="35" t="s">
        <v>7</v>
      </c>
      <c r="E705" s="35" t="s">
        <v>5</v>
      </c>
      <c r="F705" s="35"/>
      <c r="G705" s="44">
        <v>2</v>
      </c>
      <c r="H705" s="44">
        <v>2</v>
      </c>
      <c r="I705" s="44">
        <v>2</v>
      </c>
      <c r="J705" s="44">
        <v>1</v>
      </c>
      <c r="K705" s="44">
        <v>0</v>
      </c>
      <c r="L705" s="43">
        <v>0.625</v>
      </c>
      <c r="M705" s="43">
        <v>0.64583333333333337</v>
      </c>
      <c r="N705" s="43">
        <v>1.0125</v>
      </c>
      <c r="O705" s="43">
        <v>1.0333333333333334</v>
      </c>
      <c r="P705" s="39"/>
      <c r="Q705" s="42" t="s">
        <v>164</v>
      </c>
      <c r="R705" s="29">
        <v>9</v>
      </c>
      <c r="S70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70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705" s="41">
        <f ca="1">MIP_4[[#This Row],[Eficiência]]</f>
        <v>0.61741820729592489</v>
      </c>
      <c r="V70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05" s="39">
        <f>IF(MIP_4[[#This Row],[P.S]]-MIP_4[[#This Row],[P.E]]&lt;0,1+MIP_4[[#This Row],[P.S]]-MIP_4[[#This Row],[P.E]]-1/24,MIP_4[[#This Row],[P.S]]-MIP_4[[#This Row],[P.E]]-1/24)</f>
        <v>0.36666666666666675</v>
      </c>
      <c r="X705" s="39">
        <f ca="1">MIP_4[[#This Row],[PT-1]]*$S$3+MIP_4[[#This Row],[PT-2]]*$T$3+MIP_4[[#This Row],[PT-3]]*$U$3+MIP_4[[#This Row],[PT &gt; 3 Pontos]]*$V$3</f>
        <v>0.20066091737117553</v>
      </c>
      <c r="Y705" s="39">
        <f>MIP_4[[#This Row],[HH disponível]]-MIP_4[[#This Row],[HH AC TOT]]</f>
        <v>0.3249999999999999</v>
      </c>
      <c r="Z705" s="38">
        <f ca="1">MIP_4[[#This Row],[HH Produtivo
Total]]/MIP_4[[#This Row],[HH Trabalhado]]</f>
        <v>0.61741820729592489</v>
      </c>
      <c r="AA705" s="38">
        <f ca="1">MIP_4[[#This Row],[HH Produtivo
Total]]/MIP_4[[#This Row],[HH disponível]]</f>
        <v>0.54725704737593317</v>
      </c>
      <c r="AB705" s="38">
        <f>MIP_4[[#This Row],[HH Trabalhado]]/MIP_4[[#This Row],[HH disponível]]</f>
        <v>0.88636363636363591</v>
      </c>
      <c r="AC705" s="37" t="str">
        <f>LEFT(MIP_4[[#This Row],[Equipe]], SEARCH("/",MIP_4[[#This Row],[Equipe]],1)-1)</f>
        <v xml:space="preserve">ANDERSON </v>
      </c>
      <c r="AD705" s="37" t="str">
        <f>RIGHT(MIP_4[[#This Row],[Equipe]], LEN(MIP_4[[#This Row],[Equipe]])-SEARCH("/",MIP_4[[#This Row],[Equipe]],1))</f>
        <v xml:space="preserve"> MARCO</v>
      </c>
      <c r="AE705" s="44">
        <f>COUNTIFS('[1]Tempo parado'!G:G,"&gt;="&amp;MIP_4[[#This Row],[S.B Sitrack]],'[1]Tempo parado'!H:H,"&lt;="&amp;MIP_4[[#This Row],[C.B Sitrack]],'[1]Tempo parado'!A:A,MIP_4[[#This Row],[Placa]])</f>
        <v>0</v>
      </c>
      <c r="AF705" s="36"/>
      <c r="AG705" s="35"/>
      <c r="AH705" s="34"/>
      <c r="AI705" s="34"/>
      <c r="AJ70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0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0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05" s="32" t="str">
        <f>IFERROR(MIP_4[[#This Row],[Tempo parado]]/(MIP_4[[#This Row],[C.B Sitrack]]-MIP_4[[#This Row],[S.B Sitrack]]),"")</f>
        <v/>
      </c>
      <c r="AN705" s="30"/>
      <c r="AO705" s="44">
        <f>IF(AND(MIP_4[Exc]=0,MIP_4[Previsto / Realizado]="Realizado"),MIP_4[Sem],0)</f>
        <v>0</v>
      </c>
      <c r="AP705" s="29">
        <f>IF(AND(MIP_4[Exc]=0,MIP_4[Previsto / Realizado]="Realizado",ISBLANK(MIP_4[[#This Row],[S.B Sitrack]])=FALSE,ISBLANK(MIP_4[[#This Row],[C.B Sitrack]])=FALSE),MIP_4[Sem],0)</f>
        <v>0</v>
      </c>
    </row>
    <row r="706" spans="1:42" ht="15.75" x14ac:dyDescent="0.25">
      <c r="A706" s="29">
        <f>WEEKNUM(MIP_4[[#This Row],[Data]])</f>
        <v>43</v>
      </c>
      <c r="B706" s="45">
        <v>43033</v>
      </c>
      <c r="C706" s="45"/>
      <c r="D706" s="35" t="s">
        <v>7</v>
      </c>
      <c r="E706" s="35" t="s">
        <v>2</v>
      </c>
      <c r="F706" s="35"/>
      <c r="G706" s="44">
        <v>2</v>
      </c>
      <c r="H706" s="44">
        <v>5</v>
      </c>
      <c r="I706" s="44">
        <v>2</v>
      </c>
      <c r="J706" s="44">
        <v>1</v>
      </c>
      <c r="K706" s="44">
        <v>0</v>
      </c>
      <c r="L706" s="43">
        <v>0.62569444444444444</v>
      </c>
      <c r="M706" s="43">
        <v>0.6875</v>
      </c>
      <c r="N706" s="43">
        <v>1.0104166666666667</v>
      </c>
      <c r="O706" s="43">
        <v>1.0458333333333334</v>
      </c>
      <c r="P706" s="39">
        <v>4.1666666666666664E-2</v>
      </c>
      <c r="Q706" s="42" t="s">
        <v>163</v>
      </c>
      <c r="R706" s="29">
        <v>12</v>
      </c>
      <c r="S70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0.13888888888888887</v>
      </c>
      <c r="T70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9.722222222222221E-2</v>
      </c>
      <c r="U706" s="41">
        <f ca="1">MIP_4[[#This Row],[Eficiência]]</f>
        <v>1.1509084226002935</v>
      </c>
      <c r="V70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06" s="39">
        <f>IF(MIP_4[[#This Row],[P.S]]-MIP_4[[#This Row],[P.E]]&lt;0,1+MIP_4[[#This Row],[P.S]]-MIP_4[[#This Row],[P.E]]-1/24,MIP_4[[#This Row],[P.S]]-MIP_4[[#This Row],[P.E]]-1/24)</f>
        <v>0.37847222222222227</v>
      </c>
      <c r="X706" s="39">
        <f ca="1">MIP_4[[#This Row],[PT-1]]*$S$3+MIP_4[[#This Row],[PT-2]]*$T$3+MIP_4[[#This Row],[PT-3]]*$U$3+MIP_4[[#This Row],[PT &gt; 3 Pontos]]*$V$3</f>
        <v>0.27573847624798703</v>
      </c>
      <c r="Y706" s="39">
        <f>MIP_4[[#This Row],[HH disponível]]-MIP_4[[#This Row],[HH AC TOT]]</f>
        <v>0.2395833333333334</v>
      </c>
      <c r="Z706" s="38">
        <f ca="1">MIP_4[[#This Row],[HH Produtivo
Total]]/MIP_4[[#This Row],[HH Trabalhado]]</f>
        <v>1.1509084226002935</v>
      </c>
      <c r="AA706" s="38">
        <f ca="1">MIP_4[[#This Row],[HH Produtivo
Total]]/MIP_4[[#This Row],[HH disponível]]</f>
        <v>0.72855670788458948</v>
      </c>
      <c r="AB706" s="38">
        <f>MIP_4[[#This Row],[HH Trabalhado]]/MIP_4[[#This Row],[HH disponível]]</f>
        <v>0.63302752293577991</v>
      </c>
      <c r="AC706" s="37" t="str">
        <f>LEFT(MIP_4[[#This Row],[Equipe]], SEARCH("/",MIP_4[[#This Row],[Equipe]],1)-1)</f>
        <v xml:space="preserve">ANDERSON </v>
      </c>
      <c r="AD706" s="37" t="str">
        <f>RIGHT(MIP_4[[#This Row],[Equipe]], LEN(MIP_4[[#This Row],[Equipe]])-SEARCH("/",MIP_4[[#This Row],[Equipe]],1))</f>
        <v xml:space="preserve"> MARCO</v>
      </c>
      <c r="AE706" s="44">
        <f>COUNTIFS('[1]Tempo parado'!G:G,"&gt;="&amp;MIP_4[[#This Row],[S.B Sitrack]],'[1]Tempo parado'!H:H,"&lt;="&amp;MIP_4[[#This Row],[C.B Sitrack]],'[1]Tempo parado'!A:A,MIP_4[[#This Row],[Placa]])</f>
        <v>0</v>
      </c>
      <c r="AF706" s="36"/>
      <c r="AG706" s="35"/>
      <c r="AH706" s="34"/>
      <c r="AI706" s="34"/>
      <c r="AJ70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0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0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06" s="32" t="str">
        <f>IFERROR(MIP_4[[#This Row],[Tempo parado]]/(MIP_4[[#This Row],[C.B Sitrack]]-MIP_4[[#This Row],[S.B Sitrack]]),"")</f>
        <v/>
      </c>
      <c r="AN706" s="30"/>
      <c r="AO706" s="44">
        <f>IF(AND(MIP_4[Exc]=0,MIP_4[Previsto / Realizado]="Realizado"),MIP_4[Sem],0)</f>
        <v>43</v>
      </c>
      <c r="AP706" s="29">
        <f>IF(AND(MIP_4[Exc]=0,MIP_4[Previsto / Realizado]="Realizado",ISBLANK(MIP_4[[#This Row],[S.B Sitrack]])=FALSE,ISBLANK(MIP_4[[#This Row],[C.B Sitrack]])=FALSE),MIP_4[Sem],0)</f>
        <v>0</v>
      </c>
    </row>
    <row r="707" spans="1:42" ht="15.75" x14ac:dyDescent="0.25">
      <c r="A707" s="29">
        <f>WEEKNUM(MIP_4[[#This Row],[Data]])</f>
        <v>43</v>
      </c>
      <c r="B707" s="45">
        <v>43033</v>
      </c>
      <c r="C707" s="45"/>
      <c r="D707" s="35" t="s">
        <v>19</v>
      </c>
      <c r="E707" s="35" t="s">
        <v>5</v>
      </c>
      <c r="F707" s="35"/>
      <c r="G707" s="44">
        <v>2</v>
      </c>
      <c r="H707" s="44">
        <v>4</v>
      </c>
      <c r="I707" s="44">
        <v>0</v>
      </c>
      <c r="J707" s="44">
        <v>1</v>
      </c>
      <c r="K707" s="44">
        <v>0</v>
      </c>
      <c r="L707" s="43">
        <v>0.625</v>
      </c>
      <c r="M707" s="43">
        <v>0.64583333333333337</v>
      </c>
      <c r="N707" s="43">
        <v>1.0125</v>
      </c>
      <c r="O707" s="43">
        <v>1.0333333333333334</v>
      </c>
      <c r="P707" s="39"/>
      <c r="Q707" s="42"/>
      <c r="R707" s="29">
        <v>7</v>
      </c>
      <c r="S70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70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707" s="41">
        <f ca="1">MIP_4[[#This Row],[Eficiência]]</f>
        <v>0.50121566487055613</v>
      </c>
      <c r="V70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07" s="39">
        <f>IF(MIP_4[[#This Row],[P.S]]-MIP_4[[#This Row],[P.E]]&lt;0,1+MIP_4[[#This Row],[P.S]]-MIP_4[[#This Row],[P.E]]-1/24,MIP_4[[#This Row],[P.S]]-MIP_4[[#This Row],[P.E]]-1/24)</f>
        <v>0.36666666666666675</v>
      </c>
      <c r="X707" s="39">
        <f ca="1">MIP_4[[#This Row],[PT-1]]*$S$3+MIP_4[[#This Row],[PT-2]]*$T$3+MIP_4[[#This Row],[PT-3]]*$U$3+MIP_4[[#This Row],[PT &gt; 3 Pontos]]*$V$3</f>
        <v>0.16289509108293071</v>
      </c>
      <c r="Y707" s="39">
        <f>MIP_4[[#This Row],[HH disponível]]-MIP_4[[#This Row],[HH AC TOT]]</f>
        <v>0.3249999999999999</v>
      </c>
      <c r="Z707" s="38">
        <f ca="1">MIP_4[[#This Row],[HH Produtivo
Total]]/MIP_4[[#This Row],[HH Trabalhado]]</f>
        <v>0.50121566487055613</v>
      </c>
      <c r="AA707" s="38">
        <f ca="1">MIP_4[[#This Row],[HH Produtivo
Total]]/MIP_4[[#This Row],[HH disponível]]</f>
        <v>0.44425933931708367</v>
      </c>
      <c r="AB707" s="38">
        <f>MIP_4[[#This Row],[HH Trabalhado]]/MIP_4[[#This Row],[HH disponível]]</f>
        <v>0.88636363636363591</v>
      </c>
      <c r="AC707" s="37" t="str">
        <f>LEFT(MIP_4[[#This Row],[Equipe]], SEARCH("/",MIP_4[[#This Row],[Equipe]],1)-1)</f>
        <v xml:space="preserve">ADEMÁRIO </v>
      </c>
      <c r="AD707" s="37" t="str">
        <f>RIGHT(MIP_4[[#This Row],[Equipe]], LEN(MIP_4[[#This Row],[Equipe]])-SEARCH("/",MIP_4[[#This Row],[Equipe]],1))</f>
        <v xml:space="preserve"> RONALDO</v>
      </c>
      <c r="AE707" s="44">
        <f>COUNTIFS('[1]Tempo parado'!G:G,"&gt;="&amp;MIP_4[[#This Row],[S.B Sitrack]],'[1]Tempo parado'!H:H,"&lt;="&amp;MIP_4[[#This Row],[C.B Sitrack]],'[1]Tempo parado'!A:A,MIP_4[[#This Row],[Placa]])</f>
        <v>0</v>
      </c>
      <c r="AF707" s="36"/>
      <c r="AG707" s="35"/>
      <c r="AH707" s="34"/>
      <c r="AI707" s="34"/>
      <c r="AJ70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0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0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07" s="32" t="str">
        <f>IFERROR(MIP_4[[#This Row],[Tempo parado]]/(MIP_4[[#This Row],[C.B Sitrack]]-MIP_4[[#This Row],[S.B Sitrack]]),"")</f>
        <v/>
      </c>
      <c r="AN707" s="30"/>
      <c r="AO707" s="44">
        <f>IF(AND(MIP_4[Exc]=0,MIP_4[Previsto / Realizado]="Realizado"),MIP_4[Sem],0)</f>
        <v>0</v>
      </c>
      <c r="AP707" s="29">
        <f>IF(AND(MIP_4[Exc]=0,MIP_4[Previsto / Realizado]="Realizado",ISBLANK(MIP_4[[#This Row],[S.B Sitrack]])=FALSE,ISBLANK(MIP_4[[#This Row],[C.B Sitrack]])=FALSE),MIP_4[Sem],0)</f>
        <v>0</v>
      </c>
    </row>
    <row r="708" spans="1:42" ht="15.75" x14ac:dyDescent="0.25">
      <c r="A708" s="29">
        <f>WEEKNUM(MIP_4[[#This Row],[Data]])</f>
        <v>43</v>
      </c>
      <c r="B708" s="45">
        <v>43033</v>
      </c>
      <c r="C708" s="45"/>
      <c r="D708" s="35" t="s">
        <v>19</v>
      </c>
      <c r="E708" s="35" t="s">
        <v>2</v>
      </c>
      <c r="F708" s="35"/>
      <c r="G708" s="44">
        <v>2</v>
      </c>
      <c r="H708" s="44">
        <v>3</v>
      </c>
      <c r="I708" s="44">
        <v>0</v>
      </c>
      <c r="J708" s="44">
        <v>1</v>
      </c>
      <c r="K708" s="44">
        <v>0</v>
      </c>
      <c r="L708" s="43">
        <v>0.63680555555555551</v>
      </c>
      <c r="M708" s="43">
        <v>0.69444444444444453</v>
      </c>
      <c r="N708" s="43">
        <v>0.91319444444444453</v>
      </c>
      <c r="O708" s="43">
        <v>1.0465277777777777</v>
      </c>
      <c r="P708" s="39"/>
      <c r="Q708" s="42" t="s">
        <v>162</v>
      </c>
      <c r="R708" s="29">
        <v>6</v>
      </c>
      <c r="S70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0.19097222222222221</v>
      </c>
      <c r="T70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0.19097222222222221</v>
      </c>
      <c r="U708" s="41">
        <f ca="1">MIP_4[[#This Row],[Eficiência]]</f>
        <v>0.77855569764137533</v>
      </c>
      <c r="V70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08" s="39">
        <f>IF(MIP_4[[#This Row],[P.S]]-MIP_4[[#This Row],[P.E]]&lt;0,1+MIP_4[[#This Row],[P.S]]-MIP_4[[#This Row],[P.E]]-1/24,MIP_4[[#This Row],[P.S]]-MIP_4[[#This Row],[P.E]]-1/24)</f>
        <v>0.36805555555555552</v>
      </c>
      <c r="X708" s="39">
        <f ca="1">MIP_4[[#This Row],[PT-1]]*$S$3+MIP_4[[#This Row],[PT-2]]*$T$3+MIP_4[[#This Row],[PT-3]]*$U$3+MIP_4[[#This Row],[PT &gt; 3 Pontos]]*$V$3</f>
        <v>0.13786923812399354</v>
      </c>
      <c r="Y708" s="39">
        <f>MIP_4[[#This Row],[HH disponível]]-MIP_4[[#This Row],[HH AC TOT]]</f>
        <v>0.17708333333333331</v>
      </c>
      <c r="Z708" s="38">
        <f ca="1">MIP_4[[#This Row],[HH Produtivo
Total]]/MIP_4[[#This Row],[HH Trabalhado]]</f>
        <v>0.77855569764137533</v>
      </c>
      <c r="AA708" s="38">
        <f ca="1">MIP_4[[#This Row],[HH Produtivo
Total]]/MIP_4[[#This Row],[HH disponível]]</f>
        <v>0.37458811867651076</v>
      </c>
      <c r="AB708" s="38">
        <f>MIP_4[[#This Row],[HH Trabalhado]]/MIP_4[[#This Row],[HH disponível]]</f>
        <v>0.48113207547169812</v>
      </c>
      <c r="AC708" s="37" t="str">
        <f>LEFT(MIP_4[[#This Row],[Equipe]], SEARCH("/",MIP_4[[#This Row],[Equipe]],1)-1)</f>
        <v xml:space="preserve">ADEMÁRIO </v>
      </c>
      <c r="AD708" s="37" t="str">
        <f>RIGHT(MIP_4[[#This Row],[Equipe]], LEN(MIP_4[[#This Row],[Equipe]])-SEARCH("/",MIP_4[[#This Row],[Equipe]],1))</f>
        <v xml:space="preserve"> RONALDO</v>
      </c>
      <c r="AE708" s="44">
        <f>COUNTIFS('[1]Tempo parado'!G:G,"&gt;="&amp;MIP_4[[#This Row],[S.B Sitrack]],'[1]Tempo parado'!H:H,"&lt;="&amp;MIP_4[[#This Row],[C.B Sitrack]],'[1]Tempo parado'!A:A,MIP_4[[#This Row],[Placa]])</f>
        <v>0</v>
      </c>
      <c r="AF708" s="36"/>
      <c r="AG708" s="35"/>
      <c r="AH708" s="34"/>
      <c r="AI708" s="34"/>
      <c r="AJ70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0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0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08" s="32" t="str">
        <f>IFERROR(MIP_4[[#This Row],[Tempo parado]]/(MIP_4[[#This Row],[C.B Sitrack]]-MIP_4[[#This Row],[S.B Sitrack]]),"")</f>
        <v/>
      </c>
      <c r="AN708" s="30"/>
      <c r="AO708" s="44">
        <f>IF(AND(MIP_4[Exc]=0,MIP_4[Previsto / Realizado]="Realizado"),MIP_4[Sem],0)</f>
        <v>43</v>
      </c>
      <c r="AP708" s="29">
        <f>IF(AND(MIP_4[Exc]=0,MIP_4[Previsto / Realizado]="Realizado",ISBLANK(MIP_4[[#This Row],[S.B Sitrack]])=FALSE,ISBLANK(MIP_4[[#This Row],[C.B Sitrack]])=FALSE),MIP_4[Sem],0)</f>
        <v>0</v>
      </c>
    </row>
    <row r="709" spans="1:42" ht="15.75" x14ac:dyDescent="0.25">
      <c r="A709" s="29">
        <f>WEEKNUM(MIP_4[[#This Row],[Data]])</f>
        <v>43</v>
      </c>
      <c r="B709" s="45">
        <v>43034</v>
      </c>
      <c r="C709" s="45"/>
      <c r="D709" s="35" t="s">
        <v>10</v>
      </c>
      <c r="E709" s="35" t="s">
        <v>5</v>
      </c>
      <c r="F709" s="35"/>
      <c r="G709" s="44">
        <v>2</v>
      </c>
      <c r="H709" s="44">
        <v>0</v>
      </c>
      <c r="I709" s="44">
        <v>1</v>
      </c>
      <c r="J709" s="44">
        <v>0</v>
      </c>
      <c r="K709" s="44">
        <v>4</v>
      </c>
      <c r="L709" s="43">
        <v>0.25</v>
      </c>
      <c r="M709" s="43">
        <v>0.27083333333333331</v>
      </c>
      <c r="N709" s="43">
        <v>0.63750000000000007</v>
      </c>
      <c r="O709" s="43">
        <v>0.65833333333333333</v>
      </c>
      <c r="P709" s="39"/>
      <c r="Q709" s="42" t="s">
        <v>4</v>
      </c>
      <c r="R709" s="29">
        <v>6</v>
      </c>
      <c r="S70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70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709" s="41">
        <f ca="1">MIP_4[[#This Row],[Eficiência]]</f>
        <v>0.38431018346477286</v>
      </c>
      <c r="V70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09" s="39">
        <f>IF(MIP_4[[#This Row],[P.S]]-MIP_4[[#This Row],[P.E]]&lt;0,1+MIP_4[[#This Row],[P.S]]-MIP_4[[#This Row],[P.E]]-1/24,MIP_4[[#This Row],[P.S]]-MIP_4[[#This Row],[P.E]]-1/24)</f>
        <v>0.36666666666666664</v>
      </c>
      <c r="X709" s="39">
        <f ca="1">MIP_4[[#This Row],[PT-1]]*$S$3+MIP_4[[#This Row],[PT-2]]*$T$3+MIP_4[[#This Row],[PT-3]]*$U$3+MIP_4[[#This Row],[PT &gt; 3 Pontos]]*$V$3</f>
        <v>0.12490080962605121</v>
      </c>
      <c r="Y709" s="39">
        <f>MIP_4[[#This Row],[HH disponível]]-MIP_4[[#This Row],[HH AC TOT]]</f>
        <v>0.32500000000000007</v>
      </c>
      <c r="Z709" s="38">
        <f ca="1">MIP_4[[#This Row],[HH Produtivo
Total]]/MIP_4[[#This Row],[HH Trabalhado]]</f>
        <v>0.38431018346477286</v>
      </c>
      <c r="AA709" s="38">
        <f ca="1">MIP_4[[#This Row],[HH Produtivo
Total]]/MIP_4[[#This Row],[HH disponível]]</f>
        <v>0.34063857170741241</v>
      </c>
      <c r="AB709" s="38">
        <f>MIP_4[[#This Row],[HH Trabalhado]]/MIP_4[[#This Row],[HH disponível]]</f>
        <v>0.88636363636363658</v>
      </c>
      <c r="AC709" s="37" t="str">
        <f>LEFT(MIP_4[[#This Row],[Equipe]], SEARCH("/",MIP_4[[#This Row],[Equipe]],1)-1)</f>
        <v xml:space="preserve">JOILSON </v>
      </c>
      <c r="AD709" s="37" t="str">
        <f>RIGHT(MIP_4[[#This Row],[Equipe]], LEN(MIP_4[[#This Row],[Equipe]])-SEARCH("/",MIP_4[[#This Row],[Equipe]],1))</f>
        <v xml:space="preserve"> VALDEI</v>
      </c>
      <c r="AE709" s="44">
        <f>COUNTIFS('[1]Tempo parado'!G:G,"&gt;="&amp;MIP_4[[#This Row],[S.B Sitrack]],'[1]Tempo parado'!H:H,"&lt;="&amp;MIP_4[[#This Row],[C.B Sitrack]],'[1]Tempo parado'!A:A,MIP_4[[#This Row],[Placa]])</f>
        <v>0</v>
      </c>
      <c r="AF709" s="36"/>
      <c r="AG709" s="35"/>
      <c r="AH709" s="34"/>
      <c r="AI709" s="34"/>
      <c r="AJ70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0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0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09" s="32" t="str">
        <f>IFERROR(MIP_4[[#This Row],[Tempo parado]]/(MIP_4[[#This Row],[C.B Sitrack]]-MIP_4[[#This Row],[S.B Sitrack]]),"")</f>
        <v/>
      </c>
      <c r="AN709" s="30"/>
      <c r="AO709" s="44">
        <f>IF(AND(MIP_4[Exc]=0,MIP_4[Previsto / Realizado]="Realizado"),MIP_4[Sem],0)</f>
        <v>0</v>
      </c>
      <c r="AP709" s="29">
        <f>IF(AND(MIP_4[Exc]=0,MIP_4[Previsto / Realizado]="Realizado",ISBLANK(MIP_4[[#This Row],[S.B Sitrack]])=FALSE,ISBLANK(MIP_4[[#This Row],[C.B Sitrack]])=FALSE),MIP_4[Sem],0)</f>
        <v>0</v>
      </c>
    </row>
    <row r="710" spans="1:42" ht="15.75" x14ac:dyDescent="0.25">
      <c r="A710" s="29">
        <f>WEEKNUM(MIP_4[[#This Row],[Data]])</f>
        <v>43</v>
      </c>
      <c r="B710" s="45">
        <v>43034</v>
      </c>
      <c r="C710" s="45"/>
      <c r="D710" s="35" t="s">
        <v>10</v>
      </c>
      <c r="E710" s="35" t="s">
        <v>2</v>
      </c>
      <c r="F710" s="35"/>
      <c r="G710" s="44">
        <v>2</v>
      </c>
      <c r="H710" s="44">
        <v>6</v>
      </c>
      <c r="I710" s="44">
        <v>1</v>
      </c>
      <c r="J710" s="44">
        <v>0</v>
      </c>
      <c r="K710" s="44">
        <v>4</v>
      </c>
      <c r="L710" s="43">
        <v>0.24722222222222223</v>
      </c>
      <c r="M710" s="43">
        <v>0.27083333333333331</v>
      </c>
      <c r="N710" s="43">
        <v>0.62152777777777779</v>
      </c>
      <c r="O710" s="43">
        <v>0.65833333333333333</v>
      </c>
      <c r="P710" s="39"/>
      <c r="Q710" s="42" t="s">
        <v>17</v>
      </c>
      <c r="R710" s="29">
        <v>12</v>
      </c>
      <c r="S71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6.0416666666666619E-2</v>
      </c>
      <c r="T71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6.0416666666666619E-2</v>
      </c>
      <c r="U710" s="41">
        <f ca="1">MIP_4[[#This Row],[Eficiência]]</f>
        <v>0.89006861893647415</v>
      </c>
      <c r="V71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10" s="39">
        <f>IF(MIP_4[[#This Row],[P.S]]-MIP_4[[#This Row],[P.E]]&lt;0,1+MIP_4[[#This Row],[P.S]]-MIP_4[[#This Row],[P.E]]-1/24,MIP_4[[#This Row],[P.S]]-MIP_4[[#This Row],[P.E]]-1/24)</f>
        <v>0.36944444444444441</v>
      </c>
      <c r="X710" s="39">
        <f ca="1">MIP_4[[#This Row],[PT-1]]*$S$3+MIP_4[[#This Row],[PT-2]]*$T$3+MIP_4[[#This Row],[PT-3]]*$U$3+MIP_4[[#This Row],[PT &gt; 3 Pontos]]*$V$3</f>
        <v>0.27505592737967433</v>
      </c>
      <c r="Y710" s="39">
        <f>MIP_4[[#This Row],[HH disponível]]-MIP_4[[#This Row],[HH AC TOT]]</f>
        <v>0.30902777777777779</v>
      </c>
      <c r="Z710" s="38">
        <f ca="1">MIP_4[[#This Row],[HH Produtivo
Total]]/MIP_4[[#This Row],[HH Trabalhado]]</f>
        <v>0.89006861893647415</v>
      </c>
      <c r="AA710" s="38">
        <f ca="1">MIP_4[[#This Row],[HH Produtivo
Total]]/MIP_4[[#This Row],[HH disponível]]</f>
        <v>0.74451228463671248</v>
      </c>
      <c r="AB710" s="38">
        <f>MIP_4[[#This Row],[HH Trabalhado]]/MIP_4[[#This Row],[HH disponível]]</f>
        <v>0.83646616541353391</v>
      </c>
      <c r="AC710" s="37" t="str">
        <f>LEFT(MIP_4[[#This Row],[Equipe]], SEARCH("/",MIP_4[[#This Row],[Equipe]],1)-1)</f>
        <v xml:space="preserve">JOILSON </v>
      </c>
      <c r="AD710" s="37" t="str">
        <f>RIGHT(MIP_4[[#This Row],[Equipe]], LEN(MIP_4[[#This Row],[Equipe]])-SEARCH("/",MIP_4[[#This Row],[Equipe]],1))</f>
        <v xml:space="preserve"> VALDEI</v>
      </c>
      <c r="AE710" s="44">
        <f>COUNTIFS('[1]Tempo parado'!G:G,"&gt;="&amp;MIP_4[[#This Row],[S.B Sitrack]],'[1]Tempo parado'!H:H,"&lt;="&amp;MIP_4[[#This Row],[C.B Sitrack]],'[1]Tempo parado'!A:A,MIP_4[[#This Row],[Placa]])</f>
        <v>0</v>
      </c>
      <c r="AF710" s="36"/>
      <c r="AG710" s="35"/>
      <c r="AH710" s="34"/>
      <c r="AI710" s="34"/>
      <c r="AJ71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1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1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10" s="32" t="str">
        <f>IFERROR(MIP_4[[#This Row],[Tempo parado]]/(MIP_4[[#This Row],[C.B Sitrack]]-MIP_4[[#This Row],[S.B Sitrack]]),"")</f>
        <v/>
      </c>
      <c r="AN710" s="30"/>
      <c r="AO710" s="44">
        <f>IF(AND(MIP_4[Exc]=0,MIP_4[Previsto / Realizado]="Realizado"),MIP_4[Sem],0)</f>
        <v>43</v>
      </c>
      <c r="AP710" s="29">
        <f>IF(AND(MIP_4[Exc]=0,MIP_4[Previsto / Realizado]="Realizado",ISBLANK(MIP_4[[#This Row],[S.B Sitrack]])=FALSE,ISBLANK(MIP_4[[#This Row],[C.B Sitrack]])=FALSE),MIP_4[Sem],0)</f>
        <v>0</v>
      </c>
    </row>
    <row r="711" spans="1:42" ht="15.75" x14ac:dyDescent="0.25">
      <c r="A711" s="29">
        <f>WEEKNUM(MIP_4[[#This Row],[Data]])</f>
        <v>43</v>
      </c>
      <c r="B711" s="45">
        <v>43034</v>
      </c>
      <c r="C711" s="45"/>
      <c r="D711" s="35" t="s">
        <v>3</v>
      </c>
      <c r="E711" s="35" t="s">
        <v>5</v>
      </c>
      <c r="F711" s="35"/>
      <c r="G711" s="44">
        <v>2</v>
      </c>
      <c r="H711" s="44">
        <v>5</v>
      </c>
      <c r="I711" s="44">
        <v>0</v>
      </c>
      <c r="J711" s="44">
        <v>2</v>
      </c>
      <c r="K711" s="44">
        <v>4</v>
      </c>
      <c r="L711" s="43">
        <v>0.625</v>
      </c>
      <c r="M711" s="43">
        <v>0.64583333333333337</v>
      </c>
      <c r="N711" s="43">
        <v>1.0125</v>
      </c>
      <c r="O711" s="43">
        <v>1.0333333333333334</v>
      </c>
      <c r="P711" s="39"/>
      <c r="Q711" s="42" t="s">
        <v>4</v>
      </c>
      <c r="R711" s="29">
        <v>15</v>
      </c>
      <c r="S71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71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711" s="41">
        <f ca="1">MIP_4[[#This Row],[Eficiência]]</f>
        <v>1.0206297440370511</v>
      </c>
      <c r="V71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11" s="39">
        <f>IF(MIP_4[[#This Row],[P.S]]-MIP_4[[#This Row],[P.E]]&lt;0,1+MIP_4[[#This Row],[P.S]]-MIP_4[[#This Row],[P.E]]-1/24,MIP_4[[#This Row],[P.S]]-MIP_4[[#This Row],[P.E]]-1/24)</f>
        <v>0.36666666666666675</v>
      </c>
      <c r="X711" s="39">
        <f ca="1">MIP_4[[#This Row],[PT-1]]*$S$3+MIP_4[[#This Row],[PT-2]]*$T$3+MIP_4[[#This Row],[PT-3]]*$U$3+MIP_4[[#This Row],[PT &gt; 3 Pontos]]*$V$3</f>
        <v>0.33170466681204147</v>
      </c>
      <c r="Y711" s="39">
        <f>MIP_4[[#This Row],[HH disponível]]-MIP_4[[#This Row],[HH AC TOT]]</f>
        <v>0.3249999999999999</v>
      </c>
      <c r="Z711" s="38">
        <f ca="1">MIP_4[[#This Row],[HH Produtivo
Total]]/MIP_4[[#This Row],[HH Trabalhado]]</f>
        <v>1.0206297440370511</v>
      </c>
      <c r="AA711" s="38">
        <f ca="1">MIP_4[[#This Row],[HH Produtivo
Total]]/MIP_4[[#This Row],[HH disponível]]</f>
        <v>0.90464909130556748</v>
      </c>
      <c r="AB711" s="38">
        <f>MIP_4[[#This Row],[HH Trabalhado]]/MIP_4[[#This Row],[HH disponível]]</f>
        <v>0.88636363636363591</v>
      </c>
      <c r="AC711" s="37" t="str">
        <f>LEFT(MIP_4[[#This Row],[Equipe]], SEARCH("/",MIP_4[[#This Row],[Equipe]],1)-1)</f>
        <v xml:space="preserve">EDILTON </v>
      </c>
      <c r="AD711" s="37" t="str">
        <f>RIGHT(MIP_4[[#This Row],[Equipe]], LEN(MIP_4[[#This Row],[Equipe]])-SEARCH("/",MIP_4[[#This Row],[Equipe]],1))</f>
        <v xml:space="preserve"> GECIVALDO</v>
      </c>
      <c r="AE711" s="44">
        <f>COUNTIFS('[1]Tempo parado'!G:G,"&gt;="&amp;MIP_4[[#This Row],[S.B Sitrack]],'[1]Tempo parado'!H:H,"&lt;="&amp;MIP_4[[#This Row],[C.B Sitrack]],'[1]Tempo parado'!A:A,MIP_4[[#This Row],[Placa]])</f>
        <v>0</v>
      </c>
      <c r="AF711" s="36"/>
      <c r="AG711" s="35"/>
      <c r="AH711" s="34"/>
      <c r="AI711" s="34"/>
      <c r="AJ71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1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1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11" s="32" t="str">
        <f>IFERROR(MIP_4[[#This Row],[Tempo parado]]/(MIP_4[[#This Row],[C.B Sitrack]]-MIP_4[[#This Row],[S.B Sitrack]]),"")</f>
        <v/>
      </c>
      <c r="AN711" s="30"/>
      <c r="AO711" s="44">
        <f>IF(AND(MIP_4[Exc]=0,MIP_4[Previsto / Realizado]="Realizado"),MIP_4[Sem],0)</f>
        <v>0</v>
      </c>
      <c r="AP711" s="29">
        <f>IF(AND(MIP_4[Exc]=0,MIP_4[Previsto / Realizado]="Realizado",ISBLANK(MIP_4[[#This Row],[S.B Sitrack]])=FALSE,ISBLANK(MIP_4[[#This Row],[C.B Sitrack]])=FALSE),MIP_4[Sem],0)</f>
        <v>0</v>
      </c>
    </row>
    <row r="712" spans="1:42" ht="15.75" x14ac:dyDescent="0.25">
      <c r="A712" s="29">
        <f>WEEKNUM(MIP_4[[#This Row],[Data]])</f>
        <v>43</v>
      </c>
      <c r="B712" s="45">
        <v>43034</v>
      </c>
      <c r="C712" s="45"/>
      <c r="D712" s="35" t="s">
        <v>3</v>
      </c>
      <c r="E712" s="35" t="s">
        <v>2</v>
      </c>
      <c r="F712" s="35"/>
      <c r="G712" s="44">
        <v>2</v>
      </c>
      <c r="H712" s="44">
        <v>5</v>
      </c>
      <c r="I712" s="44">
        <v>0</v>
      </c>
      <c r="J712" s="44">
        <v>2</v>
      </c>
      <c r="K712" s="44">
        <v>4</v>
      </c>
      <c r="L712" s="43">
        <v>0.63888888888888895</v>
      </c>
      <c r="M712" s="43">
        <v>0.65625</v>
      </c>
      <c r="N712" s="43">
        <v>1.0201388888888889</v>
      </c>
      <c r="O712" s="43">
        <v>1.0347222222222223</v>
      </c>
      <c r="P712" s="39"/>
      <c r="Q712" s="42" t="s">
        <v>161</v>
      </c>
      <c r="R712" s="29">
        <v>15</v>
      </c>
      <c r="S71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3.1944444444444442E-2</v>
      </c>
      <c r="T71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3.1944444444444442E-2</v>
      </c>
      <c r="U712" s="41">
        <f ca="1">MIP_4[[#This Row],[Eficiência]]</f>
        <v>1.0294282763132321</v>
      </c>
      <c r="V71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12" s="39">
        <f>IF(MIP_4[[#This Row],[P.S]]-MIP_4[[#This Row],[P.E]]&lt;0,1+MIP_4[[#This Row],[P.S]]-MIP_4[[#This Row],[P.E]]-1/24,MIP_4[[#This Row],[P.S]]-MIP_4[[#This Row],[P.E]]-1/24)</f>
        <v>0.35416666666666669</v>
      </c>
      <c r="X712" s="39">
        <f ca="1">MIP_4[[#This Row],[PT-1]]*$S$3+MIP_4[[#This Row],[PT-2]]*$T$3+MIP_4[[#This Row],[PT-3]]*$U$3+MIP_4[[#This Row],[PT &gt; 3 Pontos]]*$V$3</f>
        <v>0.33170466681204147</v>
      </c>
      <c r="Y712" s="39">
        <f>MIP_4[[#This Row],[HH disponível]]-MIP_4[[#This Row],[HH AC TOT]]</f>
        <v>0.32222222222222224</v>
      </c>
      <c r="Z712" s="38">
        <f ca="1">MIP_4[[#This Row],[HH Produtivo
Total]]/MIP_4[[#This Row],[HH Trabalhado]]</f>
        <v>1.0294282763132321</v>
      </c>
      <c r="AA712" s="38">
        <f ca="1">MIP_4[[#This Row],[HH Produtivo
Total]]/MIP_4[[#This Row],[HH disponível]]</f>
        <v>0.93657788276341114</v>
      </c>
      <c r="AB712" s="38">
        <f>MIP_4[[#This Row],[HH Trabalhado]]/MIP_4[[#This Row],[HH disponível]]</f>
        <v>0.90980392156862744</v>
      </c>
      <c r="AC712" s="37" t="str">
        <f>LEFT(MIP_4[[#This Row],[Equipe]], SEARCH("/",MIP_4[[#This Row],[Equipe]],1)-1)</f>
        <v xml:space="preserve">EDILTON </v>
      </c>
      <c r="AD712" s="37" t="str">
        <f>RIGHT(MIP_4[[#This Row],[Equipe]], LEN(MIP_4[[#This Row],[Equipe]])-SEARCH("/",MIP_4[[#This Row],[Equipe]],1))</f>
        <v xml:space="preserve"> GECIVALDO</v>
      </c>
      <c r="AE712" s="44">
        <f>COUNTIFS('[1]Tempo parado'!G:G,"&gt;="&amp;MIP_4[[#This Row],[S.B Sitrack]],'[1]Tempo parado'!H:H,"&lt;="&amp;MIP_4[[#This Row],[C.B Sitrack]],'[1]Tempo parado'!A:A,MIP_4[[#This Row],[Placa]])</f>
        <v>0</v>
      </c>
      <c r="AF712" s="36"/>
      <c r="AG712" s="35"/>
      <c r="AH712" s="34"/>
      <c r="AI712" s="34"/>
      <c r="AJ71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1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1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12" s="32" t="str">
        <f>IFERROR(MIP_4[[#This Row],[Tempo parado]]/(MIP_4[[#This Row],[C.B Sitrack]]-MIP_4[[#This Row],[S.B Sitrack]]),"")</f>
        <v/>
      </c>
      <c r="AN712" s="30"/>
      <c r="AO712" s="44">
        <f>IF(AND(MIP_4[Exc]=0,MIP_4[Previsto / Realizado]="Realizado"),MIP_4[Sem],0)</f>
        <v>43</v>
      </c>
      <c r="AP712" s="29">
        <f>IF(AND(MIP_4[Exc]=0,MIP_4[Previsto / Realizado]="Realizado",ISBLANK(MIP_4[[#This Row],[S.B Sitrack]])=FALSE,ISBLANK(MIP_4[[#This Row],[C.B Sitrack]])=FALSE),MIP_4[Sem],0)</f>
        <v>0</v>
      </c>
    </row>
    <row r="713" spans="1:42" ht="15.75" x14ac:dyDescent="0.25">
      <c r="A713" s="29">
        <f>WEEKNUM(MIP_4[[#This Row],[Data]])</f>
        <v>43</v>
      </c>
      <c r="B713" s="45">
        <v>43035</v>
      </c>
      <c r="C713" s="45"/>
      <c r="D713" s="35" t="s">
        <v>10</v>
      </c>
      <c r="E713" s="35" t="s">
        <v>5</v>
      </c>
      <c r="F713" s="35"/>
      <c r="G713" s="44">
        <v>2</v>
      </c>
      <c r="H713" s="44">
        <v>3</v>
      </c>
      <c r="I713" s="44">
        <v>0</v>
      </c>
      <c r="J713" s="44">
        <v>1</v>
      </c>
      <c r="K713" s="44">
        <v>6</v>
      </c>
      <c r="L713" s="43">
        <v>0.25</v>
      </c>
      <c r="M713" s="43">
        <v>0.27083333333333331</v>
      </c>
      <c r="N713" s="43">
        <v>0.63750000000000007</v>
      </c>
      <c r="O713" s="43">
        <v>0.65833333333333333</v>
      </c>
      <c r="P713" s="39"/>
      <c r="Q713" s="42" t="s">
        <v>160</v>
      </c>
      <c r="R713" s="29">
        <v>12</v>
      </c>
      <c r="S71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71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713" s="41">
        <f ca="1">MIP_4[[#This Row],[Eficiência]]</f>
        <v>0.79802247202609522</v>
      </c>
      <c r="V71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13" s="39">
        <f>IF(MIP_4[[#This Row],[P.S]]-MIP_4[[#This Row],[P.E]]&lt;0,1+MIP_4[[#This Row],[P.S]]-MIP_4[[#This Row],[P.E]]-1/24,MIP_4[[#This Row],[P.S]]-MIP_4[[#This Row],[P.E]]-1/24)</f>
        <v>0.36666666666666664</v>
      </c>
      <c r="X713" s="39">
        <f ca="1">MIP_4[[#This Row],[PT-1]]*$S$3+MIP_4[[#This Row],[PT-2]]*$T$3+MIP_4[[#This Row],[PT-3]]*$U$3+MIP_4[[#This Row],[PT &gt; 3 Pontos]]*$V$3</f>
        <v>0.25935730340848101</v>
      </c>
      <c r="Y713" s="39">
        <f>MIP_4[[#This Row],[HH disponível]]-MIP_4[[#This Row],[HH AC TOT]]</f>
        <v>0.32500000000000007</v>
      </c>
      <c r="Z713" s="38">
        <f ca="1">MIP_4[[#This Row],[HH Produtivo
Total]]/MIP_4[[#This Row],[HH Trabalhado]]</f>
        <v>0.79802247202609522</v>
      </c>
      <c r="AA713" s="38">
        <f ca="1">MIP_4[[#This Row],[HH Produtivo
Total]]/MIP_4[[#This Row],[HH disponível]]</f>
        <v>0.70733810020494825</v>
      </c>
      <c r="AB713" s="38">
        <f>MIP_4[[#This Row],[HH Trabalhado]]/MIP_4[[#This Row],[HH disponível]]</f>
        <v>0.88636363636363658</v>
      </c>
      <c r="AC713" s="37" t="str">
        <f>LEFT(MIP_4[[#This Row],[Equipe]], SEARCH("/",MIP_4[[#This Row],[Equipe]],1)-1)</f>
        <v xml:space="preserve">JOILSON </v>
      </c>
      <c r="AD713" s="37" t="str">
        <f>RIGHT(MIP_4[[#This Row],[Equipe]], LEN(MIP_4[[#This Row],[Equipe]])-SEARCH("/",MIP_4[[#This Row],[Equipe]],1))</f>
        <v xml:space="preserve"> VALDEI</v>
      </c>
      <c r="AE713" s="44">
        <f>COUNTIFS('[1]Tempo parado'!G:G,"&gt;="&amp;MIP_4[[#This Row],[S.B Sitrack]],'[1]Tempo parado'!H:H,"&lt;="&amp;MIP_4[[#This Row],[C.B Sitrack]],'[1]Tempo parado'!A:A,MIP_4[[#This Row],[Placa]])</f>
        <v>0</v>
      </c>
      <c r="AF713" s="36"/>
      <c r="AG713" s="35"/>
      <c r="AH713" s="34"/>
      <c r="AI713" s="34"/>
      <c r="AJ71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1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1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13" s="32" t="str">
        <f>IFERROR(MIP_4[[#This Row],[Tempo parado]]/(MIP_4[[#This Row],[C.B Sitrack]]-MIP_4[[#This Row],[S.B Sitrack]]),"")</f>
        <v/>
      </c>
      <c r="AN713" s="30"/>
      <c r="AO713" s="44">
        <f>IF(AND(MIP_4[Exc]=0,MIP_4[Previsto / Realizado]="Realizado"),MIP_4[Sem],0)</f>
        <v>0</v>
      </c>
      <c r="AP713" s="29">
        <f>IF(AND(MIP_4[Exc]=0,MIP_4[Previsto / Realizado]="Realizado",ISBLANK(MIP_4[[#This Row],[S.B Sitrack]])=FALSE,ISBLANK(MIP_4[[#This Row],[C.B Sitrack]])=FALSE),MIP_4[Sem],0)</f>
        <v>0</v>
      </c>
    </row>
    <row r="714" spans="1:42" ht="15.75" x14ac:dyDescent="0.25">
      <c r="A714" s="29">
        <f>WEEKNUM(MIP_4[[#This Row],[Data]])</f>
        <v>43</v>
      </c>
      <c r="B714" s="45">
        <v>43035</v>
      </c>
      <c r="C714" s="45"/>
      <c r="D714" s="35" t="s">
        <v>10</v>
      </c>
      <c r="E714" s="35" t="s">
        <v>2</v>
      </c>
      <c r="F714" s="35"/>
      <c r="G714" s="44">
        <v>2</v>
      </c>
      <c r="H714" s="44">
        <v>4</v>
      </c>
      <c r="I714" s="44">
        <v>0</v>
      </c>
      <c r="J714" s="44">
        <v>1</v>
      </c>
      <c r="K714" s="44">
        <v>0</v>
      </c>
      <c r="L714" s="43">
        <v>0.24791666666666667</v>
      </c>
      <c r="M714" s="43">
        <v>0.2638888888888889</v>
      </c>
      <c r="N714" s="43">
        <v>0.56666666666666665</v>
      </c>
      <c r="O714" s="43">
        <v>0.66388888888888886</v>
      </c>
      <c r="P714" s="39">
        <v>3.888888888888889E-2</v>
      </c>
      <c r="Q714" s="42" t="s">
        <v>159</v>
      </c>
      <c r="R714" s="29">
        <v>7</v>
      </c>
      <c r="S71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0.15208333333333332</v>
      </c>
      <c r="T71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0.11319444444444443</v>
      </c>
      <c r="U714" s="41">
        <f ca="1">MIP_4[[#This Row],[Eficiência]]</f>
        <v>0.73302790987318833</v>
      </c>
      <c r="V71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14" s="39">
        <f>IF(MIP_4[[#This Row],[P.S]]-MIP_4[[#This Row],[P.E]]&lt;0,1+MIP_4[[#This Row],[P.S]]-MIP_4[[#This Row],[P.E]]-1/24,MIP_4[[#This Row],[P.S]]-MIP_4[[#This Row],[P.E]]-1/24)</f>
        <v>0.3743055555555555</v>
      </c>
      <c r="X714" s="39">
        <f ca="1">MIP_4[[#This Row],[PT-1]]*$S$3+MIP_4[[#This Row],[PT-2]]*$T$3+MIP_4[[#This Row],[PT-3]]*$U$3+MIP_4[[#This Row],[PT &gt; 3 Pontos]]*$V$3</f>
        <v>0.16289509108293071</v>
      </c>
      <c r="Y714" s="39">
        <f>MIP_4[[#This Row],[HH disponível]]-MIP_4[[#This Row],[HH AC TOT]]</f>
        <v>0.22222222222222218</v>
      </c>
      <c r="Z714" s="38">
        <f ca="1">MIP_4[[#This Row],[HH Produtivo
Total]]/MIP_4[[#This Row],[HH Trabalhado]]</f>
        <v>0.73302790987318833</v>
      </c>
      <c r="AA714" s="38">
        <f ca="1">MIP_4[[#This Row],[HH Produtivo
Total]]/MIP_4[[#This Row],[HH disponível]]</f>
        <v>0.43519282218816374</v>
      </c>
      <c r="AB714" s="38">
        <f>MIP_4[[#This Row],[HH Trabalhado]]/MIP_4[[#This Row],[HH disponível]]</f>
        <v>0.59369202226345086</v>
      </c>
      <c r="AC714" s="37" t="str">
        <f>LEFT(MIP_4[[#This Row],[Equipe]], SEARCH("/",MIP_4[[#This Row],[Equipe]],1)-1)</f>
        <v xml:space="preserve">JOILSON </v>
      </c>
      <c r="AD714" s="37" t="str">
        <f>RIGHT(MIP_4[[#This Row],[Equipe]], LEN(MIP_4[[#This Row],[Equipe]])-SEARCH("/",MIP_4[[#This Row],[Equipe]],1))</f>
        <v xml:space="preserve"> VALDEI</v>
      </c>
      <c r="AE714" s="44">
        <f>COUNTIFS('[1]Tempo parado'!G:G,"&gt;="&amp;MIP_4[[#This Row],[S.B Sitrack]],'[1]Tempo parado'!H:H,"&lt;="&amp;MIP_4[[#This Row],[C.B Sitrack]],'[1]Tempo parado'!A:A,MIP_4[[#This Row],[Placa]])</f>
        <v>0</v>
      </c>
      <c r="AF714" s="36"/>
      <c r="AG714" s="35"/>
      <c r="AH714" s="34"/>
      <c r="AI714" s="34"/>
      <c r="AJ71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1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1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14" s="32" t="str">
        <f>IFERROR(MIP_4[[#This Row],[Tempo parado]]/(MIP_4[[#This Row],[C.B Sitrack]]-MIP_4[[#This Row],[S.B Sitrack]]),"")</f>
        <v/>
      </c>
      <c r="AN714" s="30"/>
      <c r="AO714" s="44">
        <f>IF(AND(MIP_4[Exc]=0,MIP_4[Previsto / Realizado]="Realizado"),MIP_4[Sem],0)</f>
        <v>43</v>
      </c>
      <c r="AP714" s="29">
        <f>IF(AND(MIP_4[Exc]=0,MIP_4[Previsto / Realizado]="Realizado",ISBLANK(MIP_4[[#This Row],[S.B Sitrack]])=FALSE,ISBLANK(MIP_4[[#This Row],[C.B Sitrack]])=FALSE),MIP_4[Sem],0)</f>
        <v>0</v>
      </c>
    </row>
    <row r="715" spans="1:42" ht="15.75" x14ac:dyDescent="0.25">
      <c r="A715" s="29">
        <f>WEEKNUM(MIP_4[[#This Row],[Data]])</f>
        <v>43</v>
      </c>
      <c r="B715" s="45">
        <v>43035</v>
      </c>
      <c r="C715" s="45"/>
      <c r="D715" s="35" t="s">
        <v>3</v>
      </c>
      <c r="E715" s="35" t="s">
        <v>5</v>
      </c>
      <c r="F715" s="35"/>
      <c r="G715" s="44">
        <v>2</v>
      </c>
      <c r="H715" s="44">
        <v>2</v>
      </c>
      <c r="I715" s="44">
        <v>1</v>
      </c>
      <c r="J715" s="44">
        <v>0</v>
      </c>
      <c r="K715" s="44">
        <v>8</v>
      </c>
      <c r="L715" s="43">
        <v>0.625</v>
      </c>
      <c r="M715" s="43">
        <v>0.64583333333333337</v>
      </c>
      <c r="N715" s="43">
        <v>1.0125</v>
      </c>
      <c r="O715" s="43">
        <v>1.0333333333333334</v>
      </c>
      <c r="P715" s="39"/>
      <c r="Q715" s="42"/>
      <c r="R715" s="29">
        <v>12</v>
      </c>
      <c r="S71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71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715" s="41">
        <f ca="1">MIP_4[[#This Row],[Eficiência]]</f>
        <v>0.78752172020589939</v>
      </c>
      <c r="V71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15" s="39">
        <f>IF(MIP_4[[#This Row],[P.S]]-MIP_4[[#This Row],[P.E]]&lt;0,1+MIP_4[[#This Row],[P.S]]-MIP_4[[#This Row],[P.E]]-1/24,MIP_4[[#This Row],[P.S]]-MIP_4[[#This Row],[P.E]]-1/24)</f>
        <v>0.36666666666666675</v>
      </c>
      <c r="X715" s="39">
        <f ca="1">MIP_4[[#This Row],[PT-1]]*$S$3+MIP_4[[#This Row],[PT-2]]*$T$3+MIP_4[[#This Row],[PT-3]]*$U$3+MIP_4[[#This Row],[PT &gt; 3 Pontos]]*$V$3</f>
        <v>0.25594455906691721</v>
      </c>
      <c r="Y715" s="39">
        <f>MIP_4[[#This Row],[HH disponível]]-MIP_4[[#This Row],[HH AC TOT]]</f>
        <v>0.3249999999999999</v>
      </c>
      <c r="Z715" s="38">
        <f ca="1">MIP_4[[#This Row],[HH Produtivo
Total]]/MIP_4[[#This Row],[HH Trabalhado]]</f>
        <v>0.78752172020589939</v>
      </c>
      <c r="AA715" s="38">
        <f ca="1">MIP_4[[#This Row],[HH Produtivo
Total]]/MIP_4[[#This Row],[HH disponível]]</f>
        <v>0.69803061563704683</v>
      </c>
      <c r="AB715" s="38">
        <f>MIP_4[[#This Row],[HH Trabalhado]]/MIP_4[[#This Row],[HH disponível]]</f>
        <v>0.88636363636363591</v>
      </c>
      <c r="AC715" s="37" t="str">
        <f>LEFT(MIP_4[[#This Row],[Equipe]], SEARCH("/",MIP_4[[#This Row],[Equipe]],1)-1)</f>
        <v xml:space="preserve">EDILTON </v>
      </c>
      <c r="AD715" s="37" t="str">
        <f>RIGHT(MIP_4[[#This Row],[Equipe]], LEN(MIP_4[[#This Row],[Equipe]])-SEARCH("/",MIP_4[[#This Row],[Equipe]],1))</f>
        <v xml:space="preserve"> GECIVALDO</v>
      </c>
      <c r="AE715" s="44">
        <f>COUNTIFS('[1]Tempo parado'!G:G,"&gt;="&amp;MIP_4[[#This Row],[S.B Sitrack]],'[1]Tempo parado'!H:H,"&lt;="&amp;MIP_4[[#This Row],[C.B Sitrack]],'[1]Tempo parado'!A:A,MIP_4[[#This Row],[Placa]])</f>
        <v>0</v>
      </c>
      <c r="AF715" s="36"/>
      <c r="AG715" s="35"/>
      <c r="AH715" s="34"/>
      <c r="AI715" s="34"/>
      <c r="AJ71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1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1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15" s="32" t="str">
        <f>IFERROR(MIP_4[[#This Row],[Tempo parado]]/(MIP_4[[#This Row],[C.B Sitrack]]-MIP_4[[#This Row],[S.B Sitrack]]),"")</f>
        <v/>
      </c>
      <c r="AN715" s="30"/>
      <c r="AO715" s="44">
        <f>IF(AND(MIP_4[Exc]=0,MIP_4[Previsto / Realizado]="Realizado"),MIP_4[Sem],0)</f>
        <v>0</v>
      </c>
      <c r="AP715" s="29">
        <f>IF(AND(MIP_4[Exc]=0,MIP_4[Previsto / Realizado]="Realizado",ISBLANK(MIP_4[[#This Row],[S.B Sitrack]])=FALSE,ISBLANK(MIP_4[[#This Row],[C.B Sitrack]])=FALSE),MIP_4[Sem],0)</f>
        <v>0</v>
      </c>
    </row>
    <row r="716" spans="1:42" ht="15.75" x14ac:dyDescent="0.25">
      <c r="A716" s="29">
        <f>WEEKNUM(MIP_4[[#This Row],[Data]])</f>
        <v>43</v>
      </c>
      <c r="B716" s="45">
        <v>43035</v>
      </c>
      <c r="C716" s="45"/>
      <c r="D716" s="35" t="s">
        <v>3</v>
      </c>
      <c r="E716" s="35" t="s">
        <v>2</v>
      </c>
      <c r="F716" s="35"/>
      <c r="G716" s="44">
        <v>2</v>
      </c>
      <c r="H716" s="44">
        <v>2</v>
      </c>
      <c r="I716" s="44">
        <v>1</v>
      </c>
      <c r="J716" s="44">
        <v>0</v>
      </c>
      <c r="K716" s="44">
        <v>8</v>
      </c>
      <c r="L716" s="43">
        <v>0.61319444444444449</v>
      </c>
      <c r="M716" s="43">
        <v>0.67708333333333337</v>
      </c>
      <c r="N716" s="43">
        <v>1.0131944444444445</v>
      </c>
      <c r="O716" s="43">
        <v>1.0333333333333334</v>
      </c>
      <c r="P716" s="39"/>
      <c r="Q716" s="42"/>
      <c r="R716" s="29">
        <v>12</v>
      </c>
      <c r="S71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8.4027777777777812E-2</v>
      </c>
      <c r="T71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8.4027777777777812E-2</v>
      </c>
      <c r="U716" s="41">
        <f ca="1">MIP_4[[#This Row],[Eficiência]]</f>
        <v>0.86924567230273764</v>
      </c>
      <c r="V71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16" s="39">
        <f>IF(MIP_4[[#This Row],[P.S]]-MIP_4[[#This Row],[P.E]]&lt;0,1+MIP_4[[#This Row],[P.S]]-MIP_4[[#This Row],[P.E]]-1/24,MIP_4[[#This Row],[P.S]]-MIP_4[[#This Row],[P.E]]-1/24)</f>
        <v>0.37847222222222227</v>
      </c>
      <c r="X716" s="39">
        <f ca="1">MIP_4[[#This Row],[PT-1]]*$S$3+MIP_4[[#This Row],[PT-2]]*$T$3+MIP_4[[#This Row],[PT-3]]*$U$3+MIP_4[[#This Row],[PT &gt; 3 Pontos]]*$V$3</f>
        <v>0.25594455906691721</v>
      </c>
      <c r="Y716" s="39">
        <f>MIP_4[[#This Row],[HH disponível]]-MIP_4[[#This Row],[HH AC TOT]]</f>
        <v>0.29444444444444445</v>
      </c>
      <c r="Z716" s="38">
        <f ca="1">MIP_4[[#This Row],[HH Produtivo
Total]]/MIP_4[[#This Row],[HH Trabalhado]]</f>
        <v>0.86924567230273764</v>
      </c>
      <c r="AA716" s="38">
        <f ca="1">MIP_4[[#This Row],[HH Produtivo
Total]]/MIP_4[[#This Row],[HH disponível]]</f>
        <v>0.6762571835896527</v>
      </c>
      <c r="AB716" s="38">
        <f>MIP_4[[#This Row],[HH Trabalhado]]/MIP_4[[#This Row],[HH disponível]]</f>
        <v>0.77798165137614672</v>
      </c>
      <c r="AC716" s="37" t="str">
        <f>LEFT(MIP_4[[#This Row],[Equipe]], SEARCH("/",MIP_4[[#This Row],[Equipe]],1)-1)</f>
        <v xml:space="preserve">EDILTON </v>
      </c>
      <c r="AD716" s="37" t="str">
        <f>RIGHT(MIP_4[[#This Row],[Equipe]], LEN(MIP_4[[#This Row],[Equipe]])-SEARCH("/",MIP_4[[#This Row],[Equipe]],1))</f>
        <v xml:space="preserve"> GECIVALDO</v>
      </c>
      <c r="AE716" s="44">
        <f>COUNTIFS('[1]Tempo parado'!G:G,"&gt;="&amp;MIP_4[[#This Row],[S.B Sitrack]],'[1]Tempo parado'!H:H,"&lt;="&amp;MIP_4[[#This Row],[C.B Sitrack]],'[1]Tempo parado'!A:A,MIP_4[[#This Row],[Placa]])</f>
        <v>0</v>
      </c>
      <c r="AF716" s="36"/>
      <c r="AG716" s="35"/>
      <c r="AH716" s="34"/>
      <c r="AI716" s="34"/>
      <c r="AJ71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1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1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16" s="32" t="str">
        <f>IFERROR(MIP_4[[#This Row],[Tempo parado]]/(MIP_4[[#This Row],[C.B Sitrack]]-MIP_4[[#This Row],[S.B Sitrack]]),"")</f>
        <v/>
      </c>
      <c r="AN716" s="30"/>
      <c r="AO716" s="44">
        <f>IF(AND(MIP_4[Exc]=0,MIP_4[Previsto / Realizado]="Realizado"),MIP_4[Sem],0)</f>
        <v>43</v>
      </c>
      <c r="AP716" s="29">
        <f>IF(AND(MIP_4[Exc]=0,MIP_4[Previsto / Realizado]="Realizado",ISBLANK(MIP_4[[#This Row],[S.B Sitrack]])=FALSE,ISBLANK(MIP_4[[#This Row],[C.B Sitrack]])=FALSE),MIP_4[Sem],0)</f>
        <v>0</v>
      </c>
    </row>
    <row r="717" spans="1:42" ht="15.75" x14ac:dyDescent="0.25">
      <c r="A717" s="29">
        <f>WEEKNUM(MIP_4[[#This Row],[Data]])</f>
        <v>43</v>
      </c>
      <c r="B717" s="45">
        <v>43036</v>
      </c>
      <c r="C717" s="45"/>
      <c r="D717" s="35" t="s">
        <v>10</v>
      </c>
      <c r="E717" s="35" t="s">
        <v>5</v>
      </c>
      <c r="F717" s="35"/>
      <c r="G717" s="44">
        <v>2</v>
      </c>
      <c r="H717" s="44">
        <v>1</v>
      </c>
      <c r="I717" s="44">
        <v>0</v>
      </c>
      <c r="J717" s="44">
        <v>1</v>
      </c>
      <c r="K717" s="44">
        <v>4</v>
      </c>
      <c r="L717" s="43">
        <v>0.25</v>
      </c>
      <c r="M717" s="43">
        <v>0.27083333333333331</v>
      </c>
      <c r="N717" s="43">
        <v>0.63750000000000007</v>
      </c>
      <c r="O717" s="43">
        <v>0.65833333333333333</v>
      </c>
      <c r="P717" s="39"/>
      <c r="Q717" s="42" t="s">
        <v>4</v>
      </c>
      <c r="R717" s="29">
        <v>8</v>
      </c>
      <c r="S71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71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717" s="41">
        <f ca="1">MIP_4[[#This Row],[Eficiência]]</f>
        <v>0.51941407916649474</v>
      </c>
      <c r="V71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17" s="39">
        <f>IF(MIP_4[[#This Row],[P.S]]-MIP_4[[#This Row],[P.E]]&lt;0,1+MIP_4[[#This Row],[P.S]]-MIP_4[[#This Row],[P.E]]-1/24,MIP_4[[#This Row],[P.S]]-MIP_4[[#This Row],[P.E]]-1/24)</f>
        <v>0.36666666666666664</v>
      </c>
      <c r="X717" s="39">
        <f ca="1">MIP_4[[#This Row],[PT-1]]*$S$3+MIP_4[[#This Row],[PT-2]]*$T$3+MIP_4[[#This Row],[PT-3]]*$U$3+MIP_4[[#This Row],[PT &gt; 3 Pontos]]*$V$3</f>
        <v>0.16880957572911082</v>
      </c>
      <c r="Y717" s="39">
        <f>MIP_4[[#This Row],[HH disponível]]-MIP_4[[#This Row],[HH AC TOT]]</f>
        <v>0.32500000000000007</v>
      </c>
      <c r="Z717" s="38">
        <f ca="1">MIP_4[[#This Row],[HH Produtivo
Total]]/MIP_4[[#This Row],[HH Trabalhado]]</f>
        <v>0.51941407916649474</v>
      </c>
      <c r="AA717" s="38">
        <f ca="1">MIP_4[[#This Row],[HH Produtivo
Total]]/MIP_4[[#This Row],[HH disponível]]</f>
        <v>0.46038975198848409</v>
      </c>
      <c r="AB717" s="38">
        <f>MIP_4[[#This Row],[HH Trabalhado]]/MIP_4[[#This Row],[HH disponível]]</f>
        <v>0.88636363636363658</v>
      </c>
      <c r="AC717" s="37" t="str">
        <f>LEFT(MIP_4[[#This Row],[Equipe]], SEARCH("/",MIP_4[[#This Row],[Equipe]],1)-1)</f>
        <v xml:space="preserve">JOILSON </v>
      </c>
      <c r="AD717" s="37" t="str">
        <f>RIGHT(MIP_4[[#This Row],[Equipe]], LEN(MIP_4[[#This Row],[Equipe]])-SEARCH("/",MIP_4[[#This Row],[Equipe]],1))</f>
        <v xml:space="preserve"> VALDEI</v>
      </c>
      <c r="AE717" s="44">
        <f>COUNTIFS('[1]Tempo parado'!G:G,"&gt;="&amp;MIP_4[[#This Row],[S.B Sitrack]],'[1]Tempo parado'!H:H,"&lt;="&amp;MIP_4[[#This Row],[C.B Sitrack]],'[1]Tempo parado'!A:A,MIP_4[[#This Row],[Placa]])</f>
        <v>0</v>
      </c>
      <c r="AF717" s="36"/>
      <c r="AG717" s="35"/>
      <c r="AH717" s="34"/>
      <c r="AI717" s="34"/>
      <c r="AJ71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1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1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17" s="32" t="str">
        <f>IFERROR(MIP_4[[#This Row],[Tempo parado]]/(MIP_4[[#This Row],[C.B Sitrack]]-MIP_4[[#This Row],[S.B Sitrack]]),"")</f>
        <v/>
      </c>
      <c r="AN717" s="30"/>
      <c r="AO717" s="44">
        <f>IF(AND(MIP_4[Exc]=0,MIP_4[Previsto / Realizado]="Realizado"),MIP_4[Sem],0)</f>
        <v>0</v>
      </c>
      <c r="AP717" s="29">
        <f>IF(AND(MIP_4[Exc]=0,MIP_4[Previsto / Realizado]="Realizado",ISBLANK(MIP_4[[#This Row],[S.B Sitrack]])=FALSE,ISBLANK(MIP_4[[#This Row],[C.B Sitrack]])=FALSE),MIP_4[Sem],0)</f>
        <v>0</v>
      </c>
    </row>
    <row r="718" spans="1:42" ht="15.75" x14ac:dyDescent="0.25">
      <c r="A718" s="29">
        <f>WEEKNUM(MIP_4[[#This Row],[Data]])</f>
        <v>43</v>
      </c>
      <c r="B718" s="45">
        <v>43036</v>
      </c>
      <c r="C718" s="45"/>
      <c r="D718" s="35" t="s">
        <v>10</v>
      </c>
      <c r="E718" s="35" t="s">
        <v>2</v>
      </c>
      <c r="F718" s="35"/>
      <c r="G718" s="44">
        <v>2</v>
      </c>
      <c r="H718" s="44">
        <v>5</v>
      </c>
      <c r="I718" s="44">
        <v>0</v>
      </c>
      <c r="J718" s="44">
        <v>2</v>
      </c>
      <c r="K718" s="44">
        <v>4</v>
      </c>
      <c r="L718" s="43">
        <v>0.24722222222222223</v>
      </c>
      <c r="M718" s="43">
        <v>0.27083333333333331</v>
      </c>
      <c r="N718" s="43">
        <v>0.62013888888888891</v>
      </c>
      <c r="O718" s="43">
        <v>0.65833333333333333</v>
      </c>
      <c r="P718" s="39"/>
      <c r="Q718" s="42" t="s">
        <v>158</v>
      </c>
      <c r="R718" s="29">
        <v>15</v>
      </c>
      <c r="S71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6.1805555555555503E-2</v>
      </c>
      <c r="T71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6.1805555555555503E-2</v>
      </c>
      <c r="U718" s="41">
        <f ca="1">MIP_4[[#This Row],[Eficiência]]</f>
        <v>1.0782273593890286</v>
      </c>
      <c r="V71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18" s="39">
        <f>IF(MIP_4[[#This Row],[P.S]]-MIP_4[[#This Row],[P.E]]&lt;0,1+MIP_4[[#This Row],[P.S]]-MIP_4[[#This Row],[P.E]]-1/24,MIP_4[[#This Row],[P.S]]-MIP_4[[#This Row],[P.E]]-1/24)</f>
        <v>0.36944444444444441</v>
      </c>
      <c r="X718" s="39">
        <f ca="1">MIP_4[[#This Row],[PT-1]]*$S$3+MIP_4[[#This Row],[PT-2]]*$T$3+MIP_4[[#This Row],[PT-3]]*$U$3+MIP_4[[#This Row],[PT &gt; 3 Pontos]]*$V$3</f>
        <v>0.33170466681204147</v>
      </c>
      <c r="Y718" s="39">
        <f>MIP_4[[#This Row],[HH disponível]]-MIP_4[[#This Row],[HH AC TOT]]</f>
        <v>0.30763888888888891</v>
      </c>
      <c r="Z718" s="38">
        <f ca="1">MIP_4[[#This Row],[HH Produtivo
Total]]/MIP_4[[#This Row],[HH Trabalhado]]</f>
        <v>1.0782273593890286</v>
      </c>
      <c r="AA718" s="38">
        <f ca="1">MIP_4[[#This Row],[HH Produtivo
Total]]/MIP_4[[#This Row],[HH disponível]]</f>
        <v>0.8978472184386086</v>
      </c>
      <c r="AB718" s="38">
        <f>MIP_4[[#This Row],[HH Trabalhado]]/MIP_4[[#This Row],[HH disponível]]</f>
        <v>0.8327067669172934</v>
      </c>
      <c r="AC718" s="37" t="str">
        <f>LEFT(MIP_4[[#This Row],[Equipe]], SEARCH("/",MIP_4[[#This Row],[Equipe]],1)-1)</f>
        <v xml:space="preserve">JOILSON </v>
      </c>
      <c r="AD718" s="37" t="str">
        <f>RIGHT(MIP_4[[#This Row],[Equipe]], LEN(MIP_4[[#This Row],[Equipe]])-SEARCH("/",MIP_4[[#This Row],[Equipe]],1))</f>
        <v xml:space="preserve"> VALDEI</v>
      </c>
      <c r="AE718" s="44">
        <f>COUNTIFS('[1]Tempo parado'!G:G,"&gt;="&amp;MIP_4[[#This Row],[S.B Sitrack]],'[1]Tempo parado'!H:H,"&lt;="&amp;MIP_4[[#This Row],[C.B Sitrack]],'[1]Tempo parado'!A:A,MIP_4[[#This Row],[Placa]])</f>
        <v>0</v>
      </c>
      <c r="AF718" s="36"/>
      <c r="AG718" s="35"/>
      <c r="AH718" s="34"/>
      <c r="AI718" s="34"/>
      <c r="AJ71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1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1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18" s="32" t="str">
        <f>IFERROR(MIP_4[[#This Row],[Tempo parado]]/(MIP_4[[#This Row],[C.B Sitrack]]-MIP_4[[#This Row],[S.B Sitrack]]),"")</f>
        <v/>
      </c>
      <c r="AN718" s="30"/>
      <c r="AO718" s="44">
        <f>IF(AND(MIP_4[Exc]=0,MIP_4[Previsto / Realizado]="Realizado"),MIP_4[Sem],0)</f>
        <v>43</v>
      </c>
      <c r="AP718" s="29">
        <f>IF(AND(MIP_4[Exc]=0,MIP_4[Previsto / Realizado]="Realizado",ISBLANK(MIP_4[[#This Row],[S.B Sitrack]])=FALSE,ISBLANK(MIP_4[[#This Row],[C.B Sitrack]])=FALSE),MIP_4[Sem],0)</f>
        <v>0</v>
      </c>
    </row>
    <row r="719" spans="1:42" ht="15.75" x14ac:dyDescent="0.25">
      <c r="A719" s="29">
        <f>WEEKNUM(MIP_4[[#This Row],[Data]])</f>
        <v>44</v>
      </c>
      <c r="B719" s="45">
        <v>43037</v>
      </c>
      <c r="C719" s="45"/>
      <c r="D719" s="35" t="s">
        <v>156</v>
      </c>
      <c r="E719" s="35" t="s">
        <v>5</v>
      </c>
      <c r="F719" s="35"/>
      <c r="G719" s="44">
        <v>2</v>
      </c>
      <c r="H719" s="44">
        <v>0</v>
      </c>
      <c r="I719" s="44">
        <v>0</v>
      </c>
      <c r="J719" s="44">
        <v>0</v>
      </c>
      <c r="K719" s="44">
        <v>0</v>
      </c>
      <c r="L719" s="43">
        <v>0.625</v>
      </c>
      <c r="M719" s="43">
        <v>0.64583333333333337</v>
      </c>
      <c r="N719" s="43">
        <v>1.0125</v>
      </c>
      <c r="O719" s="43">
        <v>1.0333333333333334</v>
      </c>
      <c r="P719" s="39"/>
      <c r="Q719" s="42" t="s">
        <v>157</v>
      </c>
      <c r="R719" s="29">
        <v>0</v>
      </c>
      <c r="S71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71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719" s="41">
        <f ca="1">MIP_4[[#This Row],[Eficiência]]</f>
        <v>0</v>
      </c>
      <c r="V71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19" s="39">
        <f>IF(MIP_4[[#This Row],[P.S]]-MIP_4[[#This Row],[P.E]]&lt;0,1+MIP_4[[#This Row],[P.S]]-MIP_4[[#This Row],[P.E]]-1/24,MIP_4[[#This Row],[P.S]]-MIP_4[[#This Row],[P.E]]-1/24)</f>
        <v>0.36666666666666675</v>
      </c>
      <c r="X719" s="39">
        <f ca="1">MIP_4[[#This Row],[PT-1]]*$S$3+MIP_4[[#This Row],[PT-2]]*$T$3+MIP_4[[#This Row],[PT-3]]*$U$3+MIP_4[[#This Row],[PT &gt; 3 Pontos]]*$V$3</f>
        <v>0</v>
      </c>
      <c r="Y719" s="39">
        <f>MIP_4[[#This Row],[HH disponível]]-MIP_4[[#This Row],[HH AC TOT]]</f>
        <v>0.3249999999999999</v>
      </c>
      <c r="Z719" s="38">
        <f ca="1">MIP_4[[#This Row],[HH Produtivo
Total]]/MIP_4[[#This Row],[HH Trabalhado]]</f>
        <v>0</v>
      </c>
      <c r="AA719" s="38">
        <f ca="1">MIP_4[[#This Row],[HH Produtivo
Total]]/MIP_4[[#This Row],[HH disponível]]</f>
        <v>0</v>
      </c>
      <c r="AB719" s="38">
        <f>MIP_4[[#This Row],[HH Trabalhado]]/MIP_4[[#This Row],[HH disponível]]</f>
        <v>0.88636363636363591</v>
      </c>
      <c r="AC719" s="37" t="str">
        <f>LEFT(MIP_4[[#This Row],[Equipe]], SEARCH("/",MIP_4[[#This Row],[Equipe]],1)-1)</f>
        <v xml:space="preserve">ADEMÁRIO </v>
      </c>
      <c r="AD719" s="37" t="str">
        <f>RIGHT(MIP_4[[#This Row],[Equipe]], LEN(MIP_4[[#This Row],[Equipe]])-SEARCH("/",MIP_4[[#This Row],[Equipe]],1))</f>
        <v xml:space="preserve"> MARCO</v>
      </c>
      <c r="AE719" s="44">
        <f>COUNTIFS('[1]Tempo parado'!G:G,"&gt;="&amp;MIP_4[[#This Row],[S.B Sitrack]],'[1]Tempo parado'!H:H,"&lt;="&amp;MIP_4[[#This Row],[C.B Sitrack]],'[1]Tempo parado'!A:A,MIP_4[[#This Row],[Placa]])</f>
        <v>0</v>
      </c>
      <c r="AF719" s="36"/>
      <c r="AG719" s="35"/>
      <c r="AH719" s="34"/>
      <c r="AI719" s="34"/>
      <c r="AJ71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1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1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19" s="32" t="str">
        <f>IFERROR(MIP_4[[#This Row],[Tempo parado]]/(MIP_4[[#This Row],[C.B Sitrack]]-MIP_4[[#This Row],[S.B Sitrack]]),"")</f>
        <v/>
      </c>
      <c r="AN719" s="30"/>
      <c r="AO719" s="44">
        <f>IF(AND(MIP_4[Exc]=0,MIP_4[Previsto / Realizado]="Realizado"),MIP_4[Sem],0)</f>
        <v>0</v>
      </c>
      <c r="AP719" s="29">
        <f>IF(AND(MIP_4[Exc]=0,MIP_4[Previsto / Realizado]="Realizado",ISBLANK(MIP_4[[#This Row],[S.B Sitrack]])=FALSE,ISBLANK(MIP_4[[#This Row],[C.B Sitrack]])=FALSE),MIP_4[Sem],0)</f>
        <v>0</v>
      </c>
    </row>
    <row r="720" spans="1:42" ht="15.75" x14ac:dyDescent="0.25">
      <c r="A720" s="29">
        <f>WEEKNUM(MIP_4[[#This Row],[Data]])</f>
        <v>44</v>
      </c>
      <c r="B720" s="45">
        <v>43037</v>
      </c>
      <c r="C720" s="45"/>
      <c r="D720" s="35" t="s">
        <v>156</v>
      </c>
      <c r="E720" s="35" t="s">
        <v>2</v>
      </c>
      <c r="F720" s="35"/>
      <c r="G720" s="44">
        <v>2</v>
      </c>
      <c r="H720" s="44">
        <v>7</v>
      </c>
      <c r="I720" s="44">
        <v>2</v>
      </c>
      <c r="J720" s="44">
        <v>0</v>
      </c>
      <c r="K720" s="44">
        <v>0</v>
      </c>
      <c r="L720" s="43">
        <v>0.63541666666666663</v>
      </c>
      <c r="M720" s="43">
        <v>0.66666666666666663</v>
      </c>
      <c r="N720" s="43">
        <v>0.99652777777777779</v>
      </c>
      <c r="O720" s="43">
        <v>1.0333333333333334</v>
      </c>
      <c r="P720" s="39">
        <v>9.5833333333333326E-2</v>
      </c>
      <c r="Q720" s="42" t="s">
        <v>155</v>
      </c>
      <c r="R720" s="29">
        <v>11</v>
      </c>
      <c r="S72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0.16388888888888897</v>
      </c>
      <c r="T72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6.8055555555555647E-2</v>
      </c>
      <c r="U720" s="41">
        <f ca="1">MIP_4[[#This Row],[Eficiência]]</f>
        <v>1.3672124339454812</v>
      </c>
      <c r="V72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20" s="39">
        <f>IF(MIP_4[[#This Row],[P.S]]-MIP_4[[#This Row],[P.E]]&lt;0,1+MIP_4[[#This Row],[P.S]]-MIP_4[[#This Row],[P.E]]-1/24,MIP_4[[#This Row],[P.S]]-MIP_4[[#This Row],[P.E]]-1/24)</f>
        <v>0.35625000000000012</v>
      </c>
      <c r="X720" s="39">
        <f ca="1">MIP_4[[#This Row],[PT-1]]*$S$3+MIP_4[[#This Row],[PT-2]]*$T$3+MIP_4[[#This Row],[PT-3]]*$U$3+MIP_4[[#This Row],[PT &gt; 3 Pontos]]*$V$3</f>
        <v>0.26299850291867943</v>
      </c>
      <c r="Y720" s="39">
        <f>MIP_4[[#This Row],[HH disponível]]-MIP_4[[#This Row],[HH AC TOT]]</f>
        <v>0.19236111111111115</v>
      </c>
      <c r="Z720" s="38">
        <f ca="1">MIP_4[[#This Row],[HH Produtivo
Total]]/MIP_4[[#This Row],[HH Trabalhado]]</f>
        <v>1.3672124339454812</v>
      </c>
      <c r="AA720" s="38">
        <f ca="1">MIP_4[[#This Row],[HH Produtivo
Total]]/MIP_4[[#This Row],[HH disponível]]</f>
        <v>0.73824141170155611</v>
      </c>
      <c r="AB720" s="38">
        <f>MIP_4[[#This Row],[HH Trabalhado]]/MIP_4[[#This Row],[HH disponível]]</f>
        <v>0.53996101364522409</v>
      </c>
      <c r="AC720" s="37" t="str">
        <f>LEFT(MIP_4[[#This Row],[Equipe]], SEARCH("/",MIP_4[[#This Row],[Equipe]],1)-1)</f>
        <v xml:space="preserve">ADEMÁRIO </v>
      </c>
      <c r="AD720" s="37" t="str">
        <f>RIGHT(MIP_4[[#This Row],[Equipe]], LEN(MIP_4[[#This Row],[Equipe]])-SEARCH("/",MIP_4[[#This Row],[Equipe]],1))</f>
        <v xml:space="preserve"> MARCO</v>
      </c>
      <c r="AE720" s="44">
        <f>COUNTIFS('[1]Tempo parado'!G:G,"&gt;="&amp;MIP_4[[#This Row],[S.B Sitrack]],'[1]Tempo parado'!H:H,"&lt;="&amp;MIP_4[[#This Row],[C.B Sitrack]],'[1]Tempo parado'!A:A,MIP_4[[#This Row],[Placa]])</f>
        <v>0</v>
      </c>
      <c r="AF720" s="36"/>
      <c r="AG720" s="35"/>
      <c r="AH720" s="34"/>
      <c r="AI720" s="34"/>
      <c r="AJ72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2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2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20" s="32" t="str">
        <f>IFERROR(MIP_4[[#This Row],[Tempo parado]]/(MIP_4[[#This Row],[C.B Sitrack]]-MIP_4[[#This Row],[S.B Sitrack]]),"")</f>
        <v/>
      </c>
      <c r="AN720" s="30"/>
      <c r="AO720" s="44">
        <f>IF(AND(MIP_4[Exc]=0,MIP_4[Previsto / Realizado]="Realizado"),MIP_4[Sem],0)</f>
        <v>44</v>
      </c>
      <c r="AP720" s="29">
        <f>IF(AND(MIP_4[Exc]=0,MIP_4[Previsto / Realizado]="Realizado",ISBLANK(MIP_4[[#This Row],[S.B Sitrack]])=FALSE,ISBLANK(MIP_4[[#This Row],[C.B Sitrack]])=FALSE),MIP_4[Sem],0)</f>
        <v>0</v>
      </c>
    </row>
    <row r="721" spans="1:42" ht="15.75" x14ac:dyDescent="0.25">
      <c r="A721" s="29">
        <f>WEEKNUM(MIP_4[[#This Row],[Data]])</f>
        <v>44</v>
      </c>
      <c r="B721" s="45">
        <v>43037</v>
      </c>
      <c r="C721" s="45"/>
      <c r="D721" s="35" t="s">
        <v>10</v>
      </c>
      <c r="E721" s="35" t="s">
        <v>5</v>
      </c>
      <c r="F721" s="35"/>
      <c r="G721" s="44">
        <v>2</v>
      </c>
      <c r="H721" s="44">
        <v>0</v>
      </c>
      <c r="I721" s="44">
        <v>0</v>
      </c>
      <c r="J721" s="44">
        <v>0</v>
      </c>
      <c r="K721" s="44">
        <v>0</v>
      </c>
      <c r="L721" s="43">
        <v>0.25</v>
      </c>
      <c r="M721" s="43">
        <v>0.27083333333333331</v>
      </c>
      <c r="N721" s="43">
        <v>0.63750000000000007</v>
      </c>
      <c r="O721" s="43">
        <v>0.65833333333333333</v>
      </c>
      <c r="P721" s="39"/>
      <c r="Q721" s="42" t="s">
        <v>4</v>
      </c>
      <c r="R721" s="29">
        <v>0</v>
      </c>
      <c r="S72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72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721" s="41">
        <f ca="1">MIP_4[[#This Row],[Eficiência]]</f>
        <v>0</v>
      </c>
      <c r="V72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21" s="39">
        <f>IF(MIP_4[[#This Row],[P.S]]-MIP_4[[#This Row],[P.E]]&lt;0,1+MIP_4[[#This Row],[P.S]]-MIP_4[[#This Row],[P.E]]-1/24,MIP_4[[#This Row],[P.S]]-MIP_4[[#This Row],[P.E]]-1/24)</f>
        <v>0.36666666666666664</v>
      </c>
      <c r="X721" s="39">
        <f ca="1">MIP_4[[#This Row],[PT-1]]*$S$3+MIP_4[[#This Row],[PT-2]]*$T$3+MIP_4[[#This Row],[PT-3]]*$U$3+MIP_4[[#This Row],[PT &gt; 3 Pontos]]*$V$3</f>
        <v>0</v>
      </c>
      <c r="Y721" s="39">
        <f>MIP_4[[#This Row],[HH disponível]]-MIP_4[[#This Row],[HH AC TOT]]</f>
        <v>0.32500000000000007</v>
      </c>
      <c r="Z721" s="38">
        <f ca="1">MIP_4[[#This Row],[HH Produtivo
Total]]/MIP_4[[#This Row],[HH Trabalhado]]</f>
        <v>0</v>
      </c>
      <c r="AA721" s="38">
        <f ca="1">MIP_4[[#This Row],[HH Produtivo
Total]]/MIP_4[[#This Row],[HH disponível]]</f>
        <v>0</v>
      </c>
      <c r="AB721" s="38">
        <f>MIP_4[[#This Row],[HH Trabalhado]]/MIP_4[[#This Row],[HH disponível]]</f>
        <v>0.88636363636363658</v>
      </c>
      <c r="AC721" s="37" t="str">
        <f>LEFT(MIP_4[[#This Row],[Equipe]], SEARCH("/",MIP_4[[#This Row],[Equipe]],1)-1)</f>
        <v xml:space="preserve">JOILSON </v>
      </c>
      <c r="AD721" s="37" t="str">
        <f>RIGHT(MIP_4[[#This Row],[Equipe]], LEN(MIP_4[[#This Row],[Equipe]])-SEARCH("/",MIP_4[[#This Row],[Equipe]],1))</f>
        <v xml:space="preserve"> VALDEI</v>
      </c>
      <c r="AE721" s="44">
        <f>COUNTIFS('[1]Tempo parado'!G:G,"&gt;="&amp;MIP_4[[#This Row],[S.B Sitrack]],'[1]Tempo parado'!H:H,"&lt;="&amp;MIP_4[[#This Row],[C.B Sitrack]],'[1]Tempo parado'!A:A,MIP_4[[#This Row],[Placa]])</f>
        <v>0</v>
      </c>
      <c r="AF721" s="36"/>
      <c r="AG721" s="35"/>
      <c r="AH721" s="34"/>
      <c r="AI721" s="34"/>
      <c r="AJ72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2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2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21" s="32" t="str">
        <f>IFERROR(MIP_4[[#This Row],[Tempo parado]]/(MIP_4[[#This Row],[C.B Sitrack]]-MIP_4[[#This Row],[S.B Sitrack]]),"")</f>
        <v/>
      </c>
      <c r="AN721" s="30"/>
      <c r="AO721" s="44">
        <f>IF(AND(MIP_4[Exc]=0,MIP_4[Previsto / Realizado]="Realizado"),MIP_4[Sem],0)</f>
        <v>0</v>
      </c>
      <c r="AP721" s="29">
        <f>IF(AND(MIP_4[Exc]=0,MIP_4[Previsto / Realizado]="Realizado",ISBLANK(MIP_4[[#This Row],[S.B Sitrack]])=FALSE,ISBLANK(MIP_4[[#This Row],[C.B Sitrack]])=FALSE),MIP_4[Sem],0)</f>
        <v>0</v>
      </c>
    </row>
    <row r="722" spans="1:42" ht="15.75" x14ac:dyDescent="0.25">
      <c r="A722" s="29">
        <f>WEEKNUM(MIP_4[[#This Row],[Data]])</f>
        <v>44</v>
      </c>
      <c r="B722" s="45">
        <v>43037</v>
      </c>
      <c r="C722" s="45"/>
      <c r="D722" s="35" t="s">
        <v>10</v>
      </c>
      <c r="E722" s="35" t="s">
        <v>2</v>
      </c>
      <c r="F722" s="35"/>
      <c r="G722" s="44">
        <v>2</v>
      </c>
      <c r="H722" s="44">
        <v>2</v>
      </c>
      <c r="I722" s="44">
        <v>3</v>
      </c>
      <c r="J722" s="44">
        <v>0</v>
      </c>
      <c r="K722" s="44">
        <v>5</v>
      </c>
      <c r="L722" s="43">
        <v>0.24652777777777779</v>
      </c>
      <c r="M722" s="43">
        <v>0.27430555555555552</v>
      </c>
      <c r="N722" s="43">
        <v>0.60555555555555551</v>
      </c>
      <c r="O722" s="43">
        <v>0.625</v>
      </c>
      <c r="P722" s="39"/>
      <c r="Q722" s="42" t="s">
        <v>144</v>
      </c>
      <c r="R722" s="29">
        <v>13</v>
      </c>
      <c r="S72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4.7222222222222221E-2</v>
      </c>
      <c r="T72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4.7222222222222221E-2</v>
      </c>
      <c r="U722" s="41">
        <f ca="1">MIP_4[[#This Row],[Eficiência]]</f>
        <v>0.97732854778978773</v>
      </c>
      <c r="V72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22" s="39">
        <f>IF(MIP_4[[#This Row],[P.S]]-MIP_4[[#This Row],[P.E]]&lt;0,1+MIP_4[[#This Row],[P.S]]-MIP_4[[#This Row],[P.E]]-1/24,MIP_4[[#This Row],[P.S]]-MIP_4[[#This Row],[P.E]]-1/24)</f>
        <v>0.33680555555555552</v>
      </c>
      <c r="X722" s="39">
        <f ca="1">MIP_4[[#This Row],[PT-1]]*$S$3+MIP_4[[#This Row],[PT-2]]*$T$3+MIP_4[[#This Row],[PT-3]]*$U$3+MIP_4[[#This Row],[PT &gt; 3 Pontos]]*$V$3</f>
        <v>0.28301805863079266</v>
      </c>
      <c r="Y722" s="39">
        <f>MIP_4[[#This Row],[HH disponível]]-MIP_4[[#This Row],[HH AC TOT]]</f>
        <v>0.2895833333333333</v>
      </c>
      <c r="Z722" s="38">
        <f ca="1">MIP_4[[#This Row],[HH Produtivo
Total]]/MIP_4[[#This Row],[HH Trabalhado]]</f>
        <v>0.97732854778978773</v>
      </c>
      <c r="AA722" s="38">
        <f ca="1">MIP_4[[#This Row],[HH Produtivo
Total]]/MIP_4[[#This Row],[HH disponível]]</f>
        <v>0.84030104005843598</v>
      </c>
      <c r="AB722" s="38">
        <f>MIP_4[[#This Row],[HH Trabalhado]]/MIP_4[[#This Row],[HH disponível]]</f>
        <v>0.85979381443298963</v>
      </c>
      <c r="AC722" s="37" t="str">
        <f>LEFT(MIP_4[[#This Row],[Equipe]], SEARCH("/",MIP_4[[#This Row],[Equipe]],1)-1)</f>
        <v xml:space="preserve">JOILSON </v>
      </c>
      <c r="AD722" s="37" t="str">
        <f>RIGHT(MIP_4[[#This Row],[Equipe]], LEN(MIP_4[[#This Row],[Equipe]])-SEARCH("/",MIP_4[[#This Row],[Equipe]],1))</f>
        <v xml:space="preserve"> VALDEI</v>
      </c>
      <c r="AE722" s="44">
        <f>COUNTIFS('[1]Tempo parado'!G:G,"&gt;="&amp;MIP_4[[#This Row],[S.B Sitrack]],'[1]Tempo parado'!H:H,"&lt;="&amp;MIP_4[[#This Row],[C.B Sitrack]],'[1]Tempo parado'!A:A,MIP_4[[#This Row],[Placa]])</f>
        <v>0</v>
      </c>
      <c r="AF722" s="36"/>
      <c r="AG722" s="35"/>
      <c r="AH722" s="34"/>
      <c r="AI722" s="34"/>
      <c r="AJ72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2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2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22" s="32" t="str">
        <f>IFERROR(MIP_4[[#This Row],[Tempo parado]]/(MIP_4[[#This Row],[C.B Sitrack]]-MIP_4[[#This Row],[S.B Sitrack]]),"")</f>
        <v/>
      </c>
      <c r="AN722" s="30"/>
      <c r="AO722" s="44">
        <f>IF(AND(MIP_4[Exc]=0,MIP_4[Previsto / Realizado]="Realizado"),MIP_4[Sem],0)</f>
        <v>44</v>
      </c>
      <c r="AP722" s="29">
        <f>IF(AND(MIP_4[Exc]=0,MIP_4[Previsto / Realizado]="Realizado",ISBLANK(MIP_4[[#This Row],[S.B Sitrack]])=FALSE,ISBLANK(MIP_4[[#This Row],[C.B Sitrack]])=FALSE),MIP_4[Sem],0)</f>
        <v>0</v>
      </c>
    </row>
    <row r="723" spans="1:42" ht="15.75" x14ac:dyDescent="0.25">
      <c r="A723" s="29">
        <f>WEEKNUM(MIP_4[[#This Row],[Data]])</f>
        <v>44</v>
      </c>
      <c r="B723" s="45">
        <v>43038</v>
      </c>
      <c r="C723" s="45"/>
      <c r="D723" s="35" t="s">
        <v>3</v>
      </c>
      <c r="E723" s="35" t="s">
        <v>5</v>
      </c>
      <c r="F723" s="35"/>
      <c r="G723" s="44">
        <v>2</v>
      </c>
      <c r="H723" s="44">
        <v>4</v>
      </c>
      <c r="I723" s="44">
        <v>1</v>
      </c>
      <c r="J723" s="44">
        <v>0</v>
      </c>
      <c r="K723" s="44">
        <v>0</v>
      </c>
      <c r="L723" s="43">
        <v>0.625</v>
      </c>
      <c r="M723" s="43">
        <v>0.64583333333333337</v>
      </c>
      <c r="N723" s="43">
        <v>1.0125</v>
      </c>
      <c r="O723" s="43">
        <v>1.0333333333333334</v>
      </c>
      <c r="P723" s="39"/>
      <c r="Q723" s="42" t="s">
        <v>4</v>
      </c>
      <c r="R723" s="29">
        <v>6</v>
      </c>
      <c r="S72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72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723" s="41">
        <f ca="1">MIP_4[[#This Row],[Eficiência]]</f>
        <v>0.44311439365787181</v>
      </c>
      <c r="V72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23" s="39">
        <f>IF(MIP_4[[#This Row],[P.S]]-MIP_4[[#This Row],[P.E]]&lt;0,1+MIP_4[[#This Row],[P.S]]-MIP_4[[#This Row],[P.E]]-1/24,MIP_4[[#This Row],[P.S]]-MIP_4[[#This Row],[P.E]]-1/24)</f>
        <v>0.36666666666666675</v>
      </c>
      <c r="X723" s="39">
        <f ca="1">MIP_4[[#This Row],[PT-1]]*$S$3+MIP_4[[#This Row],[PT-2]]*$T$3+MIP_4[[#This Row],[PT-3]]*$U$3+MIP_4[[#This Row],[PT &gt; 3 Pontos]]*$V$3</f>
        <v>0.1440121779388083</v>
      </c>
      <c r="Y723" s="39">
        <f>MIP_4[[#This Row],[HH disponível]]-MIP_4[[#This Row],[HH AC TOT]]</f>
        <v>0.3249999999999999</v>
      </c>
      <c r="Z723" s="38">
        <f ca="1">MIP_4[[#This Row],[HH Produtivo
Total]]/MIP_4[[#This Row],[HH Trabalhado]]</f>
        <v>0.44311439365787181</v>
      </c>
      <c r="AA723" s="38">
        <f ca="1">MIP_4[[#This Row],[HH Produtivo
Total]]/MIP_4[[#This Row],[HH disponível]]</f>
        <v>0.39276048528765889</v>
      </c>
      <c r="AB723" s="38">
        <f>MIP_4[[#This Row],[HH Trabalhado]]/MIP_4[[#This Row],[HH disponível]]</f>
        <v>0.88636363636363591</v>
      </c>
      <c r="AC723" s="37" t="str">
        <f>LEFT(MIP_4[[#This Row],[Equipe]], SEARCH("/",MIP_4[[#This Row],[Equipe]],1)-1)</f>
        <v xml:space="preserve">EDILTON </v>
      </c>
      <c r="AD723" s="37" t="str">
        <f>RIGHT(MIP_4[[#This Row],[Equipe]], LEN(MIP_4[[#This Row],[Equipe]])-SEARCH("/",MIP_4[[#This Row],[Equipe]],1))</f>
        <v xml:space="preserve"> GECIVALDO</v>
      </c>
      <c r="AE723" s="44">
        <f>COUNTIFS('[1]Tempo parado'!G:G,"&gt;="&amp;MIP_4[[#This Row],[S.B Sitrack]],'[1]Tempo parado'!H:H,"&lt;="&amp;MIP_4[[#This Row],[C.B Sitrack]],'[1]Tempo parado'!A:A,MIP_4[[#This Row],[Placa]])</f>
        <v>0</v>
      </c>
      <c r="AF723" s="36"/>
      <c r="AG723" s="35"/>
      <c r="AH723" s="34">
        <v>43038.666863425926</v>
      </c>
      <c r="AI723" s="34" t="s">
        <v>154</v>
      </c>
      <c r="AJ723" s="32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2.4305555555555528E-2</v>
      </c>
      <c r="AK72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2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23" s="32">
        <f>IFERROR(MIP_4[[#This Row],[Tempo parado]]/(MIP_4[[#This Row],[C.B Sitrack]]-MIP_4[[#This Row],[S.B Sitrack]]),"")</f>
        <v>0</v>
      </c>
      <c r="AN723" s="30"/>
      <c r="AO723" s="44">
        <f>IF(AND(MIP_4[Exc]=0,MIP_4[Previsto / Realizado]="Realizado"),MIP_4[Sem],0)</f>
        <v>0</v>
      </c>
      <c r="AP723" s="29">
        <f>IF(AND(MIP_4[Exc]=0,MIP_4[Previsto / Realizado]="Realizado",ISBLANK(MIP_4[[#This Row],[S.B Sitrack]])=FALSE,ISBLANK(MIP_4[[#This Row],[C.B Sitrack]])=FALSE),MIP_4[Sem],0)</f>
        <v>0</v>
      </c>
    </row>
    <row r="724" spans="1:42" ht="15.75" x14ac:dyDescent="0.25">
      <c r="A724" s="29">
        <f>WEEKNUM(MIP_4[[#This Row],[Data]])</f>
        <v>44</v>
      </c>
      <c r="B724" s="45">
        <v>43038</v>
      </c>
      <c r="C724" s="45"/>
      <c r="D724" s="35" t="s">
        <v>3</v>
      </c>
      <c r="E724" s="35" t="s">
        <v>2</v>
      </c>
      <c r="F724" s="35" t="s">
        <v>1</v>
      </c>
      <c r="G724" s="44">
        <v>2</v>
      </c>
      <c r="H724" s="44">
        <v>10</v>
      </c>
      <c r="I724" s="44">
        <v>1</v>
      </c>
      <c r="J724" s="44">
        <v>0</v>
      </c>
      <c r="K724" s="44">
        <v>0</v>
      </c>
      <c r="L724" s="43">
        <v>0.61388888888888882</v>
      </c>
      <c r="M724" s="43">
        <v>0.66597222222222219</v>
      </c>
      <c r="N724" s="43">
        <v>1.0138888888888888</v>
      </c>
      <c r="O724" s="43">
        <v>3.3333333333333333E-2</v>
      </c>
      <c r="P724" s="39"/>
      <c r="Q724" s="42" t="s">
        <v>17</v>
      </c>
      <c r="R724" s="29">
        <v>12</v>
      </c>
      <c r="S72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7.1527777777777968E-2</v>
      </c>
      <c r="T72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7.1527777777777968E-2</v>
      </c>
      <c r="U724" s="41">
        <f ca="1">MIP_4[[#This Row],[Eficiência]]</f>
        <v>0.96054627164875561</v>
      </c>
      <c r="V72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24" s="39">
        <f>IF(MIP_4[[#This Row],[P.S]]-MIP_4[[#This Row],[P.E]]&lt;0,1+MIP_4[[#This Row],[P.S]]-MIP_4[[#This Row],[P.E]]-1/24,MIP_4[[#This Row],[P.S]]-MIP_4[[#This Row],[P.E]]-1/24)</f>
        <v>0.37777777777777793</v>
      </c>
      <c r="X724" s="39">
        <f ca="1">MIP_4[[#This Row],[PT-1]]*$S$3+MIP_4[[#This Row],[PT-2]]*$T$3+MIP_4[[#This Row],[PT-3]]*$U$3+MIP_4[[#This Row],[PT &gt; 3 Pontos]]*$V$3</f>
        <v>0.29416729569243139</v>
      </c>
      <c r="Y724" s="39">
        <f>MIP_4[[#This Row],[HH disponível]]-MIP_4[[#This Row],[HH AC TOT]]</f>
        <v>0.30624999999999997</v>
      </c>
      <c r="Z724" s="38">
        <f ca="1">MIP_4[[#This Row],[HH Produtivo
Total]]/MIP_4[[#This Row],[HH Trabalhado]]</f>
        <v>0.96054627164875561</v>
      </c>
      <c r="AA724" s="38">
        <f ca="1">MIP_4[[#This Row],[HH Produtivo
Total]]/MIP_4[[#This Row],[HH disponível]]</f>
        <v>0.77867813565643573</v>
      </c>
      <c r="AB724" s="38">
        <f>MIP_4[[#This Row],[HH Trabalhado]]/MIP_4[[#This Row],[HH disponível]]</f>
        <v>0.81066176470588192</v>
      </c>
      <c r="AC724" s="37" t="str">
        <f>LEFT(MIP_4[[#This Row],[Equipe]], SEARCH("/",MIP_4[[#This Row],[Equipe]],1)-1)</f>
        <v xml:space="preserve">EDILTON </v>
      </c>
      <c r="AD724" s="37" t="str">
        <f>RIGHT(MIP_4[[#This Row],[Equipe]], LEN(MIP_4[[#This Row],[Equipe]])-SEARCH("/",MIP_4[[#This Row],[Equipe]],1))</f>
        <v xml:space="preserve"> GECIVALDO</v>
      </c>
      <c r="AE724" s="44">
        <f>COUNTIFS('[1]Tempo parado'!G:G,"&gt;="&amp;MIP_4[[#This Row],[S.B Sitrack]],'[1]Tempo parado'!H:H,"&lt;="&amp;MIP_4[[#This Row],[C.B Sitrack]],'[1]Tempo parado'!A:A,MIP_4[[#This Row],[Placa]])</f>
        <v>0</v>
      </c>
      <c r="AF724" s="36"/>
      <c r="AG724" s="35"/>
      <c r="AH724" s="34">
        <v>43038.666863425926</v>
      </c>
      <c r="AI724" s="34">
        <v>43039.016134259262</v>
      </c>
      <c r="AJ724" s="32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2.7777777777778269E-3</v>
      </c>
      <c r="AK72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71.5</v>
      </c>
      <c r="AL72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24" s="31">
        <f>IFERROR(MIP_4[[#This Row],[Tempo parado]]/(MIP_4[[#This Row],[C.B Sitrack]]-MIP_4[[#This Row],[S.B Sitrack]]),"")</f>
        <v>0</v>
      </c>
      <c r="AN724" s="30"/>
      <c r="AO724" s="44">
        <f>IF(AND(MIP_4[Exc]=0,MIP_4[Previsto / Realizado]="Realizado"),MIP_4[Sem],0)</f>
        <v>44</v>
      </c>
      <c r="AP724" s="29">
        <f>IF(AND(MIP_4[Exc]=0,MIP_4[Previsto / Realizado]="Realizado",ISBLANK(MIP_4[[#This Row],[S.B Sitrack]])=FALSE,ISBLANK(MIP_4[[#This Row],[C.B Sitrack]])=FALSE),MIP_4[Sem],0)</f>
        <v>44</v>
      </c>
    </row>
    <row r="725" spans="1:42" ht="15.75" x14ac:dyDescent="0.25">
      <c r="A725" s="29">
        <f>WEEKNUM(MIP_4[[#This Row],[Data]])</f>
        <v>44</v>
      </c>
      <c r="B725" s="45">
        <v>43039</v>
      </c>
      <c r="C725" s="45"/>
      <c r="D725" s="35" t="s">
        <v>10</v>
      </c>
      <c r="E725" s="35" t="s">
        <v>5</v>
      </c>
      <c r="F725" s="35"/>
      <c r="G725" s="44">
        <v>2</v>
      </c>
      <c r="H725" s="44">
        <v>1</v>
      </c>
      <c r="I725" s="44">
        <v>1</v>
      </c>
      <c r="J725" s="44">
        <v>0</v>
      </c>
      <c r="K725" s="44">
        <v>7</v>
      </c>
      <c r="L725" s="43">
        <v>0.25</v>
      </c>
      <c r="M725" s="43">
        <v>0.27083333333333331</v>
      </c>
      <c r="N725" s="43">
        <v>0.63750000000000007</v>
      </c>
      <c r="O725" s="43">
        <v>0.65833333333333333</v>
      </c>
      <c r="P725" s="39"/>
      <c r="Q725" s="42" t="s">
        <v>4</v>
      </c>
      <c r="R725" s="29">
        <v>10</v>
      </c>
      <c r="S72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72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725" s="41">
        <f ca="1">MIP_4[[#This Row],[Eficiência]]</f>
        <v>0.64821752377609876</v>
      </c>
      <c r="V72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25" s="39">
        <f>IF(MIP_4[[#This Row],[P.S]]-MIP_4[[#This Row],[P.E]]&lt;0,1+MIP_4[[#This Row],[P.S]]-MIP_4[[#This Row],[P.E]]-1/24,MIP_4[[#This Row],[P.S]]-MIP_4[[#This Row],[P.E]]-1/24)</f>
        <v>0.36666666666666664</v>
      </c>
      <c r="X725" s="39">
        <f ca="1">MIP_4[[#This Row],[PT-1]]*$S$3+MIP_4[[#This Row],[PT-2]]*$T$3+MIP_4[[#This Row],[PT-3]]*$U$3+MIP_4[[#This Row],[PT &gt; 3 Pontos]]*$V$3</f>
        <v>0.21067069522723214</v>
      </c>
      <c r="Y725" s="39">
        <f>MIP_4[[#This Row],[HH disponível]]-MIP_4[[#This Row],[HH AC TOT]]</f>
        <v>0.32500000000000007</v>
      </c>
      <c r="Z725" s="38">
        <f ca="1">MIP_4[[#This Row],[HH Produtivo
Total]]/MIP_4[[#This Row],[HH Trabalhado]]</f>
        <v>0.64821752377609876</v>
      </c>
      <c r="AA725" s="38">
        <f ca="1">MIP_4[[#This Row],[HH Produtivo
Total]]/MIP_4[[#This Row],[HH disponível]]</f>
        <v>0.57455644152881502</v>
      </c>
      <c r="AB725" s="38">
        <f>MIP_4[[#This Row],[HH Trabalhado]]/MIP_4[[#This Row],[HH disponível]]</f>
        <v>0.88636363636363658</v>
      </c>
      <c r="AC725" s="37" t="str">
        <f>LEFT(MIP_4[[#This Row],[Equipe]], SEARCH("/",MIP_4[[#This Row],[Equipe]],1)-1)</f>
        <v xml:space="preserve">JOILSON </v>
      </c>
      <c r="AD725" s="37" t="str">
        <f>RIGHT(MIP_4[[#This Row],[Equipe]], LEN(MIP_4[[#This Row],[Equipe]])-SEARCH("/",MIP_4[[#This Row],[Equipe]],1))</f>
        <v xml:space="preserve"> VALDEI</v>
      </c>
      <c r="AE725" s="44">
        <f>COUNTIFS('[1]Tempo parado'!G:G,"&gt;="&amp;MIP_4[[#This Row],[S.B Sitrack]],'[1]Tempo parado'!H:H,"&lt;="&amp;MIP_4[[#This Row],[C.B Sitrack]],'[1]Tempo parado'!A:A,MIP_4[[#This Row],[Placa]])</f>
        <v>0</v>
      </c>
      <c r="AF725" s="36"/>
      <c r="AG725" s="35"/>
      <c r="AH725" s="34" t="s">
        <v>153</v>
      </c>
      <c r="AI725" s="34" t="s">
        <v>152</v>
      </c>
      <c r="AJ725" s="32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1.8055555555555602E-2</v>
      </c>
      <c r="AK72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2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25" s="32">
        <f>IFERROR(MIP_4[[#This Row],[Tempo parado]]/(MIP_4[[#This Row],[C.B Sitrack]]-MIP_4[[#This Row],[S.B Sitrack]]),"")</f>
        <v>0</v>
      </c>
      <c r="AN725" s="30"/>
      <c r="AO725" s="44">
        <f>IF(AND(MIP_4[Exc]=0,MIP_4[Previsto / Realizado]="Realizado"),MIP_4[Sem],0)</f>
        <v>0</v>
      </c>
      <c r="AP725" s="29">
        <f>IF(AND(MIP_4[Exc]=0,MIP_4[Previsto / Realizado]="Realizado",ISBLANK(MIP_4[[#This Row],[S.B Sitrack]])=FALSE,ISBLANK(MIP_4[[#This Row],[C.B Sitrack]])=FALSE),MIP_4[Sem],0)</f>
        <v>0</v>
      </c>
    </row>
    <row r="726" spans="1:42" ht="15.75" x14ac:dyDescent="0.25">
      <c r="A726" s="29">
        <f>WEEKNUM(MIP_4[[#This Row],[Data]])</f>
        <v>44</v>
      </c>
      <c r="B726" s="45">
        <v>43039</v>
      </c>
      <c r="C726" s="45"/>
      <c r="D726" s="35" t="s">
        <v>10</v>
      </c>
      <c r="E726" s="35" t="s">
        <v>2</v>
      </c>
      <c r="F726" s="35" t="s">
        <v>1</v>
      </c>
      <c r="G726" s="44">
        <v>2</v>
      </c>
      <c r="H726" s="44">
        <v>2</v>
      </c>
      <c r="I726" s="44">
        <v>1</v>
      </c>
      <c r="J726" s="44">
        <v>0</v>
      </c>
      <c r="K726" s="44">
        <v>7</v>
      </c>
      <c r="L726" s="43">
        <v>0.25</v>
      </c>
      <c r="M726" s="43">
        <v>0.27083333333333331</v>
      </c>
      <c r="N726" s="43">
        <v>0.61041666666666672</v>
      </c>
      <c r="O726" s="43">
        <v>0.67291666666666661</v>
      </c>
      <c r="P726" s="39"/>
      <c r="Q726" s="42" t="s">
        <v>32</v>
      </c>
      <c r="R726" s="29">
        <v>11</v>
      </c>
      <c r="S72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8.3333333333333204E-2</v>
      </c>
      <c r="T72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8.3333333333333204E-2</v>
      </c>
      <c r="U726" s="41">
        <f ca="1">MIP_4[[#This Row],[Eficiência]]</f>
        <v>0.79114925265287583</v>
      </c>
      <c r="V72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26" s="39">
        <f>IF(MIP_4[[#This Row],[P.S]]-MIP_4[[#This Row],[P.E]]&lt;0,1+MIP_4[[#This Row],[P.S]]-MIP_4[[#This Row],[P.E]]-1/24,MIP_4[[#This Row],[P.S]]-MIP_4[[#This Row],[P.E]]-1/24)</f>
        <v>0.38124999999999992</v>
      </c>
      <c r="X726" s="39">
        <f ca="1">MIP_4[[#This Row],[PT-1]]*$S$3+MIP_4[[#This Row],[PT-2]]*$T$3+MIP_4[[#This Row],[PT-3]]*$U$3+MIP_4[[#This Row],[PT &gt; 3 Pontos]]*$V$3</f>
        <v>0.23569654818616931</v>
      </c>
      <c r="Y726" s="39">
        <f>MIP_4[[#This Row],[HH disponível]]-MIP_4[[#This Row],[HH AC TOT]]</f>
        <v>0.29791666666666672</v>
      </c>
      <c r="Z726" s="38">
        <f ca="1">MIP_4[[#This Row],[HH Produtivo
Total]]/MIP_4[[#This Row],[HH Trabalhado]]</f>
        <v>0.79114925265287583</v>
      </c>
      <c r="AA726" s="38">
        <f ca="1">MIP_4[[#This Row],[HH Produtivo
Total]]/MIP_4[[#This Row],[HH disponível]]</f>
        <v>0.6182204542588049</v>
      </c>
      <c r="AB726" s="38">
        <f>MIP_4[[#This Row],[HH Trabalhado]]/MIP_4[[#This Row],[HH disponível]]</f>
        <v>0.78142076502732272</v>
      </c>
      <c r="AC726" s="37" t="str">
        <f>LEFT(MIP_4[[#This Row],[Equipe]], SEARCH("/",MIP_4[[#This Row],[Equipe]],1)-1)</f>
        <v xml:space="preserve">JOILSON </v>
      </c>
      <c r="AD726" s="37" t="str">
        <f>RIGHT(MIP_4[[#This Row],[Equipe]], LEN(MIP_4[[#This Row],[Equipe]])-SEARCH("/",MIP_4[[#This Row],[Equipe]],1))</f>
        <v xml:space="preserve"> VALDEI</v>
      </c>
      <c r="AE726" s="44">
        <f>COUNTIFS('[1]Tempo parado'!G:G,"&gt;="&amp;MIP_4[[#This Row],[S.B Sitrack]],'[1]Tempo parado'!H:H,"&lt;="&amp;MIP_4[[#This Row],[C.B Sitrack]],'[1]Tempo parado'!A:A,MIP_4[[#This Row],[Placa]])</f>
        <v>0</v>
      </c>
      <c r="AF726" s="36"/>
      <c r="AG726" s="35"/>
      <c r="AH726" s="34">
        <v>43039.405150462961</v>
      </c>
      <c r="AI726" s="34">
        <v>43039.650752314818</v>
      </c>
      <c r="AJ726" s="32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0.17430555555555555</v>
      </c>
      <c r="AK72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32.799999999999997</v>
      </c>
      <c r="AL72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26" s="31">
        <f>IFERROR(MIP_4[[#This Row],[Tempo parado]]/(MIP_4[[#This Row],[C.B Sitrack]]-MIP_4[[#This Row],[S.B Sitrack]]),"")</f>
        <v>0</v>
      </c>
      <c r="AN726" s="30"/>
      <c r="AO726" s="44">
        <f>IF(AND(MIP_4[Exc]=0,MIP_4[Previsto / Realizado]="Realizado"),MIP_4[Sem],0)</f>
        <v>44</v>
      </c>
      <c r="AP726" s="29">
        <f>IF(AND(MIP_4[Exc]=0,MIP_4[Previsto / Realizado]="Realizado",ISBLANK(MIP_4[[#This Row],[S.B Sitrack]])=FALSE,ISBLANK(MIP_4[[#This Row],[C.B Sitrack]])=FALSE),MIP_4[Sem],0)</f>
        <v>44</v>
      </c>
    </row>
    <row r="727" spans="1:42" ht="15.75" x14ac:dyDescent="0.25">
      <c r="A727" s="29">
        <f>WEEKNUM(MIP_4[[#This Row],[Data]])</f>
        <v>44</v>
      </c>
      <c r="B727" s="45">
        <v>43039</v>
      </c>
      <c r="C727" s="45"/>
      <c r="D727" s="35" t="s">
        <v>3</v>
      </c>
      <c r="E727" s="35" t="s">
        <v>5</v>
      </c>
      <c r="F727" s="35"/>
      <c r="G727" s="44">
        <v>2</v>
      </c>
      <c r="H727" s="44">
        <v>7</v>
      </c>
      <c r="I727" s="44">
        <v>3</v>
      </c>
      <c r="J727" s="44">
        <v>0</v>
      </c>
      <c r="K727" s="44">
        <v>0</v>
      </c>
      <c r="L727" s="43">
        <v>0.625</v>
      </c>
      <c r="M727" s="43">
        <v>0.64583333333333337</v>
      </c>
      <c r="N727" s="43">
        <v>1.0125</v>
      </c>
      <c r="O727" s="43">
        <v>1.0333333333333334</v>
      </c>
      <c r="P727" s="39"/>
      <c r="Q727" s="42" t="s">
        <v>4</v>
      </c>
      <c r="R727" s="29">
        <v>13</v>
      </c>
      <c r="S72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72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727" s="41">
        <f ca="1">MIP_4[[#This Row],[Eficiência]]</f>
        <v>0.94433005852842811</v>
      </c>
      <c r="V72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27" s="39">
        <f>IF(MIP_4[[#This Row],[P.S]]-MIP_4[[#This Row],[P.E]]&lt;0,1+MIP_4[[#This Row],[P.S]]-MIP_4[[#This Row],[P.E]]-1/24,MIP_4[[#This Row],[P.S]]-MIP_4[[#This Row],[P.E]]-1/24)</f>
        <v>0.36666666666666675</v>
      </c>
      <c r="X727" s="39">
        <f ca="1">MIP_4[[#This Row],[PT-1]]*$S$3+MIP_4[[#This Row],[PT-2]]*$T$3+MIP_4[[#This Row],[PT-3]]*$U$3+MIP_4[[#This Row],[PT &gt; 3 Pontos]]*$V$3</f>
        <v>0.30690726902173904</v>
      </c>
      <c r="Y727" s="39">
        <f>MIP_4[[#This Row],[HH disponível]]-MIP_4[[#This Row],[HH AC TOT]]</f>
        <v>0.3249999999999999</v>
      </c>
      <c r="Z727" s="38">
        <f ca="1">MIP_4[[#This Row],[HH Produtivo
Total]]/MIP_4[[#This Row],[HH Trabalhado]]</f>
        <v>0.94433005852842811</v>
      </c>
      <c r="AA727" s="38">
        <f ca="1">MIP_4[[#This Row],[HH Produtivo
Total]]/MIP_4[[#This Row],[HH disponível]]</f>
        <v>0.83701982460474267</v>
      </c>
      <c r="AB727" s="38">
        <f>MIP_4[[#This Row],[HH Trabalhado]]/MIP_4[[#This Row],[HH disponível]]</f>
        <v>0.88636363636363591</v>
      </c>
      <c r="AC727" s="37" t="str">
        <f>LEFT(MIP_4[[#This Row],[Equipe]], SEARCH("/",MIP_4[[#This Row],[Equipe]],1)-1)</f>
        <v xml:space="preserve">EDILTON </v>
      </c>
      <c r="AD727" s="37" t="str">
        <f>RIGHT(MIP_4[[#This Row],[Equipe]], LEN(MIP_4[[#This Row],[Equipe]])-SEARCH("/",MIP_4[[#This Row],[Equipe]],1))</f>
        <v xml:space="preserve"> GECIVALDO</v>
      </c>
      <c r="AE727" s="44">
        <f>COUNTIFS('[1]Tempo parado'!G:G,"&gt;="&amp;MIP_4[[#This Row],[S.B Sitrack]],'[1]Tempo parado'!H:H,"&lt;="&amp;MIP_4[[#This Row],[C.B Sitrack]],'[1]Tempo parado'!A:A,MIP_4[[#This Row],[Placa]])</f>
        <v>0</v>
      </c>
      <c r="AF727" s="36"/>
      <c r="AG727" s="35"/>
      <c r="AH727" s="34"/>
      <c r="AI727" s="34"/>
      <c r="AJ72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2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2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27" s="32" t="str">
        <f>IFERROR(MIP_4[[#This Row],[Tempo parado]]/(MIP_4[[#This Row],[C.B Sitrack]]-MIP_4[[#This Row],[S.B Sitrack]]),"")</f>
        <v/>
      </c>
      <c r="AN727" s="30"/>
      <c r="AO727" s="44">
        <f>IF(AND(MIP_4[Exc]=0,MIP_4[Previsto / Realizado]="Realizado"),MIP_4[Sem],0)</f>
        <v>0</v>
      </c>
      <c r="AP727" s="29">
        <f>IF(AND(MIP_4[Exc]=0,MIP_4[Previsto / Realizado]="Realizado",ISBLANK(MIP_4[[#This Row],[S.B Sitrack]])=FALSE,ISBLANK(MIP_4[[#This Row],[C.B Sitrack]])=FALSE),MIP_4[Sem],0)</f>
        <v>0</v>
      </c>
    </row>
    <row r="728" spans="1:42" ht="15.75" x14ac:dyDescent="0.25">
      <c r="A728" s="29">
        <f>WEEKNUM(MIP_4[[#This Row],[Data]])</f>
        <v>44</v>
      </c>
      <c r="B728" s="45">
        <v>43039</v>
      </c>
      <c r="C728" s="45"/>
      <c r="D728" s="46" t="s">
        <v>3</v>
      </c>
      <c r="E728" s="35" t="s">
        <v>2</v>
      </c>
      <c r="F728" s="35" t="s">
        <v>1</v>
      </c>
      <c r="G728" s="44">
        <v>2</v>
      </c>
      <c r="H728" s="44">
        <v>5</v>
      </c>
      <c r="I728" s="44">
        <v>3</v>
      </c>
      <c r="J728" s="44">
        <v>0</v>
      </c>
      <c r="K728" s="44">
        <v>0</v>
      </c>
      <c r="L728" s="43">
        <v>0.62638888888888888</v>
      </c>
      <c r="M728" s="43">
        <v>0.70833333333333337</v>
      </c>
      <c r="N728" s="43">
        <v>1.0277777777777777</v>
      </c>
      <c r="O728" s="43">
        <v>3.3333333333333333E-2</v>
      </c>
      <c r="P728" s="39"/>
      <c r="Q728" s="42" t="s">
        <v>32</v>
      </c>
      <c r="R728" s="29">
        <v>11</v>
      </c>
      <c r="S72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8.7500000000000244E-2</v>
      </c>
      <c r="T72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8.7500000000000244E-2</v>
      </c>
      <c r="U728" s="41">
        <f ca="1">MIP_4[[#This Row],[Eficiência]]</f>
        <v>0.92468002717391329</v>
      </c>
      <c r="V72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28" s="39">
        <f>IF(MIP_4[[#This Row],[P.S]]-MIP_4[[#This Row],[P.E]]&lt;0,1+MIP_4[[#This Row],[P.S]]-MIP_4[[#This Row],[P.E]]-1/24,MIP_4[[#This Row],[P.S]]-MIP_4[[#This Row],[P.E]]-1/24)</f>
        <v>0.36527777777777787</v>
      </c>
      <c r="X728" s="39">
        <f ca="1">MIP_4[[#This Row],[PT-1]]*$S$3+MIP_4[[#This Row],[PT-2]]*$T$3+MIP_4[[#This Row],[PT-3]]*$U$3+MIP_4[[#This Row],[PT &gt; 3 Pontos]]*$V$3</f>
        <v>0.25685556310386465</v>
      </c>
      <c r="Y728" s="39">
        <f>MIP_4[[#This Row],[HH disponível]]-MIP_4[[#This Row],[HH AC TOT]]</f>
        <v>0.27777777777777762</v>
      </c>
      <c r="Z728" s="38">
        <f ca="1">MIP_4[[#This Row],[HH Produtivo
Total]]/MIP_4[[#This Row],[HH Trabalhado]]</f>
        <v>0.92468002717391329</v>
      </c>
      <c r="AA728" s="38">
        <f ca="1">MIP_4[[#This Row],[HH Produtivo
Total]]/MIP_4[[#This Row],[HH disponível]]</f>
        <v>0.7031787278889069</v>
      </c>
      <c r="AB728" s="38">
        <f>MIP_4[[#This Row],[HH Trabalhado]]/MIP_4[[#This Row],[HH disponível]]</f>
        <v>0.76045627376425795</v>
      </c>
      <c r="AC728" s="37" t="str">
        <f>LEFT(MIP_4[[#This Row],[Equipe]], SEARCH("/",MIP_4[[#This Row],[Equipe]],1)-1)</f>
        <v xml:space="preserve">EDILTON </v>
      </c>
      <c r="AD728" s="37" t="str">
        <f>RIGHT(MIP_4[[#This Row],[Equipe]], LEN(MIP_4[[#This Row],[Equipe]])-SEARCH("/",MIP_4[[#This Row],[Equipe]],1))</f>
        <v xml:space="preserve"> GECIVALDO</v>
      </c>
      <c r="AE728" s="44">
        <f>COUNTIFS('[1]Tempo parado'!G:G,"&gt;="&amp;MIP_4[[#This Row],[S.B Sitrack]],'[1]Tempo parado'!H:H,"&lt;="&amp;MIP_4[[#This Row],[C.B Sitrack]],'[1]Tempo parado'!A:A,MIP_4[[#This Row],[Placa]])</f>
        <v>0</v>
      </c>
      <c r="AF728" s="36"/>
      <c r="AG728" s="35"/>
      <c r="AH728" s="34">
        <v>43039.717662037037</v>
      </c>
      <c r="AI728" s="34">
        <v>43040.013749999998</v>
      </c>
      <c r="AJ728" s="32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2.3611111111110868E-2</v>
      </c>
      <c r="AK72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54.600000000000009</v>
      </c>
      <c r="AL72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28" s="31">
        <f>IFERROR(MIP_4[[#This Row],[Tempo parado]]/(MIP_4[[#This Row],[C.B Sitrack]]-MIP_4[[#This Row],[S.B Sitrack]]),"")</f>
        <v>0</v>
      </c>
      <c r="AN728" s="30" t="s">
        <v>151</v>
      </c>
      <c r="AO728" s="44">
        <f>IF(AND(MIP_4[Exc]=0,MIP_4[Previsto / Realizado]="Realizado"),MIP_4[Sem],0)</f>
        <v>44</v>
      </c>
      <c r="AP728" s="29">
        <f>IF(AND(MIP_4[Exc]=0,MIP_4[Previsto / Realizado]="Realizado",ISBLANK(MIP_4[[#This Row],[S.B Sitrack]])=FALSE,ISBLANK(MIP_4[[#This Row],[C.B Sitrack]])=FALSE),MIP_4[Sem],0)</f>
        <v>44</v>
      </c>
    </row>
    <row r="729" spans="1:42" ht="15.75" x14ac:dyDescent="0.25">
      <c r="A729" s="29">
        <f>WEEKNUM(MIP_4[[#This Row],[Data]])</f>
        <v>44</v>
      </c>
      <c r="B729" s="45">
        <v>43040</v>
      </c>
      <c r="C729" s="45"/>
      <c r="D729" s="35" t="s">
        <v>10</v>
      </c>
      <c r="E729" s="35" t="s">
        <v>5</v>
      </c>
      <c r="F729" s="35"/>
      <c r="G729" s="44">
        <v>2</v>
      </c>
      <c r="H729" s="44">
        <v>3</v>
      </c>
      <c r="I729" s="44">
        <v>4</v>
      </c>
      <c r="J729" s="44">
        <v>0</v>
      </c>
      <c r="K729" s="44">
        <v>0</v>
      </c>
      <c r="L729" s="43">
        <v>0.25</v>
      </c>
      <c r="M729" s="43">
        <v>0.27083333333333331</v>
      </c>
      <c r="N729" s="43">
        <v>0.63750000000000007</v>
      </c>
      <c r="O729" s="43">
        <v>0.65833333333333333</v>
      </c>
      <c r="P729" s="39"/>
      <c r="Q729" s="42" t="s">
        <v>4</v>
      </c>
      <c r="R729" s="29">
        <v>11</v>
      </c>
      <c r="S72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72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729" s="41">
        <f ca="1">MIP_4[[#This Row],[Eficiência]]</f>
        <v>0.77142345627399944</v>
      </c>
      <c r="V72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29" s="39">
        <f>IF(MIP_4[[#This Row],[P.S]]-MIP_4[[#This Row],[P.E]]&lt;0,1+MIP_4[[#This Row],[P.S]]-MIP_4[[#This Row],[P.E]]-1/24,MIP_4[[#This Row],[P.S]]-MIP_4[[#This Row],[P.E]]-1/24)</f>
        <v>0.36666666666666664</v>
      </c>
      <c r="X729" s="39">
        <f ca="1">MIP_4[[#This Row],[PT-1]]*$S$3+MIP_4[[#This Row],[PT-2]]*$T$3+MIP_4[[#This Row],[PT-3]]*$U$3+MIP_4[[#This Row],[PT &gt; 3 Pontos]]*$V$3</f>
        <v>0.25071262328904986</v>
      </c>
      <c r="Y729" s="39">
        <f>MIP_4[[#This Row],[HH disponível]]-MIP_4[[#This Row],[HH AC TOT]]</f>
        <v>0.32500000000000007</v>
      </c>
      <c r="Z729" s="38">
        <f ca="1">MIP_4[[#This Row],[HH Produtivo
Total]]/MIP_4[[#This Row],[HH Trabalhado]]</f>
        <v>0.77142345627399944</v>
      </c>
      <c r="AA729" s="38">
        <f ca="1">MIP_4[[#This Row],[HH Produtivo
Total]]/MIP_4[[#This Row],[HH disponível]]</f>
        <v>0.68376169987922697</v>
      </c>
      <c r="AB729" s="38">
        <f>MIP_4[[#This Row],[HH Trabalhado]]/MIP_4[[#This Row],[HH disponível]]</f>
        <v>0.88636363636363658</v>
      </c>
      <c r="AC729" s="37" t="str">
        <f>LEFT(MIP_4[[#This Row],[Equipe]], SEARCH("/",MIP_4[[#This Row],[Equipe]],1)-1)</f>
        <v xml:space="preserve">JOILSON </v>
      </c>
      <c r="AD729" s="37" t="str">
        <f>RIGHT(MIP_4[[#This Row],[Equipe]], LEN(MIP_4[[#This Row],[Equipe]])-SEARCH("/",MIP_4[[#This Row],[Equipe]],1))</f>
        <v xml:space="preserve"> VALDEI</v>
      </c>
      <c r="AE729" s="44">
        <f>COUNTIFS('[1]Tempo parado'!G:G,"&gt;="&amp;MIP_4[[#This Row],[S.B Sitrack]],'[1]Tempo parado'!H:H,"&lt;="&amp;MIP_4[[#This Row],[C.B Sitrack]],'[1]Tempo parado'!A:A,MIP_4[[#This Row],[Placa]])</f>
        <v>0</v>
      </c>
      <c r="AF729" s="36"/>
      <c r="AG729" s="35"/>
      <c r="AH729" s="34"/>
      <c r="AI729" s="34"/>
      <c r="AJ72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2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2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29" s="32" t="str">
        <f>IFERROR(MIP_4[[#This Row],[Tempo parado]]/(MIP_4[[#This Row],[C.B Sitrack]]-MIP_4[[#This Row],[S.B Sitrack]]),"")</f>
        <v/>
      </c>
      <c r="AN729" s="30"/>
      <c r="AO729" s="44">
        <f>IF(AND(MIP_4[Exc]=0,MIP_4[Previsto / Realizado]="Realizado"),MIP_4[Sem],0)</f>
        <v>0</v>
      </c>
      <c r="AP729" s="29">
        <f>IF(AND(MIP_4[Exc]=0,MIP_4[Previsto / Realizado]="Realizado",ISBLANK(MIP_4[[#This Row],[S.B Sitrack]])=FALSE,ISBLANK(MIP_4[[#This Row],[C.B Sitrack]])=FALSE),MIP_4[Sem],0)</f>
        <v>0</v>
      </c>
    </row>
    <row r="730" spans="1:42" ht="15.75" x14ac:dyDescent="0.25">
      <c r="A730" s="29">
        <f>WEEKNUM(MIP_4[[#This Row],[Data]])</f>
        <v>44</v>
      </c>
      <c r="B730" s="45">
        <v>43040</v>
      </c>
      <c r="C730" s="45"/>
      <c r="D730" s="35" t="s">
        <v>10</v>
      </c>
      <c r="E730" s="35" t="s">
        <v>2</v>
      </c>
      <c r="F730" s="35" t="s">
        <v>1</v>
      </c>
      <c r="G730" s="44">
        <v>2</v>
      </c>
      <c r="H730" s="44">
        <v>5</v>
      </c>
      <c r="I730" s="44">
        <v>3</v>
      </c>
      <c r="J730" s="44">
        <v>0</v>
      </c>
      <c r="K730" s="44">
        <v>0</v>
      </c>
      <c r="L730" s="43">
        <v>0.25277777777777777</v>
      </c>
      <c r="M730" s="43">
        <v>0.27083333333333331</v>
      </c>
      <c r="N730" s="43">
        <v>0.58333333333333337</v>
      </c>
      <c r="O730" s="43">
        <v>0.71180555555555547</v>
      </c>
      <c r="P730" s="39"/>
      <c r="Q730" s="42" t="s">
        <v>32</v>
      </c>
      <c r="R730" s="29">
        <v>11</v>
      </c>
      <c r="S73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0.14652777777777765</v>
      </c>
      <c r="T73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0.14652777777777765</v>
      </c>
      <c r="U730" s="41">
        <f ca="1">MIP_4[[#This Row],[Eficiência]]</f>
        <v>0.94838977146042314</v>
      </c>
      <c r="V73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30" s="39">
        <f>IF(MIP_4[[#This Row],[P.S]]-MIP_4[[#This Row],[P.E]]&lt;0,1+MIP_4[[#This Row],[P.S]]-MIP_4[[#This Row],[P.E]]-1/24,MIP_4[[#This Row],[P.S]]-MIP_4[[#This Row],[P.E]]-1/24)</f>
        <v>0.41736111111111102</v>
      </c>
      <c r="X730" s="39">
        <f ca="1">MIP_4[[#This Row],[PT-1]]*$S$3+MIP_4[[#This Row],[PT-2]]*$T$3+MIP_4[[#This Row],[PT-3]]*$U$3+MIP_4[[#This Row],[PT &gt; 3 Pontos]]*$V$3</f>
        <v>0.25685556310386465</v>
      </c>
      <c r="Y730" s="39">
        <f>MIP_4[[#This Row],[HH disponível]]-MIP_4[[#This Row],[HH AC TOT]]</f>
        <v>0.27083333333333337</v>
      </c>
      <c r="Z730" s="38">
        <f ca="1">MIP_4[[#This Row],[HH Produtivo
Total]]/MIP_4[[#This Row],[HH Trabalhado]]</f>
        <v>0.94838977146042314</v>
      </c>
      <c r="AA730" s="38">
        <f ca="1">MIP_4[[#This Row],[HH Produtivo
Total]]/MIP_4[[#This Row],[HH disponível]]</f>
        <v>0.61542763871807848</v>
      </c>
      <c r="AB730" s="38">
        <f>MIP_4[[#This Row],[HH Trabalhado]]/MIP_4[[#This Row],[HH disponível]]</f>
        <v>0.64891846921797025</v>
      </c>
      <c r="AC730" s="37" t="str">
        <f>LEFT(MIP_4[[#This Row],[Equipe]], SEARCH("/",MIP_4[[#This Row],[Equipe]],1)-1)</f>
        <v xml:space="preserve">JOILSON </v>
      </c>
      <c r="AD730" s="37" t="str">
        <f>RIGHT(MIP_4[[#This Row],[Equipe]], LEN(MIP_4[[#This Row],[Equipe]])-SEARCH("/",MIP_4[[#This Row],[Equipe]],1))</f>
        <v xml:space="preserve"> VALDEI</v>
      </c>
      <c r="AE730" s="44">
        <f>COUNTIFS('[1]Tempo parado'!G:G,"&gt;="&amp;MIP_4[[#This Row],[S.B Sitrack]],'[1]Tempo parado'!H:H,"&lt;="&amp;MIP_4[[#This Row],[C.B Sitrack]],'[1]Tempo parado'!A:A,MIP_4[[#This Row],[Placa]])</f>
        <v>0</v>
      </c>
      <c r="AF730" s="36"/>
      <c r="AG730" s="35"/>
      <c r="AH730" s="34">
        <v>43040.276458333334</v>
      </c>
      <c r="AI730" s="34">
        <v>43040.595324074071</v>
      </c>
      <c r="AJ730" s="32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1.7361111111111049E-2</v>
      </c>
      <c r="AK73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33.099999999999994</v>
      </c>
      <c r="AL73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30" s="31">
        <f>IFERROR(MIP_4[[#This Row],[Tempo parado]]/(MIP_4[[#This Row],[C.B Sitrack]]-MIP_4[[#This Row],[S.B Sitrack]]),"")</f>
        <v>0</v>
      </c>
      <c r="AN730" s="30"/>
      <c r="AO730" s="44">
        <f>IF(AND(MIP_4[Exc]=0,MIP_4[Previsto / Realizado]="Realizado"),MIP_4[Sem],0)</f>
        <v>44</v>
      </c>
      <c r="AP730" s="29">
        <f>IF(AND(MIP_4[Exc]=0,MIP_4[Previsto / Realizado]="Realizado",ISBLANK(MIP_4[[#This Row],[S.B Sitrack]])=FALSE,ISBLANK(MIP_4[[#This Row],[C.B Sitrack]])=FALSE),MIP_4[Sem],0)</f>
        <v>44</v>
      </c>
    </row>
    <row r="731" spans="1:42" ht="15.75" x14ac:dyDescent="0.25">
      <c r="A731" s="29">
        <f>WEEKNUM(MIP_4[[#This Row],[Data]])</f>
        <v>44</v>
      </c>
      <c r="B731" s="45">
        <v>43041</v>
      </c>
      <c r="C731" s="45"/>
      <c r="D731" s="35" t="s">
        <v>7</v>
      </c>
      <c r="E731" s="35" t="s">
        <v>5</v>
      </c>
      <c r="F731" s="35"/>
      <c r="G731" s="44">
        <v>2</v>
      </c>
      <c r="H731" s="44">
        <v>3</v>
      </c>
      <c r="I731" s="44">
        <v>4</v>
      </c>
      <c r="J731" s="44">
        <v>1</v>
      </c>
      <c r="K731" s="44">
        <v>0</v>
      </c>
      <c r="L731" s="43">
        <v>0.625</v>
      </c>
      <c r="M731" s="43">
        <v>0.64583333333333337</v>
      </c>
      <c r="N731" s="43">
        <v>1.0125</v>
      </c>
      <c r="O731" s="43">
        <v>1.0333333333333334</v>
      </c>
      <c r="P731" s="39"/>
      <c r="Q731" s="42"/>
      <c r="R731" s="29">
        <v>14</v>
      </c>
      <c r="S73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73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731" s="41">
        <f ca="1">MIP_4[[#This Row],[Eficiência]]</f>
        <v>0.96462862318840603</v>
      </c>
      <c r="V73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31" s="39">
        <f>IF(MIP_4[[#This Row],[P.S]]-MIP_4[[#This Row],[P.E]]&lt;0,1+MIP_4[[#This Row],[P.S]]-MIP_4[[#This Row],[P.E]]-1/24,MIP_4[[#This Row],[P.S]]-MIP_4[[#This Row],[P.E]]-1/24)</f>
        <v>0.36666666666666675</v>
      </c>
      <c r="X731" s="39">
        <f ca="1">MIP_4[[#This Row],[PT-1]]*$S$3+MIP_4[[#This Row],[PT-2]]*$T$3+MIP_4[[#This Row],[PT-3]]*$U$3+MIP_4[[#This Row],[PT &gt; 3 Pontos]]*$V$3</f>
        <v>0.31350430253623185</v>
      </c>
      <c r="Y731" s="39">
        <f>MIP_4[[#This Row],[HH disponível]]-MIP_4[[#This Row],[HH AC TOT]]</f>
        <v>0.3249999999999999</v>
      </c>
      <c r="Z731" s="38">
        <f ca="1">MIP_4[[#This Row],[HH Produtivo
Total]]/MIP_4[[#This Row],[HH Trabalhado]]</f>
        <v>0.96462862318840603</v>
      </c>
      <c r="AA731" s="38">
        <f ca="1">MIP_4[[#This Row],[HH Produtivo
Total]]/MIP_4[[#This Row],[HH disponível]]</f>
        <v>0.85501173418972298</v>
      </c>
      <c r="AB731" s="38">
        <f>MIP_4[[#This Row],[HH Trabalhado]]/MIP_4[[#This Row],[HH disponível]]</f>
        <v>0.88636363636363591</v>
      </c>
      <c r="AC731" s="37" t="str">
        <f>LEFT(MIP_4[[#This Row],[Equipe]], SEARCH("/",MIP_4[[#This Row],[Equipe]],1)-1)</f>
        <v xml:space="preserve">ANDERSON </v>
      </c>
      <c r="AD731" s="37" t="str">
        <f>RIGHT(MIP_4[[#This Row],[Equipe]], LEN(MIP_4[[#This Row],[Equipe]])-SEARCH("/",MIP_4[[#This Row],[Equipe]],1))</f>
        <v xml:space="preserve"> MARCO</v>
      </c>
      <c r="AE731" s="44">
        <f>COUNTIFS('[1]Tempo parado'!G:G,"&gt;="&amp;MIP_4[[#This Row],[S.B Sitrack]],'[1]Tempo parado'!H:H,"&lt;="&amp;MIP_4[[#This Row],[C.B Sitrack]],'[1]Tempo parado'!A:A,MIP_4[[#This Row],[Placa]])</f>
        <v>0</v>
      </c>
      <c r="AF731" s="36"/>
      <c r="AG731" s="35"/>
      <c r="AH731" s="34"/>
      <c r="AI731" s="34"/>
      <c r="AJ73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3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3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31" s="32" t="str">
        <f>IFERROR(MIP_4[[#This Row],[Tempo parado]]/(MIP_4[[#This Row],[C.B Sitrack]]-MIP_4[[#This Row],[S.B Sitrack]]),"")</f>
        <v/>
      </c>
      <c r="AN731" s="30"/>
      <c r="AO731" s="44">
        <f>IF(AND(MIP_4[Exc]=0,MIP_4[Previsto / Realizado]="Realizado"),MIP_4[Sem],0)</f>
        <v>0</v>
      </c>
      <c r="AP731" s="29">
        <f>IF(AND(MIP_4[Exc]=0,MIP_4[Previsto / Realizado]="Realizado",ISBLANK(MIP_4[[#This Row],[S.B Sitrack]])=FALSE,ISBLANK(MIP_4[[#This Row],[C.B Sitrack]])=FALSE),MIP_4[Sem],0)</f>
        <v>0</v>
      </c>
    </row>
    <row r="732" spans="1:42" ht="15.75" x14ac:dyDescent="0.25">
      <c r="A732" s="29">
        <f>WEEKNUM(MIP_4[[#This Row],[Data]])</f>
        <v>44</v>
      </c>
      <c r="B732" s="45">
        <v>43041</v>
      </c>
      <c r="C732" s="45"/>
      <c r="D732" s="35" t="s">
        <v>7</v>
      </c>
      <c r="E732" s="35" t="s">
        <v>2</v>
      </c>
      <c r="F732" s="35" t="s">
        <v>6</v>
      </c>
      <c r="G732" s="44">
        <v>2</v>
      </c>
      <c r="H732" s="44">
        <v>3</v>
      </c>
      <c r="I732" s="44">
        <v>4</v>
      </c>
      <c r="J732" s="44">
        <v>1</v>
      </c>
      <c r="K732" s="44">
        <v>0</v>
      </c>
      <c r="L732" s="43">
        <v>0.6430555555555556</v>
      </c>
      <c r="M732" s="43">
        <v>0.66666666666666663</v>
      </c>
      <c r="N732" s="43">
        <v>1</v>
      </c>
      <c r="O732" s="43">
        <v>3.4027777777777775E-2</v>
      </c>
      <c r="P732" s="39"/>
      <c r="Q732" s="42"/>
      <c r="R732" s="29">
        <v>14</v>
      </c>
      <c r="S73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5.7638888888888795E-2</v>
      </c>
      <c r="T73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5.7638888888888795E-2</v>
      </c>
      <c r="U732" s="41">
        <f ca="1">MIP_4[[#This Row],[Eficiência]]</f>
        <v>1.0748718944099378</v>
      </c>
      <c r="V73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32" s="39">
        <f>IF(MIP_4[[#This Row],[P.S]]-MIP_4[[#This Row],[P.E]]&lt;0,1+MIP_4[[#This Row],[P.S]]-MIP_4[[#This Row],[P.E]]-1/24,MIP_4[[#This Row],[P.S]]-MIP_4[[#This Row],[P.E]]-1/24)</f>
        <v>0.34930555555555548</v>
      </c>
      <c r="X732" s="39">
        <f ca="1">MIP_4[[#This Row],[PT-1]]*$S$3+MIP_4[[#This Row],[PT-2]]*$T$3+MIP_4[[#This Row],[PT-3]]*$U$3+MIP_4[[#This Row],[PT &gt; 3 Pontos]]*$V$3</f>
        <v>0.31350430253623185</v>
      </c>
      <c r="Y732" s="39">
        <f>MIP_4[[#This Row],[HH disponível]]-MIP_4[[#This Row],[HH AC TOT]]</f>
        <v>0.29166666666666669</v>
      </c>
      <c r="Z732" s="38">
        <f ca="1">MIP_4[[#This Row],[HH Produtivo
Total]]/MIP_4[[#This Row],[HH Trabalhado]]</f>
        <v>1.0748718944099378</v>
      </c>
      <c r="AA732" s="38">
        <f ca="1">MIP_4[[#This Row],[HH Produtivo
Total]]/MIP_4[[#This Row],[HH disponível]]</f>
        <v>0.89750734722102177</v>
      </c>
      <c r="AB732" s="38">
        <f>MIP_4[[#This Row],[HH Trabalhado]]/MIP_4[[#This Row],[HH disponível]]</f>
        <v>0.83499005964214734</v>
      </c>
      <c r="AC732" s="37" t="str">
        <f>LEFT(MIP_4[[#This Row],[Equipe]], SEARCH("/",MIP_4[[#This Row],[Equipe]],1)-1)</f>
        <v xml:space="preserve">ANDERSON </v>
      </c>
      <c r="AD732" s="37" t="str">
        <f>RIGHT(MIP_4[[#This Row],[Equipe]], LEN(MIP_4[[#This Row],[Equipe]])-SEARCH("/",MIP_4[[#This Row],[Equipe]],1))</f>
        <v xml:space="preserve"> MARCO</v>
      </c>
      <c r="AE732" s="44">
        <f>COUNTIFS('[1]Tempo parado'!G:G,"&gt;="&amp;MIP_4[[#This Row],[S.B Sitrack]],'[1]Tempo parado'!H:H,"&lt;="&amp;MIP_4[[#This Row],[C.B Sitrack]],'[1]Tempo parado'!A:A,MIP_4[[#This Row],[Placa]])</f>
        <v>0</v>
      </c>
      <c r="AF732" s="36"/>
      <c r="AG732" s="35"/>
      <c r="AH732" s="34"/>
      <c r="AI732" s="34"/>
      <c r="AJ73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3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3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32" s="31" t="str">
        <f>IFERROR(MIP_4[[#This Row],[Tempo parado]]/(MIP_4[[#This Row],[C.B Sitrack]]-MIP_4[[#This Row],[S.B Sitrack]]),"")</f>
        <v/>
      </c>
      <c r="AN732" s="30"/>
      <c r="AO732" s="44">
        <f>IF(AND(MIP_4[Exc]=0,MIP_4[Previsto / Realizado]="Realizado"),MIP_4[Sem],0)</f>
        <v>44</v>
      </c>
      <c r="AP732" s="29">
        <f>IF(AND(MIP_4[Exc]=0,MIP_4[Previsto / Realizado]="Realizado",ISBLANK(MIP_4[[#This Row],[S.B Sitrack]])=FALSE,ISBLANK(MIP_4[[#This Row],[C.B Sitrack]])=FALSE),MIP_4[Sem],0)</f>
        <v>0</v>
      </c>
    </row>
    <row r="733" spans="1:42" ht="15.75" x14ac:dyDescent="0.25">
      <c r="A733" s="29">
        <f>WEEKNUM(MIP_4[[#This Row],[Data]])</f>
        <v>44</v>
      </c>
      <c r="B733" s="45">
        <v>43041</v>
      </c>
      <c r="C733" s="45"/>
      <c r="D733" s="35" t="s">
        <v>149</v>
      </c>
      <c r="E733" s="35" t="s">
        <v>5</v>
      </c>
      <c r="F733" s="35"/>
      <c r="G733" s="44">
        <v>3</v>
      </c>
      <c r="H733" s="44">
        <v>0</v>
      </c>
      <c r="I733" s="44">
        <v>1</v>
      </c>
      <c r="J733" s="44">
        <v>0</v>
      </c>
      <c r="K733" s="44">
        <v>0</v>
      </c>
      <c r="L733" s="43">
        <v>0.91666666666666663</v>
      </c>
      <c r="M733" s="43">
        <v>0.9375</v>
      </c>
      <c r="N733" s="43">
        <v>1.2291666666666667</v>
      </c>
      <c r="O733" s="43">
        <v>1.25</v>
      </c>
      <c r="P733" s="39"/>
      <c r="Q733" s="42" t="s">
        <v>4</v>
      </c>
      <c r="R733" s="29">
        <v>2</v>
      </c>
      <c r="S73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4.166666666666663E-2</v>
      </c>
      <c r="T73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4.166666666666663E-2</v>
      </c>
      <c r="U733" s="41">
        <f ca="1">MIP_4[[#This Row],[Eficiência]]</f>
        <v>0.17563506441223831</v>
      </c>
      <c r="V73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33" s="39">
        <f>IF(MIP_4[[#This Row],[P.S]]-MIP_4[[#This Row],[P.E]]&lt;0,1+MIP_4[[#This Row],[P.S]]-MIP_4[[#This Row],[P.E]]-1/24,MIP_4[[#This Row],[P.S]]-MIP_4[[#This Row],[P.E]]-1/24)</f>
        <v>0.29166666666666669</v>
      </c>
      <c r="X733" s="39">
        <f ca="1">MIP_4[[#This Row],[PT-1]]*$S$3+MIP_4[[#This Row],[PT-2]]*$T$3+MIP_4[[#This Row],[PT-3]]*$U$3+MIP_4[[#This Row],[PT &gt; 3 Pontos]]*$V$3</f>
        <v>4.3908766103059584E-2</v>
      </c>
      <c r="Y733" s="39">
        <f>MIP_4[[#This Row],[HH disponível]]-MIP_4[[#This Row],[HH AC TOT]]</f>
        <v>0.25000000000000006</v>
      </c>
      <c r="Z733" s="38">
        <f ca="1">MIP_4[[#This Row],[HH Produtivo
Total]]/MIP_4[[#This Row],[HH Trabalhado]]</f>
        <v>0.17563506441223831</v>
      </c>
      <c r="AA733" s="38">
        <f ca="1">MIP_4[[#This Row],[HH Produtivo
Total]]/MIP_4[[#This Row],[HH disponível]]</f>
        <v>0.1505443409247757</v>
      </c>
      <c r="AB733" s="38">
        <f>MIP_4[[#This Row],[HH Trabalhado]]/MIP_4[[#This Row],[HH disponível]]</f>
        <v>0.85714285714285732</v>
      </c>
      <c r="AC733" s="37" t="str">
        <f>LEFT(MIP_4[[#This Row],[Equipe]], SEARCH("/",MIP_4[[#This Row],[Equipe]],1)-1)</f>
        <v xml:space="preserve">ADEMÁRIO </v>
      </c>
      <c r="AD733" s="37" t="str">
        <f>RIGHT(MIP_4[[#This Row],[Equipe]], LEN(MIP_4[[#This Row],[Equipe]])-SEARCH("/",MIP_4[[#This Row],[Equipe]],1))</f>
        <v xml:space="preserve"> RONALDO / HENRIQUE</v>
      </c>
      <c r="AE733" s="44">
        <f>COUNTIFS('[1]Tempo parado'!G:G,"&gt;="&amp;MIP_4[[#This Row],[S.B Sitrack]],'[1]Tempo parado'!H:H,"&lt;="&amp;MIP_4[[#This Row],[C.B Sitrack]],'[1]Tempo parado'!A:A,MIP_4[[#This Row],[Placa]])</f>
        <v>0</v>
      </c>
      <c r="AF733" s="36"/>
      <c r="AG733" s="35"/>
      <c r="AH733" s="34"/>
      <c r="AI733" s="34"/>
      <c r="AJ73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3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3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33" s="32" t="str">
        <f>IFERROR(MIP_4[[#This Row],[Tempo parado]]/(MIP_4[[#This Row],[C.B Sitrack]]-MIP_4[[#This Row],[S.B Sitrack]]),"")</f>
        <v/>
      </c>
      <c r="AN733" s="30"/>
      <c r="AO733" s="44">
        <f>IF(AND(MIP_4[Exc]=0,MIP_4[Previsto / Realizado]="Realizado"),MIP_4[Sem],0)</f>
        <v>0</v>
      </c>
      <c r="AP733" s="29">
        <f>IF(AND(MIP_4[Exc]=0,MIP_4[Previsto / Realizado]="Realizado",ISBLANK(MIP_4[[#This Row],[S.B Sitrack]])=FALSE,ISBLANK(MIP_4[[#This Row],[C.B Sitrack]])=FALSE),MIP_4[Sem],0)</f>
        <v>0</v>
      </c>
    </row>
    <row r="734" spans="1:42" ht="15.75" x14ac:dyDescent="0.25">
      <c r="A734" s="77">
        <f>WEEKNUM(MIP_4[[#This Row],[Data]])</f>
        <v>44</v>
      </c>
      <c r="B734" s="81">
        <v>43041</v>
      </c>
      <c r="C734" s="81"/>
      <c r="D734" s="80" t="s">
        <v>149</v>
      </c>
      <c r="E734" s="80" t="s">
        <v>2</v>
      </c>
      <c r="F734" s="80" t="s">
        <v>39</v>
      </c>
      <c r="G734" s="44">
        <v>3</v>
      </c>
      <c r="H734" s="44">
        <v>8</v>
      </c>
      <c r="I734" s="44">
        <v>1</v>
      </c>
      <c r="J734" s="44">
        <v>0</v>
      </c>
      <c r="K734" s="44">
        <v>0</v>
      </c>
      <c r="L734" s="79">
        <v>0.93125000000000002</v>
      </c>
      <c r="M734" s="79">
        <v>0.95138888888888884</v>
      </c>
      <c r="N734" s="79">
        <v>1.2270833333333333</v>
      </c>
      <c r="O734" s="79">
        <v>0.25138888888888888</v>
      </c>
      <c r="P734" s="78"/>
      <c r="Q734" s="42" t="s">
        <v>150</v>
      </c>
      <c r="R734" s="77">
        <v>10</v>
      </c>
      <c r="S73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4.4444444444444398E-2</v>
      </c>
      <c r="T73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4.4444444444444398E-2</v>
      </c>
      <c r="U734" s="41">
        <f ca="1">MIP_4[[#This Row],[Eficiência]]</f>
        <v>1.0431051907280775</v>
      </c>
      <c r="V73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34" s="39">
        <f>IF(MIP_4[[#This Row],[P.S]]-MIP_4[[#This Row],[P.E]]&lt;0,1+MIP_4[[#This Row],[P.S]]-MIP_4[[#This Row],[P.E]]-1/24,MIP_4[[#This Row],[P.S]]-MIP_4[[#This Row],[P.E]]-1/24)</f>
        <v>0.27847222222222218</v>
      </c>
      <c r="X734" s="39">
        <f ca="1">MIP_4[[#This Row],[PT-1]]*$S$3+MIP_4[[#This Row],[PT-2]]*$T$3+MIP_4[[#This Row],[PT-3]]*$U$3+MIP_4[[#This Row],[PT &gt; 3 Pontos]]*$V$3</f>
        <v>0.24411558977455702</v>
      </c>
      <c r="Y734" s="39">
        <f>MIP_4[[#This Row],[HH disponível]]-MIP_4[[#This Row],[HH AC TOT]]</f>
        <v>0.23402777777777778</v>
      </c>
      <c r="Z734" s="38">
        <f ca="1">MIP_4[[#This Row],[HH Produtivo
Total]]/MIP_4[[#This Row],[HH Trabalhado]]</f>
        <v>1.0431051907280775</v>
      </c>
      <c r="AA734" s="38">
        <f ca="1">MIP_4[[#This Row],[HH Produtivo
Total]]/MIP_4[[#This Row],[HH disponível]]</f>
        <v>0.87662456178394554</v>
      </c>
      <c r="AB734" s="38">
        <f>MIP_4[[#This Row],[HH Trabalhado]]/MIP_4[[#This Row],[HH disponível]]</f>
        <v>0.84039900249376576</v>
      </c>
      <c r="AC734" s="37" t="str">
        <f>LEFT(MIP_4[[#This Row],[Equipe]], SEARCH("/",MIP_4[[#This Row],[Equipe]],1)-1)</f>
        <v xml:space="preserve">ADEMÁRIO </v>
      </c>
      <c r="AD734" s="37" t="str">
        <f>RIGHT(MIP_4[[#This Row],[Equipe]], LEN(MIP_4[[#This Row],[Equipe]])-SEARCH("/",MIP_4[[#This Row],[Equipe]],1))</f>
        <v xml:space="preserve"> RONALDO / HENRIQUE</v>
      </c>
      <c r="AE734" s="76">
        <f>COUNTIFS('[1]Tempo parado'!G:G,"&gt;="&amp;MIP_4[[#This Row],[S.B Sitrack]],'[1]Tempo parado'!H:H,"&lt;="&amp;MIP_4[[#This Row],[C.B Sitrack]],'[1]Tempo parado'!A:A,MIP_4[[#This Row],[Placa]])</f>
        <v>0</v>
      </c>
      <c r="AF734" s="36"/>
      <c r="AG734" s="35"/>
      <c r="AH734" s="75">
        <v>43041.951192129629</v>
      </c>
      <c r="AI734" s="75">
        <v>43042.216770833336</v>
      </c>
      <c r="AJ734" s="32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1.1111111111111072E-2</v>
      </c>
      <c r="AK734" s="74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8.3000000000000007</v>
      </c>
      <c r="AL734" s="73">
        <f>SUMIFS('[1]Tempo parado'!I:I,'[1]Tempo parado'!G:G,"&gt;="&amp;MIP_4[[#This Row],[S.B Sitrack]],'[1]Tempo parado'!H:H,"&lt;="&amp;MIP_4[[#This Row],[C.B Sitrack]],'[1]Tempo parado'!A:A,MIP_4[[#This Row],[Placa]])</f>
        <v>0</v>
      </c>
      <c r="AM734" s="72">
        <f>IFERROR(MIP_4[[#This Row],[Tempo parado]]/(MIP_4[[#This Row],[C.B Sitrack]]-MIP_4[[#This Row],[S.B Sitrack]]),"")</f>
        <v>0</v>
      </c>
      <c r="AN734" s="30"/>
      <c r="AO734" s="44">
        <f>IF(AND(MIP_4[Exc]=0,MIP_4[Previsto / Realizado]="Realizado"),MIP_4[Sem],0)</f>
        <v>44</v>
      </c>
      <c r="AP734" s="29">
        <f>IF(AND(MIP_4[Exc]=0,MIP_4[Previsto / Realizado]="Realizado",ISBLANK(MIP_4[[#This Row],[S.B Sitrack]])=FALSE,ISBLANK(MIP_4[[#This Row],[C.B Sitrack]])=FALSE),MIP_4[Sem],0)</f>
        <v>44</v>
      </c>
    </row>
    <row r="735" spans="1:42" ht="15.75" x14ac:dyDescent="0.25">
      <c r="A735" s="29">
        <f>WEEKNUM(MIP_4[[#This Row],[Data]])</f>
        <v>44</v>
      </c>
      <c r="B735" s="45">
        <v>43042</v>
      </c>
      <c r="C735" s="45"/>
      <c r="D735" s="35" t="s">
        <v>10</v>
      </c>
      <c r="E735" s="35" t="s">
        <v>5</v>
      </c>
      <c r="F735" s="35"/>
      <c r="G735" s="44">
        <v>2</v>
      </c>
      <c r="H735" s="44">
        <v>1</v>
      </c>
      <c r="I735" s="44">
        <v>0</v>
      </c>
      <c r="J735" s="44">
        <v>0</v>
      </c>
      <c r="K735" s="44">
        <v>0</v>
      </c>
      <c r="L735" s="43">
        <v>0.25</v>
      </c>
      <c r="M735" s="43">
        <v>0.27083333333333331</v>
      </c>
      <c r="N735" s="43">
        <v>0.63750000000000007</v>
      </c>
      <c r="O735" s="43">
        <v>0.65833333333333333</v>
      </c>
      <c r="P735" s="39"/>
      <c r="Q735" s="42" t="s">
        <v>4</v>
      </c>
      <c r="R735" s="29">
        <v>1</v>
      </c>
      <c r="S73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73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735" s="41">
        <f ca="1">MIP_4[[#This Row],[Eficiência]]</f>
        <v>7.7002624489037469E-2</v>
      </c>
      <c r="V73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35" s="39">
        <f>IF(MIP_4[[#This Row],[P.S]]-MIP_4[[#This Row],[P.E]]&lt;0,1+MIP_4[[#This Row],[P.S]]-MIP_4[[#This Row],[P.E]]-1/24,MIP_4[[#This Row],[P.S]]-MIP_4[[#This Row],[P.E]]-1/24)</f>
        <v>0.36666666666666664</v>
      </c>
      <c r="X735" s="39">
        <f ca="1">MIP_4[[#This Row],[PT-1]]*$S$3+MIP_4[[#This Row],[PT-2]]*$T$3+MIP_4[[#This Row],[PT-3]]*$U$3+MIP_4[[#This Row],[PT &gt; 3 Pontos]]*$V$3</f>
        <v>2.5025852958937181E-2</v>
      </c>
      <c r="Y735" s="39">
        <f>MIP_4[[#This Row],[HH disponível]]-MIP_4[[#This Row],[HH AC TOT]]</f>
        <v>0.32500000000000007</v>
      </c>
      <c r="Z735" s="38">
        <f ca="1">MIP_4[[#This Row],[HH Produtivo
Total]]/MIP_4[[#This Row],[HH Trabalhado]]</f>
        <v>7.7002624489037469E-2</v>
      </c>
      <c r="AA735" s="38">
        <f ca="1">MIP_4[[#This Row],[HH Produtivo
Total]]/MIP_4[[#This Row],[HH disponível]]</f>
        <v>6.8252326251646858E-2</v>
      </c>
      <c r="AB735" s="38">
        <f>MIP_4[[#This Row],[HH Trabalhado]]/MIP_4[[#This Row],[HH disponível]]</f>
        <v>0.88636363636363658</v>
      </c>
      <c r="AC735" s="37" t="str">
        <f>LEFT(MIP_4[[#This Row],[Equipe]], SEARCH("/",MIP_4[[#This Row],[Equipe]],1)-1)</f>
        <v xml:space="preserve">JOILSON </v>
      </c>
      <c r="AD735" s="37" t="str">
        <f>RIGHT(MIP_4[[#This Row],[Equipe]], LEN(MIP_4[[#This Row],[Equipe]])-SEARCH("/",MIP_4[[#This Row],[Equipe]],1))</f>
        <v xml:space="preserve"> VALDEI</v>
      </c>
      <c r="AE735" s="44">
        <f>COUNTIFS('[1]Tempo parado'!G:G,"&gt;="&amp;MIP_4[[#This Row],[S.B Sitrack]],'[1]Tempo parado'!H:H,"&lt;="&amp;MIP_4[[#This Row],[C.B Sitrack]],'[1]Tempo parado'!A:A,MIP_4[[#This Row],[Placa]])</f>
        <v>0</v>
      </c>
      <c r="AF735" s="36"/>
      <c r="AG735" s="35"/>
      <c r="AH735" s="34"/>
      <c r="AI735" s="34"/>
      <c r="AJ73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3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3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35" s="32" t="str">
        <f>IFERROR(MIP_4[[#This Row],[Tempo parado]]/(MIP_4[[#This Row],[C.B Sitrack]]-MIP_4[[#This Row],[S.B Sitrack]]),"")</f>
        <v/>
      </c>
      <c r="AN735" s="30"/>
      <c r="AO735" s="44">
        <f>IF(AND(MIP_4[Exc]=0,MIP_4[Previsto / Realizado]="Realizado"),MIP_4[Sem],0)</f>
        <v>0</v>
      </c>
      <c r="AP735" s="29">
        <f>IF(AND(MIP_4[Exc]=0,MIP_4[Previsto / Realizado]="Realizado",ISBLANK(MIP_4[[#This Row],[S.B Sitrack]])=FALSE,ISBLANK(MIP_4[[#This Row],[C.B Sitrack]])=FALSE),MIP_4[Sem],0)</f>
        <v>0</v>
      </c>
    </row>
    <row r="736" spans="1:42" ht="15.75" x14ac:dyDescent="0.25">
      <c r="A736" s="29">
        <f>WEEKNUM(MIP_4[[#This Row],[Data]])</f>
        <v>44</v>
      </c>
      <c r="B736" s="45">
        <v>43042</v>
      </c>
      <c r="C736" s="45"/>
      <c r="D736" s="35" t="s">
        <v>10</v>
      </c>
      <c r="E736" s="35" t="s">
        <v>2</v>
      </c>
      <c r="F736" s="35" t="s">
        <v>1</v>
      </c>
      <c r="G736" s="44">
        <v>2</v>
      </c>
      <c r="H736" s="44">
        <v>3</v>
      </c>
      <c r="I736" s="44">
        <v>2</v>
      </c>
      <c r="J736" s="44">
        <v>1</v>
      </c>
      <c r="K736" s="44">
        <v>0</v>
      </c>
      <c r="L736" s="43">
        <v>0.25763888888888892</v>
      </c>
      <c r="M736" s="43">
        <v>0.27847222222222223</v>
      </c>
      <c r="N736" s="43">
        <v>0.6166666666666667</v>
      </c>
      <c r="O736" s="43">
        <v>0.66111111111111109</v>
      </c>
      <c r="P736" s="39"/>
      <c r="Q736" s="42" t="s">
        <v>88</v>
      </c>
      <c r="R736" s="29">
        <v>10</v>
      </c>
      <c r="S73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6.5277777777777712E-2</v>
      </c>
      <c r="T73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6.5277777777777712E-2</v>
      </c>
      <c r="U736" s="41">
        <f ca="1">MIP_4[[#This Row],[Eficiência]]</f>
        <v>0.76109824186267516</v>
      </c>
      <c r="V73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36" s="39">
        <f>IF(MIP_4[[#This Row],[P.S]]-MIP_4[[#This Row],[P.E]]&lt;0,1+MIP_4[[#This Row],[P.S]]-MIP_4[[#This Row],[P.E]]-1/24,MIP_4[[#This Row],[P.S]]-MIP_4[[#This Row],[P.E]]-1/24)</f>
        <v>0.36180555555555549</v>
      </c>
      <c r="X736" s="39">
        <f ca="1">MIP_4[[#This Row],[PT-1]]*$S$3+MIP_4[[#This Row],[PT-2]]*$T$3+MIP_4[[#This Row],[PT-3]]*$U$3+MIP_4[[#This Row],[PT &gt; 3 Pontos]]*$V$3</f>
        <v>0.2256867703301127</v>
      </c>
      <c r="Y736" s="39">
        <f>MIP_4[[#This Row],[HH disponível]]-MIP_4[[#This Row],[HH AC TOT]]</f>
        <v>0.29652777777777778</v>
      </c>
      <c r="Z736" s="38">
        <f ca="1">MIP_4[[#This Row],[HH Produtivo
Total]]/MIP_4[[#This Row],[HH Trabalhado]]</f>
        <v>0.76109824186267516</v>
      </c>
      <c r="AA736" s="38">
        <f ca="1">MIP_4[[#This Row],[HH Produtivo
Total]]/MIP_4[[#This Row],[HH disponível]]</f>
        <v>0.62377917327324828</v>
      </c>
      <c r="AB736" s="38">
        <f>MIP_4[[#This Row],[HH Trabalhado]]/MIP_4[[#This Row],[HH disponível]]</f>
        <v>0.81957773512476018</v>
      </c>
      <c r="AC736" s="37" t="str">
        <f>LEFT(MIP_4[[#This Row],[Equipe]], SEARCH("/",MIP_4[[#This Row],[Equipe]],1)-1)</f>
        <v xml:space="preserve">JOILSON </v>
      </c>
      <c r="AD736" s="37" t="str">
        <f>RIGHT(MIP_4[[#This Row],[Equipe]], LEN(MIP_4[[#This Row],[Equipe]])-SEARCH("/",MIP_4[[#This Row],[Equipe]],1))</f>
        <v xml:space="preserve"> VALDEI</v>
      </c>
      <c r="AE736" s="44">
        <f>COUNTIFS('[1]Tempo parado'!G:G,"&gt;="&amp;MIP_4[[#This Row],[S.B Sitrack]],'[1]Tempo parado'!H:H,"&lt;="&amp;MIP_4[[#This Row],[C.B Sitrack]],'[1]Tempo parado'!A:A,MIP_4[[#This Row],[Placa]])</f>
        <v>0</v>
      </c>
      <c r="AF736" s="36"/>
      <c r="AG736" s="35"/>
      <c r="AH736" s="34">
        <v>43042.281435185185</v>
      </c>
      <c r="AI736" s="34">
        <v>43042.637337962966</v>
      </c>
      <c r="AJ736" s="32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2.2916666666666585E-2</v>
      </c>
      <c r="AK73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39.799999999999997</v>
      </c>
      <c r="AL73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36" s="31">
        <f>IFERROR(MIP_4[[#This Row],[Tempo parado]]/(MIP_4[[#This Row],[C.B Sitrack]]-MIP_4[[#This Row],[S.B Sitrack]]),"")</f>
        <v>0</v>
      </c>
      <c r="AN736" s="30"/>
      <c r="AO736" s="44">
        <f>IF(AND(MIP_4[Exc]=0,MIP_4[Previsto / Realizado]="Realizado"),MIP_4[Sem],0)</f>
        <v>44</v>
      </c>
      <c r="AP736" s="29">
        <f>IF(AND(MIP_4[Exc]=0,MIP_4[Previsto / Realizado]="Realizado",ISBLANK(MIP_4[[#This Row],[S.B Sitrack]])=FALSE,ISBLANK(MIP_4[[#This Row],[C.B Sitrack]])=FALSE),MIP_4[Sem],0)</f>
        <v>44</v>
      </c>
    </row>
    <row r="737" spans="1:42" ht="15.75" x14ac:dyDescent="0.25">
      <c r="A737" s="29">
        <f>WEEKNUM(MIP_4[[#This Row],[Data]])</f>
        <v>44</v>
      </c>
      <c r="B737" s="45">
        <v>43042</v>
      </c>
      <c r="C737" s="45"/>
      <c r="D737" s="35" t="s">
        <v>3</v>
      </c>
      <c r="E737" s="35" t="s">
        <v>5</v>
      </c>
      <c r="F737" s="35"/>
      <c r="G737" s="44">
        <v>2</v>
      </c>
      <c r="H737" s="44">
        <v>2</v>
      </c>
      <c r="I737" s="44">
        <v>0</v>
      </c>
      <c r="J737" s="44">
        <v>0</v>
      </c>
      <c r="K737" s="44">
        <v>0</v>
      </c>
      <c r="L737" s="43">
        <v>0.625</v>
      </c>
      <c r="M737" s="43">
        <v>0.64583333333333337</v>
      </c>
      <c r="N737" s="43">
        <v>1.0125</v>
      </c>
      <c r="O737" s="43">
        <v>1.0333333333333334</v>
      </c>
      <c r="P737" s="39"/>
      <c r="Q737" s="42" t="s">
        <v>4</v>
      </c>
      <c r="R737" s="29">
        <v>2</v>
      </c>
      <c r="S73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73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737" s="41">
        <f ca="1">MIP_4[[#This Row],[Eficiência]]</f>
        <v>0.15400524897807499</v>
      </c>
      <c r="V73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37" s="39">
        <f>IF(MIP_4[[#This Row],[P.S]]-MIP_4[[#This Row],[P.E]]&lt;0,1+MIP_4[[#This Row],[P.S]]-MIP_4[[#This Row],[P.E]]-1/24,MIP_4[[#This Row],[P.S]]-MIP_4[[#This Row],[P.E]]-1/24)</f>
        <v>0.36666666666666675</v>
      </c>
      <c r="X737" s="39">
        <f ca="1">MIP_4[[#This Row],[PT-1]]*$S$3+MIP_4[[#This Row],[PT-2]]*$T$3+MIP_4[[#This Row],[PT-3]]*$U$3+MIP_4[[#This Row],[PT &gt; 3 Pontos]]*$V$3</f>
        <v>5.0051705917874362E-2</v>
      </c>
      <c r="Y737" s="39">
        <f>MIP_4[[#This Row],[HH disponível]]-MIP_4[[#This Row],[HH AC TOT]]</f>
        <v>0.3249999999999999</v>
      </c>
      <c r="Z737" s="38">
        <f ca="1">MIP_4[[#This Row],[HH Produtivo
Total]]/MIP_4[[#This Row],[HH Trabalhado]]</f>
        <v>0.15400524897807499</v>
      </c>
      <c r="AA737" s="38">
        <f ca="1">MIP_4[[#This Row],[HH Produtivo
Total]]/MIP_4[[#This Row],[HH disponível]]</f>
        <v>0.13650465250329369</v>
      </c>
      <c r="AB737" s="38">
        <f>MIP_4[[#This Row],[HH Trabalhado]]/MIP_4[[#This Row],[HH disponível]]</f>
        <v>0.88636363636363591</v>
      </c>
      <c r="AC737" s="37" t="str">
        <f>LEFT(MIP_4[[#This Row],[Equipe]], SEARCH("/",MIP_4[[#This Row],[Equipe]],1)-1)</f>
        <v xml:space="preserve">EDILTON </v>
      </c>
      <c r="AD737" s="37" t="str">
        <f>RIGHT(MIP_4[[#This Row],[Equipe]], LEN(MIP_4[[#This Row],[Equipe]])-SEARCH("/",MIP_4[[#This Row],[Equipe]],1))</f>
        <v xml:space="preserve"> GECIVALDO</v>
      </c>
      <c r="AE737" s="44">
        <f>COUNTIFS('[1]Tempo parado'!G:G,"&gt;="&amp;MIP_4[[#This Row],[S.B Sitrack]],'[1]Tempo parado'!H:H,"&lt;="&amp;MIP_4[[#This Row],[C.B Sitrack]],'[1]Tempo parado'!A:A,MIP_4[[#This Row],[Placa]])</f>
        <v>0</v>
      </c>
      <c r="AF737" s="36"/>
      <c r="AG737" s="35"/>
      <c r="AH737" s="34"/>
      <c r="AI737" s="34"/>
      <c r="AJ73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3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3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37" s="32" t="str">
        <f>IFERROR(MIP_4[[#This Row],[Tempo parado]]/(MIP_4[[#This Row],[C.B Sitrack]]-MIP_4[[#This Row],[S.B Sitrack]]),"")</f>
        <v/>
      </c>
      <c r="AN737" s="30"/>
      <c r="AO737" s="44">
        <f>IF(AND(MIP_4[Exc]=0,MIP_4[Previsto / Realizado]="Realizado"),MIP_4[Sem],0)</f>
        <v>0</v>
      </c>
      <c r="AP737" s="29">
        <f>IF(AND(MIP_4[Exc]=0,MIP_4[Previsto / Realizado]="Realizado",ISBLANK(MIP_4[[#This Row],[S.B Sitrack]])=FALSE,ISBLANK(MIP_4[[#This Row],[C.B Sitrack]])=FALSE),MIP_4[Sem],0)</f>
        <v>0</v>
      </c>
    </row>
    <row r="738" spans="1:42" ht="15.75" x14ac:dyDescent="0.25">
      <c r="A738" s="29">
        <f>WEEKNUM(MIP_4[[#This Row],[Data]])</f>
        <v>44</v>
      </c>
      <c r="B738" s="45">
        <v>43042</v>
      </c>
      <c r="C738" s="45"/>
      <c r="D738" s="35" t="s">
        <v>3</v>
      </c>
      <c r="E738" s="35" t="s">
        <v>2</v>
      </c>
      <c r="F738" s="35" t="s">
        <v>1</v>
      </c>
      <c r="G738" s="44">
        <v>2</v>
      </c>
      <c r="H738" s="44">
        <v>5</v>
      </c>
      <c r="I738" s="44">
        <v>0</v>
      </c>
      <c r="J738" s="44">
        <v>2</v>
      </c>
      <c r="K738" s="44">
        <v>0</v>
      </c>
      <c r="L738" s="43">
        <v>0.60347222222222219</v>
      </c>
      <c r="M738" s="43">
        <v>0.67708333333333337</v>
      </c>
      <c r="N738" s="43">
        <v>1.0256944444444445</v>
      </c>
      <c r="O738" s="43">
        <v>3.6805555555555557E-2</v>
      </c>
      <c r="P738" s="39"/>
      <c r="Q738" s="42" t="s">
        <v>11</v>
      </c>
      <c r="R738" s="29">
        <v>11</v>
      </c>
      <c r="S73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8.4722222222222254E-2</v>
      </c>
      <c r="T73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8.4722222222222254E-2</v>
      </c>
      <c r="U738" s="41">
        <f ca="1">MIP_4[[#This Row],[Eficiência]]</f>
        <v>0.8168013066430585</v>
      </c>
      <c r="V73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38" s="39">
        <f>IF(MIP_4[[#This Row],[P.S]]-MIP_4[[#This Row],[P.E]]&lt;0,1+MIP_4[[#This Row],[P.S]]-MIP_4[[#This Row],[P.E]]-1/24,MIP_4[[#This Row],[P.S]]-MIP_4[[#This Row],[P.E]]-1/24)</f>
        <v>0.39166666666666666</v>
      </c>
      <c r="X738" s="39">
        <f ca="1">MIP_4[[#This Row],[PT-1]]*$S$3+MIP_4[[#This Row],[PT-2]]*$T$3+MIP_4[[#This Row],[PT-3]]*$U$3+MIP_4[[#This Row],[PT &gt; 3 Pontos]]*$V$3</f>
        <v>0.25071262328904986</v>
      </c>
      <c r="Y738" s="39">
        <f>MIP_4[[#This Row],[HH disponível]]-MIP_4[[#This Row],[HH AC TOT]]</f>
        <v>0.30694444444444441</v>
      </c>
      <c r="Z738" s="38">
        <f ca="1">MIP_4[[#This Row],[HH Produtivo
Total]]/MIP_4[[#This Row],[HH Trabalhado]]</f>
        <v>0.8168013066430585</v>
      </c>
      <c r="AA738" s="38">
        <f ca="1">MIP_4[[#This Row],[HH Produtivo
Total]]/MIP_4[[#This Row],[HH disponível]]</f>
        <v>0.6401173360571486</v>
      </c>
      <c r="AB738" s="38">
        <f>MIP_4[[#This Row],[HH Trabalhado]]/MIP_4[[#This Row],[HH disponível]]</f>
        <v>0.78368794326241131</v>
      </c>
      <c r="AC738" s="37" t="str">
        <f>LEFT(MIP_4[[#This Row],[Equipe]], SEARCH("/",MIP_4[[#This Row],[Equipe]],1)-1)</f>
        <v xml:space="preserve">EDILTON </v>
      </c>
      <c r="AD738" s="37" t="str">
        <f>RIGHT(MIP_4[[#This Row],[Equipe]], LEN(MIP_4[[#This Row],[Equipe]])-SEARCH("/",MIP_4[[#This Row],[Equipe]],1))</f>
        <v xml:space="preserve"> GECIVALDO</v>
      </c>
      <c r="AE738" s="44">
        <f>COUNTIFS('[1]Tempo parado'!G:G,"&gt;="&amp;MIP_4[[#This Row],[S.B Sitrack]],'[1]Tempo parado'!H:H,"&lt;="&amp;MIP_4[[#This Row],[C.B Sitrack]],'[1]Tempo parado'!A:A,MIP_4[[#This Row],[Placa]])</f>
        <v>0</v>
      </c>
      <c r="AF738" s="36"/>
      <c r="AG738" s="35"/>
      <c r="AH738" s="34">
        <v>43042.678310185183</v>
      </c>
      <c r="AI738" s="34">
        <v>43043.020254629628</v>
      </c>
      <c r="AJ738" s="32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6.2499999999999049E-3</v>
      </c>
      <c r="AK73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58.3</v>
      </c>
      <c r="AL73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38" s="31">
        <f>IFERROR(MIP_4[[#This Row],[Tempo parado]]/(MIP_4[[#This Row],[C.B Sitrack]]-MIP_4[[#This Row],[S.B Sitrack]]),"")</f>
        <v>0</v>
      </c>
      <c r="AN738" s="30"/>
      <c r="AO738" s="44">
        <f>IF(AND(MIP_4[Exc]=0,MIP_4[Previsto / Realizado]="Realizado"),MIP_4[Sem],0)</f>
        <v>44</v>
      </c>
      <c r="AP738" s="29">
        <f>IF(AND(MIP_4[Exc]=0,MIP_4[Previsto / Realizado]="Realizado",ISBLANK(MIP_4[[#This Row],[S.B Sitrack]])=FALSE,ISBLANK(MIP_4[[#This Row],[C.B Sitrack]])=FALSE),MIP_4[Sem],0)</f>
        <v>44</v>
      </c>
    </row>
    <row r="739" spans="1:42" ht="15.75" x14ac:dyDescent="0.25">
      <c r="A739" s="29">
        <f>WEEKNUM(MIP_4[[#This Row],[Data]])</f>
        <v>44</v>
      </c>
      <c r="B739" s="45">
        <v>43042</v>
      </c>
      <c r="C739" s="45"/>
      <c r="D739" s="35" t="s">
        <v>149</v>
      </c>
      <c r="E739" s="35" t="s">
        <v>5</v>
      </c>
      <c r="F739" s="35"/>
      <c r="G739" s="44">
        <v>3</v>
      </c>
      <c r="H739" s="44">
        <v>0</v>
      </c>
      <c r="I739" s="44">
        <v>0</v>
      </c>
      <c r="J739" s="44">
        <v>0</v>
      </c>
      <c r="K739" s="44">
        <v>0</v>
      </c>
      <c r="L739" s="43">
        <v>0.91666666666666663</v>
      </c>
      <c r="M739" s="43">
        <v>0.9375</v>
      </c>
      <c r="N739" s="43">
        <v>1.2291666666666667</v>
      </c>
      <c r="O739" s="43">
        <v>1.25</v>
      </c>
      <c r="P739" s="39"/>
      <c r="Q739" s="42" t="s">
        <v>4</v>
      </c>
      <c r="R739" s="29">
        <v>0</v>
      </c>
      <c r="S73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4.166666666666663E-2</v>
      </c>
      <c r="T73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4.166666666666663E-2</v>
      </c>
      <c r="U739" s="41">
        <f ca="1">MIP_4[[#This Row],[Eficiência]]</f>
        <v>0</v>
      </c>
      <c r="V73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39" s="39">
        <f>IF(MIP_4[[#This Row],[P.S]]-MIP_4[[#This Row],[P.E]]&lt;0,1+MIP_4[[#This Row],[P.S]]-MIP_4[[#This Row],[P.E]]-1/24,MIP_4[[#This Row],[P.S]]-MIP_4[[#This Row],[P.E]]-1/24)</f>
        <v>0.29166666666666669</v>
      </c>
      <c r="X739" s="39">
        <f ca="1">MIP_4[[#This Row],[PT-1]]*$S$3+MIP_4[[#This Row],[PT-2]]*$T$3+MIP_4[[#This Row],[PT-3]]*$U$3+MIP_4[[#This Row],[PT &gt; 3 Pontos]]*$V$3</f>
        <v>0</v>
      </c>
      <c r="Y739" s="39">
        <f>MIP_4[[#This Row],[HH disponível]]-MIP_4[[#This Row],[HH AC TOT]]</f>
        <v>0.25000000000000006</v>
      </c>
      <c r="Z739" s="38">
        <f ca="1">MIP_4[[#This Row],[HH Produtivo
Total]]/MIP_4[[#This Row],[HH Trabalhado]]</f>
        <v>0</v>
      </c>
      <c r="AA739" s="38">
        <f ca="1">MIP_4[[#This Row],[HH Produtivo
Total]]/MIP_4[[#This Row],[HH disponível]]</f>
        <v>0</v>
      </c>
      <c r="AB739" s="38">
        <f>MIP_4[[#This Row],[HH Trabalhado]]/MIP_4[[#This Row],[HH disponível]]</f>
        <v>0.85714285714285732</v>
      </c>
      <c r="AC739" s="37" t="str">
        <f>LEFT(MIP_4[[#This Row],[Equipe]], SEARCH("/",MIP_4[[#This Row],[Equipe]],1)-1)</f>
        <v xml:space="preserve">ADEMÁRIO </v>
      </c>
      <c r="AD739" s="37" t="str">
        <f>RIGHT(MIP_4[[#This Row],[Equipe]], LEN(MIP_4[[#This Row],[Equipe]])-SEARCH("/",MIP_4[[#This Row],[Equipe]],1))</f>
        <v xml:space="preserve"> RONALDO / HENRIQUE</v>
      </c>
      <c r="AE739" s="44">
        <f>COUNTIFS('[1]Tempo parado'!G:G,"&gt;="&amp;MIP_4[[#This Row],[S.B Sitrack]],'[1]Tempo parado'!H:H,"&lt;="&amp;MIP_4[[#This Row],[C.B Sitrack]],'[1]Tempo parado'!A:A,MIP_4[[#This Row],[Placa]])</f>
        <v>0</v>
      </c>
      <c r="AF739" s="36"/>
      <c r="AG739" s="35"/>
      <c r="AH739" s="34"/>
      <c r="AI739" s="34"/>
      <c r="AJ73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3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3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39" s="32" t="str">
        <f>IFERROR(MIP_4[[#This Row],[Tempo parado]]/(MIP_4[[#This Row],[C.B Sitrack]]-MIP_4[[#This Row],[S.B Sitrack]]),"")</f>
        <v/>
      </c>
      <c r="AN739" s="30"/>
      <c r="AO739" s="44">
        <f>IF(AND(MIP_4[Exc]=0,MIP_4[Previsto / Realizado]="Realizado"),MIP_4[Sem],0)</f>
        <v>0</v>
      </c>
      <c r="AP739" s="29">
        <f>IF(AND(MIP_4[Exc]=0,MIP_4[Previsto / Realizado]="Realizado",ISBLANK(MIP_4[[#This Row],[S.B Sitrack]])=FALSE,ISBLANK(MIP_4[[#This Row],[C.B Sitrack]])=FALSE),MIP_4[Sem],0)</f>
        <v>0</v>
      </c>
    </row>
    <row r="740" spans="1:42" ht="15.75" x14ac:dyDescent="0.25">
      <c r="A740" s="29">
        <f>WEEKNUM(MIP_4[[#This Row],[Data]])</f>
        <v>44</v>
      </c>
      <c r="B740" s="45">
        <v>43042</v>
      </c>
      <c r="C740" s="45"/>
      <c r="D740" s="35" t="s">
        <v>149</v>
      </c>
      <c r="E740" s="35" t="s">
        <v>2</v>
      </c>
      <c r="F740" s="35" t="s">
        <v>1</v>
      </c>
      <c r="G740" s="44">
        <v>3</v>
      </c>
      <c r="H740" s="44">
        <v>0</v>
      </c>
      <c r="I740" s="44">
        <v>0</v>
      </c>
      <c r="J740" s="44">
        <v>0</v>
      </c>
      <c r="K740" s="44">
        <v>15</v>
      </c>
      <c r="L740" s="43">
        <v>0.9291666666666667</v>
      </c>
      <c r="M740" s="43">
        <v>0.94861111111111107</v>
      </c>
      <c r="N740" s="43">
        <v>1.2159722222222222</v>
      </c>
      <c r="O740" s="43">
        <v>0.22222222222222221</v>
      </c>
      <c r="P740" s="39"/>
      <c r="Q740" s="42" t="s">
        <v>148</v>
      </c>
      <c r="R740" s="29">
        <v>15</v>
      </c>
      <c r="S74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2.5694444444444464E-2</v>
      </c>
      <c r="T74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2.5694444444444464E-2</v>
      </c>
      <c r="U740" s="41">
        <f ca="1">MIP_4[[#This Row],[Eficiência]]</f>
        <v>1.3457139539204763</v>
      </c>
      <c r="V74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40" s="39">
        <f>IF(MIP_4[[#This Row],[P.S]]-MIP_4[[#This Row],[P.E]]&lt;0,1+MIP_4[[#This Row],[P.S]]-MIP_4[[#This Row],[P.E]]-1/24,MIP_4[[#This Row],[P.S]]-MIP_4[[#This Row],[P.E]]-1/24)</f>
        <v>0.25138888888888894</v>
      </c>
      <c r="X740" s="39">
        <f ca="1">MIP_4[[#This Row],[PT-1]]*$S$3+MIP_4[[#This Row],[PT-2]]*$T$3+MIP_4[[#This Row],[PT-3]]*$U$3+MIP_4[[#This Row],[PT &gt; 3 Pontos]]*$V$3</f>
        <v>0.30372016321121864</v>
      </c>
      <c r="Y740" s="39">
        <f>MIP_4[[#This Row],[HH disponível]]-MIP_4[[#This Row],[HH AC TOT]]</f>
        <v>0.22569444444444448</v>
      </c>
      <c r="Z740" s="38">
        <f ca="1">MIP_4[[#This Row],[HH Produtivo
Total]]/MIP_4[[#This Row],[HH Trabalhado]]</f>
        <v>1.3457139539204763</v>
      </c>
      <c r="AA740" s="38">
        <f ca="1">MIP_4[[#This Row],[HH Produtivo
Total]]/MIP_4[[#This Row],[HH disponível]]</f>
        <v>1.2081686050391016</v>
      </c>
      <c r="AB740" s="38">
        <f>MIP_4[[#This Row],[HH Trabalhado]]/MIP_4[[#This Row],[HH disponível]]</f>
        <v>0.89779005524861877</v>
      </c>
      <c r="AC740" s="37" t="str">
        <f>LEFT(MIP_4[[#This Row],[Equipe]], SEARCH("/",MIP_4[[#This Row],[Equipe]],1)-1)</f>
        <v xml:space="preserve">ADEMÁRIO </v>
      </c>
      <c r="AD740" s="37" t="str">
        <f>RIGHT(MIP_4[[#This Row],[Equipe]], LEN(MIP_4[[#This Row],[Equipe]])-SEARCH("/",MIP_4[[#This Row],[Equipe]],1))</f>
        <v xml:space="preserve"> RONALDO / HENRIQUE</v>
      </c>
      <c r="AE740" s="44">
        <f>COUNTIFS('[1]Tempo parado'!G:G,"&gt;="&amp;MIP_4[[#This Row],[S.B Sitrack]],'[1]Tempo parado'!H:H,"&lt;="&amp;MIP_4[[#This Row],[C.B Sitrack]],'[1]Tempo parado'!A:A,MIP_4[[#This Row],[Placa]])</f>
        <v>0</v>
      </c>
      <c r="AF740" s="36"/>
      <c r="AG740" s="35"/>
      <c r="AH740" s="34">
        <v>43042.932245370372</v>
      </c>
      <c r="AI740" s="34">
        <v>43043.020254629628</v>
      </c>
      <c r="AJ740" s="32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0.21249999999999994</v>
      </c>
      <c r="AK74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16</v>
      </c>
      <c r="AL74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40" s="31">
        <f>IFERROR(MIP_4[[#This Row],[Tempo parado]]/(MIP_4[[#This Row],[C.B Sitrack]]-MIP_4[[#This Row],[S.B Sitrack]]),"")</f>
        <v>0</v>
      </c>
      <c r="AN740" s="30"/>
      <c r="AO740" s="44">
        <f>IF(AND(MIP_4[Exc]=0,MIP_4[Previsto / Realizado]="Realizado"),MIP_4[Sem],0)</f>
        <v>44</v>
      </c>
      <c r="AP740" s="29">
        <f>IF(AND(MIP_4[Exc]=0,MIP_4[Previsto / Realizado]="Realizado",ISBLANK(MIP_4[[#This Row],[S.B Sitrack]])=FALSE,ISBLANK(MIP_4[[#This Row],[C.B Sitrack]])=FALSE),MIP_4[Sem],0)</f>
        <v>44</v>
      </c>
    </row>
    <row r="741" spans="1:42" ht="15.75" x14ac:dyDescent="0.25">
      <c r="A741" s="29">
        <f>WEEKNUM(MIP_4[[#This Row],[Data]])</f>
        <v>44</v>
      </c>
      <c r="B741" s="45">
        <v>43043</v>
      </c>
      <c r="C741" s="45"/>
      <c r="D741" s="35" t="s">
        <v>136</v>
      </c>
      <c r="E741" s="35" t="s">
        <v>5</v>
      </c>
      <c r="F741" s="35"/>
      <c r="G741" s="44">
        <v>2</v>
      </c>
      <c r="H741" s="44">
        <v>0</v>
      </c>
      <c r="I741" s="44">
        <v>0</v>
      </c>
      <c r="J741" s="44">
        <v>0</v>
      </c>
      <c r="K741" s="44">
        <v>0</v>
      </c>
      <c r="L741" s="43">
        <v>0.625</v>
      </c>
      <c r="M741" s="43">
        <v>0.64583333333333337</v>
      </c>
      <c r="N741" s="43">
        <v>1.0125</v>
      </c>
      <c r="O741" s="43">
        <v>1.0333333333333334</v>
      </c>
      <c r="P741" s="39"/>
      <c r="Q741" s="42" t="s">
        <v>4</v>
      </c>
      <c r="R741" s="29">
        <v>0</v>
      </c>
      <c r="S74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74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741" s="41">
        <f ca="1">MIP_4[[#This Row],[Eficiência]]</f>
        <v>0</v>
      </c>
      <c r="V74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41" s="39">
        <f>IF(MIP_4[[#This Row],[P.S]]-MIP_4[[#This Row],[P.E]]&lt;0,1+MIP_4[[#This Row],[P.S]]-MIP_4[[#This Row],[P.E]]-1/24,MIP_4[[#This Row],[P.S]]-MIP_4[[#This Row],[P.E]]-1/24)</f>
        <v>0.36666666666666675</v>
      </c>
      <c r="X741" s="39">
        <f ca="1">MIP_4[[#This Row],[PT-1]]*$S$3+MIP_4[[#This Row],[PT-2]]*$T$3+MIP_4[[#This Row],[PT-3]]*$U$3+MIP_4[[#This Row],[PT &gt; 3 Pontos]]*$V$3</f>
        <v>0</v>
      </c>
      <c r="Y741" s="39">
        <f>MIP_4[[#This Row],[HH disponível]]-MIP_4[[#This Row],[HH AC TOT]]</f>
        <v>0.3249999999999999</v>
      </c>
      <c r="Z741" s="38">
        <f ca="1">MIP_4[[#This Row],[HH Produtivo
Total]]/MIP_4[[#This Row],[HH Trabalhado]]</f>
        <v>0</v>
      </c>
      <c r="AA741" s="38">
        <f ca="1">MIP_4[[#This Row],[HH Produtivo
Total]]/MIP_4[[#This Row],[HH disponível]]</f>
        <v>0</v>
      </c>
      <c r="AB741" s="38">
        <f>MIP_4[[#This Row],[HH Trabalhado]]/MIP_4[[#This Row],[HH disponível]]</f>
        <v>0.88636363636363591</v>
      </c>
      <c r="AC741" s="37" t="str">
        <f>LEFT(MIP_4[[#This Row],[Equipe]], SEARCH("/",MIP_4[[#This Row],[Equipe]],1)-1)</f>
        <v xml:space="preserve">GECIVALDO </v>
      </c>
      <c r="AD741" s="37" t="str">
        <f>RIGHT(MIP_4[[#This Row],[Equipe]], LEN(MIP_4[[#This Row],[Equipe]])-SEARCH("/",MIP_4[[#This Row],[Equipe]],1))</f>
        <v xml:space="preserve"> RONALDO</v>
      </c>
      <c r="AE741" s="44">
        <f>COUNTIFS('[1]Tempo parado'!G:G,"&gt;="&amp;MIP_4[[#This Row],[S.B Sitrack]],'[1]Tempo parado'!H:H,"&lt;="&amp;MIP_4[[#This Row],[C.B Sitrack]],'[1]Tempo parado'!A:A,MIP_4[[#This Row],[Placa]])</f>
        <v>0</v>
      </c>
      <c r="AF741" s="36"/>
      <c r="AG741" s="35"/>
      <c r="AH741" s="34"/>
      <c r="AI741" s="34"/>
      <c r="AJ74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4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4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41" s="32" t="str">
        <f>IFERROR(MIP_4[[#This Row],[Tempo parado]]/(MIP_4[[#This Row],[C.B Sitrack]]-MIP_4[[#This Row],[S.B Sitrack]]),"")</f>
        <v/>
      </c>
      <c r="AN741" s="30"/>
      <c r="AO741" s="44">
        <f>IF(AND(MIP_4[Exc]=0,MIP_4[Previsto / Realizado]="Realizado"),MIP_4[Sem],0)</f>
        <v>0</v>
      </c>
      <c r="AP741" s="29">
        <f>IF(AND(MIP_4[Exc]=0,MIP_4[Previsto / Realizado]="Realizado",ISBLANK(MIP_4[[#This Row],[S.B Sitrack]])=FALSE,ISBLANK(MIP_4[[#This Row],[C.B Sitrack]])=FALSE),MIP_4[Sem],0)</f>
        <v>0</v>
      </c>
    </row>
    <row r="742" spans="1:42" ht="15.75" x14ac:dyDescent="0.25">
      <c r="A742" s="29">
        <f>WEEKNUM(MIP_4[[#This Row],[Data]])</f>
        <v>44</v>
      </c>
      <c r="B742" s="45">
        <v>43043</v>
      </c>
      <c r="C742" s="45"/>
      <c r="D742" s="46" t="s">
        <v>136</v>
      </c>
      <c r="E742" s="35" t="s">
        <v>2</v>
      </c>
      <c r="F742" s="35" t="s">
        <v>1</v>
      </c>
      <c r="G742" s="44">
        <v>2</v>
      </c>
      <c r="H742" s="44">
        <v>0</v>
      </c>
      <c r="I742" s="44">
        <v>0</v>
      </c>
      <c r="J742" s="44">
        <v>2</v>
      </c>
      <c r="K742" s="44">
        <v>4</v>
      </c>
      <c r="L742" s="43">
        <v>0.7104166666666667</v>
      </c>
      <c r="M742" s="43">
        <v>0.72291666666666676</v>
      </c>
      <c r="N742" s="43">
        <v>1.0291666666666666</v>
      </c>
      <c r="O742" s="68">
        <v>3.9583333333333331E-2</v>
      </c>
      <c r="P742" s="39"/>
      <c r="Q742" s="42"/>
      <c r="R742" s="29">
        <v>10</v>
      </c>
      <c r="S74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2.2916666666666807E-2</v>
      </c>
      <c r="T74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2.2916666666666807E-2</v>
      </c>
      <c r="U742" s="41">
        <f ca="1">MIP_4[[#This Row],[Eficiência]]</f>
        <v>0.78075742494748646</v>
      </c>
      <c r="V74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42" s="39">
        <f>IF(MIP_4[[#This Row],[P.S]]-MIP_4[[#This Row],[P.E]]&lt;0,1+MIP_4[[#This Row],[P.S]]-MIP_4[[#This Row],[P.E]]-1/24,MIP_4[[#This Row],[P.S]]-MIP_4[[#This Row],[P.E]]-1/24)</f>
        <v>0.28749999999999992</v>
      </c>
      <c r="X742" s="39">
        <f ca="1">MIP_4[[#This Row],[PT-1]]*$S$3+MIP_4[[#This Row],[PT-2]]*$T$3+MIP_4[[#This Row],[PT-3]]*$U$3+MIP_4[[#This Row],[PT &gt; 3 Pontos]]*$V$3</f>
        <v>0.20657540201735561</v>
      </c>
      <c r="Y742" s="39">
        <f>MIP_4[[#This Row],[HH disponível]]-MIP_4[[#This Row],[HH AC TOT]]</f>
        <v>0.26458333333333311</v>
      </c>
      <c r="Z742" s="38">
        <f ca="1">MIP_4[[#This Row],[HH Produtivo
Total]]/MIP_4[[#This Row],[HH Trabalhado]]</f>
        <v>0.78075742494748646</v>
      </c>
      <c r="AA742" s="38">
        <f ca="1">MIP_4[[#This Row],[HH Produtivo
Total]]/MIP_4[[#This Row],[HH disponível]]</f>
        <v>0.71852313745167184</v>
      </c>
      <c r="AB742" s="38">
        <f>MIP_4[[#This Row],[HH Trabalhado]]/MIP_4[[#This Row],[HH disponível]]</f>
        <v>0.9202898550724633</v>
      </c>
      <c r="AC742" s="37" t="str">
        <f>LEFT(MIP_4[[#This Row],[Equipe]], SEARCH("/",MIP_4[[#This Row],[Equipe]],1)-1)</f>
        <v xml:space="preserve">GECIVALDO </v>
      </c>
      <c r="AD742" s="37" t="str">
        <f>RIGHT(MIP_4[[#This Row],[Equipe]], LEN(MIP_4[[#This Row],[Equipe]])-SEARCH("/",MIP_4[[#This Row],[Equipe]],1))</f>
        <v xml:space="preserve"> RONALDO</v>
      </c>
      <c r="AE742" s="44">
        <f>COUNTIFS('[1]Tempo parado'!G:G,"&gt;="&amp;MIP_4[[#This Row],[S.B Sitrack]],'[1]Tempo parado'!H:H,"&lt;="&amp;MIP_4[[#This Row],[C.B Sitrack]],'[1]Tempo parado'!A:A,MIP_4[[#This Row],[Placa]])</f>
        <v>0</v>
      </c>
      <c r="AF742" s="36"/>
      <c r="AG742" s="35"/>
      <c r="AH742" s="34">
        <v>43043.725752314815</v>
      </c>
      <c r="AI742" s="34">
        <v>43044.02553240741</v>
      </c>
      <c r="AJ742" s="32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6.944444444444333E-3</v>
      </c>
      <c r="AK74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52.8</v>
      </c>
      <c r="AL74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42" s="31">
        <f>IFERROR(MIP_4[[#This Row],[Tempo parado]]/(MIP_4[[#This Row],[C.B Sitrack]]-MIP_4[[#This Row],[S.B Sitrack]]),"")</f>
        <v>0</v>
      </c>
      <c r="AN742" s="30" t="s">
        <v>147</v>
      </c>
      <c r="AO742" s="44">
        <f>IF(AND(MIP_4[Exc]=0,MIP_4[Previsto / Realizado]="Realizado"),MIP_4[Sem],0)</f>
        <v>44</v>
      </c>
      <c r="AP742" s="29">
        <f>IF(AND(MIP_4[Exc]=0,MIP_4[Previsto / Realizado]="Realizado",ISBLANK(MIP_4[[#This Row],[S.B Sitrack]])=FALSE,ISBLANK(MIP_4[[#This Row],[C.B Sitrack]])=FALSE),MIP_4[Sem],0)</f>
        <v>44</v>
      </c>
    </row>
    <row r="743" spans="1:42" ht="15.75" x14ac:dyDescent="0.25">
      <c r="A743" s="29">
        <f>WEEKNUM(MIP_4[[#This Row],[Data]])</f>
        <v>44</v>
      </c>
      <c r="B743" s="45">
        <v>43043</v>
      </c>
      <c r="C743" s="45"/>
      <c r="D743" s="35" t="s">
        <v>7</v>
      </c>
      <c r="E743" s="35" t="s">
        <v>5</v>
      </c>
      <c r="F743" s="35"/>
      <c r="G743" s="44">
        <v>2</v>
      </c>
      <c r="H743" s="44">
        <v>1</v>
      </c>
      <c r="I743" s="44">
        <v>1</v>
      </c>
      <c r="J743" s="44">
        <v>1</v>
      </c>
      <c r="K743" s="44">
        <v>0</v>
      </c>
      <c r="L743" s="43">
        <v>0.625</v>
      </c>
      <c r="M743" s="43">
        <v>0.64583333333333337</v>
      </c>
      <c r="N743" s="43">
        <v>1.0125</v>
      </c>
      <c r="O743" s="43">
        <v>1.0333333333333334</v>
      </c>
      <c r="P743" s="39"/>
      <c r="Q743" s="42" t="s">
        <v>146</v>
      </c>
      <c r="R743" s="29">
        <v>6</v>
      </c>
      <c r="S74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74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743" s="41">
        <f ca="1">MIP_4[[#This Row],[Eficiência]]</f>
        <v>0.40531168710516552</v>
      </c>
      <c r="V74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43" s="39">
        <f>IF(MIP_4[[#This Row],[P.S]]-MIP_4[[#This Row],[P.E]]&lt;0,1+MIP_4[[#This Row],[P.S]]-MIP_4[[#This Row],[P.E]]-1/24,MIP_4[[#This Row],[P.S]]-MIP_4[[#This Row],[P.E]]-1/24)</f>
        <v>0.36666666666666675</v>
      </c>
      <c r="X743" s="39">
        <f ca="1">MIP_4[[#This Row],[PT-1]]*$S$3+MIP_4[[#This Row],[PT-2]]*$T$3+MIP_4[[#This Row],[PT-3]]*$U$3+MIP_4[[#This Row],[PT &gt; 3 Pontos]]*$V$3</f>
        <v>0.13172629830917876</v>
      </c>
      <c r="Y743" s="39">
        <f>MIP_4[[#This Row],[HH disponível]]-MIP_4[[#This Row],[HH AC TOT]]</f>
        <v>0.3249999999999999</v>
      </c>
      <c r="Z743" s="38">
        <f ca="1">MIP_4[[#This Row],[HH Produtivo
Total]]/MIP_4[[#This Row],[HH Trabalhado]]</f>
        <v>0.40531168710516552</v>
      </c>
      <c r="AA743" s="38">
        <f ca="1">MIP_4[[#This Row],[HH Produtivo
Total]]/MIP_4[[#This Row],[HH disponível]]</f>
        <v>0.3592535408432147</v>
      </c>
      <c r="AB743" s="38">
        <f>MIP_4[[#This Row],[HH Trabalhado]]/MIP_4[[#This Row],[HH disponível]]</f>
        <v>0.88636363636363591</v>
      </c>
      <c r="AC743" s="37" t="str">
        <f>LEFT(MIP_4[[#This Row],[Equipe]], SEARCH("/",MIP_4[[#This Row],[Equipe]],1)-1)</f>
        <v xml:space="preserve">ANDERSON </v>
      </c>
      <c r="AD743" s="37" t="str">
        <f>RIGHT(MIP_4[[#This Row],[Equipe]], LEN(MIP_4[[#This Row],[Equipe]])-SEARCH("/",MIP_4[[#This Row],[Equipe]],1))</f>
        <v xml:space="preserve"> MARCO</v>
      </c>
      <c r="AE743" s="44">
        <f>COUNTIFS('[1]Tempo parado'!G:G,"&gt;="&amp;MIP_4[[#This Row],[S.B Sitrack]],'[1]Tempo parado'!H:H,"&lt;="&amp;MIP_4[[#This Row],[C.B Sitrack]],'[1]Tempo parado'!A:A,MIP_4[[#This Row],[Placa]])</f>
        <v>0</v>
      </c>
      <c r="AF743" s="36"/>
      <c r="AG743" s="35"/>
      <c r="AH743" s="34"/>
      <c r="AI743" s="34"/>
      <c r="AJ74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4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4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43" s="32" t="str">
        <f>IFERROR(MIP_4[[#This Row],[Tempo parado]]/(MIP_4[[#This Row],[C.B Sitrack]]-MIP_4[[#This Row],[S.B Sitrack]]),"")</f>
        <v/>
      </c>
      <c r="AN743" s="30"/>
      <c r="AO743" s="44">
        <f>IF(AND(MIP_4[Exc]=0,MIP_4[Previsto / Realizado]="Realizado"),MIP_4[Sem],0)</f>
        <v>0</v>
      </c>
      <c r="AP743" s="29">
        <f>IF(AND(MIP_4[Exc]=0,MIP_4[Previsto / Realizado]="Realizado",ISBLANK(MIP_4[[#This Row],[S.B Sitrack]])=FALSE,ISBLANK(MIP_4[[#This Row],[C.B Sitrack]])=FALSE),MIP_4[Sem],0)</f>
        <v>0</v>
      </c>
    </row>
    <row r="744" spans="1:42" ht="15.75" x14ac:dyDescent="0.25">
      <c r="A744" s="29">
        <f>WEEKNUM(MIP_4[[#This Row],[Data]])</f>
        <v>44</v>
      </c>
      <c r="B744" s="45">
        <v>43043</v>
      </c>
      <c r="C744" s="45"/>
      <c r="D744" s="35" t="s">
        <v>7</v>
      </c>
      <c r="E744" s="35" t="s">
        <v>2</v>
      </c>
      <c r="F744" s="35" t="s">
        <v>6</v>
      </c>
      <c r="G744" s="44">
        <v>2</v>
      </c>
      <c r="H744" s="44">
        <v>1</v>
      </c>
      <c r="I744" s="44">
        <v>1</v>
      </c>
      <c r="J744" s="44">
        <v>1</v>
      </c>
      <c r="K744" s="44">
        <v>7</v>
      </c>
      <c r="L744" s="43">
        <v>0.63888888888888895</v>
      </c>
      <c r="M744" s="43">
        <v>0.65694444444444444</v>
      </c>
      <c r="N744" s="43">
        <v>1.0138888888888888</v>
      </c>
      <c r="O744" s="43">
        <v>3.8194444444444441E-2</v>
      </c>
      <c r="P744" s="39">
        <v>3.4722222222222224E-2</v>
      </c>
      <c r="Q744" s="42" t="s">
        <v>145</v>
      </c>
      <c r="R744" s="29">
        <v>13</v>
      </c>
      <c r="S74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7.7083333333333295E-2</v>
      </c>
      <c r="T74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4.2361111111111072E-2</v>
      </c>
      <c r="U744" s="41">
        <f ca="1">MIP_4[[#This Row],[Eficiência]]</f>
        <v>0.97471737436424855</v>
      </c>
      <c r="V74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44" s="39">
        <f>IF(MIP_4[[#This Row],[P.S]]-MIP_4[[#This Row],[P.E]]&lt;0,1+MIP_4[[#This Row],[P.S]]-MIP_4[[#This Row],[P.E]]-1/24,MIP_4[[#This Row],[P.S]]-MIP_4[[#This Row],[P.E]]-1/24)</f>
        <v>0.35763888888888878</v>
      </c>
      <c r="X744" s="39">
        <f ca="1">MIP_4[[#This Row],[PT-1]]*$S$3+MIP_4[[#This Row],[PT-2]]*$T$3+MIP_4[[#This Row],[PT-3]]*$U$3+MIP_4[[#This Row],[PT &gt; 3 Pontos]]*$V$3</f>
        <v>0.27346237447441413</v>
      </c>
      <c r="Y744" s="39">
        <f>MIP_4[[#This Row],[HH disponível]]-MIP_4[[#This Row],[HH AC TOT]]</f>
        <v>0.2805555555555555</v>
      </c>
      <c r="Z744" s="38">
        <f ca="1">MIP_4[[#This Row],[HH Produtivo
Total]]/MIP_4[[#This Row],[HH Trabalhado]]</f>
        <v>0.97471737436424855</v>
      </c>
      <c r="AA744" s="38">
        <f ca="1">MIP_4[[#This Row],[HH Produtivo
Total]]/MIP_4[[#This Row],[HH disponível]]</f>
        <v>0.76463265872457564</v>
      </c>
      <c r="AB744" s="38">
        <f>MIP_4[[#This Row],[HH Trabalhado]]/MIP_4[[#This Row],[HH disponível]]</f>
        <v>0.78446601941747585</v>
      </c>
      <c r="AC744" s="37" t="str">
        <f>LEFT(MIP_4[[#This Row],[Equipe]], SEARCH("/",MIP_4[[#This Row],[Equipe]],1)-1)</f>
        <v xml:space="preserve">ANDERSON </v>
      </c>
      <c r="AD744" s="37" t="str">
        <f>RIGHT(MIP_4[[#This Row],[Equipe]], LEN(MIP_4[[#This Row],[Equipe]])-SEARCH("/",MIP_4[[#This Row],[Equipe]],1))</f>
        <v xml:space="preserve"> MARCO</v>
      </c>
      <c r="AE744" s="44">
        <f>COUNTIFS('[1]Tempo parado'!G:G,"&gt;="&amp;MIP_4[[#This Row],[S.B Sitrack]],'[1]Tempo parado'!H:H,"&lt;="&amp;MIP_4[[#This Row],[C.B Sitrack]],'[1]Tempo parado'!A:A,MIP_4[[#This Row],[Placa]])</f>
        <v>0</v>
      </c>
      <c r="AF744" s="36"/>
      <c r="AG744" s="35"/>
      <c r="AH744" s="34"/>
      <c r="AI744" s="34">
        <v>43044.02447916667</v>
      </c>
      <c r="AJ74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4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4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44" s="31">
        <f>IFERROR(MIP_4[[#This Row],[Tempo parado]]/(MIP_4[[#This Row],[C.B Sitrack]]-MIP_4[[#This Row],[S.B Sitrack]]),"")</f>
        <v>0</v>
      </c>
      <c r="AN744" s="30"/>
      <c r="AO744" s="44">
        <f>IF(AND(MIP_4[Exc]=0,MIP_4[Previsto / Realizado]="Realizado"),MIP_4[Sem],0)</f>
        <v>44</v>
      </c>
      <c r="AP744" s="29">
        <f>IF(AND(MIP_4[Exc]=0,MIP_4[Previsto / Realizado]="Realizado",ISBLANK(MIP_4[[#This Row],[S.B Sitrack]])=FALSE,ISBLANK(MIP_4[[#This Row],[C.B Sitrack]])=FALSE),MIP_4[Sem],0)</f>
        <v>0</v>
      </c>
    </row>
    <row r="745" spans="1:42" ht="15.75" x14ac:dyDescent="0.25">
      <c r="A745" s="29">
        <f>WEEKNUM(MIP_4[[#This Row],[Data]])</f>
        <v>45</v>
      </c>
      <c r="B745" s="45">
        <v>43044</v>
      </c>
      <c r="C745" s="45"/>
      <c r="D745" s="35" t="s">
        <v>3</v>
      </c>
      <c r="E745" s="35" t="s">
        <v>5</v>
      </c>
      <c r="F745" s="35"/>
      <c r="G745" s="44">
        <v>2</v>
      </c>
      <c r="H745" s="44">
        <v>0</v>
      </c>
      <c r="I745" s="44">
        <v>0</v>
      </c>
      <c r="J745" s="44">
        <v>0</v>
      </c>
      <c r="K745" s="44">
        <v>0</v>
      </c>
      <c r="L745" s="43">
        <v>0.625</v>
      </c>
      <c r="M745" s="43">
        <v>0.64583333333333337</v>
      </c>
      <c r="N745" s="43">
        <v>1.0125</v>
      </c>
      <c r="O745" s="43">
        <v>1.0333333333333334</v>
      </c>
      <c r="P745" s="39"/>
      <c r="Q745" s="42" t="s">
        <v>4</v>
      </c>
      <c r="R745" s="29">
        <v>0</v>
      </c>
      <c r="S74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74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745" s="41">
        <f ca="1">MIP_4[[#This Row],[Eficiência]]</f>
        <v>0</v>
      </c>
      <c r="V74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45" s="39">
        <f>IF(MIP_4[[#This Row],[P.S]]-MIP_4[[#This Row],[P.E]]&lt;0,1+MIP_4[[#This Row],[P.S]]-MIP_4[[#This Row],[P.E]]-1/24,MIP_4[[#This Row],[P.S]]-MIP_4[[#This Row],[P.E]]-1/24)</f>
        <v>0.36666666666666675</v>
      </c>
      <c r="X745" s="39">
        <f ca="1">MIP_4[[#This Row],[PT-1]]*$S$3+MIP_4[[#This Row],[PT-2]]*$T$3+MIP_4[[#This Row],[PT-3]]*$U$3+MIP_4[[#This Row],[PT &gt; 3 Pontos]]*$V$3</f>
        <v>0</v>
      </c>
      <c r="Y745" s="39">
        <f>MIP_4[[#This Row],[HH disponível]]-MIP_4[[#This Row],[HH AC TOT]]</f>
        <v>0.3249999999999999</v>
      </c>
      <c r="Z745" s="38">
        <f ca="1">MIP_4[[#This Row],[HH Produtivo
Total]]/MIP_4[[#This Row],[HH Trabalhado]]</f>
        <v>0</v>
      </c>
      <c r="AA745" s="38">
        <f ca="1">MIP_4[[#This Row],[HH Produtivo
Total]]/MIP_4[[#This Row],[HH disponível]]</f>
        <v>0</v>
      </c>
      <c r="AB745" s="38">
        <f>MIP_4[[#This Row],[HH Trabalhado]]/MIP_4[[#This Row],[HH disponível]]</f>
        <v>0.88636363636363591</v>
      </c>
      <c r="AC745" s="37" t="str">
        <f>LEFT(MIP_4[[#This Row],[Equipe]], SEARCH("/",MIP_4[[#This Row],[Equipe]],1)-1)</f>
        <v xml:space="preserve">EDILTON </v>
      </c>
      <c r="AD745" s="37" t="str">
        <f>RIGHT(MIP_4[[#This Row],[Equipe]], LEN(MIP_4[[#This Row],[Equipe]])-SEARCH("/",MIP_4[[#This Row],[Equipe]],1))</f>
        <v xml:space="preserve"> GECIVALDO</v>
      </c>
      <c r="AE745" s="44">
        <f>COUNTIFS('[1]Tempo parado'!G:G,"&gt;="&amp;MIP_4[[#This Row],[S.B Sitrack]],'[1]Tempo parado'!H:H,"&lt;="&amp;MIP_4[[#This Row],[C.B Sitrack]],'[1]Tempo parado'!A:A,MIP_4[[#This Row],[Placa]])</f>
        <v>0</v>
      </c>
      <c r="AF745" s="36"/>
      <c r="AG745" s="35"/>
      <c r="AH745" s="34"/>
      <c r="AI745" s="34"/>
      <c r="AJ74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4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4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45" s="32" t="str">
        <f>IFERROR(MIP_4[[#This Row],[Tempo parado]]/(MIP_4[[#This Row],[C.B Sitrack]]-MIP_4[[#This Row],[S.B Sitrack]]),"")</f>
        <v/>
      </c>
      <c r="AN745" s="30"/>
      <c r="AO745" s="44">
        <f>IF(AND(MIP_4[Exc]=0,MIP_4[Previsto / Realizado]="Realizado"),MIP_4[Sem],0)</f>
        <v>0</v>
      </c>
      <c r="AP745" s="29">
        <f>IF(AND(MIP_4[Exc]=0,MIP_4[Previsto / Realizado]="Realizado",ISBLANK(MIP_4[[#This Row],[S.B Sitrack]])=FALSE,ISBLANK(MIP_4[[#This Row],[C.B Sitrack]])=FALSE),MIP_4[Sem],0)</f>
        <v>0</v>
      </c>
    </row>
    <row r="746" spans="1:42" ht="15.75" x14ac:dyDescent="0.25">
      <c r="A746" s="29">
        <f>WEEKNUM(MIP_4[[#This Row],[Data]])</f>
        <v>45</v>
      </c>
      <c r="B746" s="45">
        <v>43044</v>
      </c>
      <c r="C746" s="45"/>
      <c r="D746" s="35" t="s">
        <v>3</v>
      </c>
      <c r="E746" s="35" t="s">
        <v>2</v>
      </c>
      <c r="F746" s="35" t="s">
        <v>1</v>
      </c>
      <c r="G746" s="44">
        <v>2</v>
      </c>
      <c r="H746" s="44">
        <v>7</v>
      </c>
      <c r="I746" s="44">
        <v>1</v>
      </c>
      <c r="J746" s="44">
        <v>0</v>
      </c>
      <c r="K746" s="44">
        <v>4</v>
      </c>
      <c r="L746" s="43">
        <v>0.61944444444444446</v>
      </c>
      <c r="M746" s="43">
        <v>0.66736111111111107</v>
      </c>
      <c r="N746" s="43">
        <v>1.0208333333333333</v>
      </c>
      <c r="O746" s="68">
        <v>3.3333333333333333E-2</v>
      </c>
      <c r="P746" s="39"/>
      <c r="Q746" s="42" t="s">
        <v>144</v>
      </c>
      <c r="R746" s="29">
        <v>13</v>
      </c>
      <c r="S74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6.0416666666666785E-2</v>
      </c>
      <c r="T74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6.0416666666666785E-2</v>
      </c>
      <c r="U746" s="41">
        <f ca="1">MIP_4[[#This Row],[Eficiência]]</f>
        <v>0.96240036456035771</v>
      </c>
      <c r="V74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46" s="39">
        <f>IF(MIP_4[[#This Row],[P.S]]-MIP_4[[#This Row],[P.E]]&lt;0,1+MIP_4[[#This Row],[P.S]]-MIP_4[[#This Row],[P.E]]-1/24,MIP_4[[#This Row],[P.S]]-MIP_4[[#This Row],[P.E]]-1/24)</f>
        <v>0.37222222222222229</v>
      </c>
      <c r="X746" s="39">
        <f ca="1">MIP_4[[#This Row],[PT-1]]*$S$3+MIP_4[[#This Row],[PT-2]]*$T$3+MIP_4[[#This Row],[PT-3]]*$U$3+MIP_4[[#This Row],[PT &gt; 3 Pontos]]*$V$3</f>
        <v>0.30008178033861149</v>
      </c>
      <c r="Y746" s="39">
        <f>MIP_4[[#This Row],[HH disponível]]-MIP_4[[#This Row],[HH AC TOT]]</f>
        <v>0.3118055555555555</v>
      </c>
      <c r="Z746" s="38">
        <f ca="1">MIP_4[[#This Row],[HH Produtivo
Total]]/MIP_4[[#This Row],[HH Trabalhado]]</f>
        <v>0.96240036456035771</v>
      </c>
      <c r="AA746" s="38">
        <f ca="1">MIP_4[[#This Row],[HH Produtivo
Total]]/MIP_4[[#This Row],[HH disponível]]</f>
        <v>0.80618985762612028</v>
      </c>
      <c r="AB746" s="38">
        <f>MIP_4[[#This Row],[HH Trabalhado]]/MIP_4[[#This Row],[HH disponível]]</f>
        <v>0.83768656716417877</v>
      </c>
      <c r="AC746" s="37" t="str">
        <f>LEFT(MIP_4[[#This Row],[Equipe]], SEARCH("/",MIP_4[[#This Row],[Equipe]],1)-1)</f>
        <v xml:space="preserve">EDILTON </v>
      </c>
      <c r="AD746" s="37" t="str">
        <f>RIGHT(MIP_4[[#This Row],[Equipe]], LEN(MIP_4[[#This Row],[Equipe]])-SEARCH("/",MIP_4[[#This Row],[Equipe]],1))</f>
        <v xml:space="preserve"> GECIVALDO</v>
      </c>
      <c r="AE746" s="44">
        <f>COUNTIFS('[1]Tempo parado'!G:G,"&gt;="&amp;MIP_4[[#This Row],[S.B Sitrack]],'[1]Tempo parado'!H:H,"&lt;="&amp;MIP_4[[#This Row],[C.B Sitrack]],'[1]Tempo parado'!A:A,MIP_4[[#This Row],[Placa]])</f>
        <v>0</v>
      </c>
      <c r="AF746" s="36"/>
      <c r="AG746" s="35"/>
      <c r="AH746" s="34">
        <v>43044.670289351852</v>
      </c>
      <c r="AI746" s="34">
        <v>43045.015324074076</v>
      </c>
      <c r="AJ746" s="32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8.33333333333325E-3</v>
      </c>
      <c r="AK74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55.499999999999993</v>
      </c>
      <c r="AL74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46" s="31">
        <f>IFERROR(MIP_4[[#This Row],[Tempo parado]]/(MIP_4[[#This Row],[C.B Sitrack]]-MIP_4[[#This Row],[S.B Sitrack]]),"")</f>
        <v>0</v>
      </c>
      <c r="AN746" s="30"/>
      <c r="AO746" s="44">
        <f>IF(AND(MIP_4[Exc]=0,MIP_4[Previsto / Realizado]="Realizado"),MIP_4[Sem],0)</f>
        <v>45</v>
      </c>
      <c r="AP746" s="29">
        <f>IF(AND(MIP_4[Exc]=0,MIP_4[Previsto / Realizado]="Realizado",ISBLANK(MIP_4[[#This Row],[S.B Sitrack]])=FALSE,ISBLANK(MIP_4[[#This Row],[C.B Sitrack]])=FALSE),MIP_4[Sem],0)</f>
        <v>45</v>
      </c>
    </row>
    <row r="747" spans="1:42" ht="15.75" x14ac:dyDescent="0.25">
      <c r="A747" s="29">
        <f>WEEKNUM(MIP_4[[#This Row],[Data]])</f>
        <v>45</v>
      </c>
      <c r="B747" s="45">
        <v>43044</v>
      </c>
      <c r="C747" s="45"/>
      <c r="D747" s="35" t="s">
        <v>7</v>
      </c>
      <c r="E747" s="35" t="s">
        <v>5</v>
      </c>
      <c r="F747" s="35"/>
      <c r="G747" s="44">
        <v>2</v>
      </c>
      <c r="H747" s="44">
        <v>0</v>
      </c>
      <c r="I747" s="44">
        <v>0</v>
      </c>
      <c r="J747" s="44">
        <v>0</v>
      </c>
      <c r="K747" s="44">
        <v>0</v>
      </c>
      <c r="L747" s="43">
        <v>0.625</v>
      </c>
      <c r="M747" s="43">
        <v>0.64583333333333337</v>
      </c>
      <c r="N747" s="43">
        <v>1.0125</v>
      </c>
      <c r="O747" s="43">
        <v>1.0333333333333334</v>
      </c>
      <c r="P747" s="39"/>
      <c r="Q747" s="42" t="s">
        <v>4</v>
      </c>
      <c r="R747" s="29">
        <v>0</v>
      </c>
      <c r="S74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74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747" s="41">
        <f ca="1">MIP_4[[#This Row],[Eficiência]]</f>
        <v>0</v>
      </c>
      <c r="V74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47" s="39">
        <f>IF(MIP_4[[#This Row],[P.S]]-MIP_4[[#This Row],[P.E]]&lt;0,1+MIP_4[[#This Row],[P.S]]-MIP_4[[#This Row],[P.E]]-1/24,MIP_4[[#This Row],[P.S]]-MIP_4[[#This Row],[P.E]]-1/24)</f>
        <v>0.36666666666666675</v>
      </c>
      <c r="X747" s="39">
        <f ca="1">MIP_4[[#This Row],[PT-1]]*$S$3+MIP_4[[#This Row],[PT-2]]*$T$3+MIP_4[[#This Row],[PT-3]]*$U$3+MIP_4[[#This Row],[PT &gt; 3 Pontos]]*$V$3</f>
        <v>0</v>
      </c>
      <c r="Y747" s="39">
        <f>MIP_4[[#This Row],[HH disponível]]-MIP_4[[#This Row],[HH AC TOT]]</f>
        <v>0.3249999999999999</v>
      </c>
      <c r="Z747" s="38">
        <f ca="1">MIP_4[[#This Row],[HH Produtivo
Total]]/MIP_4[[#This Row],[HH Trabalhado]]</f>
        <v>0</v>
      </c>
      <c r="AA747" s="38">
        <f ca="1">MIP_4[[#This Row],[HH Produtivo
Total]]/MIP_4[[#This Row],[HH disponível]]</f>
        <v>0</v>
      </c>
      <c r="AB747" s="38">
        <f>MIP_4[[#This Row],[HH Trabalhado]]/MIP_4[[#This Row],[HH disponível]]</f>
        <v>0.88636363636363591</v>
      </c>
      <c r="AC747" s="37" t="str">
        <f>LEFT(MIP_4[[#This Row],[Equipe]], SEARCH("/",MIP_4[[#This Row],[Equipe]],1)-1)</f>
        <v xml:space="preserve">ANDERSON </v>
      </c>
      <c r="AD747" s="37" t="str">
        <f>RIGHT(MIP_4[[#This Row],[Equipe]], LEN(MIP_4[[#This Row],[Equipe]])-SEARCH("/",MIP_4[[#This Row],[Equipe]],1))</f>
        <v xml:space="preserve"> MARCO</v>
      </c>
      <c r="AE747" s="44">
        <f>COUNTIFS('[1]Tempo parado'!G:G,"&gt;="&amp;MIP_4[[#This Row],[S.B Sitrack]],'[1]Tempo parado'!H:H,"&lt;="&amp;MIP_4[[#This Row],[C.B Sitrack]],'[1]Tempo parado'!A:A,MIP_4[[#This Row],[Placa]])</f>
        <v>0</v>
      </c>
      <c r="AF747" s="36"/>
      <c r="AG747" s="35"/>
      <c r="AH747" s="34"/>
      <c r="AI747" s="34"/>
      <c r="AJ74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4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4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47" s="32" t="str">
        <f>IFERROR(MIP_4[[#This Row],[Tempo parado]]/(MIP_4[[#This Row],[C.B Sitrack]]-MIP_4[[#This Row],[S.B Sitrack]]),"")</f>
        <v/>
      </c>
      <c r="AN747" s="30"/>
      <c r="AO747" s="44">
        <f>IF(AND(MIP_4[Exc]=0,MIP_4[Previsto / Realizado]="Realizado"),MIP_4[Sem],0)</f>
        <v>0</v>
      </c>
      <c r="AP747" s="29">
        <f>IF(AND(MIP_4[Exc]=0,MIP_4[Previsto / Realizado]="Realizado",ISBLANK(MIP_4[[#This Row],[S.B Sitrack]])=FALSE,ISBLANK(MIP_4[[#This Row],[C.B Sitrack]])=FALSE),MIP_4[Sem],0)</f>
        <v>0</v>
      </c>
    </row>
    <row r="748" spans="1:42" ht="15.75" x14ac:dyDescent="0.25">
      <c r="A748" s="29">
        <f>WEEKNUM(MIP_4[[#This Row],[Data]])</f>
        <v>45</v>
      </c>
      <c r="B748" s="45">
        <v>43044</v>
      </c>
      <c r="C748" s="45"/>
      <c r="D748" s="35" t="s">
        <v>7</v>
      </c>
      <c r="E748" s="35" t="s">
        <v>2</v>
      </c>
      <c r="F748" s="35" t="s">
        <v>6</v>
      </c>
      <c r="G748" s="44">
        <v>2</v>
      </c>
      <c r="H748" s="44">
        <v>9</v>
      </c>
      <c r="I748" s="44">
        <v>1</v>
      </c>
      <c r="J748" s="44">
        <v>0</v>
      </c>
      <c r="K748" s="44">
        <v>4</v>
      </c>
      <c r="L748" s="43">
        <v>0.64027777777777783</v>
      </c>
      <c r="M748" s="43">
        <v>0.66666666666666663</v>
      </c>
      <c r="N748" s="43">
        <v>1.0138888888888888</v>
      </c>
      <c r="O748" s="68">
        <v>3.3333333333333333E-2</v>
      </c>
      <c r="P748" s="39"/>
      <c r="Q748" s="42"/>
      <c r="R748" s="29">
        <v>15</v>
      </c>
      <c r="S74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4.5833333333333393E-2</v>
      </c>
      <c r="T74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4.5833333333333393E-2</v>
      </c>
      <c r="U748" s="41">
        <f ca="1">MIP_4[[#This Row],[Eficiência]]</f>
        <v>1.1458914095666812</v>
      </c>
      <c r="V74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48" s="39">
        <f>IF(MIP_4[[#This Row],[P.S]]-MIP_4[[#This Row],[P.E]]&lt;0,1+MIP_4[[#This Row],[P.S]]-MIP_4[[#This Row],[P.E]]-1/24,MIP_4[[#This Row],[P.S]]-MIP_4[[#This Row],[P.E]]-1/24)</f>
        <v>0.35138888888888892</v>
      </c>
      <c r="X748" s="39">
        <f ca="1">MIP_4[[#This Row],[PT-1]]*$S$3+MIP_4[[#This Row],[PT-2]]*$T$3+MIP_4[[#This Row],[PT-3]]*$U$3+MIP_4[[#This Row],[PT &gt; 3 Pontos]]*$V$3</f>
        <v>0.35013348625648588</v>
      </c>
      <c r="Y748" s="39">
        <f>MIP_4[[#This Row],[HH disponível]]-MIP_4[[#This Row],[HH AC TOT]]</f>
        <v>0.30555555555555552</v>
      </c>
      <c r="Z748" s="38">
        <f ca="1">MIP_4[[#This Row],[HH Produtivo
Total]]/MIP_4[[#This Row],[HH Trabalhado]]</f>
        <v>1.1458914095666812</v>
      </c>
      <c r="AA748" s="38">
        <f ca="1">MIP_4[[#This Row],[HH Produtivo
Total]]/MIP_4[[#This Row],[HH disponível]]</f>
        <v>0.99642731266667905</v>
      </c>
      <c r="AB748" s="38">
        <f>MIP_4[[#This Row],[HH Trabalhado]]/MIP_4[[#This Row],[HH disponível]]</f>
        <v>0.86956521739130421</v>
      </c>
      <c r="AC748" s="37" t="str">
        <f>LEFT(MIP_4[[#This Row],[Equipe]], SEARCH("/",MIP_4[[#This Row],[Equipe]],1)-1)</f>
        <v xml:space="preserve">ANDERSON </v>
      </c>
      <c r="AD748" s="37" t="str">
        <f>RIGHT(MIP_4[[#This Row],[Equipe]], LEN(MIP_4[[#This Row],[Equipe]])-SEARCH("/",MIP_4[[#This Row],[Equipe]],1))</f>
        <v xml:space="preserve"> MARCO</v>
      </c>
      <c r="AE748" s="44">
        <f>COUNTIFS('[1]Tempo parado'!G:G,"&gt;="&amp;MIP_4[[#This Row],[S.B Sitrack]],'[1]Tempo parado'!H:H,"&lt;="&amp;MIP_4[[#This Row],[C.B Sitrack]],'[1]Tempo parado'!A:A,MIP_4[[#This Row],[Placa]])</f>
        <v>0</v>
      </c>
      <c r="AF748" s="36"/>
      <c r="AG748" s="35"/>
      <c r="AH748" s="34"/>
      <c r="AI748" s="34">
        <v>43045.016979166663</v>
      </c>
      <c r="AJ74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4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4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48" s="31">
        <f>IFERROR(MIP_4[[#This Row],[Tempo parado]]/(MIP_4[[#This Row],[C.B Sitrack]]-MIP_4[[#This Row],[S.B Sitrack]]),"")</f>
        <v>0</v>
      </c>
      <c r="AN748" s="30"/>
      <c r="AO748" s="44">
        <f>IF(AND(MIP_4[Exc]=0,MIP_4[Previsto / Realizado]="Realizado"),MIP_4[Sem],0)</f>
        <v>45</v>
      </c>
      <c r="AP748" s="29">
        <f>IF(AND(MIP_4[Exc]=0,MIP_4[Previsto / Realizado]="Realizado",ISBLANK(MIP_4[[#This Row],[S.B Sitrack]])=FALSE,ISBLANK(MIP_4[[#This Row],[C.B Sitrack]])=FALSE),MIP_4[Sem],0)</f>
        <v>0</v>
      </c>
    </row>
    <row r="749" spans="1:42" ht="15.75" x14ac:dyDescent="0.25">
      <c r="A749" s="29">
        <f>WEEKNUM(MIP_4[[#This Row],[Data]])</f>
        <v>45</v>
      </c>
      <c r="B749" s="45">
        <v>43045</v>
      </c>
      <c r="C749" s="45"/>
      <c r="D749" s="35" t="s">
        <v>10</v>
      </c>
      <c r="E749" s="35" t="s">
        <v>5</v>
      </c>
      <c r="F749" s="35"/>
      <c r="G749" s="44">
        <v>2</v>
      </c>
      <c r="H749" s="44">
        <v>5</v>
      </c>
      <c r="I749" s="44">
        <v>0</v>
      </c>
      <c r="J749" s="44">
        <v>0</v>
      </c>
      <c r="K749" s="44">
        <v>0</v>
      </c>
      <c r="L749" s="43">
        <v>0.25</v>
      </c>
      <c r="M749" s="43">
        <v>0.27083333333333331</v>
      </c>
      <c r="N749" s="43">
        <v>0.63750000000000007</v>
      </c>
      <c r="O749" s="43">
        <v>0.65833333333333333</v>
      </c>
      <c r="P749" s="39"/>
      <c r="Q749" s="42" t="s">
        <v>4</v>
      </c>
      <c r="R749" s="29">
        <v>5</v>
      </c>
      <c r="S74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74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749" s="41">
        <f ca="1">MIP_4[[#This Row],[Eficiência]]</f>
        <v>0.38501312244518726</v>
      </c>
      <c r="V74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49" s="39">
        <f>IF(MIP_4[[#This Row],[P.S]]-MIP_4[[#This Row],[P.E]]&lt;0,1+MIP_4[[#This Row],[P.S]]-MIP_4[[#This Row],[P.E]]-1/24,MIP_4[[#This Row],[P.S]]-MIP_4[[#This Row],[P.E]]-1/24)</f>
        <v>0.36666666666666664</v>
      </c>
      <c r="X749" s="39">
        <f ca="1">MIP_4[[#This Row],[PT-1]]*$S$3+MIP_4[[#This Row],[PT-2]]*$T$3+MIP_4[[#This Row],[PT-3]]*$U$3+MIP_4[[#This Row],[PT &gt; 3 Pontos]]*$V$3</f>
        <v>0.12512926479468589</v>
      </c>
      <c r="Y749" s="39">
        <f>MIP_4[[#This Row],[HH disponível]]-MIP_4[[#This Row],[HH AC TOT]]</f>
        <v>0.32500000000000007</v>
      </c>
      <c r="Z749" s="38">
        <f ca="1">MIP_4[[#This Row],[HH Produtivo
Total]]/MIP_4[[#This Row],[HH Trabalhado]]</f>
        <v>0.38501312244518726</v>
      </c>
      <c r="AA749" s="38">
        <f ca="1">MIP_4[[#This Row],[HH Produtivo
Total]]/MIP_4[[#This Row],[HH disponível]]</f>
        <v>0.34126163125823428</v>
      </c>
      <c r="AB749" s="38">
        <f>MIP_4[[#This Row],[HH Trabalhado]]/MIP_4[[#This Row],[HH disponível]]</f>
        <v>0.88636363636363658</v>
      </c>
      <c r="AC749" s="37" t="str">
        <f>LEFT(MIP_4[[#This Row],[Equipe]], SEARCH("/",MIP_4[[#This Row],[Equipe]],1)-1)</f>
        <v xml:space="preserve">JOILSON </v>
      </c>
      <c r="AD749" s="37" t="str">
        <f>RIGHT(MIP_4[[#This Row],[Equipe]], LEN(MIP_4[[#This Row],[Equipe]])-SEARCH("/",MIP_4[[#This Row],[Equipe]],1))</f>
        <v xml:space="preserve"> VALDEI</v>
      </c>
      <c r="AE749" s="44">
        <f>COUNTIFS('[1]Tempo parado'!G:G,"&gt;="&amp;MIP_4[[#This Row],[S.B Sitrack]],'[1]Tempo parado'!H:H,"&lt;="&amp;MIP_4[[#This Row],[C.B Sitrack]],'[1]Tempo parado'!A:A,MIP_4[[#This Row],[Placa]])</f>
        <v>0</v>
      </c>
      <c r="AF749" s="36"/>
      <c r="AG749" s="35"/>
      <c r="AH749" s="34"/>
      <c r="AI749" s="34"/>
      <c r="AJ74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4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4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49" s="32" t="str">
        <f>IFERROR(MIP_4[[#This Row],[Tempo parado]]/(MIP_4[[#This Row],[C.B Sitrack]]-MIP_4[[#This Row],[S.B Sitrack]]),"")</f>
        <v/>
      </c>
      <c r="AN749" s="30"/>
      <c r="AO749" s="44">
        <f>IF(AND(MIP_4[Exc]=0,MIP_4[Previsto / Realizado]="Realizado"),MIP_4[Sem],0)</f>
        <v>0</v>
      </c>
      <c r="AP749" s="29">
        <f>IF(AND(MIP_4[Exc]=0,MIP_4[Previsto / Realizado]="Realizado",ISBLANK(MIP_4[[#This Row],[S.B Sitrack]])=FALSE,ISBLANK(MIP_4[[#This Row],[C.B Sitrack]])=FALSE),MIP_4[Sem],0)</f>
        <v>0</v>
      </c>
    </row>
    <row r="750" spans="1:42" ht="15.75" x14ac:dyDescent="0.25">
      <c r="A750" s="29">
        <f>WEEKNUM(MIP_4[[#This Row],[Data]])</f>
        <v>45</v>
      </c>
      <c r="B750" s="45">
        <v>43045</v>
      </c>
      <c r="C750" s="45"/>
      <c r="D750" s="35" t="s">
        <v>10</v>
      </c>
      <c r="E750" s="35" t="s">
        <v>2</v>
      </c>
      <c r="F750" s="35" t="s">
        <v>1</v>
      </c>
      <c r="G750" s="44">
        <v>2</v>
      </c>
      <c r="H750" s="44">
        <v>8</v>
      </c>
      <c r="I750" s="44">
        <v>1</v>
      </c>
      <c r="J750" s="44">
        <v>0</v>
      </c>
      <c r="K750" s="44">
        <v>0</v>
      </c>
      <c r="L750" s="43">
        <v>0.25</v>
      </c>
      <c r="M750" s="43">
        <v>0.27083333333333331</v>
      </c>
      <c r="N750" s="43">
        <v>0.61111111111111105</v>
      </c>
      <c r="O750" s="43">
        <v>0.66041666666666665</v>
      </c>
      <c r="P750" s="39"/>
      <c r="Q750" s="42" t="s">
        <v>9</v>
      </c>
      <c r="R750" s="29">
        <v>10</v>
      </c>
      <c r="S75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7.0138888888888917E-2</v>
      </c>
      <c r="T75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7.0138888888888917E-2</v>
      </c>
      <c r="U750" s="41">
        <f ca="1">MIP_4[[#This Row],[Eficiência]]</f>
        <v>0.81750337040781906</v>
      </c>
      <c r="V75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50" s="39">
        <f>IF(MIP_4[[#This Row],[P.S]]-MIP_4[[#This Row],[P.E]]&lt;0,1+MIP_4[[#This Row],[P.S]]-MIP_4[[#This Row],[P.E]]-1/24,MIP_4[[#This Row],[P.S]]-MIP_4[[#This Row],[P.E]]-1/24)</f>
        <v>0.36874999999999997</v>
      </c>
      <c r="X750" s="39">
        <f ca="1">MIP_4[[#This Row],[PT-1]]*$S$3+MIP_4[[#This Row],[PT-2]]*$T$3+MIP_4[[#This Row],[PT-3]]*$U$3+MIP_4[[#This Row],[PT &gt; 3 Pontos]]*$V$3</f>
        <v>0.24411558977455702</v>
      </c>
      <c r="Y750" s="39">
        <f>MIP_4[[#This Row],[HH disponível]]-MIP_4[[#This Row],[HH AC TOT]]</f>
        <v>0.29861111111111105</v>
      </c>
      <c r="Z750" s="38">
        <f ca="1">MIP_4[[#This Row],[HH Produtivo
Total]]/MIP_4[[#This Row],[HH Trabalhado]]</f>
        <v>0.81750337040781906</v>
      </c>
      <c r="AA750" s="38">
        <f ca="1">MIP_4[[#This Row],[HH Produtivo
Total]]/MIP_4[[#This Row],[HH disponível]]</f>
        <v>0.66200837904964627</v>
      </c>
      <c r="AB750" s="38">
        <f>MIP_4[[#This Row],[HH Trabalhado]]/MIP_4[[#This Row],[HH disponível]]</f>
        <v>0.80979284369114868</v>
      </c>
      <c r="AC750" s="37" t="str">
        <f>LEFT(MIP_4[[#This Row],[Equipe]], SEARCH("/",MIP_4[[#This Row],[Equipe]],1)-1)</f>
        <v xml:space="preserve">JOILSON </v>
      </c>
      <c r="AD750" s="37" t="str">
        <f>RIGHT(MIP_4[[#This Row],[Equipe]], LEN(MIP_4[[#This Row],[Equipe]])-SEARCH("/",MIP_4[[#This Row],[Equipe]],1))</f>
        <v xml:space="preserve"> VALDEI</v>
      </c>
      <c r="AE750" s="44">
        <f>COUNTIFS('[1]Tempo parado'!G:G,"&gt;="&amp;MIP_4[[#This Row],[S.B Sitrack]],'[1]Tempo parado'!H:H,"&lt;="&amp;MIP_4[[#This Row],[C.B Sitrack]],'[1]Tempo parado'!A:A,MIP_4[[#This Row],[Placa]])</f>
        <v>0</v>
      </c>
      <c r="AF750" s="36"/>
      <c r="AG750" s="35"/>
      <c r="AH750" s="34">
        <v>43045.282546296294</v>
      </c>
      <c r="AI750" s="34">
        <v>43045.624456018515</v>
      </c>
      <c r="AJ750" s="32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2.4305555555555636E-2</v>
      </c>
      <c r="AK75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37.6</v>
      </c>
      <c r="AL75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50" s="31">
        <f>IFERROR(MIP_4[[#This Row],[Tempo parado]]/(MIP_4[[#This Row],[C.B Sitrack]]-MIP_4[[#This Row],[S.B Sitrack]]),"")</f>
        <v>0</v>
      </c>
      <c r="AN750" s="30"/>
      <c r="AO750" s="44">
        <f>IF(AND(MIP_4[Exc]=0,MIP_4[Previsto / Realizado]="Realizado"),MIP_4[Sem],0)</f>
        <v>45</v>
      </c>
      <c r="AP750" s="29">
        <f>IF(AND(MIP_4[Exc]=0,MIP_4[Previsto / Realizado]="Realizado",ISBLANK(MIP_4[[#This Row],[S.B Sitrack]])=FALSE,ISBLANK(MIP_4[[#This Row],[C.B Sitrack]])=FALSE),MIP_4[Sem],0)</f>
        <v>45</v>
      </c>
    </row>
    <row r="751" spans="1:42" ht="15.75" x14ac:dyDescent="0.25">
      <c r="A751" s="29">
        <f>WEEKNUM(MIP_4[[#This Row],[Data]])</f>
        <v>45</v>
      </c>
      <c r="B751" s="45">
        <v>43045</v>
      </c>
      <c r="C751" s="45"/>
      <c r="D751" s="35" t="s">
        <v>7</v>
      </c>
      <c r="E751" s="35" t="s">
        <v>5</v>
      </c>
      <c r="F751" s="35"/>
      <c r="G751" s="44">
        <v>2</v>
      </c>
      <c r="H751" s="44">
        <v>0</v>
      </c>
      <c r="I751" s="44">
        <v>3</v>
      </c>
      <c r="J751" s="44">
        <v>0</v>
      </c>
      <c r="K751" s="44">
        <v>4</v>
      </c>
      <c r="L751" s="43">
        <v>0.625</v>
      </c>
      <c r="M751" s="43">
        <v>0.64583333333333337</v>
      </c>
      <c r="N751" s="43">
        <v>1.0125</v>
      </c>
      <c r="O751" s="43">
        <v>1.0333333333333334</v>
      </c>
      <c r="P751" s="39"/>
      <c r="Q751" s="42" t="s">
        <v>70</v>
      </c>
      <c r="R751" s="29">
        <v>10</v>
      </c>
      <c r="S75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75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751" s="41">
        <f ca="1">MIP_4[[#This Row],[Eficiência]]</f>
        <v>0.65451797486821683</v>
      </c>
      <c r="V75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51" s="39">
        <f>IF(MIP_4[[#This Row],[P.S]]-MIP_4[[#This Row],[P.E]]&lt;0,1+MIP_4[[#This Row],[P.S]]-MIP_4[[#This Row],[P.E]]-1/24,MIP_4[[#This Row],[P.S]]-MIP_4[[#This Row],[P.E]]-1/24)</f>
        <v>0.36666666666666675</v>
      </c>
      <c r="X751" s="39">
        <f ca="1">MIP_4[[#This Row],[PT-1]]*$S$3+MIP_4[[#This Row],[PT-2]]*$T$3+MIP_4[[#This Row],[PT-3]]*$U$3+MIP_4[[#This Row],[PT &gt; 3 Pontos]]*$V$3</f>
        <v>0.21271834183217039</v>
      </c>
      <c r="Y751" s="39">
        <f>MIP_4[[#This Row],[HH disponível]]-MIP_4[[#This Row],[HH AC TOT]]</f>
        <v>0.3249999999999999</v>
      </c>
      <c r="Z751" s="38">
        <f ca="1">MIP_4[[#This Row],[HH Produtivo
Total]]/MIP_4[[#This Row],[HH Trabalhado]]</f>
        <v>0.65451797486821683</v>
      </c>
      <c r="AA751" s="38">
        <f ca="1">MIP_4[[#This Row],[HH Produtivo
Total]]/MIP_4[[#This Row],[HH disponível]]</f>
        <v>0.58014093226955543</v>
      </c>
      <c r="AB751" s="38">
        <f>MIP_4[[#This Row],[HH Trabalhado]]/MIP_4[[#This Row],[HH disponível]]</f>
        <v>0.88636363636363591</v>
      </c>
      <c r="AC751" s="37" t="str">
        <f>LEFT(MIP_4[[#This Row],[Equipe]], SEARCH("/",MIP_4[[#This Row],[Equipe]],1)-1)</f>
        <v xml:space="preserve">ANDERSON </v>
      </c>
      <c r="AD751" s="37" t="str">
        <f>RIGHT(MIP_4[[#This Row],[Equipe]], LEN(MIP_4[[#This Row],[Equipe]])-SEARCH("/",MIP_4[[#This Row],[Equipe]],1))</f>
        <v xml:space="preserve"> MARCO</v>
      </c>
      <c r="AE751" s="44">
        <f>COUNTIFS('[1]Tempo parado'!G:G,"&gt;="&amp;MIP_4[[#This Row],[S.B Sitrack]],'[1]Tempo parado'!H:H,"&lt;="&amp;MIP_4[[#This Row],[C.B Sitrack]],'[1]Tempo parado'!A:A,MIP_4[[#This Row],[Placa]])</f>
        <v>0</v>
      </c>
      <c r="AF751" s="36"/>
      <c r="AG751" s="35"/>
      <c r="AH751" s="34"/>
      <c r="AI751" s="34"/>
      <c r="AJ75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5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5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51" s="32" t="str">
        <f>IFERROR(MIP_4[[#This Row],[Tempo parado]]/(MIP_4[[#This Row],[C.B Sitrack]]-MIP_4[[#This Row],[S.B Sitrack]]),"")</f>
        <v/>
      </c>
      <c r="AN751" s="30"/>
      <c r="AO751" s="44">
        <f>IF(AND(MIP_4[Exc]=0,MIP_4[Previsto / Realizado]="Realizado"),MIP_4[Sem],0)</f>
        <v>0</v>
      </c>
      <c r="AP751" s="29">
        <f>IF(AND(MIP_4[Exc]=0,MIP_4[Previsto / Realizado]="Realizado",ISBLANK(MIP_4[[#This Row],[S.B Sitrack]])=FALSE,ISBLANK(MIP_4[[#This Row],[C.B Sitrack]])=FALSE),MIP_4[Sem],0)</f>
        <v>0</v>
      </c>
    </row>
    <row r="752" spans="1:42" ht="15.75" x14ac:dyDescent="0.25">
      <c r="A752" s="29">
        <f>WEEKNUM(MIP_4[[#This Row],[Data]])</f>
        <v>45</v>
      </c>
      <c r="B752" s="45">
        <v>43045</v>
      </c>
      <c r="C752" s="45"/>
      <c r="D752" s="35" t="s">
        <v>7</v>
      </c>
      <c r="E752" s="35" t="s">
        <v>2</v>
      </c>
      <c r="F752" s="35" t="s">
        <v>6</v>
      </c>
      <c r="G752" s="44">
        <v>2</v>
      </c>
      <c r="H752" s="44">
        <v>0</v>
      </c>
      <c r="I752" s="44">
        <v>3</v>
      </c>
      <c r="J752" s="44">
        <v>0</v>
      </c>
      <c r="K752" s="44">
        <v>9</v>
      </c>
      <c r="L752" s="43">
        <v>0.62638888888888888</v>
      </c>
      <c r="M752" s="43">
        <v>0.66666666666666663</v>
      </c>
      <c r="N752" s="43">
        <v>1.0104166666666667</v>
      </c>
      <c r="O752" s="68">
        <v>3.0555555555555555E-2</v>
      </c>
      <c r="P752" s="39"/>
      <c r="Q752" s="42" t="s">
        <v>9</v>
      </c>
      <c r="R752" s="29">
        <v>15</v>
      </c>
      <c r="S75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6.0416666666666452E-2</v>
      </c>
      <c r="T75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6.0416666666666452E-2</v>
      </c>
      <c r="U752" s="41">
        <f ca="1">MIP_4[[#This Row],[Eficiência]]</f>
        <v>1.039310553056805</v>
      </c>
      <c r="V75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52" s="39">
        <f>IF(MIP_4[[#This Row],[P.S]]-MIP_4[[#This Row],[P.E]]&lt;0,1+MIP_4[[#This Row],[P.S]]-MIP_4[[#This Row],[P.E]]-1/24,MIP_4[[#This Row],[P.S]]-MIP_4[[#This Row],[P.E]]-1/24)</f>
        <v>0.36249999999999988</v>
      </c>
      <c r="X752" s="39">
        <f ca="1">MIP_4[[#This Row],[PT-1]]*$S$3+MIP_4[[#This Row],[PT-2]]*$T$3+MIP_4[[#This Row],[PT-3]]*$U$3+MIP_4[[#This Row],[PT &gt; 3 Pontos]]*$V$3</f>
        <v>0.31395839623590993</v>
      </c>
      <c r="Y752" s="39">
        <f>MIP_4[[#This Row],[HH disponível]]-MIP_4[[#This Row],[HH AC TOT]]</f>
        <v>0.30208333333333343</v>
      </c>
      <c r="Z752" s="38">
        <f ca="1">MIP_4[[#This Row],[HH Produtivo
Total]]/MIP_4[[#This Row],[HH Trabalhado]]</f>
        <v>1.039310553056805</v>
      </c>
      <c r="AA752" s="38">
        <f ca="1">MIP_4[[#This Row],[HH Produtivo
Total]]/MIP_4[[#This Row],[HH disponível]]</f>
        <v>0.866092127547338</v>
      </c>
      <c r="AB752" s="38">
        <f>MIP_4[[#This Row],[HH Trabalhado]]/MIP_4[[#This Row],[HH disponível]]</f>
        <v>0.83333333333333381</v>
      </c>
      <c r="AC752" s="37" t="str">
        <f>LEFT(MIP_4[[#This Row],[Equipe]], SEARCH("/",MIP_4[[#This Row],[Equipe]],1)-1)</f>
        <v xml:space="preserve">ANDERSON </v>
      </c>
      <c r="AD752" s="37" t="str">
        <f>RIGHT(MIP_4[[#This Row],[Equipe]], LEN(MIP_4[[#This Row],[Equipe]])-SEARCH("/",MIP_4[[#This Row],[Equipe]],1))</f>
        <v xml:space="preserve"> MARCO</v>
      </c>
      <c r="AE752" s="44">
        <f>COUNTIFS('[1]Tempo parado'!G:G,"&gt;="&amp;MIP_4[[#This Row],[S.B Sitrack]],'[1]Tempo parado'!H:H,"&lt;="&amp;MIP_4[[#This Row],[C.B Sitrack]],'[1]Tempo parado'!A:A,MIP_4[[#This Row],[Placa]])</f>
        <v>0</v>
      </c>
      <c r="AF752" s="36"/>
      <c r="AG752" s="35"/>
      <c r="AH752" s="34"/>
      <c r="AI752" s="34">
        <v>43046.016956018517</v>
      </c>
      <c r="AJ75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5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5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52" s="31">
        <f>IFERROR(MIP_4[[#This Row],[Tempo parado]]/(MIP_4[[#This Row],[C.B Sitrack]]-MIP_4[[#This Row],[S.B Sitrack]]),"")</f>
        <v>0</v>
      </c>
      <c r="AN752" s="30"/>
      <c r="AO752" s="44">
        <f>IF(AND(MIP_4[Exc]=0,MIP_4[Previsto / Realizado]="Realizado"),MIP_4[Sem],0)</f>
        <v>45</v>
      </c>
      <c r="AP752" s="29">
        <f>IF(AND(MIP_4[Exc]=0,MIP_4[Previsto / Realizado]="Realizado",ISBLANK(MIP_4[[#This Row],[S.B Sitrack]])=FALSE,ISBLANK(MIP_4[[#This Row],[C.B Sitrack]])=FALSE),MIP_4[Sem],0)</f>
        <v>0</v>
      </c>
    </row>
    <row r="753" spans="1:42" ht="15.75" x14ac:dyDescent="0.25">
      <c r="A753" s="29">
        <f>WEEKNUM(MIP_4[[#This Row],[Data]])</f>
        <v>45</v>
      </c>
      <c r="B753" s="45">
        <v>43045</v>
      </c>
      <c r="C753" s="45"/>
      <c r="D753" s="35" t="s">
        <v>19</v>
      </c>
      <c r="E753" s="35" t="s">
        <v>5</v>
      </c>
      <c r="F753" s="35"/>
      <c r="G753" s="44">
        <v>2</v>
      </c>
      <c r="H753" s="44">
        <v>4</v>
      </c>
      <c r="I753" s="44">
        <v>2</v>
      </c>
      <c r="J753" s="44">
        <v>2</v>
      </c>
      <c r="K753" s="44">
        <v>0</v>
      </c>
      <c r="L753" s="43">
        <v>0.625</v>
      </c>
      <c r="M753" s="43">
        <v>0.64583333333333337</v>
      </c>
      <c r="N753" s="43">
        <v>1.0125</v>
      </c>
      <c r="O753" s="43">
        <v>1.0333333333333334</v>
      </c>
      <c r="P753" s="39"/>
      <c r="Q753" s="42" t="s">
        <v>4</v>
      </c>
      <c r="R753" s="29">
        <v>14</v>
      </c>
      <c r="S75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75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753" s="41">
        <f ca="1">MIP_4[[#This Row],[Eficiência]]</f>
        <v>0.96462862318840603</v>
      </c>
      <c r="V75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53" s="39">
        <f>IF(MIP_4[[#This Row],[P.S]]-MIP_4[[#This Row],[P.E]]&lt;0,1+MIP_4[[#This Row],[P.S]]-MIP_4[[#This Row],[P.E]]-1/24,MIP_4[[#This Row],[P.S]]-MIP_4[[#This Row],[P.E]]-1/24)</f>
        <v>0.36666666666666675</v>
      </c>
      <c r="X753" s="39">
        <f ca="1">MIP_4[[#This Row],[PT-1]]*$S$3+MIP_4[[#This Row],[PT-2]]*$T$3+MIP_4[[#This Row],[PT-3]]*$U$3+MIP_4[[#This Row],[PT &gt; 3 Pontos]]*$V$3</f>
        <v>0.31350430253623185</v>
      </c>
      <c r="Y753" s="39">
        <f>MIP_4[[#This Row],[HH disponível]]-MIP_4[[#This Row],[HH AC TOT]]</f>
        <v>0.3249999999999999</v>
      </c>
      <c r="Z753" s="38">
        <f ca="1">MIP_4[[#This Row],[HH Produtivo
Total]]/MIP_4[[#This Row],[HH Trabalhado]]</f>
        <v>0.96462862318840603</v>
      </c>
      <c r="AA753" s="38">
        <f ca="1">MIP_4[[#This Row],[HH Produtivo
Total]]/MIP_4[[#This Row],[HH disponível]]</f>
        <v>0.85501173418972298</v>
      </c>
      <c r="AB753" s="38">
        <f>MIP_4[[#This Row],[HH Trabalhado]]/MIP_4[[#This Row],[HH disponível]]</f>
        <v>0.88636363636363591</v>
      </c>
      <c r="AC753" s="37" t="str">
        <f>LEFT(MIP_4[[#This Row],[Equipe]], SEARCH("/",MIP_4[[#This Row],[Equipe]],1)-1)</f>
        <v xml:space="preserve">ADEMÁRIO </v>
      </c>
      <c r="AD753" s="37" t="str">
        <f>RIGHT(MIP_4[[#This Row],[Equipe]], LEN(MIP_4[[#This Row],[Equipe]])-SEARCH("/",MIP_4[[#This Row],[Equipe]],1))</f>
        <v xml:space="preserve"> RONALDO</v>
      </c>
      <c r="AE753" s="44">
        <f>COUNTIFS('[1]Tempo parado'!G:G,"&gt;="&amp;MIP_4[[#This Row],[S.B Sitrack]],'[1]Tempo parado'!H:H,"&lt;="&amp;MIP_4[[#This Row],[C.B Sitrack]],'[1]Tempo parado'!A:A,MIP_4[[#This Row],[Placa]])</f>
        <v>0</v>
      </c>
      <c r="AF753" s="36"/>
      <c r="AG753" s="35"/>
      <c r="AH753" s="34"/>
      <c r="AI753" s="34"/>
      <c r="AJ75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5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5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53" s="32" t="str">
        <f>IFERROR(MIP_4[[#This Row],[Tempo parado]]/(MIP_4[[#This Row],[C.B Sitrack]]-MIP_4[[#This Row],[S.B Sitrack]]),"")</f>
        <v/>
      </c>
      <c r="AN753" s="30"/>
      <c r="AO753" s="44">
        <f>IF(AND(MIP_4[Exc]=0,MIP_4[Previsto / Realizado]="Realizado"),MIP_4[Sem],0)</f>
        <v>0</v>
      </c>
      <c r="AP753" s="29">
        <f>IF(AND(MIP_4[Exc]=0,MIP_4[Previsto / Realizado]="Realizado",ISBLANK(MIP_4[[#This Row],[S.B Sitrack]])=FALSE,ISBLANK(MIP_4[[#This Row],[C.B Sitrack]])=FALSE),MIP_4[Sem],0)</f>
        <v>0</v>
      </c>
    </row>
    <row r="754" spans="1:42" ht="15.75" x14ac:dyDescent="0.25">
      <c r="A754" s="29">
        <f>WEEKNUM(MIP_4[[#This Row],[Data]])</f>
        <v>45</v>
      </c>
      <c r="B754" s="45">
        <v>43045</v>
      </c>
      <c r="C754" s="45"/>
      <c r="D754" s="35" t="s">
        <v>19</v>
      </c>
      <c r="E754" s="35" t="s">
        <v>2</v>
      </c>
      <c r="F754" s="35" t="s">
        <v>39</v>
      </c>
      <c r="G754" s="44">
        <v>2</v>
      </c>
      <c r="H754" s="44">
        <v>4</v>
      </c>
      <c r="I754" s="44">
        <v>2</v>
      </c>
      <c r="J754" s="44">
        <v>2</v>
      </c>
      <c r="K754" s="44">
        <v>0</v>
      </c>
      <c r="L754" s="43">
        <v>0.63611111111111118</v>
      </c>
      <c r="M754" s="43">
        <v>0.6875</v>
      </c>
      <c r="N754" s="43">
        <v>1.0069444444444444</v>
      </c>
      <c r="O754" s="43">
        <v>3.6111111111111115E-2</v>
      </c>
      <c r="P754" s="39"/>
      <c r="Q754" s="42" t="s">
        <v>32</v>
      </c>
      <c r="R754" s="29">
        <v>14</v>
      </c>
      <c r="S75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8.0555555555555602E-2</v>
      </c>
      <c r="T75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8.0555555555555602E-2</v>
      </c>
      <c r="U754" s="41">
        <f ca="1">MIP_4[[#This Row],[Eficiência]]</f>
        <v>1.1286154891304347</v>
      </c>
      <c r="V75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54" s="39">
        <f>IF(MIP_4[[#This Row],[P.S]]-MIP_4[[#This Row],[P.E]]&lt;0,1+MIP_4[[#This Row],[P.S]]-MIP_4[[#This Row],[P.E]]-1/24,MIP_4[[#This Row],[P.S]]-MIP_4[[#This Row],[P.E]]-1/24)</f>
        <v>0.35833333333333334</v>
      </c>
      <c r="X754" s="39">
        <f ca="1">MIP_4[[#This Row],[PT-1]]*$S$3+MIP_4[[#This Row],[PT-2]]*$T$3+MIP_4[[#This Row],[PT-3]]*$U$3+MIP_4[[#This Row],[PT &gt; 3 Pontos]]*$V$3</f>
        <v>0.31350430253623185</v>
      </c>
      <c r="Y754" s="39">
        <f>MIP_4[[#This Row],[HH disponível]]-MIP_4[[#This Row],[HH AC TOT]]</f>
        <v>0.27777777777777773</v>
      </c>
      <c r="Z754" s="38">
        <f ca="1">MIP_4[[#This Row],[HH Produtivo
Total]]/MIP_4[[#This Row],[HH Trabalhado]]</f>
        <v>1.1286154891304347</v>
      </c>
      <c r="AA754" s="38">
        <f ca="1">MIP_4[[#This Row],[HH Produtivo
Total]]/MIP_4[[#This Row],[HH disponível]]</f>
        <v>0.8748957280080889</v>
      </c>
      <c r="AB754" s="38">
        <f>MIP_4[[#This Row],[HH Trabalhado]]/MIP_4[[#This Row],[HH disponível]]</f>
        <v>0.77519379844961223</v>
      </c>
      <c r="AC754" s="37" t="str">
        <f>LEFT(MIP_4[[#This Row],[Equipe]], SEARCH("/",MIP_4[[#This Row],[Equipe]],1)-1)</f>
        <v xml:space="preserve">ADEMÁRIO </v>
      </c>
      <c r="AD754" s="37" t="str">
        <f>RIGHT(MIP_4[[#This Row],[Equipe]], LEN(MIP_4[[#This Row],[Equipe]])-SEARCH("/",MIP_4[[#This Row],[Equipe]],1))</f>
        <v xml:space="preserve"> RONALDO</v>
      </c>
      <c r="AE754" s="44">
        <f>COUNTIFS('[1]Tempo parado'!G:G,"&gt;="&amp;MIP_4[[#This Row],[S.B Sitrack]],'[1]Tempo parado'!H:H,"&lt;="&amp;MIP_4[[#This Row],[C.B Sitrack]],'[1]Tempo parado'!A:A,MIP_4[[#This Row],[Placa]])</f>
        <v>0</v>
      </c>
      <c r="AF754" s="36"/>
      <c r="AG754" s="35"/>
      <c r="AH754" s="34">
        <v>43045.683287037034</v>
      </c>
      <c r="AI754" s="34">
        <v>43046.004293981481</v>
      </c>
      <c r="AJ754" s="32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7.638888888888847E-3</v>
      </c>
      <c r="AK75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37.9</v>
      </c>
      <c r="AL75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54" s="31">
        <f>IFERROR(MIP_4[[#This Row],[Tempo parado]]/(MIP_4[[#This Row],[C.B Sitrack]]-MIP_4[[#This Row],[S.B Sitrack]]),"")</f>
        <v>0</v>
      </c>
      <c r="AN754" s="30"/>
      <c r="AO754" s="44">
        <f>IF(AND(MIP_4[Exc]=0,MIP_4[Previsto / Realizado]="Realizado"),MIP_4[Sem],0)</f>
        <v>45</v>
      </c>
      <c r="AP754" s="29">
        <f>IF(AND(MIP_4[Exc]=0,MIP_4[Previsto / Realizado]="Realizado",ISBLANK(MIP_4[[#This Row],[S.B Sitrack]])=FALSE,ISBLANK(MIP_4[[#This Row],[C.B Sitrack]])=FALSE),MIP_4[Sem],0)</f>
        <v>45</v>
      </c>
    </row>
    <row r="755" spans="1:42" ht="15.75" x14ac:dyDescent="0.25">
      <c r="A755" s="29">
        <f>WEEKNUM(MIP_4[[#This Row],[Data]])</f>
        <v>45</v>
      </c>
      <c r="B755" s="45">
        <v>43046</v>
      </c>
      <c r="C755" s="45"/>
      <c r="D755" s="35" t="s">
        <v>136</v>
      </c>
      <c r="E755" s="35" t="s">
        <v>5</v>
      </c>
      <c r="F755" s="35"/>
      <c r="G755" s="44">
        <v>2</v>
      </c>
      <c r="H755" s="44">
        <v>7</v>
      </c>
      <c r="I755" s="44">
        <v>2</v>
      </c>
      <c r="J755" s="44">
        <v>0</v>
      </c>
      <c r="K755" s="44">
        <v>0</v>
      </c>
      <c r="L755" s="43">
        <v>0.625</v>
      </c>
      <c r="M755" s="43">
        <v>0.64583333333333337</v>
      </c>
      <c r="N755" s="43">
        <v>1.0125</v>
      </c>
      <c r="O755" s="43">
        <v>1.0333333333333334</v>
      </c>
      <c r="P755" s="39"/>
      <c r="Q755" s="42" t="s">
        <v>4</v>
      </c>
      <c r="R755" s="29">
        <v>11</v>
      </c>
      <c r="S75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75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755" s="41">
        <f ca="1">MIP_4[[#This Row],[Eficiência]]</f>
        <v>0.80922616282670623</v>
      </c>
      <c r="V75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55" s="39">
        <f>IF(MIP_4[[#This Row],[P.S]]-MIP_4[[#This Row],[P.E]]&lt;0,1+MIP_4[[#This Row],[P.S]]-MIP_4[[#This Row],[P.E]]-1/24,MIP_4[[#This Row],[P.S]]-MIP_4[[#This Row],[P.E]]-1/24)</f>
        <v>0.36666666666666675</v>
      </c>
      <c r="X755" s="39">
        <f ca="1">MIP_4[[#This Row],[PT-1]]*$S$3+MIP_4[[#This Row],[PT-2]]*$T$3+MIP_4[[#This Row],[PT-3]]*$U$3+MIP_4[[#This Row],[PT &gt; 3 Pontos]]*$V$3</f>
        <v>0.26299850291867943</v>
      </c>
      <c r="Y755" s="39">
        <f>MIP_4[[#This Row],[HH disponível]]-MIP_4[[#This Row],[HH AC TOT]]</f>
        <v>0.3249999999999999</v>
      </c>
      <c r="Z755" s="38">
        <f ca="1">MIP_4[[#This Row],[HH Produtivo
Total]]/MIP_4[[#This Row],[HH Trabalhado]]</f>
        <v>0.80922616282670623</v>
      </c>
      <c r="AA755" s="38">
        <f ca="1">MIP_4[[#This Row],[HH Produtivo
Total]]/MIP_4[[#This Row],[HH disponível]]</f>
        <v>0.71726864432367099</v>
      </c>
      <c r="AB755" s="38">
        <f>MIP_4[[#This Row],[HH Trabalhado]]/MIP_4[[#This Row],[HH disponível]]</f>
        <v>0.88636363636363591</v>
      </c>
      <c r="AC755" s="37" t="str">
        <f>LEFT(MIP_4[[#This Row],[Equipe]], SEARCH("/",MIP_4[[#This Row],[Equipe]],1)-1)</f>
        <v xml:space="preserve">GECIVALDO </v>
      </c>
      <c r="AD755" s="37" t="str">
        <f>RIGHT(MIP_4[[#This Row],[Equipe]], LEN(MIP_4[[#This Row],[Equipe]])-SEARCH("/",MIP_4[[#This Row],[Equipe]],1))</f>
        <v xml:space="preserve"> RONALDO</v>
      </c>
      <c r="AE755" s="44">
        <f>COUNTIFS('[1]Tempo parado'!G:G,"&gt;="&amp;MIP_4[[#This Row],[S.B Sitrack]],'[1]Tempo parado'!H:H,"&lt;="&amp;MIP_4[[#This Row],[C.B Sitrack]],'[1]Tempo parado'!A:A,MIP_4[[#This Row],[Placa]])</f>
        <v>0</v>
      </c>
      <c r="AF755" s="36"/>
      <c r="AG755" s="35"/>
      <c r="AH755" s="34"/>
      <c r="AI755" s="34"/>
      <c r="AJ75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5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5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55" s="32" t="str">
        <f>IFERROR(MIP_4[[#This Row],[Tempo parado]]/(MIP_4[[#This Row],[C.B Sitrack]]-MIP_4[[#This Row],[S.B Sitrack]]),"")</f>
        <v/>
      </c>
      <c r="AN755" s="30"/>
      <c r="AO755" s="44">
        <f>IF(AND(MIP_4[Exc]=0,MIP_4[Previsto / Realizado]="Realizado"),MIP_4[Sem],0)</f>
        <v>0</v>
      </c>
      <c r="AP755" s="29">
        <f>IF(AND(MIP_4[Exc]=0,MIP_4[Previsto / Realizado]="Realizado",ISBLANK(MIP_4[[#This Row],[S.B Sitrack]])=FALSE,ISBLANK(MIP_4[[#This Row],[C.B Sitrack]])=FALSE),MIP_4[Sem],0)</f>
        <v>0</v>
      </c>
    </row>
    <row r="756" spans="1:42" ht="15.75" x14ac:dyDescent="0.25">
      <c r="A756" s="29">
        <f>WEEKNUM(MIP_4[[#This Row],[Data]])</f>
        <v>45</v>
      </c>
      <c r="B756" s="45">
        <v>43046</v>
      </c>
      <c r="C756" s="45"/>
      <c r="D756" s="35" t="s">
        <v>136</v>
      </c>
      <c r="E756" s="35" t="s">
        <v>2</v>
      </c>
      <c r="F756" s="35" t="s">
        <v>39</v>
      </c>
      <c r="G756" s="44">
        <v>2</v>
      </c>
      <c r="H756" s="44">
        <v>8</v>
      </c>
      <c r="I756" s="44">
        <v>1</v>
      </c>
      <c r="J756" s="44">
        <v>0</v>
      </c>
      <c r="K756" s="44">
        <v>0</v>
      </c>
      <c r="L756" s="43">
        <v>0.61805555555555558</v>
      </c>
      <c r="M756" s="43">
        <v>0.65833333333333333</v>
      </c>
      <c r="N756" s="43">
        <v>1.007638888888889</v>
      </c>
      <c r="O756" s="68">
        <v>3.888888888888889E-2</v>
      </c>
      <c r="P756" s="39">
        <v>2.0833333333333332E-2</v>
      </c>
      <c r="Q756" s="42" t="s">
        <v>143</v>
      </c>
      <c r="R756" s="29">
        <v>10</v>
      </c>
      <c r="S75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9.2361111111111074E-2</v>
      </c>
      <c r="T75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7.1527777777777746E-2</v>
      </c>
      <c r="U756" s="41">
        <f ca="1">MIP_4[[#This Row],[Eficiência]]</f>
        <v>0.85115363020668766</v>
      </c>
      <c r="V75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56" s="39">
        <f>IF(MIP_4[[#This Row],[P.S]]-MIP_4[[#This Row],[P.E]]&lt;0,1+MIP_4[[#This Row],[P.S]]-MIP_4[[#This Row],[P.E]]-1/24,MIP_4[[#This Row],[P.S]]-MIP_4[[#This Row],[P.E]]-1/24)</f>
        <v>0.37916666666666671</v>
      </c>
      <c r="X756" s="39">
        <f ca="1">MIP_4[[#This Row],[PT-1]]*$S$3+MIP_4[[#This Row],[PT-2]]*$T$3+MIP_4[[#This Row],[PT-3]]*$U$3+MIP_4[[#This Row],[PT &gt; 3 Pontos]]*$V$3</f>
        <v>0.24411558977455702</v>
      </c>
      <c r="Y756" s="39">
        <f>MIP_4[[#This Row],[HH disponível]]-MIP_4[[#This Row],[HH AC TOT]]</f>
        <v>0.28680555555555565</v>
      </c>
      <c r="Z756" s="38">
        <f ca="1">MIP_4[[#This Row],[HH Produtivo
Total]]/MIP_4[[#This Row],[HH Trabalhado]]</f>
        <v>0.85115363020668766</v>
      </c>
      <c r="AA756" s="38">
        <f ca="1">MIP_4[[#This Row],[HH Produtivo
Total]]/MIP_4[[#This Row],[HH disponível]]</f>
        <v>0.64382133566916133</v>
      </c>
      <c r="AB756" s="38">
        <f>MIP_4[[#This Row],[HH Trabalhado]]/MIP_4[[#This Row],[HH disponível]]</f>
        <v>0.75641025641025661</v>
      </c>
      <c r="AC756" s="37" t="str">
        <f>LEFT(MIP_4[[#This Row],[Equipe]], SEARCH("/",MIP_4[[#This Row],[Equipe]],1)-1)</f>
        <v xml:space="preserve">GECIVALDO </v>
      </c>
      <c r="AD756" s="37" t="str">
        <f>RIGHT(MIP_4[[#This Row],[Equipe]], LEN(MIP_4[[#This Row],[Equipe]])-SEARCH("/",MIP_4[[#This Row],[Equipe]],1))</f>
        <v xml:space="preserve"> RONALDO</v>
      </c>
      <c r="AE756" s="44">
        <f>COUNTIFS('[1]Tempo parado'!G:G,"&gt;="&amp;MIP_4[[#This Row],[S.B Sitrack]],'[1]Tempo parado'!H:H,"&lt;="&amp;MIP_4[[#This Row],[C.B Sitrack]],'[1]Tempo parado'!A:A,MIP_4[[#This Row],[Placa]])</f>
        <v>0</v>
      </c>
      <c r="AF756" s="36"/>
      <c r="AG756" s="35"/>
      <c r="AH756" s="34">
        <v>43046.662581018521</v>
      </c>
      <c r="AI756" s="34">
        <v>43047.016944444447</v>
      </c>
      <c r="AJ756" s="32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1.3194444444444346E-2</v>
      </c>
      <c r="AK75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32.199999999999996</v>
      </c>
      <c r="AL75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56" s="31">
        <f>IFERROR(MIP_4[[#This Row],[Tempo parado]]/(MIP_4[[#This Row],[C.B Sitrack]]-MIP_4[[#This Row],[S.B Sitrack]]),"")</f>
        <v>0</v>
      </c>
      <c r="AN756" s="30"/>
      <c r="AO756" s="44">
        <f>IF(AND(MIP_4[Exc]=0,MIP_4[Previsto / Realizado]="Realizado"),MIP_4[Sem],0)</f>
        <v>45</v>
      </c>
      <c r="AP756" s="29">
        <f>IF(AND(MIP_4[Exc]=0,MIP_4[Previsto / Realizado]="Realizado",ISBLANK(MIP_4[[#This Row],[S.B Sitrack]])=FALSE,ISBLANK(MIP_4[[#This Row],[C.B Sitrack]])=FALSE),MIP_4[Sem],0)</f>
        <v>45</v>
      </c>
    </row>
    <row r="757" spans="1:42" ht="15.75" x14ac:dyDescent="0.25">
      <c r="A757" s="29">
        <f>WEEKNUM(MIP_4[[#This Row],[Data]])</f>
        <v>45</v>
      </c>
      <c r="B757" s="45">
        <v>43046</v>
      </c>
      <c r="C757" s="45"/>
      <c r="D757" s="35" t="s">
        <v>10</v>
      </c>
      <c r="E757" s="35" t="s">
        <v>5</v>
      </c>
      <c r="F757" s="35"/>
      <c r="G757" s="44">
        <v>2</v>
      </c>
      <c r="H757" s="44">
        <v>1</v>
      </c>
      <c r="I757" s="44">
        <v>1</v>
      </c>
      <c r="J757" s="44">
        <v>1</v>
      </c>
      <c r="K757" s="44">
        <v>0</v>
      </c>
      <c r="L757" s="43">
        <v>0.25</v>
      </c>
      <c r="M757" s="43">
        <v>0.27083333333333331</v>
      </c>
      <c r="N757" s="43">
        <v>0.63750000000000007</v>
      </c>
      <c r="O757" s="43">
        <v>0.65833333333333333</v>
      </c>
      <c r="P757" s="39"/>
      <c r="Q757" s="42" t="s">
        <v>142</v>
      </c>
      <c r="R757" s="29">
        <v>6</v>
      </c>
      <c r="S75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75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757" s="41">
        <f ca="1">MIP_4[[#This Row],[Eficiência]]</f>
        <v>0.40531168710516535</v>
      </c>
      <c r="V75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57" s="39">
        <f>IF(MIP_4[[#This Row],[P.S]]-MIP_4[[#This Row],[P.E]]&lt;0,1+MIP_4[[#This Row],[P.S]]-MIP_4[[#This Row],[P.E]]-1/24,MIP_4[[#This Row],[P.S]]-MIP_4[[#This Row],[P.E]]-1/24)</f>
        <v>0.36666666666666664</v>
      </c>
      <c r="X757" s="39">
        <f ca="1">MIP_4[[#This Row],[PT-1]]*$S$3+MIP_4[[#This Row],[PT-2]]*$T$3+MIP_4[[#This Row],[PT-3]]*$U$3+MIP_4[[#This Row],[PT &gt; 3 Pontos]]*$V$3</f>
        <v>0.13172629830917876</v>
      </c>
      <c r="Y757" s="39">
        <f>MIP_4[[#This Row],[HH disponível]]-MIP_4[[#This Row],[HH AC TOT]]</f>
        <v>0.32500000000000007</v>
      </c>
      <c r="Z757" s="38">
        <f ca="1">MIP_4[[#This Row],[HH Produtivo
Total]]/MIP_4[[#This Row],[HH Trabalhado]]</f>
        <v>0.40531168710516535</v>
      </c>
      <c r="AA757" s="38">
        <f ca="1">MIP_4[[#This Row],[HH Produtivo
Total]]/MIP_4[[#This Row],[HH disponível]]</f>
        <v>0.35925354084321481</v>
      </c>
      <c r="AB757" s="38">
        <f>MIP_4[[#This Row],[HH Trabalhado]]/MIP_4[[#This Row],[HH disponível]]</f>
        <v>0.88636363636363658</v>
      </c>
      <c r="AC757" s="37" t="str">
        <f>LEFT(MIP_4[[#This Row],[Equipe]], SEARCH("/",MIP_4[[#This Row],[Equipe]],1)-1)</f>
        <v xml:space="preserve">JOILSON </v>
      </c>
      <c r="AD757" s="37" t="str">
        <f>RIGHT(MIP_4[[#This Row],[Equipe]], LEN(MIP_4[[#This Row],[Equipe]])-SEARCH("/",MIP_4[[#This Row],[Equipe]],1))</f>
        <v xml:space="preserve"> VALDEI</v>
      </c>
      <c r="AE757" s="44">
        <f>COUNTIFS('[1]Tempo parado'!G:G,"&gt;="&amp;MIP_4[[#This Row],[S.B Sitrack]],'[1]Tempo parado'!H:H,"&lt;="&amp;MIP_4[[#This Row],[C.B Sitrack]],'[1]Tempo parado'!A:A,MIP_4[[#This Row],[Placa]])</f>
        <v>0</v>
      </c>
      <c r="AF757" s="36"/>
      <c r="AG757" s="35"/>
      <c r="AH757" s="34"/>
      <c r="AI757" s="34"/>
      <c r="AJ75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5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5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57" s="32" t="str">
        <f>IFERROR(MIP_4[[#This Row],[Tempo parado]]/(MIP_4[[#This Row],[C.B Sitrack]]-MIP_4[[#This Row],[S.B Sitrack]]),"")</f>
        <v/>
      </c>
      <c r="AN757" s="30"/>
      <c r="AO757" s="44">
        <f>IF(AND(MIP_4[Exc]=0,MIP_4[Previsto / Realizado]="Realizado"),MIP_4[Sem],0)</f>
        <v>0</v>
      </c>
      <c r="AP757" s="29">
        <f>IF(AND(MIP_4[Exc]=0,MIP_4[Previsto / Realizado]="Realizado",ISBLANK(MIP_4[[#This Row],[S.B Sitrack]])=FALSE,ISBLANK(MIP_4[[#This Row],[C.B Sitrack]])=FALSE),MIP_4[Sem],0)</f>
        <v>0</v>
      </c>
    </row>
    <row r="758" spans="1:42" ht="15.75" x14ac:dyDescent="0.25">
      <c r="A758" s="29">
        <f>WEEKNUM(MIP_4[[#This Row],[Data]])</f>
        <v>45</v>
      </c>
      <c r="B758" s="45">
        <v>43046</v>
      </c>
      <c r="C758" s="45"/>
      <c r="D758" s="35" t="s">
        <v>10</v>
      </c>
      <c r="E758" s="35" t="s">
        <v>2</v>
      </c>
      <c r="F758" s="35" t="s">
        <v>1</v>
      </c>
      <c r="G758" s="44">
        <v>2</v>
      </c>
      <c r="H758" s="44">
        <v>4</v>
      </c>
      <c r="I758" s="44">
        <v>1</v>
      </c>
      <c r="J758" s="44">
        <v>1</v>
      </c>
      <c r="K758" s="44">
        <v>0</v>
      </c>
      <c r="L758" s="43">
        <v>0.25</v>
      </c>
      <c r="M758" s="43">
        <v>0.27083333333333331</v>
      </c>
      <c r="N758" s="43">
        <v>0.62847222222222221</v>
      </c>
      <c r="O758" s="43">
        <v>0.65833333333333333</v>
      </c>
      <c r="P758" s="39">
        <v>4.5138888888888888E-2</v>
      </c>
      <c r="Q758" s="42" t="s">
        <v>141</v>
      </c>
      <c r="R758" s="29">
        <v>9</v>
      </c>
      <c r="S75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9.5833333333333326E-2</v>
      </c>
      <c r="T75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5.0694444444444431E-2</v>
      </c>
      <c r="U758" s="41">
        <f ca="1">MIP_4[[#This Row],[Eficiência]]</f>
        <v>0.76358347268673343</v>
      </c>
      <c r="V75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58" s="39">
        <f>IF(MIP_4[[#This Row],[P.S]]-MIP_4[[#This Row],[P.E]]&lt;0,1+MIP_4[[#This Row],[P.S]]-MIP_4[[#This Row],[P.E]]-1/24,MIP_4[[#This Row],[P.S]]-MIP_4[[#This Row],[P.E]]-1/24)</f>
        <v>0.36666666666666664</v>
      </c>
      <c r="X758" s="39">
        <f ca="1">MIP_4[[#This Row],[PT-1]]*$S$3+MIP_4[[#This Row],[PT-2]]*$T$3+MIP_4[[#This Row],[PT-3]]*$U$3+MIP_4[[#This Row],[PT &gt; 3 Pontos]]*$V$3</f>
        <v>0.20680385718599029</v>
      </c>
      <c r="Y758" s="39">
        <f>MIP_4[[#This Row],[HH disponível]]-MIP_4[[#This Row],[HH AC TOT]]</f>
        <v>0.27083333333333331</v>
      </c>
      <c r="Z758" s="38">
        <f ca="1">MIP_4[[#This Row],[HH Produtivo
Total]]/MIP_4[[#This Row],[HH Trabalhado]]</f>
        <v>0.76358347268673343</v>
      </c>
      <c r="AA758" s="38">
        <f ca="1">MIP_4[[#This Row],[HH Produtivo
Total]]/MIP_4[[#This Row],[HH disponível]]</f>
        <v>0.5640105195981554</v>
      </c>
      <c r="AB758" s="38">
        <f>MIP_4[[#This Row],[HH Trabalhado]]/MIP_4[[#This Row],[HH disponível]]</f>
        <v>0.73863636363636365</v>
      </c>
      <c r="AC758" s="37" t="str">
        <f>LEFT(MIP_4[[#This Row],[Equipe]], SEARCH("/",MIP_4[[#This Row],[Equipe]],1)-1)</f>
        <v xml:space="preserve">JOILSON </v>
      </c>
      <c r="AD758" s="37" t="str">
        <f>RIGHT(MIP_4[[#This Row],[Equipe]], LEN(MIP_4[[#This Row],[Equipe]])-SEARCH("/",MIP_4[[#This Row],[Equipe]],1))</f>
        <v xml:space="preserve"> VALDEI</v>
      </c>
      <c r="AE758" s="44">
        <f>COUNTIFS('[1]Tempo parado'!G:G,"&gt;="&amp;MIP_4[[#This Row],[S.B Sitrack]],'[1]Tempo parado'!H:H,"&lt;="&amp;MIP_4[[#This Row],[C.B Sitrack]],'[1]Tempo parado'!A:A,MIP_4[[#This Row],[Placa]])</f>
        <v>0</v>
      </c>
      <c r="AF758" s="36"/>
      <c r="AG758" s="35"/>
      <c r="AH758" s="34">
        <v>43046.272523148145</v>
      </c>
      <c r="AI758" s="34">
        <v>43046.635844907411</v>
      </c>
      <c r="AJ758" s="32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8.3333333333333037E-3</v>
      </c>
      <c r="AK75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45.800000000000011</v>
      </c>
      <c r="AL75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58" s="31">
        <f>IFERROR(MIP_4[[#This Row],[Tempo parado]]/(MIP_4[[#This Row],[C.B Sitrack]]-MIP_4[[#This Row],[S.B Sitrack]]),"")</f>
        <v>0</v>
      </c>
      <c r="AN758" s="30"/>
      <c r="AO758" s="44">
        <f>IF(AND(MIP_4[Exc]=0,MIP_4[Previsto / Realizado]="Realizado"),MIP_4[Sem],0)</f>
        <v>45</v>
      </c>
      <c r="AP758" s="29">
        <f>IF(AND(MIP_4[Exc]=0,MIP_4[Previsto / Realizado]="Realizado",ISBLANK(MIP_4[[#This Row],[S.B Sitrack]])=FALSE,ISBLANK(MIP_4[[#This Row],[C.B Sitrack]])=FALSE),MIP_4[Sem],0)</f>
        <v>45</v>
      </c>
    </row>
    <row r="759" spans="1:42" ht="15.75" x14ac:dyDescent="0.25">
      <c r="A759" s="29">
        <f>WEEKNUM(MIP_4[[#This Row],[Data]])</f>
        <v>45</v>
      </c>
      <c r="B759" s="45">
        <v>43047</v>
      </c>
      <c r="C759" s="45"/>
      <c r="D759" s="35" t="s">
        <v>7</v>
      </c>
      <c r="E759" s="35" t="s">
        <v>5</v>
      </c>
      <c r="F759" s="35"/>
      <c r="G759" s="44">
        <v>2</v>
      </c>
      <c r="H759" s="44">
        <v>7</v>
      </c>
      <c r="I759" s="44">
        <v>3</v>
      </c>
      <c r="J759" s="44">
        <v>0</v>
      </c>
      <c r="K759" s="44">
        <v>4</v>
      </c>
      <c r="L759" s="43">
        <v>0.625</v>
      </c>
      <c r="M759" s="43">
        <v>0.64583333333333337</v>
      </c>
      <c r="N759" s="43">
        <v>1.0125</v>
      </c>
      <c r="O759" s="43">
        <v>1.0333333333333334</v>
      </c>
      <c r="P759" s="39"/>
      <c r="Q759" s="42"/>
      <c r="R759" s="29">
        <v>17</v>
      </c>
      <c r="S75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75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759" s="41">
        <f ca="1">MIP_4[[#This Row],[Eficiência]]</f>
        <v>1.1935363462914792</v>
      </c>
      <c r="V75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59" s="39">
        <f>IF(MIP_4[[#This Row],[P.S]]-MIP_4[[#This Row],[P.E]]&lt;0,1+MIP_4[[#This Row],[P.S]]-MIP_4[[#This Row],[P.E]]-1/24,MIP_4[[#This Row],[P.S]]-MIP_4[[#This Row],[P.E]]-1/24)</f>
        <v>0.36666666666666675</v>
      </c>
      <c r="X759" s="39">
        <f ca="1">MIP_4[[#This Row],[PT-1]]*$S$3+MIP_4[[#This Row],[PT-2]]*$T$3+MIP_4[[#This Row],[PT-3]]*$U$3+MIP_4[[#This Row],[PT &gt; 3 Pontos]]*$V$3</f>
        <v>0.38789931254473065</v>
      </c>
      <c r="Y759" s="39">
        <f>MIP_4[[#This Row],[HH disponível]]-MIP_4[[#This Row],[HH AC TOT]]</f>
        <v>0.3249999999999999</v>
      </c>
      <c r="Z759" s="38">
        <f ca="1">MIP_4[[#This Row],[HH Produtivo
Total]]/MIP_4[[#This Row],[HH Trabalhado]]</f>
        <v>1.1935363462914792</v>
      </c>
      <c r="AA759" s="38">
        <f ca="1">MIP_4[[#This Row],[HH Produtivo
Total]]/MIP_4[[#This Row],[HH disponível]]</f>
        <v>1.0579072160310834</v>
      </c>
      <c r="AB759" s="38">
        <f>MIP_4[[#This Row],[HH Trabalhado]]/MIP_4[[#This Row],[HH disponível]]</f>
        <v>0.88636363636363591</v>
      </c>
      <c r="AC759" s="37" t="str">
        <f>LEFT(MIP_4[[#This Row],[Equipe]], SEARCH("/",MIP_4[[#This Row],[Equipe]],1)-1)</f>
        <v xml:space="preserve">ANDERSON </v>
      </c>
      <c r="AD759" s="37" t="str">
        <f>RIGHT(MIP_4[[#This Row],[Equipe]], LEN(MIP_4[[#This Row],[Equipe]])-SEARCH("/",MIP_4[[#This Row],[Equipe]],1))</f>
        <v xml:space="preserve"> MARCO</v>
      </c>
      <c r="AE759" s="44">
        <f>COUNTIFS('[1]Tempo parado'!G:G,"&gt;="&amp;MIP_4[[#This Row],[S.B Sitrack]],'[1]Tempo parado'!H:H,"&lt;="&amp;MIP_4[[#This Row],[C.B Sitrack]],'[1]Tempo parado'!A:A,MIP_4[[#This Row],[Placa]])</f>
        <v>0</v>
      </c>
      <c r="AF759" s="36"/>
      <c r="AG759" s="35"/>
      <c r="AH759" s="34"/>
      <c r="AI759" s="34"/>
      <c r="AJ75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5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5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59" s="32" t="str">
        <f>IFERROR(MIP_4[[#This Row],[Tempo parado]]/(MIP_4[[#This Row],[C.B Sitrack]]-MIP_4[[#This Row],[S.B Sitrack]]),"")</f>
        <v/>
      </c>
      <c r="AN759" s="30"/>
      <c r="AO759" s="44">
        <f>IF(AND(MIP_4[Exc]=0,MIP_4[Previsto / Realizado]="Realizado"),MIP_4[Sem],0)</f>
        <v>0</v>
      </c>
      <c r="AP759" s="29">
        <f>IF(AND(MIP_4[Exc]=0,MIP_4[Previsto / Realizado]="Realizado",ISBLANK(MIP_4[[#This Row],[S.B Sitrack]])=FALSE,ISBLANK(MIP_4[[#This Row],[C.B Sitrack]])=FALSE),MIP_4[Sem],0)</f>
        <v>0</v>
      </c>
    </row>
    <row r="760" spans="1:42" ht="15.75" x14ac:dyDescent="0.25">
      <c r="A760" s="29">
        <f>WEEKNUM(MIP_4[[#This Row],[Data]])</f>
        <v>45</v>
      </c>
      <c r="B760" s="45">
        <v>43047</v>
      </c>
      <c r="C760" s="45"/>
      <c r="D760" s="35" t="s">
        <v>7</v>
      </c>
      <c r="E760" s="35" t="s">
        <v>2</v>
      </c>
      <c r="F760" s="35" t="s">
        <v>6</v>
      </c>
      <c r="G760" s="44">
        <v>2</v>
      </c>
      <c r="H760" s="44">
        <v>6</v>
      </c>
      <c r="I760" s="44">
        <v>3</v>
      </c>
      <c r="J760" s="44">
        <v>0</v>
      </c>
      <c r="K760" s="44">
        <v>4</v>
      </c>
      <c r="L760" s="43">
        <v>0.62708333333333333</v>
      </c>
      <c r="M760" s="43">
        <v>0.64583333333333337</v>
      </c>
      <c r="N760" s="43">
        <v>1.0069444444444444</v>
      </c>
      <c r="O760" s="68">
        <v>3.4027777777777775E-2</v>
      </c>
      <c r="P760" s="39">
        <v>0.13680555555555554</v>
      </c>
      <c r="Q760" s="42"/>
      <c r="R760" s="29">
        <v>16</v>
      </c>
      <c r="S76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0.18263888888888893</v>
      </c>
      <c r="T76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4.5833333333333393E-2</v>
      </c>
      <c r="U760" s="41">
        <f ca="1">MIP_4[[#This Row],[Eficiência]]</f>
        <v>1.9868356722568163</v>
      </c>
      <c r="V76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60" s="39">
        <f>IF(MIP_4[[#This Row],[P.S]]-MIP_4[[#This Row],[P.E]]&lt;0,1+MIP_4[[#This Row],[P.S]]-MIP_4[[#This Row],[P.E]]-1/24,MIP_4[[#This Row],[P.S]]-MIP_4[[#This Row],[P.E]]-1/24)</f>
        <v>0.36527777777777776</v>
      </c>
      <c r="X760" s="39">
        <f ca="1">MIP_4[[#This Row],[PT-1]]*$S$3+MIP_4[[#This Row],[PT-2]]*$T$3+MIP_4[[#This Row],[PT-3]]*$U$3+MIP_4[[#This Row],[PT &gt; 3 Pontos]]*$V$3</f>
        <v>0.36287345958579342</v>
      </c>
      <c r="Y760" s="39">
        <f>MIP_4[[#This Row],[HH disponível]]-MIP_4[[#This Row],[HH AC TOT]]</f>
        <v>0.18263888888888882</v>
      </c>
      <c r="Z760" s="38">
        <f ca="1">MIP_4[[#This Row],[HH Produtivo
Total]]/MIP_4[[#This Row],[HH Trabalhado]]</f>
        <v>1.9868356722568163</v>
      </c>
      <c r="AA760" s="38">
        <f ca="1">MIP_4[[#This Row],[HH Produtivo
Total]]/MIP_4[[#This Row],[HH disponível]]</f>
        <v>0.99341783612840795</v>
      </c>
      <c r="AB760" s="38">
        <f>MIP_4[[#This Row],[HH Trabalhado]]/MIP_4[[#This Row],[HH disponível]]</f>
        <v>0.49999999999999983</v>
      </c>
      <c r="AC760" s="37" t="str">
        <f>LEFT(MIP_4[[#This Row],[Equipe]], SEARCH("/",MIP_4[[#This Row],[Equipe]],1)-1)</f>
        <v xml:space="preserve">ANDERSON </v>
      </c>
      <c r="AD760" s="37" t="str">
        <f>RIGHT(MIP_4[[#This Row],[Equipe]], LEN(MIP_4[[#This Row],[Equipe]])-SEARCH("/",MIP_4[[#This Row],[Equipe]],1))</f>
        <v xml:space="preserve"> MARCO</v>
      </c>
      <c r="AE760" s="44">
        <f>COUNTIFS('[1]Tempo parado'!G:G,"&gt;="&amp;MIP_4[[#This Row],[S.B Sitrack]],'[1]Tempo parado'!H:H,"&lt;="&amp;MIP_4[[#This Row],[C.B Sitrack]],'[1]Tempo parado'!A:A,MIP_4[[#This Row],[Placa]])</f>
        <v>0</v>
      </c>
      <c r="AF760" s="36"/>
      <c r="AG760" s="35"/>
      <c r="AH760" s="34">
        <v>43047.649814814817</v>
      </c>
      <c r="AI760" s="34">
        <v>43048.023009259261</v>
      </c>
      <c r="AJ760" s="32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1.9444444444444459E-2</v>
      </c>
      <c r="AK76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31.399999999999995</v>
      </c>
      <c r="AL76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60" s="31">
        <f>IFERROR(MIP_4[[#This Row],[Tempo parado]]/(MIP_4[[#This Row],[C.B Sitrack]]-MIP_4[[#This Row],[S.B Sitrack]]),"")</f>
        <v>0</v>
      </c>
      <c r="AN760" s="30"/>
      <c r="AO760" s="44">
        <f>IF(AND(MIP_4[Exc]=0,MIP_4[Previsto / Realizado]="Realizado"),MIP_4[Sem],0)</f>
        <v>45</v>
      </c>
      <c r="AP760" s="29">
        <f>IF(AND(MIP_4[Exc]=0,MIP_4[Previsto / Realizado]="Realizado",ISBLANK(MIP_4[[#This Row],[S.B Sitrack]])=FALSE,ISBLANK(MIP_4[[#This Row],[C.B Sitrack]])=FALSE),MIP_4[Sem],0)</f>
        <v>45</v>
      </c>
    </row>
    <row r="761" spans="1:42" ht="15.75" x14ac:dyDescent="0.25">
      <c r="A761" s="29">
        <f>WEEKNUM(MIP_4[[#This Row],[Data]])</f>
        <v>45</v>
      </c>
      <c r="B761" s="45">
        <v>43047</v>
      </c>
      <c r="C761" s="45"/>
      <c r="D761" s="35" t="s">
        <v>19</v>
      </c>
      <c r="E761" s="35" t="s">
        <v>5</v>
      </c>
      <c r="F761" s="35"/>
      <c r="G761" s="44">
        <v>2</v>
      </c>
      <c r="H761" s="44">
        <v>9</v>
      </c>
      <c r="I761" s="44">
        <v>1</v>
      </c>
      <c r="J761" s="44">
        <v>1</v>
      </c>
      <c r="K761" s="44">
        <v>8</v>
      </c>
      <c r="L761" s="43">
        <v>0.625</v>
      </c>
      <c r="M761" s="43">
        <v>0.64583333333333337</v>
      </c>
      <c r="N761" s="43">
        <v>1.0125</v>
      </c>
      <c r="O761" s="43">
        <v>1.0333333333333334</v>
      </c>
      <c r="P761" s="39"/>
      <c r="Q761" s="42" t="s">
        <v>4</v>
      </c>
      <c r="R761" s="29">
        <v>22</v>
      </c>
      <c r="S76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76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761" s="41">
        <f ca="1">MIP_4[[#This Row],[Eficiência]]</f>
        <v>1.519745258543568</v>
      </c>
      <c r="V76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61" s="39">
        <f>IF(MIP_4[[#This Row],[P.S]]-MIP_4[[#This Row],[P.E]]&lt;0,1+MIP_4[[#This Row],[P.S]]-MIP_4[[#This Row],[P.E]]-1/24,MIP_4[[#This Row],[P.S]]-MIP_4[[#This Row],[P.E]]-1/24)</f>
        <v>0.36666666666666675</v>
      </c>
      <c r="X761" s="39">
        <f ca="1">MIP_4[[#This Row],[PT-1]]*$S$3+MIP_4[[#This Row],[PT-2]]*$T$3+MIP_4[[#This Row],[PT-3]]*$U$3+MIP_4[[#This Row],[PT &gt; 3 Pontos]]*$V$3</f>
        <v>0.49391720902665948</v>
      </c>
      <c r="Y761" s="39">
        <f>MIP_4[[#This Row],[HH disponível]]-MIP_4[[#This Row],[HH AC TOT]]</f>
        <v>0.3249999999999999</v>
      </c>
      <c r="Z761" s="38">
        <f ca="1">MIP_4[[#This Row],[HH Produtivo
Total]]/MIP_4[[#This Row],[HH Trabalhado]]</f>
        <v>1.519745258543568</v>
      </c>
      <c r="AA761" s="38">
        <f ca="1">MIP_4[[#This Row],[HH Produtivo
Total]]/MIP_4[[#This Row],[HH disponível]]</f>
        <v>1.3470469337090709</v>
      </c>
      <c r="AB761" s="38">
        <f>MIP_4[[#This Row],[HH Trabalhado]]/MIP_4[[#This Row],[HH disponível]]</f>
        <v>0.88636363636363591</v>
      </c>
      <c r="AC761" s="37" t="str">
        <f>LEFT(MIP_4[[#This Row],[Equipe]], SEARCH("/",MIP_4[[#This Row],[Equipe]],1)-1)</f>
        <v xml:space="preserve">ADEMÁRIO </v>
      </c>
      <c r="AD761" s="37" t="str">
        <f>RIGHT(MIP_4[[#This Row],[Equipe]], LEN(MIP_4[[#This Row],[Equipe]])-SEARCH("/",MIP_4[[#This Row],[Equipe]],1))</f>
        <v xml:space="preserve"> RONALDO</v>
      </c>
      <c r="AE761" s="44">
        <f>COUNTIFS('[1]Tempo parado'!G:G,"&gt;="&amp;MIP_4[[#This Row],[S.B Sitrack]],'[1]Tempo parado'!H:H,"&lt;="&amp;MIP_4[[#This Row],[C.B Sitrack]],'[1]Tempo parado'!A:A,MIP_4[[#This Row],[Placa]])</f>
        <v>0</v>
      </c>
      <c r="AF761" s="36"/>
      <c r="AG761" s="35"/>
      <c r="AH761" s="34"/>
      <c r="AI761" s="34"/>
      <c r="AJ76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6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6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61" s="32" t="str">
        <f>IFERROR(MIP_4[[#This Row],[Tempo parado]]/(MIP_4[[#This Row],[C.B Sitrack]]-MIP_4[[#This Row],[S.B Sitrack]]),"")</f>
        <v/>
      </c>
      <c r="AN761" s="30"/>
      <c r="AO761" s="44">
        <f>IF(AND(MIP_4[Exc]=0,MIP_4[Previsto / Realizado]="Realizado"),MIP_4[Sem],0)</f>
        <v>0</v>
      </c>
      <c r="AP761" s="29">
        <f>IF(AND(MIP_4[Exc]=0,MIP_4[Previsto / Realizado]="Realizado",ISBLANK(MIP_4[[#This Row],[S.B Sitrack]])=FALSE,ISBLANK(MIP_4[[#This Row],[C.B Sitrack]])=FALSE),MIP_4[Sem],0)</f>
        <v>0</v>
      </c>
    </row>
    <row r="762" spans="1:42" ht="15.75" x14ac:dyDescent="0.25">
      <c r="A762" s="29">
        <f>WEEKNUM(MIP_4[[#This Row],[Data]])</f>
        <v>45</v>
      </c>
      <c r="B762" s="45">
        <v>43047</v>
      </c>
      <c r="C762" s="45"/>
      <c r="D762" s="35" t="s">
        <v>19</v>
      </c>
      <c r="E762" s="35" t="s">
        <v>2</v>
      </c>
      <c r="F762" s="35" t="s">
        <v>39</v>
      </c>
      <c r="G762" s="44">
        <v>2</v>
      </c>
      <c r="H762" s="44">
        <v>5</v>
      </c>
      <c r="I762" s="44">
        <v>0</v>
      </c>
      <c r="J762" s="44">
        <v>0</v>
      </c>
      <c r="K762" s="44">
        <v>0</v>
      </c>
      <c r="L762" s="43">
        <v>0.65138888888888891</v>
      </c>
      <c r="M762" s="43">
        <v>0.65833333333333333</v>
      </c>
      <c r="N762" s="43">
        <v>1.0104166666666667</v>
      </c>
      <c r="O762" s="43">
        <v>4.2361111111111106E-2</v>
      </c>
      <c r="P762" s="39"/>
      <c r="Q762" s="42" t="s">
        <v>140</v>
      </c>
      <c r="R762" s="29">
        <v>5</v>
      </c>
      <c r="S76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3.8888888888888751E-2</v>
      </c>
      <c r="T76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3.8888888888888751E-2</v>
      </c>
      <c r="U762" s="41">
        <f ca="1">MIP_4[[#This Row],[Eficiência]]</f>
        <v>0.40310098725804844</v>
      </c>
      <c r="V76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62" s="39">
        <f>IF(MIP_4[[#This Row],[P.S]]-MIP_4[[#This Row],[P.E]]&lt;0,1+MIP_4[[#This Row],[P.S]]-MIP_4[[#This Row],[P.E]]-1/24,MIP_4[[#This Row],[P.S]]-MIP_4[[#This Row],[P.E]]-1/24)</f>
        <v>0.34930555555555548</v>
      </c>
      <c r="X762" s="39">
        <f ca="1">MIP_4[[#This Row],[PT-1]]*$S$3+MIP_4[[#This Row],[PT-2]]*$T$3+MIP_4[[#This Row],[PT-3]]*$U$3+MIP_4[[#This Row],[PT &gt; 3 Pontos]]*$V$3</f>
        <v>0.12512926479468589</v>
      </c>
      <c r="Y762" s="39">
        <f>MIP_4[[#This Row],[HH disponível]]-MIP_4[[#This Row],[HH AC TOT]]</f>
        <v>0.31041666666666673</v>
      </c>
      <c r="Z762" s="38">
        <f ca="1">MIP_4[[#This Row],[HH Produtivo
Total]]/MIP_4[[#This Row],[HH Trabalhado]]</f>
        <v>0.40310098725804844</v>
      </c>
      <c r="AA762" s="38">
        <f ca="1">MIP_4[[#This Row],[HH Produtivo
Total]]/MIP_4[[#This Row],[HH disponível]]</f>
        <v>0.35822294493906109</v>
      </c>
      <c r="AB762" s="38">
        <f>MIP_4[[#This Row],[HH Trabalhado]]/MIP_4[[#This Row],[HH disponível]]</f>
        <v>0.88866799204771407</v>
      </c>
      <c r="AC762" s="37" t="str">
        <f>LEFT(MIP_4[[#This Row],[Equipe]], SEARCH("/",MIP_4[[#This Row],[Equipe]],1)-1)</f>
        <v xml:space="preserve">ADEMÁRIO </v>
      </c>
      <c r="AD762" s="37" t="str">
        <f>RIGHT(MIP_4[[#This Row],[Equipe]], LEN(MIP_4[[#This Row],[Equipe]])-SEARCH("/",MIP_4[[#This Row],[Equipe]],1))</f>
        <v xml:space="preserve"> RONALDO</v>
      </c>
      <c r="AE762" s="44">
        <f>COUNTIFS('[1]Tempo parado'!G:G,"&gt;="&amp;MIP_4[[#This Row],[S.B Sitrack]],'[1]Tempo parado'!H:H,"&lt;="&amp;MIP_4[[#This Row],[C.B Sitrack]],'[1]Tempo parado'!A:A,MIP_4[[#This Row],[Placa]])</f>
        <v>0</v>
      </c>
      <c r="AF762" s="36"/>
      <c r="AG762" s="35"/>
      <c r="AH762" s="34">
        <v>43047.658958333333</v>
      </c>
      <c r="AI762" s="34">
        <v>43048.023159722223</v>
      </c>
      <c r="AJ762" s="32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1.2499999999999928E-2</v>
      </c>
      <c r="AK76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31.600000000000005</v>
      </c>
      <c r="AL76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62" s="31">
        <f>IFERROR(MIP_4[[#This Row],[Tempo parado]]/(MIP_4[[#This Row],[C.B Sitrack]]-MIP_4[[#This Row],[S.B Sitrack]]),"")</f>
        <v>0</v>
      </c>
      <c r="AN762" s="30"/>
      <c r="AO762" s="44">
        <f>IF(AND(MIP_4[Exc]=0,MIP_4[Previsto / Realizado]="Realizado"),MIP_4[Sem],0)</f>
        <v>45</v>
      </c>
      <c r="AP762" s="29">
        <f>IF(AND(MIP_4[Exc]=0,MIP_4[Previsto / Realizado]="Realizado",ISBLANK(MIP_4[[#This Row],[S.B Sitrack]])=FALSE,ISBLANK(MIP_4[[#This Row],[C.B Sitrack]])=FALSE),MIP_4[Sem],0)</f>
        <v>45</v>
      </c>
    </row>
    <row r="763" spans="1:42" ht="15.75" x14ac:dyDescent="0.25">
      <c r="A763" s="29">
        <f>WEEKNUM(MIP_4[[#This Row],[Data]])</f>
        <v>45</v>
      </c>
      <c r="B763" s="45">
        <v>43048</v>
      </c>
      <c r="C763" s="45"/>
      <c r="D763" s="35" t="s">
        <v>10</v>
      </c>
      <c r="E763" s="35" t="s">
        <v>5</v>
      </c>
      <c r="F763" s="35"/>
      <c r="G763" s="44">
        <v>2</v>
      </c>
      <c r="H763" s="44">
        <v>10</v>
      </c>
      <c r="I763" s="44">
        <v>1</v>
      </c>
      <c r="J763" s="44">
        <v>0</v>
      </c>
      <c r="K763" s="44">
        <v>0</v>
      </c>
      <c r="L763" s="43">
        <v>0.25</v>
      </c>
      <c r="M763" s="43">
        <v>0.27083333333333331</v>
      </c>
      <c r="N763" s="43">
        <v>0.63750000000000007</v>
      </c>
      <c r="O763" s="43">
        <v>0.65833333333333333</v>
      </c>
      <c r="P763" s="39"/>
      <c r="Q763" s="42" t="s">
        <v>4</v>
      </c>
      <c r="R763" s="29">
        <v>12</v>
      </c>
      <c r="S76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76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763" s="41">
        <f ca="1">MIP_4[[#This Row],[Eficiência]]</f>
        <v>0.9051301405920964</v>
      </c>
      <c r="V76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63" s="39">
        <f>IF(MIP_4[[#This Row],[P.S]]-MIP_4[[#This Row],[P.E]]&lt;0,1+MIP_4[[#This Row],[P.S]]-MIP_4[[#This Row],[P.E]]-1/24,MIP_4[[#This Row],[P.S]]-MIP_4[[#This Row],[P.E]]-1/24)</f>
        <v>0.36666666666666664</v>
      </c>
      <c r="X763" s="39">
        <f ca="1">MIP_4[[#This Row],[PT-1]]*$S$3+MIP_4[[#This Row],[PT-2]]*$T$3+MIP_4[[#This Row],[PT-3]]*$U$3+MIP_4[[#This Row],[PT &gt; 3 Pontos]]*$V$3</f>
        <v>0.29416729569243139</v>
      </c>
      <c r="Y763" s="39">
        <f>MIP_4[[#This Row],[HH disponível]]-MIP_4[[#This Row],[HH AC TOT]]</f>
        <v>0.32500000000000007</v>
      </c>
      <c r="Z763" s="38">
        <f ca="1">MIP_4[[#This Row],[HH Produtivo
Total]]/MIP_4[[#This Row],[HH Trabalhado]]</f>
        <v>0.9051301405920964</v>
      </c>
      <c r="AA763" s="38">
        <f ca="1">MIP_4[[#This Row],[HH Produtivo
Total]]/MIP_4[[#This Row],[HH disponível]]</f>
        <v>0.80227444279754023</v>
      </c>
      <c r="AB763" s="38">
        <f>MIP_4[[#This Row],[HH Trabalhado]]/MIP_4[[#This Row],[HH disponível]]</f>
        <v>0.88636363636363658</v>
      </c>
      <c r="AC763" s="37" t="str">
        <f>LEFT(MIP_4[[#This Row],[Equipe]], SEARCH("/",MIP_4[[#This Row],[Equipe]],1)-1)</f>
        <v xml:space="preserve">JOILSON </v>
      </c>
      <c r="AD763" s="37" t="str">
        <f>RIGHT(MIP_4[[#This Row],[Equipe]], LEN(MIP_4[[#This Row],[Equipe]])-SEARCH("/",MIP_4[[#This Row],[Equipe]],1))</f>
        <v xml:space="preserve"> VALDEI</v>
      </c>
      <c r="AE763" s="44">
        <f>COUNTIFS('[1]Tempo parado'!G:G,"&gt;="&amp;MIP_4[[#This Row],[S.B Sitrack]],'[1]Tempo parado'!H:H,"&lt;="&amp;MIP_4[[#This Row],[C.B Sitrack]],'[1]Tempo parado'!A:A,MIP_4[[#This Row],[Placa]])</f>
        <v>0</v>
      </c>
      <c r="AF763" s="36"/>
      <c r="AG763" s="35"/>
      <c r="AH763" s="34"/>
      <c r="AI763" s="34"/>
      <c r="AJ76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6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6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63" s="32" t="str">
        <f>IFERROR(MIP_4[[#This Row],[Tempo parado]]/(MIP_4[[#This Row],[C.B Sitrack]]-MIP_4[[#This Row],[S.B Sitrack]]),"")</f>
        <v/>
      </c>
      <c r="AN763" s="30"/>
      <c r="AO763" s="44">
        <f>IF(AND(MIP_4[Exc]=0,MIP_4[Previsto / Realizado]="Realizado"),MIP_4[Sem],0)</f>
        <v>0</v>
      </c>
      <c r="AP763" s="29">
        <f>IF(AND(MIP_4[Exc]=0,MIP_4[Previsto / Realizado]="Realizado",ISBLANK(MIP_4[[#This Row],[S.B Sitrack]])=FALSE,ISBLANK(MIP_4[[#This Row],[C.B Sitrack]])=FALSE),MIP_4[Sem],0)</f>
        <v>0</v>
      </c>
    </row>
    <row r="764" spans="1:42" ht="15.75" x14ac:dyDescent="0.25">
      <c r="A764" s="29">
        <f>WEEKNUM(MIP_4[[#This Row],[Data]])</f>
        <v>45</v>
      </c>
      <c r="B764" s="45">
        <v>43048</v>
      </c>
      <c r="C764" s="45"/>
      <c r="D764" s="35" t="s">
        <v>10</v>
      </c>
      <c r="E764" s="35" t="s">
        <v>2</v>
      </c>
      <c r="F764" s="35" t="s">
        <v>1</v>
      </c>
      <c r="G764" s="44">
        <v>2</v>
      </c>
      <c r="H764" s="44">
        <v>9</v>
      </c>
      <c r="I764" s="44">
        <v>1</v>
      </c>
      <c r="J764" s="44">
        <v>0</v>
      </c>
      <c r="K764" s="44">
        <v>0</v>
      </c>
      <c r="L764" s="43">
        <v>0.24722222222222223</v>
      </c>
      <c r="M764" s="43">
        <v>0.2673611111111111</v>
      </c>
      <c r="N764" s="43">
        <v>0.6020833333333333</v>
      </c>
      <c r="O764" s="43">
        <v>0.65833333333333333</v>
      </c>
      <c r="P764" s="39"/>
      <c r="Q764" s="42" t="s">
        <v>32</v>
      </c>
      <c r="R764" s="29">
        <v>11</v>
      </c>
      <c r="S76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7.6388888888888895E-2</v>
      </c>
      <c r="T76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7.6388888888888895E-2</v>
      </c>
      <c r="U764" s="41">
        <f ca="1">MIP_4[[#This Row],[Eficiência]]</f>
        <v>0.91839734013325058</v>
      </c>
      <c r="V76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64" s="39">
        <f>IF(MIP_4[[#This Row],[P.S]]-MIP_4[[#This Row],[P.E]]&lt;0,1+MIP_4[[#This Row],[P.S]]-MIP_4[[#This Row],[P.E]]-1/24,MIP_4[[#This Row],[P.S]]-MIP_4[[#This Row],[P.E]]-1/24)</f>
        <v>0.36944444444444441</v>
      </c>
      <c r="X764" s="39">
        <f ca="1">MIP_4[[#This Row],[PT-1]]*$S$3+MIP_4[[#This Row],[PT-2]]*$T$3+MIP_4[[#This Row],[PT-3]]*$U$3+MIP_4[[#This Row],[PT &gt; 3 Pontos]]*$V$3</f>
        <v>0.26914144273349422</v>
      </c>
      <c r="Y764" s="39">
        <f>MIP_4[[#This Row],[HH disponível]]-MIP_4[[#This Row],[HH AC TOT]]</f>
        <v>0.29305555555555551</v>
      </c>
      <c r="Z764" s="38">
        <f ca="1">MIP_4[[#This Row],[HH Produtivo
Total]]/MIP_4[[#This Row],[HH Trabalhado]]</f>
        <v>0.91839734013325058</v>
      </c>
      <c r="AA764" s="38">
        <f ca="1">MIP_4[[#This Row],[HH Produtivo
Total]]/MIP_4[[#This Row],[HH disponível]]</f>
        <v>0.72850315326359349</v>
      </c>
      <c r="AB764" s="38">
        <f>MIP_4[[#This Row],[HH Trabalhado]]/MIP_4[[#This Row],[HH disponível]]</f>
        <v>0.79323308270676685</v>
      </c>
      <c r="AC764" s="37" t="str">
        <f>LEFT(MIP_4[[#This Row],[Equipe]], SEARCH("/",MIP_4[[#This Row],[Equipe]],1)-1)</f>
        <v xml:space="preserve">JOILSON </v>
      </c>
      <c r="AD764" s="37" t="str">
        <f>RIGHT(MIP_4[[#This Row],[Equipe]], LEN(MIP_4[[#This Row],[Equipe]])-SEARCH("/",MIP_4[[#This Row],[Equipe]],1))</f>
        <v xml:space="preserve"> VALDEI</v>
      </c>
      <c r="AE764" s="44">
        <f>COUNTIFS('[1]Tempo parado'!G:G,"&gt;="&amp;MIP_4[[#This Row],[S.B Sitrack]],'[1]Tempo parado'!H:H,"&lt;="&amp;MIP_4[[#This Row],[C.B Sitrack]],'[1]Tempo parado'!A:A,MIP_4[[#This Row],[Placa]])</f>
        <v>0</v>
      </c>
      <c r="AF764" s="36"/>
      <c r="AG764" s="35"/>
      <c r="AH764" s="34">
        <v>43048.277141203704</v>
      </c>
      <c r="AI764" s="34">
        <v>43048.621388888889</v>
      </c>
      <c r="AJ764" s="32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2.8472222222222288E-2</v>
      </c>
      <c r="AK76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46.400000000000006</v>
      </c>
      <c r="AL76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64" s="31">
        <f>IFERROR(MIP_4[[#This Row],[Tempo parado]]/(MIP_4[[#This Row],[C.B Sitrack]]-MIP_4[[#This Row],[S.B Sitrack]]),"")</f>
        <v>0</v>
      </c>
      <c r="AN764" s="30"/>
      <c r="AO764" s="44">
        <f>IF(AND(MIP_4[Exc]=0,MIP_4[Previsto / Realizado]="Realizado"),MIP_4[Sem],0)</f>
        <v>45</v>
      </c>
      <c r="AP764" s="29">
        <f>IF(AND(MIP_4[Exc]=0,MIP_4[Previsto / Realizado]="Realizado",ISBLANK(MIP_4[[#This Row],[S.B Sitrack]])=FALSE,ISBLANK(MIP_4[[#This Row],[C.B Sitrack]])=FALSE),MIP_4[Sem],0)</f>
        <v>45</v>
      </c>
    </row>
    <row r="765" spans="1:42" ht="15.75" x14ac:dyDescent="0.25">
      <c r="A765" s="29">
        <f>WEEKNUM(MIP_4[[#This Row],[Data]])</f>
        <v>45</v>
      </c>
      <c r="B765" s="45">
        <v>43048</v>
      </c>
      <c r="C765" s="45"/>
      <c r="D765" s="35" t="s">
        <v>72</v>
      </c>
      <c r="E765" s="35" t="s">
        <v>5</v>
      </c>
      <c r="F765" s="35"/>
      <c r="G765" s="44">
        <v>3</v>
      </c>
      <c r="H765" s="44">
        <v>6</v>
      </c>
      <c r="I765" s="44">
        <v>2</v>
      </c>
      <c r="J765" s="44">
        <v>1</v>
      </c>
      <c r="K765" s="44">
        <v>4</v>
      </c>
      <c r="L765" s="43">
        <v>0.625</v>
      </c>
      <c r="M765" s="43">
        <v>0.64583333333333337</v>
      </c>
      <c r="N765" s="43">
        <v>1.0125</v>
      </c>
      <c r="O765" s="43">
        <v>1.0333333333333334</v>
      </c>
      <c r="P765" s="39"/>
      <c r="Q765" s="42" t="s">
        <v>4</v>
      </c>
      <c r="R765" s="29">
        <v>17</v>
      </c>
      <c r="S76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76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765" s="41">
        <f ca="1">MIP_4[[#This Row],[Eficiência]]</f>
        <v>1.1746349930151263</v>
      </c>
      <c r="V76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65" s="39">
        <f>IF(MIP_4[[#This Row],[P.S]]-MIP_4[[#This Row],[P.E]]&lt;0,1+MIP_4[[#This Row],[P.S]]-MIP_4[[#This Row],[P.E]]-1/24,MIP_4[[#This Row],[P.S]]-MIP_4[[#This Row],[P.E]]-1/24)</f>
        <v>0.36666666666666675</v>
      </c>
      <c r="X765" s="39">
        <f ca="1">MIP_4[[#This Row],[PT-1]]*$S$3+MIP_4[[#This Row],[PT-2]]*$T$3+MIP_4[[#This Row],[PT-3]]*$U$3+MIP_4[[#This Row],[PT &gt; 3 Pontos]]*$V$3</f>
        <v>0.38175637272991592</v>
      </c>
      <c r="Y765" s="39">
        <f>MIP_4[[#This Row],[HH disponível]]-MIP_4[[#This Row],[HH AC TOT]]</f>
        <v>0.3249999999999999</v>
      </c>
      <c r="Z765" s="38">
        <f ca="1">MIP_4[[#This Row],[HH Produtivo
Total]]/MIP_4[[#This Row],[HH Trabalhado]]</f>
        <v>1.1746349930151263</v>
      </c>
      <c r="AA765" s="38">
        <f ca="1">MIP_4[[#This Row],[HH Produtivo
Total]]/MIP_4[[#This Row],[HH disponível]]</f>
        <v>1.0411537438088614</v>
      </c>
      <c r="AB765" s="38">
        <f>MIP_4[[#This Row],[HH Trabalhado]]/MIP_4[[#This Row],[HH disponível]]</f>
        <v>0.88636363636363591</v>
      </c>
      <c r="AC765" s="37" t="str">
        <f>LEFT(MIP_4[[#This Row],[Equipe]], SEARCH("/",MIP_4[[#This Row],[Equipe]],1)-1)</f>
        <v xml:space="preserve">ANDERSON </v>
      </c>
      <c r="AD765" s="37" t="str">
        <f>RIGHT(MIP_4[[#This Row],[Equipe]], LEN(MIP_4[[#This Row],[Equipe]])-SEARCH("/",MIP_4[[#This Row],[Equipe]],1))</f>
        <v xml:space="preserve"> GECIVALDO / MARCO</v>
      </c>
      <c r="AE765" s="44">
        <f>COUNTIFS('[1]Tempo parado'!G:G,"&gt;="&amp;MIP_4[[#This Row],[S.B Sitrack]],'[1]Tempo parado'!H:H,"&lt;="&amp;MIP_4[[#This Row],[C.B Sitrack]],'[1]Tempo parado'!A:A,MIP_4[[#This Row],[Placa]])</f>
        <v>0</v>
      </c>
      <c r="AF765" s="36"/>
      <c r="AG765" s="35"/>
      <c r="AH765" s="34"/>
      <c r="AI765" s="34"/>
      <c r="AJ76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6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6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65" s="32" t="str">
        <f>IFERROR(MIP_4[[#This Row],[Tempo parado]]/(MIP_4[[#This Row],[C.B Sitrack]]-MIP_4[[#This Row],[S.B Sitrack]]),"")</f>
        <v/>
      </c>
      <c r="AN765" s="30"/>
      <c r="AO765" s="44">
        <f>IF(AND(MIP_4[Exc]=0,MIP_4[Previsto / Realizado]="Realizado"),MIP_4[Sem],0)</f>
        <v>0</v>
      </c>
      <c r="AP765" s="29">
        <f>IF(AND(MIP_4[Exc]=0,MIP_4[Previsto / Realizado]="Realizado",ISBLANK(MIP_4[[#This Row],[S.B Sitrack]])=FALSE,ISBLANK(MIP_4[[#This Row],[C.B Sitrack]])=FALSE),MIP_4[Sem],0)</f>
        <v>0</v>
      </c>
    </row>
    <row r="766" spans="1:42" ht="15.75" x14ac:dyDescent="0.25">
      <c r="A766" s="29">
        <f>WEEKNUM(MIP_4[[#This Row],[Data]])</f>
        <v>45</v>
      </c>
      <c r="B766" s="45">
        <v>43048</v>
      </c>
      <c r="C766" s="45"/>
      <c r="D766" s="35" t="s">
        <v>72</v>
      </c>
      <c r="E766" s="35" t="s">
        <v>2</v>
      </c>
      <c r="F766" s="35" t="s">
        <v>6</v>
      </c>
      <c r="G766" s="44">
        <v>3</v>
      </c>
      <c r="H766" s="44">
        <v>6</v>
      </c>
      <c r="I766" s="44">
        <v>2</v>
      </c>
      <c r="J766" s="44">
        <v>0</v>
      </c>
      <c r="K766" s="44">
        <v>4</v>
      </c>
      <c r="L766" s="43">
        <v>0.62986111111111109</v>
      </c>
      <c r="M766" s="43">
        <v>0.65972222222222221</v>
      </c>
      <c r="N766" s="43">
        <v>1.0145833333333334</v>
      </c>
      <c r="O766" s="43">
        <v>3.3333333333333333E-2</v>
      </c>
      <c r="P766" s="39"/>
      <c r="Q766" s="42" t="s">
        <v>32</v>
      </c>
      <c r="R766" s="29">
        <v>14</v>
      </c>
      <c r="S76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4.861111111111116E-2</v>
      </c>
      <c r="T76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4.861111111111116E-2</v>
      </c>
      <c r="U766" s="41">
        <f ca="1">MIP_4[[#This Row],[Eficiência]]</f>
        <v>1.0184238550224762</v>
      </c>
      <c r="V76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66" s="39">
        <f>IF(MIP_4[[#This Row],[P.S]]-MIP_4[[#This Row],[P.E]]&lt;0,1+MIP_4[[#This Row],[P.S]]-MIP_4[[#This Row],[P.E]]-1/24,MIP_4[[#This Row],[P.S]]-MIP_4[[#This Row],[P.E]]-1/24)</f>
        <v>0.36180555555555566</v>
      </c>
      <c r="X766" s="39">
        <f ca="1">MIP_4[[#This Row],[PT-1]]*$S$3+MIP_4[[#This Row],[PT-2]]*$T$3+MIP_4[[#This Row],[PT-3]]*$U$3+MIP_4[[#This Row],[PT &gt; 3 Pontos]]*$V$3</f>
        <v>0.31896469348273393</v>
      </c>
      <c r="Y766" s="39">
        <f>MIP_4[[#This Row],[HH disponível]]-MIP_4[[#This Row],[HH AC TOT]]</f>
        <v>0.3131944444444445</v>
      </c>
      <c r="Z766" s="38">
        <f ca="1">MIP_4[[#This Row],[HH Produtivo
Total]]/MIP_4[[#This Row],[HH Trabalhado]]</f>
        <v>1.0184238550224762</v>
      </c>
      <c r="AA766" s="38">
        <f ca="1">MIP_4[[#This Row],[HH Produtivo
Total]]/MIP_4[[#This Row],[HH disponível]]</f>
        <v>0.88159147526897641</v>
      </c>
      <c r="AB766" s="38">
        <f>MIP_4[[#This Row],[HH Trabalhado]]/MIP_4[[#This Row],[HH disponível]]</f>
        <v>0.86564299424184254</v>
      </c>
      <c r="AC766" s="37" t="str">
        <f>LEFT(MIP_4[[#This Row],[Equipe]], SEARCH("/",MIP_4[[#This Row],[Equipe]],1)-1)</f>
        <v xml:space="preserve">ANDERSON </v>
      </c>
      <c r="AD766" s="37" t="str">
        <f>RIGHT(MIP_4[[#This Row],[Equipe]], LEN(MIP_4[[#This Row],[Equipe]])-SEARCH("/",MIP_4[[#This Row],[Equipe]],1))</f>
        <v xml:space="preserve"> GECIVALDO / MARCO</v>
      </c>
      <c r="AE766" s="44">
        <f>COUNTIFS('[1]Tempo parado'!G:G,"&gt;="&amp;MIP_4[[#This Row],[S.B Sitrack]],'[1]Tempo parado'!H:H,"&lt;="&amp;MIP_4[[#This Row],[C.B Sitrack]],'[1]Tempo parado'!A:A,MIP_4[[#This Row],[Placa]])</f>
        <v>0</v>
      </c>
      <c r="AF766" s="36"/>
      <c r="AG766" s="35"/>
      <c r="AH766" s="34">
        <v>43048.660949074074</v>
      </c>
      <c r="AI766" s="34">
        <v>43049.024409722224</v>
      </c>
      <c r="AJ766" s="32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1.0416666666666605E-2</v>
      </c>
      <c r="AK76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61.3</v>
      </c>
      <c r="AL76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66" s="31">
        <f>IFERROR(MIP_4[[#This Row],[Tempo parado]]/(MIP_4[[#This Row],[C.B Sitrack]]-MIP_4[[#This Row],[S.B Sitrack]]),"")</f>
        <v>0</v>
      </c>
      <c r="AN766" s="30"/>
      <c r="AO766" s="44">
        <f>IF(AND(MIP_4[Exc]=0,MIP_4[Previsto / Realizado]="Realizado"),MIP_4[Sem],0)</f>
        <v>45</v>
      </c>
      <c r="AP766" s="29">
        <f>IF(AND(MIP_4[Exc]=0,MIP_4[Previsto / Realizado]="Realizado",ISBLANK(MIP_4[[#This Row],[S.B Sitrack]])=FALSE,ISBLANK(MIP_4[[#This Row],[C.B Sitrack]])=FALSE),MIP_4[Sem],0)</f>
        <v>45</v>
      </c>
    </row>
    <row r="767" spans="1:42" ht="15.75" x14ac:dyDescent="0.25">
      <c r="A767" s="29">
        <f>WEEKNUM(MIP_4[[#This Row],[Data]])</f>
        <v>45</v>
      </c>
      <c r="B767" s="45">
        <v>43049</v>
      </c>
      <c r="C767" s="45"/>
      <c r="D767" s="35" t="s">
        <v>10</v>
      </c>
      <c r="E767" s="35" t="s">
        <v>5</v>
      </c>
      <c r="F767" s="35"/>
      <c r="G767" s="44">
        <v>2</v>
      </c>
      <c r="H767" s="44">
        <v>6</v>
      </c>
      <c r="I767" s="44">
        <v>3</v>
      </c>
      <c r="J767" s="44">
        <v>1</v>
      </c>
      <c r="K767" s="44">
        <v>0</v>
      </c>
      <c r="L767" s="43">
        <v>0.25</v>
      </c>
      <c r="M767" s="43">
        <v>0.27083333333333331</v>
      </c>
      <c r="N767" s="43">
        <v>0.63750000000000007</v>
      </c>
      <c r="O767" s="43">
        <v>0.65833333333333333</v>
      </c>
      <c r="P767" s="39"/>
      <c r="Q767" s="42"/>
      <c r="R767" s="29">
        <v>15</v>
      </c>
      <c r="S76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76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767" s="41">
        <f ca="1">MIP_4[[#This Row],[Eficiência]]</f>
        <v>1.0605326009537961</v>
      </c>
      <c r="V76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67" s="39">
        <f>IF(MIP_4[[#This Row],[P.S]]-MIP_4[[#This Row],[P.E]]&lt;0,1+MIP_4[[#This Row],[P.S]]-MIP_4[[#This Row],[P.E]]-1/24,MIP_4[[#This Row],[P.S]]-MIP_4[[#This Row],[P.E]]-1/24)</f>
        <v>0.36666666666666664</v>
      </c>
      <c r="X767" s="39">
        <f ca="1">MIP_4[[#This Row],[PT-1]]*$S$3+MIP_4[[#This Row],[PT-2]]*$T$3+MIP_4[[#This Row],[PT-3]]*$U$3+MIP_4[[#This Row],[PT &gt; 3 Pontos]]*$V$3</f>
        <v>0.3446730953099838</v>
      </c>
      <c r="Y767" s="39">
        <f>MIP_4[[#This Row],[HH disponível]]-MIP_4[[#This Row],[HH AC TOT]]</f>
        <v>0.32500000000000007</v>
      </c>
      <c r="Z767" s="38">
        <f ca="1">MIP_4[[#This Row],[HH Produtivo
Total]]/MIP_4[[#This Row],[HH Trabalhado]]</f>
        <v>1.0605326009537961</v>
      </c>
      <c r="AA767" s="38">
        <f ca="1">MIP_4[[#This Row],[HH Produtivo
Total]]/MIP_4[[#This Row],[HH disponível]]</f>
        <v>0.94001753266359223</v>
      </c>
      <c r="AB767" s="38">
        <f>MIP_4[[#This Row],[HH Trabalhado]]/MIP_4[[#This Row],[HH disponível]]</f>
        <v>0.88636363636363658</v>
      </c>
      <c r="AC767" s="37" t="str">
        <f>LEFT(MIP_4[[#This Row],[Equipe]], SEARCH("/",MIP_4[[#This Row],[Equipe]],1)-1)</f>
        <v xml:space="preserve">JOILSON </v>
      </c>
      <c r="AD767" s="37" t="str">
        <f>RIGHT(MIP_4[[#This Row],[Equipe]], LEN(MIP_4[[#This Row],[Equipe]])-SEARCH("/",MIP_4[[#This Row],[Equipe]],1))</f>
        <v xml:space="preserve"> VALDEI</v>
      </c>
      <c r="AE767" s="44">
        <f>COUNTIFS('[1]Tempo parado'!G:G,"&gt;="&amp;MIP_4[[#This Row],[S.B Sitrack]],'[1]Tempo parado'!H:H,"&lt;="&amp;MIP_4[[#This Row],[C.B Sitrack]],'[1]Tempo parado'!A:A,MIP_4[[#This Row],[Placa]])</f>
        <v>0</v>
      </c>
      <c r="AF767" s="36"/>
      <c r="AG767" s="35"/>
      <c r="AH767" s="34"/>
      <c r="AI767" s="34"/>
      <c r="AJ76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6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6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67" s="32" t="str">
        <f>IFERROR(MIP_4[[#This Row],[Tempo parado]]/(MIP_4[[#This Row],[C.B Sitrack]]-MIP_4[[#This Row],[S.B Sitrack]]),"")</f>
        <v/>
      </c>
      <c r="AN767" s="30"/>
      <c r="AO767" s="44">
        <f>IF(AND(MIP_4[Exc]=0,MIP_4[Previsto / Realizado]="Realizado"),MIP_4[Sem],0)</f>
        <v>0</v>
      </c>
      <c r="AP767" s="29">
        <f>IF(AND(MIP_4[Exc]=0,MIP_4[Previsto / Realizado]="Realizado",ISBLANK(MIP_4[[#This Row],[S.B Sitrack]])=FALSE,ISBLANK(MIP_4[[#This Row],[C.B Sitrack]])=FALSE),MIP_4[Sem],0)</f>
        <v>0</v>
      </c>
    </row>
    <row r="768" spans="1:42" ht="15.75" x14ac:dyDescent="0.25">
      <c r="A768" s="29">
        <f>WEEKNUM(MIP_4[[#This Row],[Data]])</f>
        <v>45</v>
      </c>
      <c r="B768" s="45">
        <v>43049</v>
      </c>
      <c r="C768" s="45"/>
      <c r="D768" s="35" t="s">
        <v>10</v>
      </c>
      <c r="E768" s="35" t="s">
        <v>2</v>
      </c>
      <c r="F768" s="35" t="s">
        <v>1</v>
      </c>
      <c r="G768" s="44">
        <v>2</v>
      </c>
      <c r="H768" s="44">
        <v>5</v>
      </c>
      <c r="I768" s="44">
        <v>3</v>
      </c>
      <c r="J768" s="44">
        <v>1</v>
      </c>
      <c r="K768" s="44">
        <v>0</v>
      </c>
      <c r="L768" s="43">
        <v>0.24374999999999999</v>
      </c>
      <c r="M768" s="43">
        <v>0.26805555555555555</v>
      </c>
      <c r="N768" s="43">
        <v>0.62291666666666667</v>
      </c>
      <c r="O768" s="43">
        <v>0.65833333333333333</v>
      </c>
      <c r="P768" s="39"/>
      <c r="Q768" s="42"/>
      <c r="R768" s="29">
        <v>14</v>
      </c>
      <c r="S76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5.9722222222222204E-2</v>
      </c>
      <c r="T76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5.9722222222222204E-2</v>
      </c>
      <c r="U768" s="41">
        <f ca="1">MIP_4[[#This Row],[Eficiência]]</f>
        <v>1.0206031684822776</v>
      </c>
      <c r="V76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68" s="39">
        <f>IF(MIP_4[[#This Row],[P.S]]-MIP_4[[#This Row],[P.E]]&lt;0,1+MIP_4[[#This Row],[P.S]]-MIP_4[[#This Row],[P.E]]-1/24,MIP_4[[#This Row],[P.S]]-MIP_4[[#This Row],[P.E]]-1/24)</f>
        <v>0.37291666666666662</v>
      </c>
      <c r="X768" s="39">
        <f ca="1">MIP_4[[#This Row],[PT-1]]*$S$3+MIP_4[[#This Row],[PT-2]]*$T$3+MIP_4[[#This Row],[PT-3]]*$U$3+MIP_4[[#This Row],[PT &gt; 3 Pontos]]*$V$3</f>
        <v>0.31964724235104663</v>
      </c>
      <c r="Y768" s="39">
        <f>MIP_4[[#This Row],[HH disponível]]-MIP_4[[#This Row],[HH AC TOT]]</f>
        <v>0.31319444444444444</v>
      </c>
      <c r="Z768" s="38">
        <f ca="1">MIP_4[[#This Row],[HH Produtivo
Total]]/MIP_4[[#This Row],[HH Trabalhado]]</f>
        <v>1.0206031684822776</v>
      </c>
      <c r="AA768" s="38">
        <f ca="1">MIP_4[[#This Row],[HH Produtivo
Total]]/MIP_4[[#This Row],[HH disponível]]</f>
        <v>0.85715461636034862</v>
      </c>
      <c r="AB768" s="38">
        <f>MIP_4[[#This Row],[HH Trabalhado]]/MIP_4[[#This Row],[HH disponível]]</f>
        <v>0.83985102420856617</v>
      </c>
      <c r="AC768" s="37" t="str">
        <f>LEFT(MIP_4[[#This Row],[Equipe]], SEARCH("/",MIP_4[[#This Row],[Equipe]],1)-1)</f>
        <v xml:space="preserve">JOILSON </v>
      </c>
      <c r="AD768" s="37" t="str">
        <f>RIGHT(MIP_4[[#This Row],[Equipe]], LEN(MIP_4[[#This Row],[Equipe]])-SEARCH("/",MIP_4[[#This Row],[Equipe]],1))</f>
        <v xml:space="preserve"> VALDEI</v>
      </c>
      <c r="AE768" s="44">
        <f>COUNTIFS('[1]Tempo parado'!G:G,"&gt;="&amp;MIP_4[[#This Row],[S.B Sitrack]],'[1]Tempo parado'!H:H,"&lt;="&amp;MIP_4[[#This Row],[C.B Sitrack]],'[1]Tempo parado'!A:A,MIP_4[[#This Row],[Placa]])</f>
        <v>0</v>
      </c>
      <c r="AF768" s="36"/>
      <c r="AG768" s="35"/>
      <c r="AH768" s="34">
        <v>43049.290335648147</v>
      </c>
      <c r="AI768" s="34">
        <v>43049.632361111115</v>
      </c>
      <c r="AJ768" s="32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3.125E-2</v>
      </c>
      <c r="AK76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48.399999999999991</v>
      </c>
      <c r="AL76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68" s="31">
        <f>IFERROR(MIP_4[[#This Row],[Tempo parado]]/(MIP_4[[#This Row],[C.B Sitrack]]-MIP_4[[#This Row],[S.B Sitrack]]),"")</f>
        <v>0</v>
      </c>
      <c r="AN768" s="30"/>
      <c r="AO768" s="44">
        <f>IF(AND(MIP_4[Exc]=0,MIP_4[Previsto / Realizado]="Realizado"),MIP_4[Sem],0)</f>
        <v>45</v>
      </c>
      <c r="AP768" s="29">
        <f>IF(AND(MIP_4[Exc]=0,MIP_4[Previsto / Realizado]="Realizado",ISBLANK(MIP_4[[#This Row],[S.B Sitrack]])=FALSE,ISBLANK(MIP_4[[#This Row],[C.B Sitrack]])=FALSE),MIP_4[Sem],0)</f>
        <v>45</v>
      </c>
    </row>
    <row r="769" spans="1:42" ht="15.75" x14ac:dyDescent="0.25">
      <c r="A769" s="29">
        <f>WEEKNUM(MIP_4[[#This Row],[Data]])</f>
        <v>45</v>
      </c>
      <c r="B769" s="45">
        <v>43049</v>
      </c>
      <c r="C769" s="45"/>
      <c r="D769" s="35" t="s">
        <v>7</v>
      </c>
      <c r="E769" s="35" t="s">
        <v>5</v>
      </c>
      <c r="F769" s="35"/>
      <c r="G769" s="44">
        <v>2</v>
      </c>
      <c r="H769" s="44">
        <v>5</v>
      </c>
      <c r="I769" s="44">
        <v>3</v>
      </c>
      <c r="J769" s="44">
        <v>0</v>
      </c>
      <c r="K769" s="44">
        <v>4</v>
      </c>
      <c r="L769" s="43">
        <v>0.625</v>
      </c>
      <c r="M769" s="43">
        <v>0.64583333333333337</v>
      </c>
      <c r="N769" s="43">
        <v>1.0125</v>
      </c>
      <c r="O769" s="43">
        <v>1.0333333333333334</v>
      </c>
      <c r="P769" s="39"/>
      <c r="Q769" s="42"/>
      <c r="R769" s="29">
        <v>15</v>
      </c>
      <c r="S76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76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769" s="41">
        <f ca="1">MIP_4[[#This Row],[Eficiência]]</f>
        <v>1.0395310973134044</v>
      </c>
      <c r="V769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69" s="39">
        <f>IF(MIP_4[[#This Row],[P.S]]-MIP_4[[#This Row],[P.E]]&lt;0,1+MIP_4[[#This Row],[P.S]]-MIP_4[[#This Row],[P.E]]-1/24,MIP_4[[#This Row],[P.S]]-MIP_4[[#This Row],[P.E]]-1/24)</f>
        <v>0.36666666666666675</v>
      </c>
      <c r="X769" s="39">
        <f ca="1">MIP_4[[#This Row],[PT-1]]*$S$3+MIP_4[[#This Row],[PT-2]]*$T$3+MIP_4[[#This Row],[PT-3]]*$U$3+MIP_4[[#This Row],[PT &gt; 3 Pontos]]*$V$3</f>
        <v>0.33784760662685631</v>
      </c>
      <c r="Y769" s="39">
        <f>MIP_4[[#This Row],[HH disponível]]-MIP_4[[#This Row],[HH AC TOT]]</f>
        <v>0.3249999999999999</v>
      </c>
      <c r="Z769" s="38">
        <f ca="1">MIP_4[[#This Row],[HH Produtivo
Total]]/MIP_4[[#This Row],[HH Trabalhado]]</f>
        <v>1.0395310973134044</v>
      </c>
      <c r="AA769" s="38">
        <f ca="1">MIP_4[[#This Row],[HH Produtivo
Total]]/MIP_4[[#This Row],[HH disponível]]</f>
        <v>0.92140256352778971</v>
      </c>
      <c r="AB769" s="38">
        <f>MIP_4[[#This Row],[HH Trabalhado]]/MIP_4[[#This Row],[HH disponível]]</f>
        <v>0.88636363636363591</v>
      </c>
      <c r="AC769" s="37" t="str">
        <f>LEFT(MIP_4[[#This Row],[Equipe]], SEARCH("/",MIP_4[[#This Row],[Equipe]],1)-1)</f>
        <v xml:space="preserve">ANDERSON </v>
      </c>
      <c r="AD769" s="37" t="str">
        <f>RIGHT(MIP_4[[#This Row],[Equipe]], LEN(MIP_4[[#This Row],[Equipe]])-SEARCH("/",MIP_4[[#This Row],[Equipe]],1))</f>
        <v xml:space="preserve"> MARCO</v>
      </c>
      <c r="AE769" s="44">
        <f>COUNTIFS('[1]Tempo parado'!G:G,"&gt;="&amp;MIP_4[[#This Row],[S.B Sitrack]],'[1]Tempo parado'!H:H,"&lt;="&amp;MIP_4[[#This Row],[C.B Sitrack]],'[1]Tempo parado'!A:A,MIP_4[[#This Row],[Placa]])</f>
        <v>0</v>
      </c>
      <c r="AF769" s="36"/>
      <c r="AG769" s="35"/>
      <c r="AH769" s="34"/>
      <c r="AI769" s="34"/>
      <c r="AJ76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6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6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69" s="32" t="str">
        <f>IFERROR(MIP_4[[#This Row],[Tempo parado]]/(MIP_4[[#This Row],[C.B Sitrack]]-MIP_4[[#This Row],[S.B Sitrack]]),"")</f>
        <v/>
      </c>
      <c r="AN769" s="30"/>
      <c r="AO769" s="44">
        <f>IF(AND(MIP_4[Exc]=0,MIP_4[Previsto / Realizado]="Realizado"),MIP_4[Sem],0)</f>
        <v>0</v>
      </c>
      <c r="AP769" s="29">
        <f>IF(AND(MIP_4[Exc]=0,MIP_4[Previsto / Realizado]="Realizado",ISBLANK(MIP_4[[#This Row],[S.B Sitrack]])=FALSE,ISBLANK(MIP_4[[#This Row],[C.B Sitrack]])=FALSE),MIP_4[Sem],0)</f>
        <v>0</v>
      </c>
    </row>
    <row r="770" spans="1:42" ht="15.75" x14ac:dyDescent="0.25">
      <c r="A770" s="29">
        <f>WEEKNUM(MIP_4[[#This Row],[Data]])</f>
        <v>45</v>
      </c>
      <c r="B770" s="45">
        <v>43049</v>
      </c>
      <c r="C770" s="45"/>
      <c r="D770" s="35" t="s">
        <v>7</v>
      </c>
      <c r="E770" s="35" t="s">
        <v>2</v>
      </c>
      <c r="F770" s="35" t="s">
        <v>6</v>
      </c>
      <c r="G770" s="44">
        <v>2</v>
      </c>
      <c r="H770" s="44">
        <v>5</v>
      </c>
      <c r="I770" s="44">
        <v>3</v>
      </c>
      <c r="J770" s="44">
        <v>0</v>
      </c>
      <c r="K770" s="44">
        <v>4</v>
      </c>
      <c r="L770" s="43">
        <v>0.6333333333333333</v>
      </c>
      <c r="M770" s="43">
        <v>0.67708333333333337</v>
      </c>
      <c r="N770" s="43">
        <v>1.0166666666666666</v>
      </c>
      <c r="O770" s="68">
        <v>7.7083333333333337E-2</v>
      </c>
      <c r="P770" s="39"/>
      <c r="Q770" s="42" t="s">
        <v>32</v>
      </c>
      <c r="R770" s="29">
        <v>15</v>
      </c>
      <c r="S77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0.10416666666666685</v>
      </c>
      <c r="T77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0.10416666666666685</v>
      </c>
      <c r="U770" s="41">
        <f ca="1">MIP_4[[#This Row],[Eficiência]]</f>
        <v>1.1340339243418958</v>
      </c>
      <c r="V770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70" s="39">
        <f>IF(MIP_4[[#This Row],[P.S]]-MIP_4[[#This Row],[P.E]]&lt;0,1+MIP_4[[#This Row],[P.S]]-MIP_4[[#This Row],[P.E]]-1/24,MIP_4[[#This Row],[P.S]]-MIP_4[[#This Row],[P.E]]-1/24)</f>
        <v>0.4020833333333334</v>
      </c>
      <c r="X770" s="39">
        <f ca="1">MIP_4[[#This Row],[PT-1]]*$S$3+MIP_4[[#This Row],[PT-2]]*$T$3+MIP_4[[#This Row],[PT-3]]*$U$3+MIP_4[[#This Row],[PT &gt; 3 Pontos]]*$V$3</f>
        <v>0.33784760662685631</v>
      </c>
      <c r="Y770" s="39">
        <f>MIP_4[[#This Row],[HH disponível]]-MIP_4[[#This Row],[HH AC TOT]]</f>
        <v>0.29791666666666655</v>
      </c>
      <c r="Z770" s="38">
        <f ca="1">MIP_4[[#This Row],[HH Produtivo
Total]]/MIP_4[[#This Row],[HH Trabalhado]]</f>
        <v>1.1340339243418958</v>
      </c>
      <c r="AA770" s="38">
        <f ca="1">MIP_4[[#This Row],[HH Produtivo
Total]]/MIP_4[[#This Row],[HH disponível]]</f>
        <v>0.84024275223259581</v>
      </c>
      <c r="AB770" s="38">
        <f>MIP_4[[#This Row],[HH Trabalhado]]/MIP_4[[#This Row],[HH disponível]]</f>
        <v>0.74093264248704627</v>
      </c>
      <c r="AC770" s="37" t="str">
        <f>LEFT(MIP_4[[#This Row],[Equipe]], SEARCH("/",MIP_4[[#This Row],[Equipe]],1)-1)</f>
        <v xml:space="preserve">ANDERSON </v>
      </c>
      <c r="AD770" s="37" t="str">
        <f>RIGHT(MIP_4[[#This Row],[Equipe]], LEN(MIP_4[[#This Row],[Equipe]])-SEARCH("/",MIP_4[[#This Row],[Equipe]],1))</f>
        <v xml:space="preserve"> MARCO</v>
      </c>
      <c r="AE770" s="44">
        <f>COUNTIFS('[1]Tempo parado'!G:G,"&gt;="&amp;MIP_4[[#This Row],[S.B Sitrack]],'[1]Tempo parado'!H:H,"&lt;="&amp;MIP_4[[#This Row],[C.B Sitrack]],'[1]Tempo parado'!A:A,MIP_4[[#This Row],[Placa]])</f>
        <v>0</v>
      </c>
      <c r="AF770" s="36"/>
      <c r="AG770" s="35"/>
      <c r="AH770" s="34">
        <v>43049.676574074074</v>
      </c>
      <c r="AI770" s="34">
        <v>43050.018703703703</v>
      </c>
      <c r="AJ770" s="32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2.0833333333333919E-3</v>
      </c>
      <c r="AK77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23</v>
      </c>
      <c r="AL77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70" s="31">
        <f>IFERROR(MIP_4[[#This Row],[Tempo parado]]/(MIP_4[[#This Row],[C.B Sitrack]]-MIP_4[[#This Row],[S.B Sitrack]]),"")</f>
        <v>0</v>
      </c>
      <c r="AN770" s="30"/>
      <c r="AO770" s="44">
        <f>IF(AND(MIP_4[Exc]=0,MIP_4[Previsto / Realizado]="Realizado"),MIP_4[Sem],0)</f>
        <v>45</v>
      </c>
      <c r="AP770" s="29">
        <f>IF(AND(MIP_4[Exc]=0,MIP_4[Previsto / Realizado]="Realizado",ISBLANK(MIP_4[[#This Row],[S.B Sitrack]])=FALSE,ISBLANK(MIP_4[[#This Row],[C.B Sitrack]])=FALSE),MIP_4[Sem],0)</f>
        <v>45</v>
      </c>
    </row>
    <row r="771" spans="1:42" ht="15.75" x14ac:dyDescent="0.25">
      <c r="A771" s="29">
        <f>WEEKNUM(MIP_4[[#This Row],[Data]])</f>
        <v>45</v>
      </c>
      <c r="B771" s="45">
        <v>43050</v>
      </c>
      <c r="C771" s="45"/>
      <c r="D771" s="35" t="s">
        <v>10</v>
      </c>
      <c r="E771" s="35" t="s">
        <v>5</v>
      </c>
      <c r="F771" s="35"/>
      <c r="G771" s="44">
        <v>2</v>
      </c>
      <c r="H771" s="44">
        <v>3</v>
      </c>
      <c r="I771" s="44">
        <v>1</v>
      </c>
      <c r="J771" s="44">
        <v>1</v>
      </c>
      <c r="K771" s="44">
        <v>5</v>
      </c>
      <c r="L771" s="43">
        <v>0.25</v>
      </c>
      <c r="M771" s="43">
        <v>0.27083333333333331</v>
      </c>
      <c r="N771" s="43">
        <v>0.63750000000000007</v>
      </c>
      <c r="O771" s="43">
        <v>0.65833333333333333</v>
      </c>
      <c r="P771" s="39"/>
      <c r="Q771" s="42"/>
      <c r="R771" s="29">
        <v>13</v>
      </c>
      <c r="S77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77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771" s="41">
        <f ca="1">MIP_4[[#This Row],[Eficiência]]</f>
        <v>0.87082479578705418</v>
      </c>
      <c r="V771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71" s="39">
        <f>IF(MIP_4[[#This Row],[P.S]]-MIP_4[[#This Row],[P.E]]&lt;0,1+MIP_4[[#This Row],[P.S]]-MIP_4[[#This Row],[P.E]]-1/24,MIP_4[[#This Row],[P.S]]-MIP_4[[#This Row],[P.E]]-1/24)</f>
        <v>0.36666666666666664</v>
      </c>
      <c r="X771" s="39">
        <f ca="1">MIP_4[[#This Row],[PT-1]]*$S$3+MIP_4[[#This Row],[PT-2]]*$T$3+MIP_4[[#This Row],[PT-3]]*$U$3+MIP_4[[#This Row],[PT &gt; 3 Pontos]]*$V$3</f>
        <v>0.28301805863079266</v>
      </c>
      <c r="Y771" s="39">
        <f>MIP_4[[#This Row],[HH disponível]]-MIP_4[[#This Row],[HH AC TOT]]</f>
        <v>0.32500000000000007</v>
      </c>
      <c r="Z771" s="38">
        <f ca="1">MIP_4[[#This Row],[HH Produtivo
Total]]/MIP_4[[#This Row],[HH Trabalhado]]</f>
        <v>0.87082479578705418</v>
      </c>
      <c r="AA771" s="38">
        <f ca="1">MIP_4[[#This Row],[HH Produtivo
Total]]/MIP_4[[#This Row],[HH disponível]]</f>
        <v>0.77186743262943458</v>
      </c>
      <c r="AB771" s="38">
        <f>MIP_4[[#This Row],[HH Trabalhado]]/MIP_4[[#This Row],[HH disponível]]</f>
        <v>0.88636363636363658</v>
      </c>
      <c r="AC771" s="37" t="str">
        <f>LEFT(MIP_4[[#This Row],[Equipe]], SEARCH("/",MIP_4[[#This Row],[Equipe]],1)-1)</f>
        <v xml:space="preserve">JOILSON </v>
      </c>
      <c r="AD771" s="37" t="str">
        <f>RIGHT(MIP_4[[#This Row],[Equipe]], LEN(MIP_4[[#This Row],[Equipe]])-SEARCH("/",MIP_4[[#This Row],[Equipe]],1))</f>
        <v xml:space="preserve"> VALDEI</v>
      </c>
      <c r="AE771" s="44">
        <f>COUNTIFS('[1]Tempo parado'!G:G,"&gt;="&amp;MIP_4[[#This Row],[S.B Sitrack]],'[1]Tempo parado'!H:H,"&lt;="&amp;MIP_4[[#This Row],[C.B Sitrack]],'[1]Tempo parado'!A:A,MIP_4[[#This Row],[Placa]])</f>
        <v>0</v>
      </c>
      <c r="AF771" s="36"/>
      <c r="AG771" s="35"/>
      <c r="AH771" s="34"/>
      <c r="AI771" s="34"/>
      <c r="AJ77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7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7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71" s="32" t="str">
        <f>IFERROR(MIP_4[[#This Row],[Tempo parado]]/(MIP_4[[#This Row],[C.B Sitrack]]-MIP_4[[#This Row],[S.B Sitrack]]),"")</f>
        <v/>
      </c>
      <c r="AN771" s="30"/>
      <c r="AO771" s="44">
        <f>IF(AND(MIP_4[Exc]=0,MIP_4[Previsto / Realizado]="Realizado"),MIP_4[Sem],0)</f>
        <v>0</v>
      </c>
      <c r="AP771" s="29">
        <f>IF(AND(MIP_4[Exc]=0,MIP_4[Previsto / Realizado]="Realizado",ISBLANK(MIP_4[[#This Row],[S.B Sitrack]])=FALSE,ISBLANK(MIP_4[[#This Row],[C.B Sitrack]])=FALSE),MIP_4[Sem],0)</f>
        <v>0</v>
      </c>
    </row>
    <row r="772" spans="1:42" ht="15.75" x14ac:dyDescent="0.25">
      <c r="A772" s="29">
        <f>WEEKNUM(MIP_4[[#This Row],[Data]])</f>
        <v>45</v>
      </c>
      <c r="B772" s="45">
        <v>43050</v>
      </c>
      <c r="C772" s="45"/>
      <c r="D772" s="35" t="s">
        <v>10</v>
      </c>
      <c r="E772" s="35" t="s">
        <v>2</v>
      </c>
      <c r="F772" s="35" t="s">
        <v>1</v>
      </c>
      <c r="G772" s="44">
        <v>2</v>
      </c>
      <c r="H772" s="44">
        <v>4</v>
      </c>
      <c r="I772" s="44">
        <v>1</v>
      </c>
      <c r="J772" s="44">
        <v>1</v>
      </c>
      <c r="K772" s="44">
        <v>5</v>
      </c>
      <c r="L772" s="43">
        <v>0.25069444444444444</v>
      </c>
      <c r="M772" s="43">
        <v>0.27777777777777779</v>
      </c>
      <c r="N772" s="43">
        <v>0.60972222222222217</v>
      </c>
      <c r="O772" s="43">
        <v>0.65972222222222221</v>
      </c>
      <c r="P772" s="39"/>
      <c r="Q772" s="42" t="s">
        <v>32</v>
      </c>
      <c r="R772" s="29">
        <v>14</v>
      </c>
      <c r="S77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7.7083333333333393E-2</v>
      </c>
      <c r="T77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7.7083333333333393E-2</v>
      </c>
      <c r="U772" s="41">
        <f ca="1">MIP_4[[#This Row],[Eficiência]]</f>
        <v>1.0612039059550504</v>
      </c>
      <c r="V772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72" s="39">
        <f>IF(MIP_4[[#This Row],[P.S]]-MIP_4[[#This Row],[P.E]]&lt;0,1+MIP_4[[#This Row],[P.S]]-MIP_4[[#This Row],[P.E]]-1/24,MIP_4[[#This Row],[P.S]]-MIP_4[[#This Row],[P.E]]-1/24)</f>
        <v>0.36736111111111108</v>
      </c>
      <c r="X772" s="39">
        <f ca="1">MIP_4[[#This Row],[PT-1]]*$S$3+MIP_4[[#This Row],[PT-2]]*$T$3+MIP_4[[#This Row],[PT-3]]*$U$3+MIP_4[[#This Row],[PT &gt; 3 Pontos]]*$V$3</f>
        <v>0.30804391158972982</v>
      </c>
      <c r="Y772" s="39">
        <f>MIP_4[[#This Row],[HH disponível]]-MIP_4[[#This Row],[HH AC TOT]]</f>
        <v>0.29027777777777769</v>
      </c>
      <c r="Z772" s="38">
        <f ca="1">MIP_4[[#This Row],[HH Produtivo
Total]]/MIP_4[[#This Row],[HH Trabalhado]]</f>
        <v>1.0612039059550504</v>
      </c>
      <c r="AA772" s="38">
        <f ca="1">MIP_4[[#This Row],[HH Produtivo
Total]]/MIP_4[[#This Row],[HH disponível]]</f>
        <v>0.83853163079245929</v>
      </c>
      <c r="AB772" s="38">
        <f>MIP_4[[#This Row],[HH Trabalhado]]/MIP_4[[#This Row],[HH disponível]]</f>
        <v>0.79017013232514155</v>
      </c>
      <c r="AC772" s="37" t="str">
        <f>LEFT(MIP_4[[#This Row],[Equipe]], SEARCH("/",MIP_4[[#This Row],[Equipe]],1)-1)</f>
        <v xml:space="preserve">JOILSON </v>
      </c>
      <c r="AD772" s="37" t="str">
        <f>RIGHT(MIP_4[[#This Row],[Equipe]], LEN(MIP_4[[#This Row],[Equipe]])-SEARCH("/",MIP_4[[#This Row],[Equipe]],1))</f>
        <v xml:space="preserve"> VALDEI</v>
      </c>
      <c r="AE772" s="44">
        <f>COUNTIFS('[1]Tempo parado'!G:G,"&gt;="&amp;MIP_4[[#This Row],[S.B Sitrack]],'[1]Tempo parado'!H:H,"&lt;="&amp;MIP_4[[#This Row],[C.B Sitrack]],'[1]Tempo parado'!A:A,MIP_4[[#This Row],[Placa]])</f>
        <v>0</v>
      </c>
      <c r="AF772" s="36"/>
      <c r="AG772" s="35"/>
      <c r="AH772" s="34">
        <v>43050.277453703704</v>
      </c>
      <c r="AI772" s="34">
        <v>43050.634212962963</v>
      </c>
      <c r="AJ772" s="32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2.5000000000000022E-2</v>
      </c>
      <c r="AK77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48.2</v>
      </c>
      <c r="AL77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72" s="31">
        <f>IFERROR(MIP_4[[#This Row],[Tempo parado]]/(MIP_4[[#This Row],[C.B Sitrack]]-MIP_4[[#This Row],[S.B Sitrack]]),"")</f>
        <v>0</v>
      </c>
      <c r="AN772" s="30"/>
      <c r="AO772" s="44">
        <f>IF(AND(MIP_4[Exc]=0,MIP_4[Previsto / Realizado]="Realizado"),MIP_4[Sem],0)</f>
        <v>45</v>
      </c>
      <c r="AP772" s="29">
        <f>IF(AND(MIP_4[Exc]=0,MIP_4[Previsto / Realizado]="Realizado",ISBLANK(MIP_4[[#This Row],[S.B Sitrack]])=FALSE,ISBLANK(MIP_4[[#This Row],[C.B Sitrack]])=FALSE),MIP_4[Sem],0)</f>
        <v>45</v>
      </c>
    </row>
    <row r="773" spans="1:42" ht="15.75" x14ac:dyDescent="0.25">
      <c r="A773" s="29">
        <f>WEEKNUM(MIP_4[[#This Row],[Data]])</f>
        <v>46</v>
      </c>
      <c r="B773" s="45">
        <v>43051</v>
      </c>
      <c r="C773" s="45"/>
      <c r="D773" s="35" t="s">
        <v>10</v>
      </c>
      <c r="E773" s="35" t="s">
        <v>5</v>
      </c>
      <c r="F773" s="35"/>
      <c r="G773" s="44">
        <v>2</v>
      </c>
      <c r="H773" s="44">
        <v>6</v>
      </c>
      <c r="I773" s="44">
        <v>1</v>
      </c>
      <c r="J773" s="44">
        <v>0</v>
      </c>
      <c r="K773" s="44">
        <v>0</v>
      </c>
      <c r="L773" s="43">
        <v>0.25</v>
      </c>
      <c r="M773" s="43">
        <v>0.27083333333333331</v>
      </c>
      <c r="N773" s="43">
        <v>0.63750000000000007</v>
      </c>
      <c r="O773" s="43">
        <v>0.65833333333333333</v>
      </c>
      <c r="P773" s="39"/>
      <c r="Q773" s="42"/>
      <c r="R773" s="29">
        <v>8</v>
      </c>
      <c r="S77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77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773" s="41">
        <f ca="1">MIP_4[[#This Row],[Eficiência]]</f>
        <v>0.59711964263594652</v>
      </c>
      <c r="V773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73" s="39">
        <f>IF(MIP_4[[#This Row],[P.S]]-MIP_4[[#This Row],[P.E]]&lt;0,1+MIP_4[[#This Row],[P.S]]-MIP_4[[#This Row],[P.E]]-1/24,MIP_4[[#This Row],[P.S]]-MIP_4[[#This Row],[P.E]]-1/24)</f>
        <v>0.36666666666666664</v>
      </c>
      <c r="X773" s="39">
        <f ca="1">MIP_4[[#This Row],[PT-1]]*$S$3+MIP_4[[#This Row],[PT-2]]*$T$3+MIP_4[[#This Row],[PT-3]]*$U$3+MIP_4[[#This Row],[PT &gt; 3 Pontos]]*$V$3</f>
        <v>0.19406388385668266</v>
      </c>
      <c r="Y773" s="39">
        <f>MIP_4[[#This Row],[HH disponível]]-MIP_4[[#This Row],[HH AC TOT]]</f>
        <v>0.32500000000000007</v>
      </c>
      <c r="Z773" s="38">
        <f ca="1">MIP_4[[#This Row],[HH Produtivo
Total]]/MIP_4[[#This Row],[HH Trabalhado]]</f>
        <v>0.59711964263594652</v>
      </c>
      <c r="AA773" s="38">
        <f ca="1">MIP_4[[#This Row],[HH Produtivo
Total]]/MIP_4[[#This Row],[HH disponível]]</f>
        <v>0.52926513779095274</v>
      </c>
      <c r="AB773" s="38">
        <f>MIP_4[[#This Row],[HH Trabalhado]]/MIP_4[[#This Row],[HH disponível]]</f>
        <v>0.88636363636363658</v>
      </c>
      <c r="AC773" s="37" t="str">
        <f>LEFT(MIP_4[[#This Row],[Equipe]], SEARCH("/",MIP_4[[#This Row],[Equipe]],1)-1)</f>
        <v xml:space="preserve">JOILSON </v>
      </c>
      <c r="AD773" s="37" t="str">
        <f>RIGHT(MIP_4[[#This Row],[Equipe]], LEN(MIP_4[[#This Row],[Equipe]])-SEARCH("/",MIP_4[[#This Row],[Equipe]],1))</f>
        <v xml:space="preserve"> VALDEI</v>
      </c>
      <c r="AE773" s="44">
        <f>COUNTIFS('[1]Tempo parado'!G:G,"&gt;="&amp;MIP_4[[#This Row],[S.B Sitrack]],'[1]Tempo parado'!H:H,"&lt;="&amp;MIP_4[[#This Row],[C.B Sitrack]],'[1]Tempo parado'!A:A,MIP_4[[#This Row],[Placa]])</f>
        <v>0</v>
      </c>
      <c r="AF773" s="36"/>
      <c r="AG773" s="35"/>
      <c r="AH773" s="34"/>
      <c r="AI773" s="34"/>
      <c r="AJ77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7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7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73" s="32" t="str">
        <f>IFERROR(MIP_4[[#This Row],[Tempo parado]]/(MIP_4[[#This Row],[C.B Sitrack]]-MIP_4[[#This Row],[S.B Sitrack]]),"")</f>
        <v/>
      </c>
      <c r="AN773" s="30"/>
      <c r="AO773" s="44">
        <f>IF(AND(MIP_4[Exc]=0,MIP_4[Previsto / Realizado]="Realizado"),MIP_4[Sem],0)</f>
        <v>0</v>
      </c>
      <c r="AP773" s="29">
        <f>IF(AND(MIP_4[Exc]=0,MIP_4[Previsto / Realizado]="Realizado",ISBLANK(MIP_4[[#This Row],[S.B Sitrack]])=FALSE,ISBLANK(MIP_4[[#This Row],[C.B Sitrack]])=FALSE),MIP_4[Sem],0)</f>
        <v>0</v>
      </c>
    </row>
    <row r="774" spans="1:42" ht="15.75" x14ac:dyDescent="0.25">
      <c r="A774" s="29">
        <f>WEEKNUM(MIP_4[[#This Row],[Data]])</f>
        <v>46</v>
      </c>
      <c r="B774" s="45">
        <v>43051</v>
      </c>
      <c r="C774" s="45"/>
      <c r="D774" s="35" t="s">
        <v>10</v>
      </c>
      <c r="E774" s="35" t="s">
        <v>2</v>
      </c>
      <c r="F774" s="35" t="s">
        <v>1</v>
      </c>
      <c r="G774" s="44">
        <v>2</v>
      </c>
      <c r="H774" s="44">
        <v>7</v>
      </c>
      <c r="I774" s="44">
        <v>1</v>
      </c>
      <c r="J774" s="44">
        <v>0</v>
      </c>
      <c r="K774" s="44">
        <v>0</v>
      </c>
      <c r="L774" s="43">
        <v>0.24930555555555556</v>
      </c>
      <c r="M774" s="43">
        <v>0.2638888888888889</v>
      </c>
      <c r="N774" s="43">
        <v>0.61805555555555558</v>
      </c>
      <c r="O774" s="43">
        <v>0.66666666666666663</v>
      </c>
      <c r="P774" s="39"/>
      <c r="Q774" s="42" t="s">
        <v>32</v>
      </c>
      <c r="R774" s="29">
        <v>9</v>
      </c>
      <c r="S77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6.3194444444444386E-2</v>
      </c>
      <c r="T77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6.3194444444444386E-2</v>
      </c>
      <c r="U774" s="41">
        <f ca="1">MIP_4[[#This Row],[Eficiência]]</f>
        <v>0.70108715780998354</v>
      </c>
      <c r="V774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74" s="39">
        <f>IF(MIP_4[[#This Row],[P.S]]-MIP_4[[#This Row],[P.E]]&lt;0,1+MIP_4[[#This Row],[P.S]]-MIP_4[[#This Row],[P.E]]-1/24,MIP_4[[#This Row],[P.S]]-MIP_4[[#This Row],[P.E]]-1/24)</f>
        <v>0.37569444444444439</v>
      </c>
      <c r="X774" s="39">
        <f ca="1">MIP_4[[#This Row],[PT-1]]*$S$3+MIP_4[[#This Row],[PT-2]]*$T$3+MIP_4[[#This Row],[PT-3]]*$U$3+MIP_4[[#This Row],[PT &gt; 3 Pontos]]*$V$3</f>
        <v>0.21908973681561986</v>
      </c>
      <c r="Y774" s="39">
        <f>MIP_4[[#This Row],[HH disponível]]-MIP_4[[#This Row],[HH AC TOT]]</f>
        <v>0.3125</v>
      </c>
      <c r="Z774" s="38">
        <f ca="1">MIP_4[[#This Row],[HH Produtivo
Total]]/MIP_4[[#This Row],[HH Trabalhado]]</f>
        <v>0.70108715780998354</v>
      </c>
      <c r="AA774" s="38">
        <f ca="1">MIP_4[[#This Row],[HH Produtivo
Total]]/MIP_4[[#This Row],[HH disponível]]</f>
        <v>0.58315937340941337</v>
      </c>
      <c r="AB774" s="38">
        <f>MIP_4[[#This Row],[HH Trabalhado]]/MIP_4[[#This Row],[HH disponível]]</f>
        <v>0.83179297597042523</v>
      </c>
      <c r="AC774" s="37" t="str">
        <f>LEFT(MIP_4[[#This Row],[Equipe]], SEARCH("/",MIP_4[[#This Row],[Equipe]],1)-1)</f>
        <v xml:space="preserve">JOILSON </v>
      </c>
      <c r="AD774" s="37" t="str">
        <f>RIGHT(MIP_4[[#This Row],[Equipe]], LEN(MIP_4[[#This Row],[Equipe]])-SEARCH("/",MIP_4[[#This Row],[Equipe]],1))</f>
        <v xml:space="preserve"> VALDEI</v>
      </c>
      <c r="AE774" s="44">
        <f>COUNTIFS('[1]Tempo parado'!G:G,"&gt;="&amp;MIP_4[[#This Row],[S.B Sitrack]],'[1]Tempo parado'!H:H,"&lt;="&amp;MIP_4[[#This Row],[C.B Sitrack]],'[1]Tempo parado'!A:A,MIP_4[[#This Row],[Placa]])</f>
        <v>0</v>
      </c>
      <c r="AF774" s="36"/>
      <c r="AG774" s="35"/>
      <c r="AH774" s="34">
        <v>43051.268599537034</v>
      </c>
      <c r="AI774" s="34">
        <v>43051.633159722223</v>
      </c>
      <c r="AJ774" s="32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1.8749999999999933E-2</v>
      </c>
      <c r="AK77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46.800000000000011</v>
      </c>
      <c r="AL77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74" s="31">
        <f>IFERROR(MIP_4[[#This Row],[Tempo parado]]/(MIP_4[[#This Row],[C.B Sitrack]]-MIP_4[[#This Row],[S.B Sitrack]]),"")</f>
        <v>0</v>
      </c>
      <c r="AN774" s="30"/>
      <c r="AO774" s="44">
        <f>IF(AND(MIP_4[Exc]=0,MIP_4[Previsto / Realizado]="Realizado"),MIP_4[Sem],0)</f>
        <v>46</v>
      </c>
      <c r="AP774" s="29">
        <f>IF(AND(MIP_4[Exc]=0,MIP_4[Previsto / Realizado]="Realizado",ISBLANK(MIP_4[[#This Row],[S.B Sitrack]])=FALSE,ISBLANK(MIP_4[[#This Row],[C.B Sitrack]])=FALSE),MIP_4[Sem],0)</f>
        <v>46</v>
      </c>
    </row>
    <row r="775" spans="1:42" ht="15.75" x14ac:dyDescent="0.25">
      <c r="A775" s="29">
        <f>WEEKNUM(MIP_4[[#This Row],[Data]])</f>
        <v>46</v>
      </c>
      <c r="B775" s="45">
        <v>43052</v>
      </c>
      <c r="C775" s="45"/>
      <c r="D775" s="35" t="s">
        <v>72</v>
      </c>
      <c r="E775" s="35" t="s">
        <v>5</v>
      </c>
      <c r="F775" s="35"/>
      <c r="G775" s="44">
        <v>3</v>
      </c>
      <c r="H775" s="44">
        <v>2</v>
      </c>
      <c r="I775" s="44">
        <v>5</v>
      </c>
      <c r="J775" s="44">
        <v>0</v>
      </c>
      <c r="K775" s="44">
        <v>0</v>
      </c>
      <c r="L775" s="43">
        <v>0.625</v>
      </c>
      <c r="M775" s="43">
        <v>0.64583333333333337</v>
      </c>
      <c r="N775" s="43">
        <v>1.0125</v>
      </c>
      <c r="O775" s="43">
        <v>1.0333333333333334</v>
      </c>
      <c r="P775" s="39"/>
      <c r="Q775" s="42"/>
      <c r="R775" s="29">
        <v>12</v>
      </c>
      <c r="S77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77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775" s="41">
        <f ca="1">MIP_4[[#This Row],[Eficiência]]</f>
        <v>0.82952472748668404</v>
      </c>
      <c r="V775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75" s="39">
        <f>IF(MIP_4[[#This Row],[P.S]]-MIP_4[[#This Row],[P.E]]&lt;0,1+MIP_4[[#This Row],[P.S]]-MIP_4[[#This Row],[P.E]]-1/24,MIP_4[[#This Row],[P.S]]-MIP_4[[#This Row],[P.E]]-1/24)</f>
        <v>0.36666666666666675</v>
      </c>
      <c r="X775" s="39">
        <f ca="1">MIP_4[[#This Row],[PT-1]]*$S$3+MIP_4[[#This Row],[PT-2]]*$T$3+MIP_4[[#This Row],[PT-3]]*$U$3+MIP_4[[#This Row],[PT &gt; 3 Pontos]]*$V$3</f>
        <v>0.26959553643317224</v>
      </c>
      <c r="Y775" s="39">
        <f>MIP_4[[#This Row],[HH disponível]]-MIP_4[[#This Row],[HH AC TOT]]</f>
        <v>0.3249999999999999</v>
      </c>
      <c r="Z775" s="38">
        <f ca="1">MIP_4[[#This Row],[HH Produtivo
Total]]/MIP_4[[#This Row],[HH Trabalhado]]</f>
        <v>0.82952472748668404</v>
      </c>
      <c r="AA775" s="38">
        <f ca="1">MIP_4[[#This Row],[HH Produtivo
Total]]/MIP_4[[#This Row],[HH disponível]]</f>
        <v>0.73526055390865142</v>
      </c>
      <c r="AB775" s="38">
        <f>MIP_4[[#This Row],[HH Trabalhado]]/MIP_4[[#This Row],[HH disponível]]</f>
        <v>0.88636363636363591</v>
      </c>
      <c r="AC775" s="37" t="str">
        <f>LEFT(MIP_4[[#This Row],[Equipe]], SEARCH("/",MIP_4[[#This Row],[Equipe]],1)-1)</f>
        <v xml:space="preserve">ANDERSON </v>
      </c>
      <c r="AD775" s="37" t="str">
        <f>RIGHT(MIP_4[[#This Row],[Equipe]], LEN(MIP_4[[#This Row],[Equipe]])-SEARCH("/",MIP_4[[#This Row],[Equipe]],1))</f>
        <v xml:space="preserve"> GECIVALDO / MARCO</v>
      </c>
      <c r="AE775" s="44">
        <f>COUNTIFS('[1]Tempo parado'!G:G,"&gt;="&amp;MIP_4[[#This Row],[S.B Sitrack]],'[1]Tempo parado'!H:H,"&lt;="&amp;MIP_4[[#This Row],[C.B Sitrack]],'[1]Tempo parado'!A:A,MIP_4[[#This Row],[Placa]])</f>
        <v>0</v>
      </c>
      <c r="AF775" s="36"/>
      <c r="AG775" s="35"/>
      <c r="AH775" s="34"/>
      <c r="AI775" s="34"/>
      <c r="AJ77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7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7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75" s="32" t="str">
        <f>IFERROR(MIP_4[[#This Row],[Tempo parado]]/(MIP_4[[#This Row],[C.B Sitrack]]-MIP_4[[#This Row],[S.B Sitrack]]),"")</f>
        <v/>
      </c>
      <c r="AN775" s="30"/>
      <c r="AO775" s="44">
        <f>IF(AND(MIP_4[Exc]=0,MIP_4[Previsto / Realizado]="Realizado"),MIP_4[Sem],0)</f>
        <v>0</v>
      </c>
      <c r="AP775" s="29">
        <f>IF(AND(MIP_4[Exc]=0,MIP_4[Previsto / Realizado]="Realizado",ISBLANK(MIP_4[[#This Row],[S.B Sitrack]])=FALSE,ISBLANK(MIP_4[[#This Row],[C.B Sitrack]])=FALSE),MIP_4[Sem],0)</f>
        <v>0</v>
      </c>
    </row>
    <row r="776" spans="1:42" ht="15.75" x14ac:dyDescent="0.25">
      <c r="A776" s="29">
        <f>WEEKNUM(MIP_4[[#This Row],[Data]])</f>
        <v>46</v>
      </c>
      <c r="B776" s="45">
        <v>43052</v>
      </c>
      <c r="C776" s="45"/>
      <c r="D776" s="35" t="s">
        <v>72</v>
      </c>
      <c r="E776" s="35" t="s">
        <v>2</v>
      </c>
      <c r="F776" s="35" t="s">
        <v>6</v>
      </c>
      <c r="G776" s="44">
        <v>3</v>
      </c>
      <c r="H776" s="44">
        <v>3</v>
      </c>
      <c r="I776" s="44">
        <v>5</v>
      </c>
      <c r="J776" s="44">
        <v>0</v>
      </c>
      <c r="K776" s="44">
        <v>0</v>
      </c>
      <c r="L776" s="43">
        <v>0.625</v>
      </c>
      <c r="M776" s="43">
        <v>0.68055555555555547</v>
      </c>
      <c r="N776" s="43">
        <v>1.0298611111111111</v>
      </c>
      <c r="O776" s="68">
        <v>3.3333333333333333E-2</v>
      </c>
      <c r="P776" s="39"/>
      <c r="Q776" s="42" t="s">
        <v>32</v>
      </c>
      <c r="R776" s="29">
        <v>13</v>
      </c>
      <c r="S77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5.902777777777779E-2</v>
      </c>
      <c r="T77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5.902777777777779E-2</v>
      </c>
      <c r="U776" s="41">
        <f ca="1">MIP_4[[#This Row],[Eficiência]]</f>
        <v>0.95768578041678898</v>
      </c>
      <c r="V776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76" s="39">
        <f>IF(MIP_4[[#This Row],[P.S]]-MIP_4[[#This Row],[P.E]]&lt;0,1+MIP_4[[#This Row],[P.S]]-MIP_4[[#This Row],[P.E]]-1/24,MIP_4[[#This Row],[P.S]]-MIP_4[[#This Row],[P.E]]-1/24)</f>
        <v>0.36666666666666675</v>
      </c>
      <c r="X776" s="39">
        <f ca="1">MIP_4[[#This Row],[PT-1]]*$S$3+MIP_4[[#This Row],[PT-2]]*$T$3+MIP_4[[#This Row],[PT-3]]*$U$3+MIP_4[[#This Row],[PT &gt; 3 Pontos]]*$V$3</f>
        <v>0.29462138939210947</v>
      </c>
      <c r="Y776" s="39">
        <f>MIP_4[[#This Row],[HH disponível]]-MIP_4[[#This Row],[HH AC TOT]]</f>
        <v>0.30763888888888896</v>
      </c>
      <c r="Z776" s="38">
        <f ca="1">MIP_4[[#This Row],[HH Produtivo
Total]]/MIP_4[[#This Row],[HH Trabalhado]]</f>
        <v>0.95768578041678898</v>
      </c>
      <c r="AA776" s="38">
        <f ca="1">MIP_4[[#This Row],[HH Produtivo
Total]]/MIP_4[[#This Row],[HH disponível]]</f>
        <v>0.80351288016029832</v>
      </c>
      <c r="AB776" s="38">
        <f>MIP_4[[#This Row],[HH Trabalhado]]/MIP_4[[#This Row],[HH disponível]]</f>
        <v>0.83901515151515149</v>
      </c>
      <c r="AC776" s="37" t="str">
        <f>LEFT(MIP_4[[#This Row],[Equipe]], SEARCH("/",MIP_4[[#This Row],[Equipe]],1)-1)</f>
        <v xml:space="preserve">ANDERSON </v>
      </c>
      <c r="AD776" s="37" t="str">
        <f>RIGHT(MIP_4[[#This Row],[Equipe]], LEN(MIP_4[[#This Row],[Equipe]])-SEARCH("/",MIP_4[[#This Row],[Equipe]],1))</f>
        <v xml:space="preserve"> GECIVALDO / MARCO</v>
      </c>
      <c r="AE776" s="44">
        <f>COUNTIFS('[1]Tempo parado'!G:G,"&gt;="&amp;MIP_4[[#This Row],[S.B Sitrack]],'[1]Tempo parado'!H:H,"&lt;="&amp;MIP_4[[#This Row],[C.B Sitrack]],'[1]Tempo parado'!A:A,MIP_4[[#This Row],[Placa]])</f>
        <v>0</v>
      </c>
      <c r="AF776" s="36"/>
      <c r="AG776" s="35"/>
      <c r="AH776" s="34">
        <v>43052.680208333331</v>
      </c>
      <c r="AI776" s="34">
        <v>43053.021111111113</v>
      </c>
      <c r="AJ776" s="32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9.7222222222221148E-3</v>
      </c>
      <c r="AK77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34.199999999999996</v>
      </c>
      <c r="AL77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76" s="31">
        <f>IFERROR(MIP_4[[#This Row],[Tempo parado]]/(MIP_4[[#This Row],[C.B Sitrack]]-MIP_4[[#This Row],[S.B Sitrack]]),"")</f>
        <v>0</v>
      </c>
      <c r="AN776" s="30"/>
      <c r="AO776" s="44">
        <f>IF(AND(MIP_4[Exc]=0,MIP_4[Previsto / Realizado]="Realizado"),MIP_4[Sem],0)</f>
        <v>46</v>
      </c>
      <c r="AP776" s="29">
        <f>IF(AND(MIP_4[Exc]=0,MIP_4[Previsto / Realizado]="Realizado",ISBLANK(MIP_4[[#This Row],[S.B Sitrack]])=FALSE,ISBLANK(MIP_4[[#This Row],[C.B Sitrack]])=FALSE),MIP_4[Sem],0)</f>
        <v>46</v>
      </c>
    </row>
    <row r="777" spans="1:42" ht="15.75" x14ac:dyDescent="0.25">
      <c r="A777" s="29">
        <f>WEEKNUM(MIP_4[[#This Row],[Data]])</f>
        <v>46</v>
      </c>
      <c r="B777" s="45">
        <v>43052</v>
      </c>
      <c r="C777" s="45"/>
      <c r="D777" s="35" t="s">
        <v>19</v>
      </c>
      <c r="E777" s="35" t="s">
        <v>5</v>
      </c>
      <c r="F777" s="35"/>
      <c r="G777" s="44">
        <v>2</v>
      </c>
      <c r="H777" s="44">
        <v>3</v>
      </c>
      <c r="I777" s="44">
        <v>0</v>
      </c>
      <c r="J777" s="44">
        <v>1</v>
      </c>
      <c r="K777" s="44">
        <v>13</v>
      </c>
      <c r="L777" s="43">
        <v>0.625</v>
      </c>
      <c r="M777" s="43">
        <v>0.64583333333333337</v>
      </c>
      <c r="N777" s="43">
        <v>1.0125</v>
      </c>
      <c r="O777" s="43">
        <v>1.0333333333333334</v>
      </c>
      <c r="P777" s="39"/>
      <c r="Q777" s="42"/>
      <c r="R777" s="29">
        <v>19</v>
      </c>
      <c r="S77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77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777" s="41">
        <f ca="1">MIP_4[[#This Row],[Eficiência]]</f>
        <v>1.2341334756114355</v>
      </c>
      <c r="V777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77" s="39">
        <f>IF(MIP_4[[#This Row],[P.S]]-MIP_4[[#This Row],[P.E]]&lt;0,1+MIP_4[[#This Row],[P.S]]-MIP_4[[#This Row],[P.E]]-1/24,MIP_4[[#This Row],[P.S]]-MIP_4[[#This Row],[P.E]]-1/24)</f>
        <v>0.36666666666666675</v>
      </c>
      <c r="X777" s="39">
        <f ca="1">MIP_4[[#This Row],[PT-1]]*$S$3+MIP_4[[#This Row],[PT-2]]*$T$3+MIP_4[[#This Row],[PT-3]]*$U$3+MIP_4[[#This Row],[PT &gt; 3 Pontos]]*$V$3</f>
        <v>0.40109337957371638</v>
      </c>
      <c r="Y777" s="39">
        <f>MIP_4[[#This Row],[HH disponível]]-MIP_4[[#This Row],[HH AC TOT]]</f>
        <v>0.3249999999999999</v>
      </c>
      <c r="Z777" s="38">
        <f ca="1">MIP_4[[#This Row],[HH Produtivo
Total]]/MIP_4[[#This Row],[HH Trabalhado]]</f>
        <v>1.2341334756114355</v>
      </c>
      <c r="AA777" s="38">
        <f ca="1">MIP_4[[#This Row],[HH Produtivo
Total]]/MIP_4[[#This Row],[HH disponível]]</f>
        <v>1.0938910352010445</v>
      </c>
      <c r="AB777" s="38">
        <f>MIP_4[[#This Row],[HH Trabalhado]]/MIP_4[[#This Row],[HH disponível]]</f>
        <v>0.88636363636363591</v>
      </c>
      <c r="AC777" s="37" t="str">
        <f>LEFT(MIP_4[[#This Row],[Equipe]], SEARCH("/",MIP_4[[#This Row],[Equipe]],1)-1)</f>
        <v xml:space="preserve">ADEMÁRIO </v>
      </c>
      <c r="AD777" s="37" t="str">
        <f>RIGHT(MIP_4[[#This Row],[Equipe]], LEN(MIP_4[[#This Row],[Equipe]])-SEARCH("/",MIP_4[[#This Row],[Equipe]],1))</f>
        <v xml:space="preserve"> RONALDO</v>
      </c>
      <c r="AE777" s="44">
        <f>COUNTIFS('[1]Tempo parado'!G:G,"&gt;="&amp;MIP_4[[#This Row],[S.B Sitrack]],'[1]Tempo parado'!H:H,"&lt;="&amp;MIP_4[[#This Row],[C.B Sitrack]],'[1]Tempo parado'!A:A,MIP_4[[#This Row],[Placa]])</f>
        <v>0</v>
      </c>
      <c r="AF777" s="36"/>
      <c r="AG777" s="35"/>
      <c r="AH777" s="34"/>
      <c r="AI777" s="34"/>
      <c r="AJ77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7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7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77" s="32" t="str">
        <f>IFERROR(MIP_4[[#This Row],[Tempo parado]]/(MIP_4[[#This Row],[C.B Sitrack]]-MIP_4[[#This Row],[S.B Sitrack]]),"")</f>
        <v/>
      </c>
      <c r="AN777" s="30"/>
      <c r="AO777" s="44">
        <f>IF(AND(MIP_4[Exc]=0,MIP_4[Previsto / Realizado]="Realizado"),MIP_4[Sem],0)</f>
        <v>0</v>
      </c>
      <c r="AP777" s="29">
        <f>IF(AND(MIP_4[Exc]=0,MIP_4[Previsto / Realizado]="Realizado",ISBLANK(MIP_4[[#This Row],[S.B Sitrack]])=FALSE,ISBLANK(MIP_4[[#This Row],[C.B Sitrack]])=FALSE),MIP_4[Sem],0)</f>
        <v>0</v>
      </c>
    </row>
    <row r="778" spans="1:42" ht="15.75" x14ac:dyDescent="0.25">
      <c r="A778" s="29">
        <f>WEEKNUM(MIP_4[[#This Row],[Data]])</f>
        <v>46</v>
      </c>
      <c r="B778" s="45">
        <v>43052</v>
      </c>
      <c r="C778" s="45"/>
      <c r="D778" s="46" t="s">
        <v>19</v>
      </c>
      <c r="E778" s="35" t="s">
        <v>2</v>
      </c>
      <c r="F778" s="35" t="s">
        <v>39</v>
      </c>
      <c r="G778" s="44">
        <v>2</v>
      </c>
      <c r="H778" s="44">
        <v>2</v>
      </c>
      <c r="I778" s="44">
        <v>0</v>
      </c>
      <c r="J778" s="44">
        <v>1</v>
      </c>
      <c r="K778" s="44">
        <v>13</v>
      </c>
      <c r="L778" s="43">
        <v>0.63680555555555551</v>
      </c>
      <c r="M778" s="43">
        <v>0.69097222222222221</v>
      </c>
      <c r="N778" s="43">
        <v>1.0069444444444444</v>
      </c>
      <c r="O778" s="43">
        <v>4.5833333333333337E-2</v>
      </c>
      <c r="P778" s="39"/>
      <c r="Q778" s="42"/>
      <c r="R778" s="29">
        <v>18</v>
      </c>
      <c r="S77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9.3055555555555669E-2</v>
      </c>
      <c r="T77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9.3055555555555669E-2</v>
      </c>
      <c r="U778" s="41">
        <f ca="1">MIP_4[[#This Row],[Eficiência]]</f>
        <v>1.3709803501905875</v>
      </c>
      <c r="V778" s="71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78" s="39">
        <f>IF(MIP_4[[#This Row],[P.S]]-MIP_4[[#This Row],[P.E]]&lt;0,1+MIP_4[[#This Row],[P.S]]-MIP_4[[#This Row],[P.E]]-1/24,MIP_4[[#This Row],[P.S]]-MIP_4[[#This Row],[P.E]]-1/24)</f>
        <v>0.36736111111111119</v>
      </c>
      <c r="X778" s="39">
        <f ca="1">MIP_4[[#This Row],[PT-1]]*$S$3+MIP_4[[#This Row],[PT-2]]*$T$3+MIP_4[[#This Row],[PT-3]]*$U$3+MIP_4[[#This Row],[PT &gt; 3 Pontos]]*$V$3</f>
        <v>0.37606752661477916</v>
      </c>
      <c r="Y778" s="39">
        <f>MIP_4[[#This Row],[HH disponível]]-MIP_4[[#This Row],[HH AC TOT]]</f>
        <v>0.27430555555555552</v>
      </c>
      <c r="Z778" s="38">
        <f ca="1">MIP_4[[#This Row],[HH Produtivo
Total]]/MIP_4[[#This Row],[HH Trabalhado]]</f>
        <v>1.3709803501905875</v>
      </c>
      <c r="AA778" s="38">
        <f ca="1">MIP_4[[#This Row],[HH Produtivo
Total]]/MIP_4[[#This Row],[HH disponível]]</f>
        <v>1.0236998834126312</v>
      </c>
      <c r="AB778" s="38">
        <f>MIP_4[[#This Row],[HH Trabalhado]]/MIP_4[[#This Row],[HH disponível]]</f>
        <v>0.74669187145557636</v>
      </c>
      <c r="AC778" s="37" t="str">
        <f>LEFT(MIP_4[[#This Row],[Equipe]], SEARCH("/",MIP_4[[#This Row],[Equipe]],1)-1)</f>
        <v xml:space="preserve">ADEMÁRIO </v>
      </c>
      <c r="AD778" s="37" t="str">
        <f>RIGHT(MIP_4[[#This Row],[Equipe]], LEN(MIP_4[[#This Row],[Equipe]])-SEARCH("/",MIP_4[[#This Row],[Equipe]],1))</f>
        <v xml:space="preserve"> RONALDO</v>
      </c>
      <c r="AE778" s="44">
        <f>COUNTIFS('[1]Tempo parado'!G:G,"&gt;="&amp;MIP_4[[#This Row],[S.B Sitrack]],'[1]Tempo parado'!H:H,"&lt;="&amp;MIP_4[[#This Row],[C.B Sitrack]],'[1]Tempo parado'!A:A,MIP_4[[#This Row],[Placa]])</f>
        <v>0</v>
      </c>
      <c r="AF778" s="36"/>
      <c r="AG778" s="35"/>
      <c r="AH778" s="34">
        <v>43052.69122685185</v>
      </c>
      <c r="AI778" s="34">
        <v>43053.020451388889</v>
      </c>
      <c r="AJ778" s="32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1.319444444444447E-2</v>
      </c>
      <c r="AK77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54.500000000000007</v>
      </c>
      <c r="AL77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78" s="31">
        <f>IFERROR(MIP_4[[#This Row],[Tempo parado]]/(MIP_4[[#This Row],[C.B Sitrack]]-MIP_4[[#This Row],[S.B Sitrack]]),"")</f>
        <v>0</v>
      </c>
      <c r="AN778" s="70" t="s">
        <v>139</v>
      </c>
      <c r="AO778" s="44">
        <f>IF(AND(MIP_4[Exc]=0,MIP_4[Previsto / Realizado]="Realizado"),MIP_4[Sem],0)</f>
        <v>46</v>
      </c>
      <c r="AP778" s="29">
        <f>IF(AND(MIP_4[Exc]=0,MIP_4[Previsto / Realizado]="Realizado",ISBLANK(MIP_4[[#This Row],[S.B Sitrack]])=FALSE,ISBLANK(MIP_4[[#This Row],[C.B Sitrack]])=FALSE),MIP_4[Sem],0)</f>
        <v>46</v>
      </c>
    </row>
    <row r="779" spans="1:42" ht="15.75" x14ac:dyDescent="0.25">
      <c r="A779" s="29">
        <f>WEEKNUM(MIP_4[[#This Row],[Data]])</f>
        <v>46</v>
      </c>
      <c r="B779" s="45">
        <v>43053</v>
      </c>
      <c r="C779" s="45"/>
      <c r="D779" s="35" t="s">
        <v>10</v>
      </c>
      <c r="E779" s="35" t="s">
        <v>5</v>
      </c>
      <c r="F779" s="35"/>
      <c r="G779" s="44">
        <v>2</v>
      </c>
      <c r="H779" s="44">
        <v>2</v>
      </c>
      <c r="I779" s="44">
        <v>0</v>
      </c>
      <c r="J779" s="44">
        <v>1</v>
      </c>
      <c r="K779" s="44">
        <v>0</v>
      </c>
      <c r="L779" s="43">
        <v>0.25</v>
      </c>
      <c r="M779" s="43">
        <v>0.27083333333333331</v>
      </c>
      <c r="N779" s="43">
        <v>0.63750000000000007</v>
      </c>
      <c r="O779" s="43">
        <v>0.65833333333333333</v>
      </c>
      <c r="P779" s="39"/>
      <c r="Q779" s="67"/>
      <c r="R779" s="29">
        <f>MIP_4[[#This Row],[PT-1]]+MIP_4[[#This Row],[PT-2]]*2+MIP_4[[#This Row],[PT-3]]*3+MIP_4[[#This Row],[PT &gt; 3 Pontos]]</f>
        <v>5</v>
      </c>
      <c r="S77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77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779" s="41">
        <f ca="1">MIP_4[[#This Row],[Eficiência]]</f>
        <v>0.34721041589248097</v>
      </c>
      <c r="V779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79" s="39">
        <f>IF(MIP_4[[#This Row],[P.S]]-MIP_4[[#This Row],[P.E]]&lt;0,1+MIP_4[[#This Row],[P.S]]-MIP_4[[#This Row],[P.E]]-1/24,MIP_4[[#This Row],[P.S]]-MIP_4[[#This Row],[P.E]]-1/24)</f>
        <v>0.36666666666666664</v>
      </c>
      <c r="X779" s="39">
        <f ca="1">MIP_4[[#This Row],[PT-1]]*$S$3+MIP_4[[#This Row],[PT-2]]*$T$3+MIP_4[[#This Row],[PT-3]]*$U$3+MIP_4[[#This Row],[PT &gt; 3 Pontos]]*$V$3</f>
        <v>0.11284338516505635</v>
      </c>
      <c r="Y779" s="39">
        <f>MIP_4[[#This Row],[HH disponível]]-MIP_4[[#This Row],[HH AC TOT]]</f>
        <v>0.32500000000000007</v>
      </c>
      <c r="Z779" s="38">
        <f ca="1">MIP_4[[#This Row],[HH Produtivo
Total]]/MIP_4[[#This Row],[HH Trabalhado]]</f>
        <v>0.34721041589248097</v>
      </c>
      <c r="AA779" s="38">
        <f ca="1">MIP_4[[#This Row],[HH Produtivo
Total]]/MIP_4[[#This Row],[HH disponível]]</f>
        <v>0.30775468681379003</v>
      </c>
      <c r="AB779" s="38">
        <f>MIP_4[[#This Row],[HH Trabalhado]]/MIP_4[[#This Row],[HH disponível]]</f>
        <v>0.88636363636363658</v>
      </c>
      <c r="AC779" s="37" t="str">
        <f>LEFT(MIP_4[[#This Row],[Equipe]], SEARCH("/",MIP_4[[#This Row],[Equipe]],1)-1)</f>
        <v xml:space="preserve">JOILSON </v>
      </c>
      <c r="AD779" s="37" t="str">
        <f>RIGHT(MIP_4[[#This Row],[Equipe]], LEN(MIP_4[[#This Row],[Equipe]])-SEARCH("/",MIP_4[[#This Row],[Equipe]],1))</f>
        <v xml:space="preserve"> VALDEI</v>
      </c>
      <c r="AE779" s="29">
        <f>COUNTIFS('[1]Tempo parado'!G:G,"&gt;="&amp;MIP_4[[#This Row],[S.B Sitrack]],'[1]Tempo parado'!H:H,"&lt;="&amp;MIP_4[[#This Row],[C.B Sitrack]],'[1]Tempo parado'!A:A,MIP_4[[#This Row],[Placa]])</f>
        <v>0</v>
      </c>
      <c r="AF779" s="36"/>
      <c r="AG779" s="35"/>
      <c r="AH779" s="34"/>
      <c r="AI779" s="34"/>
      <c r="AJ77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7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7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79" s="31" t="str">
        <f>IFERROR(MIP_4[[#This Row],[Tempo parado]]/(MIP_4[[#This Row],[C.B Sitrack]]-MIP_4[[#This Row],[S.B Sitrack]]),"")</f>
        <v/>
      </c>
      <c r="AN779" s="30"/>
      <c r="AO779" s="44">
        <f>IF(AND(MIP_4[Exc]=0,MIP_4[Previsto / Realizado]="Realizado"),MIP_4[Sem],0)</f>
        <v>0</v>
      </c>
      <c r="AP779" s="29">
        <f>IF(AND(MIP_4[Exc]=0,MIP_4[Previsto / Realizado]="Realizado",ISBLANK(MIP_4[[#This Row],[S.B Sitrack]])=FALSE,ISBLANK(MIP_4[[#This Row],[C.B Sitrack]])=FALSE),MIP_4[Sem],0)</f>
        <v>0</v>
      </c>
    </row>
    <row r="780" spans="1:42" ht="15.75" x14ac:dyDescent="0.25">
      <c r="A780" s="29">
        <f>WEEKNUM(MIP_4[[#This Row],[Data]])</f>
        <v>46</v>
      </c>
      <c r="B780" s="45">
        <v>43053</v>
      </c>
      <c r="C780" s="45"/>
      <c r="D780" s="35" t="s">
        <v>10</v>
      </c>
      <c r="E780" s="35" t="s">
        <v>2</v>
      </c>
      <c r="F780" s="35" t="s">
        <v>39</v>
      </c>
      <c r="G780" s="44">
        <v>2</v>
      </c>
      <c r="H780" s="44">
        <v>4</v>
      </c>
      <c r="I780" s="44">
        <v>0</v>
      </c>
      <c r="J780" s="44">
        <v>1</v>
      </c>
      <c r="K780" s="44">
        <v>0</v>
      </c>
      <c r="L780" s="43">
        <v>0.24722222222222223</v>
      </c>
      <c r="M780" s="43">
        <v>0.28819444444444448</v>
      </c>
      <c r="N780" s="43">
        <v>0.61805555555555558</v>
      </c>
      <c r="O780" s="43">
        <v>0.65763888888888888</v>
      </c>
      <c r="P780" s="39">
        <v>4.6527777777777779E-2</v>
      </c>
      <c r="Q780" s="42" t="s">
        <v>138</v>
      </c>
      <c r="R780" s="29">
        <f>MIP_4[[#This Row],[PT-1]]+MIP_4[[#This Row],[PT-2]]*2+MIP_4[[#This Row],[PT-3]]*3+MIP_4[[#This Row],[PT &gt; 3 Pontos]]</f>
        <v>7</v>
      </c>
      <c r="S78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0.12708333333333333</v>
      </c>
      <c r="T78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8.0555555555555547E-2</v>
      </c>
      <c r="U780" s="41">
        <f ca="1">MIP_4[[#This Row],[Eficiência]]</f>
        <v>0.67404865275695469</v>
      </c>
      <c r="V780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80" s="39">
        <f>IF(MIP_4[[#This Row],[P.S]]-MIP_4[[#This Row],[P.E]]&lt;0,1+MIP_4[[#This Row],[P.S]]-MIP_4[[#This Row],[P.E]]-1/24,MIP_4[[#This Row],[P.S]]-MIP_4[[#This Row],[P.E]]-1/24)</f>
        <v>0.36874999999999997</v>
      </c>
      <c r="X780" s="39">
        <f ca="1">MIP_4[[#This Row],[PT-1]]*$S$3+MIP_4[[#This Row],[PT-2]]*$T$3+MIP_4[[#This Row],[PT-3]]*$U$3+MIP_4[[#This Row],[PT &gt; 3 Pontos]]*$V$3</f>
        <v>0.16289509108293071</v>
      </c>
      <c r="Y780" s="39">
        <f>MIP_4[[#This Row],[HH disponível]]-MIP_4[[#This Row],[HH AC TOT]]</f>
        <v>0.24166666666666664</v>
      </c>
      <c r="Z780" s="38">
        <f ca="1">MIP_4[[#This Row],[HH Produtivo
Total]]/MIP_4[[#This Row],[HH Trabalhado]]</f>
        <v>0.67404865275695469</v>
      </c>
      <c r="AA780" s="38">
        <f ca="1">MIP_4[[#This Row],[HH Produtivo
Total]]/MIP_4[[#This Row],[HH disponível]]</f>
        <v>0.44174939954693077</v>
      </c>
      <c r="AB780" s="38">
        <f>MIP_4[[#This Row],[HH Trabalhado]]/MIP_4[[#This Row],[HH disponível]]</f>
        <v>0.65536723163841804</v>
      </c>
      <c r="AC780" s="37" t="str">
        <f>LEFT(MIP_4[[#This Row],[Equipe]], SEARCH("/",MIP_4[[#This Row],[Equipe]],1)-1)</f>
        <v xml:space="preserve">JOILSON </v>
      </c>
      <c r="AD780" s="37" t="str">
        <f>RIGHT(MIP_4[[#This Row],[Equipe]], LEN(MIP_4[[#This Row],[Equipe]])-SEARCH("/",MIP_4[[#This Row],[Equipe]],1))</f>
        <v xml:space="preserve"> VALDEI</v>
      </c>
      <c r="AE780" s="29">
        <f>COUNTIFS('[1]Tempo parado'!G:G,"&gt;="&amp;MIP_4[[#This Row],[S.B Sitrack]],'[1]Tempo parado'!H:H,"&lt;="&amp;MIP_4[[#This Row],[C.B Sitrack]],'[1]Tempo parado'!A:A,MIP_4[[#This Row],[Placa]])</f>
        <v>0</v>
      </c>
      <c r="AF780" s="36"/>
      <c r="AG780" s="35"/>
      <c r="AH780" s="34">
        <v>43053.28633101852</v>
      </c>
      <c r="AI780" s="34">
        <v>43053.617905092593</v>
      </c>
      <c r="AJ780" s="32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2.7777777777777679E-3</v>
      </c>
      <c r="AK78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30.300000000000004</v>
      </c>
      <c r="AL78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80" s="31">
        <f>IFERROR(MIP_4[[#This Row],[Tempo parado]]/(MIP_4[[#This Row],[C.B Sitrack]]-MIP_4[[#This Row],[S.B Sitrack]]),"")</f>
        <v>0</v>
      </c>
      <c r="AN780" s="30"/>
      <c r="AO780" s="44">
        <f>IF(AND(MIP_4[Exc]=0,MIP_4[Previsto / Realizado]="Realizado"),MIP_4[Sem],0)</f>
        <v>46</v>
      </c>
      <c r="AP780" s="29">
        <f>IF(AND(MIP_4[Exc]=0,MIP_4[Previsto / Realizado]="Realizado",ISBLANK(MIP_4[[#This Row],[S.B Sitrack]])=FALSE,ISBLANK(MIP_4[[#This Row],[C.B Sitrack]])=FALSE),MIP_4[Sem],0)</f>
        <v>46</v>
      </c>
    </row>
    <row r="781" spans="1:42" ht="15.75" x14ac:dyDescent="0.25">
      <c r="A781" s="29">
        <f>WEEKNUM(MIP_4[[#This Row],[Data]])</f>
        <v>46</v>
      </c>
      <c r="B781" s="45">
        <v>43053</v>
      </c>
      <c r="C781" s="45"/>
      <c r="D781" s="35" t="s">
        <v>72</v>
      </c>
      <c r="E781" s="35" t="s">
        <v>5</v>
      </c>
      <c r="F781" s="35"/>
      <c r="G781" s="44">
        <v>3</v>
      </c>
      <c r="H781" s="44">
        <v>1</v>
      </c>
      <c r="I781" s="44">
        <v>3</v>
      </c>
      <c r="J781" s="44">
        <v>0</v>
      </c>
      <c r="K781" s="44">
        <v>5</v>
      </c>
      <c r="L781" s="43">
        <v>0.625</v>
      </c>
      <c r="M781" s="43">
        <v>0.64583333333333337</v>
      </c>
      <c r="N781" s="43">
        <v>1.0125</v>
      </c>
      <c r="O781" s="43">
        <v>1.0333333333333334</v>
      </c>
      <c r="P781" s="39"/>
      <c r="Q781" s="67"/>
      <c r="R781" s="29">
        <f>MIP_4[[#This Row],[PT-1]]+MIP_4[[#This Row],[PT-2]]*2+MIP_4[[#This Row],[PT-3]]*3+MIP_4[[#This Row],[PT &gt; 3 Pontos]]</f>
        <v>12</v>
      </c>
      <c r="S78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78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781" s="41">
        <f ca="1">MIP_4[[#This Row],[Eficiência]]</f>
        <v>0.79382217129801702</v>
      </c>
      <c r="V781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81" s="39">
        <f>IF(MIP_4[[#This Row],[P.S]]-MIP_4[[#This Row],[P.E]]&lt;0,1+MIP_4[[#This Row],[P.S]]-MIP_4[[#This Row],[P.E]]-1/24,MIP_4[[#This Row],[P.S]]-MIP_4[[#This Row],[P.E]]-1/24)</f>
        <v>0.36666666666666675</v>
      </c>
      <c r="X781" s="39">
        <f ca="1">MIP_4[[#This Row],[PT-1]]*$S$3+MIP_4[[#This Row],[PT-2]]*$T$3+MIP_4[[#This Row],[PT-3]]*$U$3+MIP_4[[#This Row],[PT &gt; 3 Pontos]]*$V$3</f>
        <v>0.25799220567185543</v>
      </c>
      <c r="Y781" s="39">
        <f>MIP_4[[#This Row],[HH disponível]]-MIP_4[[#This Row],[HH AC TOT]]</f>
        <v>0.3249999999999999</v>
      </c>
      <c r="Z781" s="38">
        <f ca="1">MIP_4[[#This Row],[HH Produtivo
Total]]/MIP_4[[#This Row],[HH Trabalhado]]</f>
        <v>0.79382217129801702</v>
      </c>
      <c r="AA781" s="38">
        <f ca="1">MIP_4[[#This Row],[HH Produtivo
Total]]/MIP_4[[#This Row],[HH disponível]]</f>
        <v>0.70361510637778735</v>
      </c>
      <c r="AB781" s="38">
        <f>MIP_4[[#This Row],[HH Trabalhado]]/MIP_4[[#This Row],[HH disponível]]</f>
        <v>0.88636363636363591</v>
      </c>
      <c r="AC781" s="37" t="str">
        <f>LEFT(MIP_4[[#This Row],[Equipe]], SEARCH("/",MIP_4[[#This Row],[Equipe]],1)-1)</f>
        <v xml:space="preserve">ANDERSON </v>
      </c>
      <c r="AD781" s="37" t="str">
        <f>RIGHT(MIP_4[[#This Row],[Equipe]], LEN(MIP_4[[#This Row],[Equipe]])-SEARCH("/",MIP_4[[#This Row],[Equipe]],1))</f>
        <v xml:space="preserve"> GECIVALDO / MARCO</v>
      </c>
      <c r="AE781" s="29">
        <f>COUNTIFS('[1]Tempo parado'!G:G,"&gt;="&amp;MIP_4[[#This Row],[S.B Sitrack]],'[1]Tempo parado'!H:H,"&lt;="&amp;MIP_4[[#This Row],[C.B Sitrack]],'[1]Tempo parado'!A:A,MIP_4[[#This Row],[Placa]])</f>
        <v>0</v>
      </c>
      <c r="AF781" s="36"/>
      <c r="AG781" s="35"/>
      <c r="AH781" s="34"/>
      <c r="AI781" s="34"/>
      <c r="AJ78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8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8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81" s="31" t="str">
        <f>IFERROR(MIP_4[[#This Row],[Tempo parado]]/(MIP_4[[#This Row],[C.B Sitrack]]-MIP_4[[#This Row],[S.B Sitrack]]),"")</f>
        <v/>
      </c>
      <c r="AN781" s="30"/>
      <c r="AO781" s="44">
        <f>IF(AND(MIP_4[Exc]=0,MIP_4[Previsto / Realizado]="Realizado"),MIP_4[Sem],0)</f>
        <v>0</v>
      </c>
      <c r="AP781" s="29">
        <f>IF(AND(MIP_4[Exc]=0,MIP_4[Previsto / Realizado]="Realizado",ISBLANK(MIP_4[[#This Row],[S.B Sitrack]])=FALSE,ISBLANK(MIP_4[[#This Row],[C.B Sitrack]])=FALSE),MIP_4[Sem],0)</f>
        <v>0</v>
      </c>
    </row>
    <row r="782" spans="1:42" ht="15.75" x14ac:dyDescent="0.25">
      <c r="A782" s="29">
        <f>WEEKNUM(MIP_4[[#This Row],[Data]])</f>
        <v>46</v>
      </c>
      <c r="B782" s="45">
        <v>43053</v>
      </c>
      <c r="C782" s="45"/>
      <c r="D782" s="35" t="s">
        <v>72</v>
      </c>
      <c r="E782" s="35" t="s">
        <v>2</v>
      </c>
      <c r="F782" s="35" t="s">
        <v>6</v>
      </c>
      <c r="G782" s="44">
        <v>3</v>
      </c>
      <c r="H782" s="44">
        <v>2</v>
      </c>
      <c r="I782" s="44">
        <v>3</v>
      </c>
      <c r="J782" s="44">
        <v>0</v>
      </c>
      <c r="K782" s="44">
        <v>5</v>
      </c>
      <c r="L782" s="43">
        <v>0.64027777777777783</v>
      </c>
      <c r="M782" s="43">
        <v>0.67361111111111116</v>
      </c>
      <c r="N782" s="43">
        <v>1.0243055555555556</v>
      </c>
      <c r="O782" s="68">
        <v>3.5416666666666666E-2</v>
      </c>
      <c r="P782" s="39"/>
      <c r="Q782" s="42" t="s">
        <v>137</v>
      </c>
      <c r="R782" s="29">
        <f>MIP_4[[#This Row],[PT-1]]+MIP_4[[#This Row],[PT-2]]*2+MIP_4[[#This Row],[PT-3]]*3+MIP_4[[#This Row],[PT &gt; 3 Pontos]]</f>
        <v>13</v>
      </c>
      <c r="S78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4.4444444444444398E-2</v>
      </c>
      <c r="T78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4.4444444444444398E-2</v>
      </c>
      <c r="U782" s="41">
        <f ca="1">MIP_4[[#This Row],[Eficiência]]</f>
        <v>0.91583371781649769</v>
      </c>
      <c r="V782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82" s="39">
        <f>IF(MIP_4[[#This Row],[P.S]]-MIP_4[[#This Row],[P.E]]&lt;0,1+MIP_4[[#This Row],[P.S]]-MIP_4[[#This Row],[P.E]]-1/24,MIP_4[[#This Row],[P.S]]-MIP_4[[#This Row],[P.E]]-1/24)</f>
        <v>0.35347222222222213</v>
      </c>
      <c r="X782" s="39">
        <f ca="1">MIP_4[[#This Row],[PT-1]]*$S$3+MIP_4[[#This Row],[PT-2]]*$T$3+MIP_4[[#This Row],[PT-3]]*$U$3+MIP_4[[#This Row],[PT &gt; 3 Pontos]]*$V$3</f>
        <v>0.28301805863079266</v>
      </c>
      <c r="Y782" s="39">
        <f>MIP_4[[#This Row],[HH disponível]]-MIP_4[[#This Row],[HH AC TOT]]</f>
        <v>0.30902777777777773</v>
      </c>
      <c r="Z782" s="38">
        <f ca="1">MIP_4[[#This Row],[HH Produtivo
Total]]/MIP_4[[#This Row],[HH Trabalhado]]</f>
        <v>0.91583371781649769</v>
      </c>
      <c r="AA782" s="38">
        <f ca="1">MIP_4[[#This Row],[HH Produtivo
Total]]/MIP_4[[#This Row],[HH disponível]]</f>
        <v>0.80067977294369652</v>
      </c>
      <c r="AB782" s="38">
        <f>MIP_4[[#This Row],[HH Trabalhado]]/MIP_4[[#This Row],[HH disponível]]</f>
        <v>0.87426326129666021</v>
      </c>
      <c r="AC782" s="37" t="str">
        <f>LEFT(MIP_4[[#This Row],[Equipe]], SEARCH("/",MIP_4[[#This Row],[Equipe]],1)-1)</f>
        <v xml:space="preserve">ANDERSON </v>
      </c>
      <c r="AD782" s="37" t="str">
        <f>RIGHT(MIP_4[[#This Row],[Equipe]], LEN(MIP_4[[#This Row],[Equipe]])-SEARCH("/",MIP_4[[#This Row],[Equipe]],1))</f>
        <v xml:space="preserve"> GECIVALDO / MARCO</v>
      </c>
      <c r="AE782" s="29">
        <f>COUNTIFS('[1]Tempo parado'!G:G,"&gt;="&amp;MIP_4[[#This Row],[S.B Sitrack]],'[1]Tempo parado'!H:H,"&lt;="&amp;MIP_4[[#This Row],[C.B Sitrack]],'[1]Tempo parado'!A:A,MIP_4[[#This Row],[Placa]])</f>
        <v>0</v>
      </c>
      <c r="AF782" s="36"/>
      <c r="AG782" s="35"/>
      <c r="AH782" s="34">
        <v>43053.671620370369</v>
      </c>
      <c r="AI782" s="34">
        <v>43054.021817129629</v>
      </c>
      <c r="AJ782" s="32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4.8611111111111251E-3</v>
      </c>
      <c r="AK78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56.4</v>
      </c>
      <c r="AL78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82" s="31">
        <f>IFERROR(MIP_4[[#This Row],[Tempo parado]]/(MIP_4[[#This Row],[C.B Sitrack]]-MIP_4[[#This Row],[S.B Sitrack]]),"")</f>
        <v>0</v>
      </c>
      <c r="AN782" s="30"/>
      <c r="AO782" s="44">
        <f>IF(AND(MIP_4[Exc]=0,MIP_4[Previsto / Realizado]="Realizado"),MIP_4[Sem],0)</f>
        <v>46</v>
      </c>
      <c r="AP782" s="29">
        <f>IF(AND(MIP_4[Exc]=0,MIP_4[Previsto / Realizado]="Realizado",ISBLANK(MIP_4[[#This Row],[S.B Sitrack]])=FALSE,ISBLANK(MIP_4[[#This Row],[C.B Sitrack]])=FALSE),MIP_4[Sem],0)</f>
        <v>46</v>
      </c>
    </row>
    <row r="783" spans="1:42" ht="15.75" x14ac:dyDescent="0.25">
      <c r="A783" s="29">
        <f>WEEKNUM(MIP_4[[#This Row],[Data]])</f>
        <v>46</v>
      </c>
      <c r="B783" s="45">
        <v>43054</v>
      </c>
      <c r="C783" s="45"/>
      <c r="D783" s="35" t="s">
        <v>136</v>
      </c>
      <c r="E783" s="35" t="s">
        <v>5</v>
      </c>
      <c r="F783" s="35"/>
      <c r="G783" s="44">
        <v>2</v>
      </c>
      <c r="H783" s="44">
        <v>3</v>
      </c>
      <c r="I783" s="44">
        <v>2</v>
      </c>
      <c r="J783" s="44">
        <v>1</v>
      </c>
      <c r="K783" s="44">
        <v>0</v>
      </c>
      <c r="L783" s="43">
        <v>0.625</v>
      </c>
      <c r="M783" s="43">
        <v>0.64583333333333337</v>
      </c>
      <c r="N783" s="43">
        <v>1.0125</v>
      </c>
      <c r="O783" s="43">
        <v>1.0333333333333334</v>
      </c>
      <c r="P783" s="39"/>
      <c r="Q783" s="67"/>
      <c r="R783" s="29">
        <f>MIP_4[[#This Row],[PT-1]]+MIP_4[[#This Row],[PT-2]]*2+MIP_4[[#This Row],[PT-3]]*3+MIP_4[[#This Row],[PT &gt; 3 Pontos]]</f>
        <v>10</v>
      </c>
      <c r="S78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78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783" s="41">
        <f ca="1">MIP_4[[#This Row],[Eficiência]]</f>
        <v>0.69442083178496239</v>
      </c>
      <c r="V783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83" s="39">
        <f>IF(MIP_4[[#This Row],[P.S]]-MIP_4[[#This Row],[P.E]]&lt;0,1+MIP_4[[#This Row],[P.S]]-MIP_4[[#This Row],[P.E]]-1/24,MIP_4[[#This Row],[P.S]]-MIP_4[[#This Row],[P.E]]-1/24)</f>
        <v>0.36666666666666675</v>
      </c>
      <c r="X783" s="39">
        <f ca="1">MIP_4[[#This Row],[PT-1]]*$S$3+MIP_4[[#This Row],[PT-2]]*$T$3+MIP_4[[#This Row],[PT-3]]*$U$3+MIP_4[[#This Row],[PT &gt; 3 Pontos]]*$V$3</f>
        <v>0.2256867703301127</v>
      </c>
      <c r="Y783" s="39">
        <f>MIP_4[[#This Row],[HH disponível]]-MIP_4[[#This Row],[HH AC TOT]]</f>
        <v>0.3249999999999999</v>
      </c>
      <c r="Z783" s="38">
        <f ca="1">MIP_4[[#This Row],[HH Produtivo
Total]]/MIP_4[[#This Row],[HH Trabalhado]]</f>
        <v>0.69442083178496239</v>
      </c>
      <c r="AA783" s="38">
        <f ca="1">MIP_4[[#This Row],[HH Produtivo
Total]]/MIP_4[[#This Row],[HH disponível]]</f>
        <v>0.61550937362757996</v>
      </c>
      <c r="AB783" s="38">
        <f>MIP_4[[#This Row],[HH Trabalhado]]/MIP_4[[#This Row],[HH disponível]]</f>
        <v>0.88636363636363591</v>
      </c>
      <c r="AC783" s="37" t="str">
        <f>LEFT(MIP_4[[#This Row],[Equipe]], SEARCH("/",MIP_4[[#This Row],[Equipe]],1)-1)</f>
        <v xml:space="preserve">GECIVALDO </v>
      </c>
      <c r="AD783" s="37" t="str">
        <f>RIGHT(MIP_4[[#This Row],[Equipe]], LEN(MIP_4[[#This Row],[Equipe]])-SEARCH("/",MIP_4[[#This Row],[Equipe]],1))</f>
        <v xml:space="preserve"> RONALDO</v>
      </c>
      <c r="AE783" s="29">
        <f>COUNTIFS('[1]Tempo parado'!G:G,"&gt;="&amp;MIP_4[[#This Row],[S.B Sitrack]],'[1]Tempo parado'!H:H,"&lt;="&amp;MIP_4[[#This Row],[C.B Sitrack]],'[1]Tempo parado'!A:A,MIP_4[[#This Row],[Placa]])</f>
        <v>0</v>
      </c>
      <c r="AF783" s="36"/>
      <c r="AG783" s="35"/>
      <c r="AH783" s="34"/>
      <c r="AI783" s="34"/>
      <c r="AJ78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8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8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83" s="31" t="str">
        <f>IFERROR(MIP_4[[#This Row],[Tempo parado]]/(MIP_4[[#This Row],[C.B Sitrack]]-MIP_4[[#This Row],[S.B Sitrack]]),"")</f>
        <v/>
      </c>
      <c r="AN783" s="30"/>
      <c r="AO783" s="44">
        <f>IF(AND(MIP_4[Exc]=0,MIP_4[Previsto / Realizado]="Realizado"),MIP_4[Sem],0)</f>
        <v>0</v>
      </c>
      <c r="AP783" s="29">
        <f>IF(AND(MIP_4[Exc]=0,MIP_4[Previsto / Realizado]="Realizado",ISBLANK(MIP_4[[#This Row],[S.B Sitrack]])=FALSE,ISBLANK(MIP_4[[#This Row],[C.B Sitrack]])=FALSE),MIP_4[Sem],0)</f>
        <v>0</v>
      </c>
    </row>
    <row r="784" spans="1:42" ht="15.75" x14ac:dyDescent="0.25">
      <c r="A784" s="29">
        <f>WEEKNUM(MIP_4[[#This Row],[Data]])</f>
        <v>46</v>
      </c>
      <c r="B784" s="45">
        <v>43054</v>
      </c>
      <c r="C784" s="45"/>
      <c r="D784" s="46" t="s">
        <v>136</v>
      </c>
      <c r="E784" s="35" t="s">
        <v>2</v>
      </c>
      <c r="F784" s="35" t="s">
        <v>6</v>
      </c>
      <c r="G784" s="44">
        <v>2</v>
      </c>
      <c r="H784" s="44">
        <v>4</v>
      </c>
      <c r="I784" s="44">
        <v>2</v>
      </c>
      <c r="J784" s="44">
        <v>1</v>
      </c>
      <c r="K784" s="44">
        <v>0</v>
      </c>
      <c r="L784" s="43">
        <v>0.61458333333333337</v>
      </c>
      <c r="M784" s="43">
        <v>0.65</v>
      </c>
      <c r="N784" s="43">
        <v>1.0055555555555555</v>
      </c>
      <c r="O784" s="68">
        <v>3.6111111111111115E-2</v>
      </c>
      <c r="P784" s="39">
        <v>7.2222222222222229E-2</v>
      </c>
      <c r="Q784" s="42" t="s">
        <v>135</v>
      </c>
      <c r="R784" s="29">
        <f>MIP_4[[#This Row],[PT-1]]+MIP_4[[#This Row],[PT-2]]*2+MIP_4[[#This Row],[PT-3]]*3+MIP_4[[#This Row],[PT &gt; 3 Pontos]]</f>
        <v>11</v>
      </c>
      <c r="S78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0.13819444444444456</v>
      </c>
      <c r="T78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6.5972222222222321E-2</v>
      </c>
      <c r="U784" s="41">
        <f ca="1">MIP_4[[#This Row],[Eficiência]]</f>
        <v>1.0374315446443445</v>
      </c>
      <c r="V784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84" s="39">
        <f>IF(MIP_4[[#This Row],[P.S]]-MIP_4[[#This Row],[P.E]]&lt;0,1+MIP_4[[#This Row],[P.S]]-MIP_4[[#This Row],[P.E]]-1/24,MIP_4[[#This Row],[P.S]]-MIP_4[[#This Row],[P.E]]-1/24)</f>
        <v>0.37986111111111115</v>
      </c>
      <c r="X784" s="39">
        <f ca="1">MIP_4[[#This Row],[PT-1]]*$S$3+MIP_4[[#This Row],[PT-2]]*$T$3+MIP_4[[#This Row],[PT-3]]*$U$3+MIP_4[[#This Row],[PT &gt; 3 Pontos]]*$V$3</f>
        <v>0.25071262328904986</v>
      </c>
      <c r="Y784" s="39">
        <f>MIP_4[[#This Row],[HH disponível]]-MIP_4[[#This Row],[HH AC TOT]]</f>
        <v>0.24166666666666659</v>
      </c>
      <c r="Z784" s="38">
        <f ca="1">MIP_4[[#This Row],[HH Produtivo
Total]]/MIP_4[[#This Row],[HH Trabalhado]]</f>
        <v>1.0374315446443445</v>
      </c>
      <c r="AA784" s="38">
        <f ca="1">MIP_4[[#This Row],[HH Produtivo
Total]]/MIP_4[[#This Row],[HH disponível]]</f>
        <v>0.66001129348488441</v>
      </c>
      <c r="AB784" s="38">
        <f>MIP_4[[#This Row],[HH Trabalhado]]/MIP_4[[#This Row],[HH disponível]]</f>
        <v>0.63619744058500882</v>
      </c>
      <c r="AC784" s="37" t="str">
        <f>LEFT(MIP_4[[#This Row],[Equipe]], SEARCH("/",MIP_4[[#This Row],[Equipe]],1)-1)</f>
        <v xml:space="preserve">GECIVALDO </v>
      </c>
      <c r="AD784" s="37" t="str">
        <f>RIGHT(MIP_4[[#This Row],[Equipe]], LEN(MIP_4[[#This Row],[Equipe]])-SEARCH("/",MIP_4[[#This Row],[Equipe]],1))</f>
        <v xml:space="preserve"> RONALDO</v>
      </c>
      <c r="AE784" s="29">
        <f>COUNTIFS('[1]Tempo parado'!G:G,"&gt;="&amp;MIP_4[[#This Row],[S.B Sitrack]],'[1]Tempo parado'!H:H,"&lt;="&amp;MIP_4[[#This Row],[C.B Sitrack]],'[1]Tempo parado'!A:A,MIP_4[[#This Row],[Placa]])</f>
        <v>0</v>
      </c>
      <c r="AF784" s="36"/>
      <c r="AG784" s="35"/>
      <c r="AH784" s="34">
        <v>43054.650543981479</v>
      </c>
      <c r="AI784" s="34">
        <v>43055.011736111112</v>
      </c>
      <c r="AJ784" s="32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5.5555555555555757E-3</v>
      </c>
      <c r="AK78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48.8</v>
      </c>
      <c r="AL78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84" s="31">
        <f>IFERROR(MIP_4[[#This Row],[Tempo parado]]/(MIP_4[[#This Row],[C.B Sitrack]]-MIP_4[[#This Row],[S.B Sitrack]]),"")</f>
        <v>0</v>
      </c>
      <c r="AN784" s="30" t="s">
        <v>134</v>
      </c>
      <c r="AO784" s="44">
        <f>IF(AND(MIP_4[Exc]=0,MIP_4[Previsto / Realizado]="Realizado"),MIP_4[Sem],0)</f>
        <v>46</v>
      </c>
      <c r="AP784" s="29">
        <f>IF(AND(MIP_4[Exc]=0,MIP_4[Previsto / Realizado]="Realizado",ISBLANK(MIP_4[[#This Row],[S.B Sitrack]])=FALSE,ISBLANK(MIP_4[[#This Row],[C.B Sitrack]])=FALSE),MIP_4[Sem],0)</f>
        <v>46</v>
      </c>
    </row>
    <row r="785" spans="1:42" ht="15.75" x14ac:dyDescent="0.25">
      <c r="A785" s="29">
        <f>WEEKNUM(MIP_4[[#This Row],[Data]])</f>
        <v>46</v>
      </c>
      <c r="B785" s="45">
        <v>43055</v>
      </c>
      <c r="C785" s="45"/>
      <c r="D785" s="35" t="s">
        <v>133</v>
      </c>
      <c r="E785" s="35" t="s">
        <v>5</v>
      </c>
      <c r="F785" s="35"/>
      <c r="G785" s="44">
        <v>2</v>
      </c>
      <c r="H785" s="44">
        <v>5</v>
      </c>
      <c r="I785" s="44">
        <v>3</v>
      </c>
      <c r="J785" s="44">
        <v>0</v>
      </c>
      <c r="K785" s="44">
        <v>4</v>
      </c>
      <c r="L785" s="43">
        <v>0.625</v>
      </c>
      <c r="M785" s="43">
        <v>0.64583333333333337</v>
      </c>
      <c r="N785" s="43">
        <v>1.0125</v>
      </c>
      <c r="O785" s="43">
        <v>1.0333333333333334</v>
      </c>
      <c r="P785" s="39"/>
      <c r="Q785" s="60" t="s">
        <v>4</v>
      </c>
      <c r="R785" s="29">
        <f>MIP_4[[#This Row],[PT-1]]+MIP_4[[#This Row],[PT-2]]*2+MIP_4[[#This Row],[PT-3]]*3+MIP_4[[#This Row],[PT &gt; 3 Pontos]]</f>
        <v>15</v>
      </c>
      <c r="S78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78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785" s="41">
        <f ca="1">MIP_4[[#This Row],[Eficiência]]</f>
        <v>1.0395310973134044</v>
      </c>
      <c r="V785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85" s="39">
        <f>IF(MIP_4[[#This Row],[P.S]]-MIP_4[[#This Row],[P.E]]&lt;0,1+MIP_4[[#This Row],[P.S]]-MIP_4[[#This Row],[P.E]]-1/24,MIP_4[[#This Row],[P.S]]-MIP_4[[#This Row],[P.E]]-1/24)</f>
        <v>0.36666666666666675</v>
      </c>
      <c r="X785" s="39">
        <f ca="1">MIP_4[[#This Row],[PT-1]]*$S$3+MIP_4[[#This Row],[PT-2]]*$T$3+MIP_4[[#This Row],[PT-3]]*$U$3+MIP_4[[#This Row],[PT &gt; 3 Pontos]]*$V$3</f>
        <v>0.33784760662685631</v>
      </c>
      <c r="Y785" s="39">
        <f>MIP_4[[#This Row],[HH disponível]]-MIP_4[[#This Row],[HH AC TOT]]</f>
        <v>0.3249999999999999</v>
      </c>
      <c r="Z785" s="38">
        <f ca="1">MIP_4[[#This Row],[HH Produtivo
Total]]/MIP_4[[#This Row],[HH Trabalhado]]</f>
        <v>1.0395310973134044</v>
      </c>
      <c r="AA785" s="38">
        <f ca="1">MIP_4[[#This Row],[HH Produtivo
Total]]/MIP_4[[#This Row],[HH disponível]]</f>
        <v>0.92140256352778971</v>
      </c>
      <c r="AB785" s="38">
        <f>MIP_4[[#This Row],[HH Trabalhado]]/MIP_4[[#This Row],[HH disponível]]</f>
        <v>0.88636363636363591</v>
      </c>
      <c r="AC785" s="37" t="str">
        <f>LEFT(MIP_4[[#This Row],[Equipe]], SEARCH("/",MIP_4[[#This Row],[Equipe]],1)-1)</f>
        <v xml:space="preserve">ANDERSON </v>
      </c>
      <c r="AD785" s="37" t="str">
        <f>RIGHT(MIP_4[[#This Row],[Equipe]], LEN(MIP_4[[#This Row],[Equipe]])-SEARCH("/",MIP_4[[#This Row],[Equipe]],1))</f>
        <v xml:space="preserve"> MARCO / RONALDO</v>
      </c>
      <c r="AE785" s="29">
        <f>COUNTIFS('[1]Tempo parado'!G:G,"&gt;="&amp;MIP_4[[#This Row],[S.B Sitrack]],'[1]Tempo parado'!H:H,"&lt;="&amp;MIP_4[[#This Row],[C.B Sitrack]],'[1]Tempo parado'!A:A,MIP_4[[#This Row],[Placa]])</f>
        <v>0</v>
      </c>
      <c r="AF785" s="36"/>
      <c r="AG785" s="35"/>
      <c r="AH785" s="34"/>
      <c r="AI785" s="34"/>
      <c r="AJ78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8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8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85" s="31" t="str">
        <f>IFERROR(MIP_4[[#This Row],[Tempo parado]]/(MIP_4[[#This Row],[C.B Sitrack]]-MIP_4[[#This Row],[S.B Sitrack]]),"")</f>
        <v/>
      </c>
      <c r="AN785" s="30"/>
      <c r="AO785" s="44">
        <f>IF(AND(MIP_4[Exc]=0,MIP_4[Previsto / Realizado]="Realizado"),MIP_4[Sem],0)</f>
        <v>0</v>
      </c>
      <c r="AP785" s="29">
        <f>IF(AND(MIP_4[Exc]=0,MIP_4[Previsto / Realizado]="Realizado",ISBLANK(MIP_4[[#This Row],[S.B Sitrack]])=FALSE,ISBLANK(MIP_4[[#This Row],[C.B Sitrack]])=FALSE),MIP_4[Sem],0)</f>
        <v>0</v>
      </c>
    </row>
    <row r="786" spans="1:42" ht="15.75" x14ac:dyDescent="0.25">
      <c r="A786" s="29">
        <f>WEEKNUM(MIP_4[[#This Row],[Data]])</f>
        <v>46</v>
      </c>
      <c r="B786" s="45">
        <v>43055</v>
      </c>
      <c r="C786" s="45"/>
      <c r="D786" s="46" t="s">
        <v>133</v>
      </c>
      <c r="E786" s="35" t="s">
        <v>2</v>
      </c>
      <c r="F786" s="35" t="s">
        <v>39</v>
      </c>
      <c r="G786" s="44">
        <v>2</v>
      </c>
      <c r="H786" s="44">
        <v>1</v>
      </c>
      <c r="I786" s="44">
        <v>2</v>
      </c>
      <c r="J786" s="44">
        <v>0</v>
      </c>
      <c r="K786" s="44">
        <v>0</v>
      </c>
      <c r="L786" s="43">
        <v>0.62847222222222221</v>
      </c>
      <c r="M786" s="43">
        <v>0.67013888888888884</v>
      </c>
      <c r="N786" s="43">
        <v>1.0104166666666667</v>
      </c>
      <c r="O786" s="43">
        <v>3.3333333333333333E-2</v>
      </c>
      <c r="P786" s="39">
        <v>0.10694444444444444</v>
      </c>
      <c r="Q786" s="25" t="s">
        <v>132</v>
      </c>
      <c r="R786" s="29">
        <f>MIP_4[[#This Row],[PT-1]]+MIP_4[[#This Row],[PT-2]]*2+MIP_4[[#This Row],[PT-3]]*3+MIP_4[[#This Row],[PT &gt; 3 Pontos]]</f>
        <v>5</v>
      </c>
      <c r="S78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0.17152777777777778</v>
      </c>
      <c r="T78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6.4583333333333326E-2</v>
      </c>
      <c r="U786" s="41">
        <f ca="1">MIP_4[[#This Row],[Eficiência]]</f>
        <v>0.58874809651333715</v>
      </c>
      <c r="V786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86" s="39">
        <f>IF(MIP_4[[#This Row],[P.S]]-MIP_4[[#This Row],[P.E]]&lt;0,1+MIP_4[[#This Row],[P.S]]-MIP_4[[#This Row],[P.E]]-1/24,MIP_4[[#This Row],[P.S]]-MIP_4[[#This Row],[P.E]]-1/24)</f>
        <v>0.36319444444444454</v>
      </c>
      <c r="X786" s="39">
        <f ca="1">MIP_4[[#This Row],[PT-1]]*$S$3+MIP_4[[#This Row],[PT-2]]*$T$3+MIP_4[[#This Row],[PT-3]]*$U$3+MIP_4[[#This Row],[PT &gt; 3 Pontos]]*$V$3</f>
        <v>0.11284338516505635</v>
      </c>
      <c r="Y786" s="39">
        <f>MIP_4[[#This Row],[HH disponível]]-MIP_4[[#This Row],[HH AC TOT]]</f>
        <v>0.19166666666666676</v>
      </c>
      <c r="Z786" s="38">
        <f ca="1">MIP_4[[#This Row],[HH Produtivo
Total]]/MIP_4[[#This Row],[HH Trabalhado]]</f>
        <v>0.58874809651333715</v>
      </c>
      <c r="AA786" s="38">
        <f ca="1">MIP_4[[#This Row],[HH Produtivo
Total]]/MIP_4[[#This Row],[HH disponível]]</f>
        <v>0.31069689223265984</v>
      </c>
      <c r="AB786" s="38">
        <f>MIP_4[[#This Row],[HH Trabalhado]]/MIP_4[[#This Row],[HH disponível]]</f>
        <v>0.52772466539196949</v>
      </c>
      <c r="AC786" s="37" t="str">
        <f>LEFT(MIP_4[[#This Row],[Equipe]], SEARCH("/",MIP_4[[#This Row],[Equipe]],1)-1)</f>
        <v xml:space="preserve">ANDERSON </v>
      </c>
      <c r="AD786" s="37" t="str">
        <f>RIGHT(MIP_4[[#This Row],[Equipe]], LEN(MIP_4[[#This Row],[Equipe]])-SEARCH("/",MIP_4[[#This Row],[Equipe]],1))</f>
        <v xml:space="preserve"> MARCO / RONALDO</v>
      </c>
      <c r="AE786" s="29">
        <f>COUNTIFS('[1]Tempo parado'!G:G,"&gt;="&amp;MIP_4[[#This Row],[S.B Sitrack]],'[1]Tempo parado'!H:H,"&lt;="&amp;MIP_4[[#This Row],[C.B Sitrack]],'[1]Tempo parado'!A:A,MIP_4[[#This Row],[Placa]])</f>
        <v>0</v>
      </c>
      <c r="AF786" s="36"/>
      <c r="AG786" s="35"/>
      <c r="AH786" s="34">
        <v>43055.669687499998</v>
      </c>
      <c r="AI786" s="34">
        <v>43056.015659722223</v>
      </c>
      <c r="AJ786" s="32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5.5555555555554786E-3</v>
      </c>
      <c r="AK78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64.100000000000009</v>
      </c>
      <c r="AL78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86" s="31">
        <f>IFERROR(MIP_4[[#This Row],[Tempo parado]]/(MIP_4[[#This Row],[C.B Sitrack]]-MIP_4[[#This Row],[S.B Sitrack]]),"")</f>
        <v>0</v>
      </c>
      <c r="AN786" s="30" t="s">
        <v>131</v>
      </c>
      <c r="AO786" s="44">
        <f>IF(AND(MIP_4[Exc]=0,MIP_4[Previsto / Realizado]="Realizado"),MIP_4[Sem],0)</f>
        <v>46</v>
      </c>
      <c r="AP786" s="29">
        <f>IF(AND(MIP_4[Exc]=0,MIP_4[Previsto / Realizado]="Realizado",ISBLANK(MIP_4[[#This Row],[S.B Sitrack]])=FALSE,ISBLANK(MIP_4[[#This Row],[C.B Sitrack]])=FALSE),MIP_4[Sem],0)</f>
        <v>46</v>
      </c>
    </row>
    <row r="787" spans="1:42" ht="15.75" x14ac:dyDescent="0.25">
      <c r="A787" s="29">
        <f>WEEKNUM(MIP_4[[#This Row],[Data]])</f>
        <v>46</v>
      </c>
      <c r="B787" s="45">
        <v>43056</v>
      </c>
      <c r="C787" s="45"/>
      <c r="D787" s="35" t="s">
        <v>10</v>
      </c>
      <c r="E787" s="35" t="s">
        <v>5</v>
      </c>
      <c r="F787" s="35"/>
      <c r="G787" s="44">
        <v>2</v>
      </c>
      <c r="H787" s="44">
        <v>7</v>
      </c>
      <c r="I787" s="44">
        <v>1</v>
      </c>
      <c r="J787" s="44">
        <v>0</v>
      </c>
      <c r="K787" s="44">
        <v>4</v>
      </c>
      <c r="L787" s="43">
        <v>0.25</v>
      </c>
      <c r="M787" s="43">
        <v>0.27083333333333331</v>
      </c>
      <c r="N787" s="43">
        <v>0.63750000000000007</v>
      </c>
      <c r="O787" s="43">
        <v>0.65833333333333333</v>
      </c>
      <c r="P787" s="39"/>
      <c r="Q787" s="67"/>
      <c r="R787" s="29">
        <f>MIP_4[[#This Row],[PT-1]]+MIP_4[[#This Row],[PT-2]]*2+MIP_4[[#This Row],[PT-3]]*3+MIP_4[[#This Row],[PT &gt; 3 Pontos]]</f>
        <v>13</v>
      </c>
      <c r="S78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78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787" s="41">
        <f ca="1">MIP_4[[#This Row],[Eficiência]]</f>
        <v>0.92332855488803522</v>
      </c>
      <c r="V787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87" s="39">
        <f>IF(MIP_4[[#This Row],[P.S]]-MIP_4[[#This Row],[P.E]]&lt;0,1+MIP_4[[#This Row],[P.S]]-MIP_4[[#This Row],[P.E]]-1/24,MIP_4[[#This Row],[P.S]]-MIP_4[[#This Row],[P.E]]-1/24)</f>
        <v>0.36666666666666664</v>
      </c>
      <c r="X787" s="39">
        <f ca="1">MIP_4[[#This Row],[PT-1]]*$S$3+MIP_4[[#This Row],[PT-2]]*$T$3+MIP_4[[#This Row],[PT-3]]*$U$3+MIP_4[[#This Row],[PT &gt; 3 Pontos]]*$V$3</f>
        <v>0.30008178033861149</v>
      </c>
      <c r="Y787" s="39">
        <f>MIP_4[[#This Row],[HH disponível]]-MIP_4[[#This Row],[HH AC TOT]]</f>
        <v>0.32500000000000007</v>
      </c>
      <c r="Z787" s="38">
        <f ca="1">MIP_4[[#This Row],[HH Produtivo
Total]]/MIP_4[[#This Row],[HH Trabalhado]]</f>
        <v>0.92332855488803522</v>
      </c>
      <c r="AA787" s="38">
        <f ca="1">MIP_4[[#This Row],[HH Produtivo
Total]]/MIP_4[[#This Row],[HH disponível]]</f>
        <v>0.81840485546894048</v>
      </c>
      <c r="AB787" s="38">
        <f>MIP_4[[#This Row],[HH Trabalhado]]/MIP_4[[#This Row],[HH disponível]]</f>
        <v>0.88636363636363658</v>
      </c>
      <c r="AC787" s="37" t="str">
        <f>LEFT(MIP_4[[#This Row],[Equipe]], SEARCH("/",MIP_4[[#This Row],[Equipe]],1)-1)</f>
        <v xml:space="preserve">JOILSON </v>
      </c>
      <c r="AD787" s="37" t="str">
        <f>RIGHT(MIP_4[[#This Row],[Equipe]], LEN(MIP_4[[#This Row],[Equipe]])-SEARCH("/",MIP_4[[#This Row],[Equipe]],1))</f>
        <v xml:space="preserve"> VALDEI</v>
      </c>
      <c r="AE787" s="29">
        <f>COUNTIFS('[1]Tempo parado'!G:G,"&gt;="&amp;MIP_4[[#This Row],[S.B Sitrack]],'[1]Tempo parado'!H:H,"&lt;="&amp;MIP_4[[#This Row],[C.B Sitrack]],'[1]Tempo parado'!A:A,MIP_4[[#This Row],[Placa]])</f>
        <v>0</v>
      </c>
      <c r="AF787" s="36"/>
      <c r="AG787" s="35"/>
      <c r="AH787" s="34"/>
      <c r="AI787" s="34"/>
      <c r="AJ78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8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8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87" s="31" t="str">
        <f>IFERROR(MIP_4[[#This Row],[Tempo parado]]/(MIP_4[[#This Row],[C.B Sitrack]]-MIP_4[[#This Row],[S.B Sitrack]]),"")</f>
        <v/>
      </c>
      <c r="AN787" s="30"/>
      <c r="AO787" s="44">
        <f>IF(AND(MIP_4[Exc]=0,MIP_4[Previsto / Realizado]="Realizado"),MIP_4[Sem],0)</f>
        <v>0</v>
      </c>
      <c r="AP787" s="29">
        <f>IF(AND(MIP_4[Exc]=0,MIP_4[Previsto / Realizado]="Realizado",ISBLANK(MIP_4[[#This Row],[S.B Sitrack]])=FALSE,ISBLANK(MIP_4[[#This Row],[C.B Sitrack]])=FALSE),MIP_4[Sem],0)</f>
        <v>0</v>
      </c>
    </row>
    <row r="788" spans="1:42" ht="15.75" x14ac:dyDescent="0.25">
      <c r="A788" s="29">
        <f>WEEKNUM(MIP_4[[#This Row],[Data]])</f>
        <v>46</v>
      </c>
      <c r="B788" s="45">
        <v>43056</v>
      </c>
      <c r="C788" s="45"/>
      <c r="D788" s="46" t="s">
        <v>10</v>
      </c>
      <c r="E788" s="35" t="s">
        <v>2</v>
      </c>
      <c r="F788" s="35" t="s">
        <v>39</v>
      </c>
      <c r="G788" s="44">
        <v>2</v>
      </c>
      <c r="H788" s="44">
        <v>6</v>
      </c>
      <c r="I788" s="44">
        <v>1</v>
      </c>
      <c r="J788" s="44">
        <v>0</v>
      </c>
      <c r="K788" s="44">
        <v>4</v>
      </c>
      <c r="L788" s="43">
        <v>0.25</v>
      </c>
      <c r="M788" s="43">
        <v>0.27430555555555552</v>
      </c>
      <c r="N788" s="43">
        <v>0.59097222222222223</v>
      </c>
      <c r="O788" s="43">
        <v>0.67083333333333339</v>
      </c>
      <c r="P788" s="39"/>
      <c r="Q788" s="25"/>
      <c r="R788" s="29">
        <f>MIP_4[[#This Row],[PT-1]]+MIP_4[[#This Row],[PT-2]]*2+MIP_4[[#This Row],[PT-3]]*3+MIP_4[[#This Row],[PT &gt; 3 Pontos]]</f>
        <v>12</v>
      </c>
      <c r="S78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0.10416666666666669</v>
      </c>
      <c r="T78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0.10416666666666669</v>
      </c>
      <c r="U788" s="41">
        <f ca="1">MIP_4[[#This Row],[Eficiência]]</f>
        <v>1.0002033722897248</v>
      </c>
      <c r="V788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88" s="39">
        <f>IF(MIP_4[[#This Row],[P.S]]-MIP_4[[#This Row],[P.E]]&lt;0,1+MIP_4[[#This Row],[P.S]]-MIP_4[[#This Row],[P.E]]-1/24,MIP_4[[#This Row],[P.S]]-MIP_4[[#This Row],[P.E]]-1/24)</f>
        <v>0.37916666666666671</v>
      </c>
      <c r="X788" s="39">
        <f ca="1">MIP_4[[#This Row],[PT-1]]*$S$3+MIP_4[[#This Row],[PT-2]]*$T$3+MIP_4[[#This Row],[PT-3]]*$U$3+MIP_4[[#This Row],[PT &gt; 3 Pontos]]*$V$3</f>
        <v>0.27505592737967433</v>
      </c>
      <c r="Y788" s="39">
        <f>MIP_4[[#This Row],[HH disponível]]-MIP_4[[#This Row],[HH AC TOT]]</f>
        <v>0.27500000000000002</v>
      </c>
      <c r="Z788" s="38">
        <f ca="1">MIP_4[[#This Row],[HH Produtivo
Total]]/MIP_4[[#This Row],[HH Trabalhado]]</f>
        <v>1.0002033722897248</v>
      </c>
      <c r="AA788" s="38">
        <f ca="1">MIP_4[[#This Row],[HH Produtivo
Total]]/MIP_4[[#This Row],[HH disponível]]</f>
        <v>0.72542222605628381</v>
      </c>
      <c r="AB788" s="38">
        <f>MIP_4[[#This Row],[HH Trabalhado]]/MIP_4[[#This Row],[HH disponível]]</f>
        <v>0.72527472527472525</v>
      </c>
      <c r="AC788" s="37" t="str">
        <f>LEFT(MIP_4[[#This Row],[Equipe]], SEARCH("/",MIP_4[[#This Row],[Equipe]],1)-1)</f>
        <v xml:space="preserve">JOILSON </v>
      </c>
      <c r="AD788" s="37" t="str">
        <f>RIGHT(MIP_4[[#This Row],[Equipe]], LEN(MIP_4[[#This Row],[Equipe]])-SEARCH("/",MIP_4[[#This Row],[Equipe]],1))</f>
        <v xml:space="preserve"> VALDEI</v>
      </c>
      <c r="AE788" s="29">
        <f>COUNTIFS('[1]Tempo parado'!G:G,"&gt;="&amp;MIP_4[[#This Row],[S.B Sitrack]],'[1]Tempo parado'!H:H,"&lt;="&amp;MIP_4[[#This Row],[C.B Sitrack]],'[1]Tempo parado'!A:A,MIP_4[[#This Row],[Placa]])</f>
        <v>0</v>
      </c>
      <c r="AF788" s="36"/>
      <c r="AG788" s="35"/>
      <c r="AH788" s="34">
        <v>43056.273240740738</v>
      </c>
      <c r="AI788" s="34">
        <v>43056.629756944443</v>
      </c>
      <c r="AJ788" s="32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3.9583333333333304E-2</v>
      </c>
      <c r="AK78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42.699999999999996</v>
      </c>
      <c r="AL78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88" s="31">
        <f>IFERROR(MIP_4[[#This Row],[Tempo parado]]/(MIP_4[[#This Row],[C.B Sitrack]]-MIP_4[[#This Row],[S.B Sitrack]]),"")</f>
        <v>0</v>
      </c>
      <c r="AN788" s="30" t="s">
        <v>130</v>
      </c>
      <c r="AO788" s="44">
        <f>IF(AND(MIP_4[Exc]=0,MIP_4[Previsto / Realizado]="Realizado"),MIP_4[Sem],0)</f>
        <v>46</v>
      </c>
      <c r="AP788" s="29">
        <f>IF(AND(MIP_4[Exc]=0,MIP_4[Previsto / Realizado]="Realizado",ISBLANK(MIP_4[[#This Row],[S.B Sitrack]])=FALSE,ISBLANK(MIP_4[[#This Row],[C.B Sitrack]])=FALSE),MIP_4[Sem],0)</f>
        <v>46</v>
      </c>
    </row>
    <row r="789" spans="1:42" ht="15.75" x14ac:dyDescent="0.25">
      <c r="A789" s="29">
        <f>WEEKNUM(MIP_4[[#This Row],[Data]])</f>
        <v>46</v>
      </c>
      <c r="B789" s="45">
        <v>43056</v>
      </c>
      <c r="C789" s="45"/>
      <c r="D789" s="35" t="s">
        <v>7</v>
      </c>
      <c r="E789" s="35" t="s">
        <v>5</v>
      </c>
      <c r="F789" s="35"/>
      <c r="G789" s="44">
        <v>2</v>
      </c>
      <c r="H789" s="44">
        <v>6</v>
      </c>
      <c r="I789" s="44">
        <v>3</v>
      </c>
      <c r="J789" s="44">
        <v>0</v>
      </c>
      <c r="K789" s="44">
        <v>0</v>
      </c>
      <c r="L789" s="43">
        <v>0.625</v>
      </c>
      <c r="M789" s="43">
        <v>0.64583333333333337</v>
      </c>
      <c r="N789" s="43">
        <v>1.0125</v>
      </c>
      <c r="O789" s="43">
        <v>1.0333333333333334</v>
      </c>
      <c r="P789" s="39"/>
      <c r="Q789" s="67"/>
      <c r="R789" s="29">
        <f>MIP_4[[#This Row],[PT-1]]+MIP_4[[#This Row],[PT-2]]*2+MIP_4[[#This Row],[PT-3]]*3+MIP_4[[#This Row],[PT &gt; 3 Pontos]]</f>
        <v>12</v>
      </c>
      <c r="S78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78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789" s="41">
        <f ca="1">MIP_4[[#This Row],[Eficiência]]</f>
        <v>0.8673274340393905</v>
      </c>
      <c r="V789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89" s="39">
        <f>IF(MIP_4[[#This Row],[P.S]]-MIP_4[[#This Row],[P.E]]&lt;0,1+MIP_4[[#This Row],[P.S]]-MIP_4[[#This Row],[P.E]]-1/24,MIP_4[[#This Row],[P.S]]-MIP_4[[#This Row],[P.E]]-1/24)</f>
        <v>0.36666666666666675</v>
      </c>
      <c r="X789" s="39">
        <f ca="1">MIP_4[[#This Row],[PT-1]]*$S$3+MIP_4[[#This Row],[PT-2]]*$T$3+MIP_4[[#This Row],[PT-3]]*$U$3+MIP_4[[#This Row],[PT &gt; 3 Pontos]]*$V$3</f>
        <v>0.28188141606280182</v>
      </c>
      <c r="Y789" s="39">
        <f>MIP_4[[#This Row],[HH disponível]]-MIP_4[[#This Row],[HH AC TOT]]</f>
        <v>0.3249999999999999</v>
      </c>
      <c r="Z789" s="38">
        <f ca="1">MIP_4[[#This Row],[HH Produtivo
Total]]/MIP_4[[#This Row],[HH Trabalhado]]</f>
        <v>0.8673274340393905</v>
      </c>
      <c r="AA789" s="38">
        <f ca="1">MIP_4[[#This Row],[HH Produtivo
Total]]/MIP_4[[#This Row],[HH disponível]]</f>
        <v>0.76876749835309566</v>
      </c>
      <c r="AB789" s="38">
        <f>MIP_4[[#This Row],[HH Trabalhado]]/MIP_4[[#This Row],[HH disponível]]</f>
        <v>0.88636363636363591</v>
      </c>
      <c r="AC789" s="37" t="str">
        <f>LEFT(MIP_4[[#This Row],[Equipe]], SEARCH("/",MIP_4[[#This Row],[Equipe]],1)-1)</f>
        <v xml:space="preserve">ANDERSON </v>
      </c>
      <c r="AD789" s="37" t="str">
        <f>RIGHT(MIP_4[[#This Row],[Equipe]], LEN(MIP_4[[#This Row],[Equipe]])-SEARCH("/",MIP_4[[#This Row],[Equipe]],1))</f>
        <v xml:space="preserve"> MARCO</v>
      </c>
      <c r="AE789" s="29">
        <f>COUNTIFS('[1]Tempo parado'!G:G,"&gt;="&amp;MIP_4[[#This Row],[S.B Sitrack]],'[1]Tempo parado'!H:H,"&lt;="&amp;MIP_4[[#This Row],[C.B Sitrack]],'[1]Tempo parado'!A:A,MIP_4[[#This Row],[Placa]])</f>
        <v>0</v>
      </c>
      <c r="AF789" s="36"/>
      <c r="AG789" s="35"/>
      <c r="AH789" s="34"/>
      <c r="AI789" s="34"/>
      <c r="AJ78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8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8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89" s="31" t="str">
        <f>IFERROR(MIP_4[[#This Row],[Tempo parado]]/(MIP_4[[#This Row],[C.B Sitrack]]-MIP_4[[#This Row],[S.B Sitrack]]),"")</f>
        <v/>
      </c>
      <c r="AN789" s="30"/>
      <c r="AO789" s="44">
        <f>IF(AND(MIP_4[Exc]=0,MIP_4[Previsto / Realizado]="Realizado"),MIP_4[Sem],0)</f>
        <v>0</v>
      </c>
      <c r="AP789" s="29">
        <f>IF(AND(MIP_4[Exc]=0,MIP_4[Previsto / Realizado]="Realizado",ISBLANK(MIP_4[[#This Row],[S.B Sitrack]])=FALSE,ISBLANK(MIP_4[[#This Row],[C.B Sitrack]])=FALSE),MIP_4[Sem],0)</f>
        <v>0</v>
      </c>
    </row>
    <row r="790" spans="1:42" ht="15.75" x14ac:dyDescent="0.25">
      <c r="A790" s="29">
        <f>WEEKNUM(MIP_4[[#This Row],[Data]])</f>
        <v>46</v>
      </c>
      <c r="B790" s="45">
        <v>43056</v>
      </c>
      <c r="C790" s="45"/>
      <c r="D790" s="46" t="s">
        <v>7</v>
      </c>
      <c r="E790" s="35" t="s">
        <v>2</v>
      </c>
      <c r="F790" s="35" t="s">
        <v>6</v>
      </c>
      <c r="G790" s="44">
        <v>2</v>
      </c>
      <c r="H790" s="44">
        <v>6</v>
      </c>
      <c r="I790" s="44">
        <v>3</v>
      </c>
      <c r="J790" s="44">
        <v>0</v>
      </c>
      <c r="K790" s="44">
        <v>0</v>
      </c>
      <c r="L790" s="43">
        <v>0.625</v>
      </c>
      <c r="M790" s="43">
        <v>0.67361111111111116</v>
      </c>
      <c r="N790" s="43">
        <v>1.0104166666666667</v>
      </c>
      <c r="O790" s="43">
        <v>3.4722222222222224E-2</v>
      </c>
      <c r="P790" s="39"/>
      <c r="Q790" s="42"/>
      <c r="R790" s="29">
        <f>MIP_4[[#This Row],[PT-1]]+MIP_4[[#This Row],[PT-2]]*2+MIP_4[[#This Row],[PT-3]]*3+MIP_4[[#This Row],[PT &gt; 3 Pontos]]</f>
        <v>12</v>
      </c>
      <c r="S79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7.2916666666666741E-2</v>
      </c>
      <c r="T79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7.2916666666666741E-2</v>
      </c>
      <c r="U790" s="41">
        <f ca="1">MIP_4[[#This Row],[Eficiência]]</f>
        <v>0.95508056265984609</v>
      </c>
      <c r="V790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90" s="39">
        <f>IF(MIP_4[[#This Row],[P.S]]-MIP_4[[#This Row],[P.E]]&lt;0,1+MIP_4[[#This Row],[P.S]]-MIP_4[[#This Row],[P.E]]-1/24,MIP_4[[#This Row],[P.S]]-MIP_4[[#This Row],[P.E]]-1/24)</f>
        <v>0.36805555555555564</v>
      </c>
      <c r="X790" s="39">
        <f ca="1">MIP_4[[#This Row],[PT-1]]*$S$3+MIP_4[[#This Row],[PT-2]]*$T$3+MIP_4[[#This Row],[PT-3]]*$U$3+MIP_4[[#This Row],[PT &gt; 3 Pontos]]*$V$3</f>
        <v>0.28188141606280182</v>
      </c>
      <c r="Y790" s="39">
        <f>MIP_4[[#This Row],[HH disponível]]-MIP_4[[#This Row],[HH AC TOT]]</f>
        <v>0.2951388888888889</v>
      </c>
      <c r="Z790" s="38">
        <f ca="1">MIP_4[[#This Row],[HH Produtivo
Total]]/MIP_4[[#This Row],[HH Trabalhado]]</f>
        <v>0.95508056265984609</v>
      </c>
      <c r="AA790" s="38">
        <f ca="1">MIP_4[[#This Row],[HH Produtivo
Total]]/MIP_4[[#This Row],[HH disponível]]</f>
        <v>0.76586648892534814</v>
      </c>
      <c r="AB790" s="38">
        <f>MIP_4[[#This Row],[HH Trabalhado]]/MIP_4[[#This Row],[HH disponível]]</f>
        <v>0.80188679245283001</v>
      </c>
      <c r="AC790" s="37" t="str">
        <f>LEFT(MIP_4[[#This Row],[Equipe]], SEARCH("/",MIP_4[[#This Row],[Equipe]],1)-1)</f>
        <v xml:space="preserve">ANDERSON </v>
      </c>
      <c r="AD790" s="37" t="str">
        <f>RIGHT(MIP_4[[#This Row],[Equipe]], LEN(MIP_4[[#This Row],[Equipe]])-SEARCH("/",MIP_4[[#This Row],[Equipe]],1))</f>
        <v xml:space="preserve"> MARCO</v>
      </c>
      <c r="AE790" s="29">
        <f>COUNTIFS('[1]Tempo parado'!G:G,"&gt;="&amp;MIP_4[[#This Row],[S.B Sitrack]],'[1]Tempo parado'!H:H,"&lt;="&amp;MIP_4[[#This Row],[C.B Sitrack]],'[1]Tempo parado'!A:A,MIP_4[[#This Row],[Placa]])</f>
        <v>0</v>
      </c>
      <c r="AF790" s="36"/>
      <c r="AG790" s="35"/>
      <c r="AH790" s="34">
        <v>43056.682291666664</v>
      </c>
      <c r="AI790" s="34">
        <v>43057.021701388891</v>
      </c>
      <c r="AJ790" s="32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1.9444444444444344E-2</v>
      </c>
      <c r="AK79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73.000000000000014</v>
      </c>
      <c r="AL79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90" s="31">
        <f>IFERROR(MIP_4[[#This Row],[Tempo parado]]/(MIP_4[[#This Row],[C.B Sitrack]]-MIP_4[[#This Row],[S.B Sitrack]]),"")</f>
        <v>0</v>
      </c>
      <c r="AN790" s="30" t="s">
        <v>129</v>
      </c>
      <c r="AO790" s="44">
        <f>IF(AND(MIP_4[Exc]=0,MIP_4[Previsto / Realizado]="Realizado"),MIP_4[Sem],0)</f>
        <v>46</v>
      </c>
      <c r="AP790" s="29">
        <f>IF(AND(MIP_4[Exc]=0,MIP_4[Previsto / Realizado]="Realizado",ISBLANK(MIP_4[[#This Row],[S.B Sitrack]])=FALSE,ISBLANK(MIP_4[[#This Row],[C.B Sitrack]])=FALSE),MIP_4[Sem],0)</f>
        <v>46</v>
      </c>
    </row>
    <row r="791" spans="1:42" ht="15.75" x14ac:dyDescent="0.25">
      <c r="A791" s="29">
        <f>WEEKNUM(MIP_4[[#This Row],[Data]])</f>
        <v>46</v>
      </c>
      <c r="B791" s="45">
        <v>43057</v>
      </c>
      <c r="C791" s="45"/>
      <c r="D791" s="35" t="s">
        <v>72</v>
      </c>
      <c r="E791" s="35" t="s">
        <v>5</v>
      </c>
      <c r="F791" s="35"/>
      <c r="G791" s="44">
        <v>3</v>
      </c>
      <c r="H791" s="44">
        <v>3</v>
      </c>
      <c r="I791" s="44">
        <v>1</v>
      </c>
      <c r="J791" s="44">
        <v>0</v>
      </c>
      <c r="K791" s="44">
        <v>0</v>
      </c>
      <c r="L791" s="43">
        <v>0.625</v>
      </c>
      <c r="M791" s="43">
        <v>0.64583333333333337</v>
      </c>
      <c r="N791" s="43">
        <v>1.0125</v>
      </c>
      <c r="O791" s="43">
        <v>1.0333333333333334</v>
      </c>
      <c r="P791" s="39"/>
      <c r="Q791" s="67" t="s">
        <v>128</v>
      </c>
      <c r="R791" s="29">
        <f>MIP_4[[#This Row],[PT-1]]+MIP_4[[#This Row],[PT-2]]*2+MIP_4[[#This Row],[PT-3]]*3+MIP_4[[#This Row],[PT &gt; 3 Pontos]]</f>
        <v>5</v>
      </c>
      <c r="S79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79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791" s="41">
        <f ca="1">MIP_4[[#This Row],[Eficiência]]</f>
        <v>0.36611176916883437</v>
      </c>
      <c r="V791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91" s="39">
        <f>IF(MIP_4[[#This Row],[P.S]]-MIP_4[[#This Row],[P.E]]&lt;0,1+MIP_4[[#This Row],[P.S]]-MIP_4[[#This Row],[P.E]]-1/24,MIP_4[[#This Row],[P.S]]-MIP_4[[#This Row],[P.E]]-1/24)</f>
        <v>0.36666666666666675</v>
      </c>
      <c r="X791" s="39">
        <f ca="1">MIP_4[[#This Row],[PT-1]]*$S$3+MIP_4[[#This Row],[PT-2]]*$T$3+MIP_4[[#This Row],[PT-3]]*$U$3+MIP_4[[#This Row],[PT &gt; 3 Pontos]]*$V$3</f>
        <v>0.11898632497987113</v>
      </c>
      <c r="Y791" s="39">
        <f>MIP_4[[#This Row],[HH disponível]]-MIP_4[[#This Row],[HH AC TOT]]</f>
        <v>0.3249999999999999</v>
      </c>
      <c r="Z791" s="38">
        <f ca="1">MIP_4[[#This Row],[HH Produtivo
Total]]/MIP_4[[#This Row],[HH Trabalhado]]</f>
        <v>0.36611176916883437</v>
      </c>
      <c r="AA791" s="38">
        <f ca="1">MIP_4[[#This Row],[HH Produtivo
Total]]/MIP_4[[#This Row],[HH disponível]]</f>
        <v>0.3245081590360121</v>
      </c>
      <c r="AB791" s="38">
        <f>MIP_4[[#This Row],[HH Trabalhado]]/MIP_4[[#This Row],[HH disponível]]</f>
        <v>0.88636363636363591</v>
      </c>
      <c r="AC791" s="37" t="str">
        <f>LEFT(MIP_4[[#This Row],[Equipe]], SEARCH("/",MIP_4[[#This Row],[Equipe]],1)-1)</f>
        <v xml:space="preserve">ANDERSON </v>
      </c>
      <c r="AD791" s="37" t="str">
        <f>RIGHT(MIP_4[[#This Row],[Equipe]], LEN(MIP_4[[#This Row],[Equipe]])-SEARCH("/",MIP_4[[#This Row],[Equipe]],1))</f>
        <v xml:space="preserve"> GECIVALDO / MARCO</v>
      </c>
      <c r="AE791" s="29">
        <f>COUNTIFS('[1]Tempo parado'!G:G,"&gt;="&amp;MIP_4[[#This Row],[S.B Sitrack]],'[1]Tempo parado'!H:H,"&lt;="&amp;MIP_4[[#This Row],[C.B Sitrack]],'[1]Tempo parado'!A:A,MIP_4[[#This Row],[Placa]])</f>
        <v>0</v>
      </c>
      <c r="AF791" s="36"/>
      <c r="AG791" s="35"/>
      <c r="AH791" s="34"/>
      <c r="AI791" s="34"/>
      <c r="AJ79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9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9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91" s="31" t="str">
        <f>IFERROR(MIP_4[[#This Row],[Tempo parado]]/(MIP_4[[#This Row],[C.B Sitrack]]-MIP_4[[#This Row],[S.B Sitrack]]),"")</f>
        <v/>
      </c>
      <c r="AN791" s="30"/>
      <c r="AO791" s="44">
        <f>IF(AND(MIP_4[Exc]=0,MIP_4[Previsto / Realizado]="Realizado"),MIP_4[Sem],0)</f>
        <v>0</v>
      </c>
      <c r="AP791" s="29">
        <f>IF(AND(MIP_4[Exc]=0,MIP_4[Previsto / Realizado]="Realizado",ISBLANK(MIP_4[[#This Row],[S.B Sitrack]])=FALSE,ISBLANK(MIP_4[[#This Row],[C.B Sitrack]])=FALSE),MIP_4[Sem],0)</f>
        <v>0</v>
      </c>
    </row>
    <row r="792" spans="1:42" ht="15.75" x14ac:dyDescent="0.25">
      <c r="A792" s="29">
        <f>WEEKNUM(MIP_4[[#This Row],[Data]])</f>
        <v>46</v>
      </c>
      <c r="B792" s="45">
        <v>43057</v>
      </c>
      <c r="C792" s="45"/>
      <c r="D792" s="46" t="s">
        <v>72</v>
      </c>
      <c r="E792" s="35" t="s">
        <v>2</v>
      </c>
      <c r="F792" s="35" t="s">
        <v>6</v>
      </c>
      <c r="G792" s="44">
        <v>3</v>
      </c>
      <c r="H792" s="44">
        <v>4</v>
      </c>
      <c r="I792" s="44">
        <v>1</v>
      </c>
      <c r="J792" s="44">
        <v>0</v>
      </c>
      <c r="K792" s="44">
        <v>0</v>
      </c>
      <c r="L792" s="43">
        <v>0.62569444444444444</v>
      </c>
      <c r="M792" s="43">
        <v>0.65972222222222221</v>
      </c>
      <c r="N792" s="43">
        <v>1.0194444444444444</v>
      </c>
      <c r="O792" s="68">
        <v>3.3333333333333333E-2</v>
      </c>
      <c r="P792" s="39">
        <v>0.125</v>
      </c>
      <c r="Q792" s="42" t="s">
        <v>127</v>
      </c>
      <c r="R792" s="29">
        <f>MIP_4[[#This Row],[PT-1]]+MIP_4[[#This Row],[PT-2]]*2+MIP_4[[#This Row],[PT-3]]*3+MIP_4[[#This Row],[PT &gt; 3 Pontos]]</f>
        <v>6</v>
      </c>
      <c r="S79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0.17291666666666683</v>
      </c>
      <c r="T79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4.7916666666666829E-2</v>
      </c>
      <c r="U792" s="41">
        <f ca="1">MIP_4[[#This Row],[Eficiência]]</f>
        <v>0.74596236054634546</v>
      </c>
      <c r="V792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92" s="39">
        <f>IF(MIP_4[[#This Row],[P.S]]-MIP_4[[#This Row],[P.E]]&lt;0,1+MIP_4[[#This Row],[P.S]]-MIP_4[[#This Row],[P.E]]-1/24,MIP_4[[#This Row],[P.S]]-MIP_4[[#This Row],[P.E]]-1/24)</f>
        <v>0.36597222222222231</v>
      </c>
      <c r="X792" s="39">
        <f ca="1">MIP_4[[#This Row],[PT-1]]*$S$3+MIP_4[[#This Row],[PT-2]]*$T$3+MIP_4[[#This Row],[PT-3]]*$U$3+MIP_4[[#This Row],[PT &gt; 3 Pontos]]*$V$3</f>
        <v>0.1440121779388083</v>
      </c>
      <c r="Y792" s="39">
        <f>MIP_4[[#This Row],[HH disponível]]-MIP_4[[#This Row],[HH AC TOT]]</f>
        <v>0.19305555555555548</v>
      </c>
      <c r="Z792" s="38">
        <f ca="1">MIP_4[[#This Row],[HH Produtivo
Total]]/MIP_4[[#This Row],[HH Trabalhado]]</f>
        <v>0.74596236054634546</v>
      </c>
      <c r="AA792" s="38">
        <f ca="1">MIP_4[[#This Row],[HH Produtivo
Total]]/MIP_4[[#This Row],[HH disponível]]</f>
        <v>0.39350576135082332</v>
      </c>
      <c r="AB792" s="38">
        <f>MIP_4[[#This Row],[HH Trabalhado]]/MIP_4[[#This Row],[HH disponível]]</f>
        <v>0.52751423149905086</v>
      </c>
      <c r="AC792" s="37" t="str">
        <f>LEFT(MIP_4[[#This Row],[Equipe]], SEARCH("/",MIP_4[[#This Row],[Equipe]],1)-1)</f>
        <v xml:space="preserve">ANDERSON </v>
      </c>
      <c r="AD792" s="37" t="str">
        <f>RIGHT(MIP_4[[#This Row],[Equipe]], LEN(MIP_4[[#This Row],[Equipe]])-SEARCH("/",MIP_4[[#This Row],[Equipe]],1))</f>
        <v xml:space="preserve"> GECIVALDO / MARCO</v>
      </c>
      <c r="AE792" s="29">
        <f>COUNTIFS('[1]Tempo parado'!G:G,"&gt;="&amp;MIP_4[[#This Row],[S.B Sitrack]],'[1]Tempo parado'!H:H,"&lt;="&amp;MIP_4[[#This Row],[C.B Sitrack]],'[1]Tempo parado'!A:A,MIP_4[[#This Row],[Placa]])</f>
        <v>0</v>
      </c>
      <c r="AF792" s="36"/>
      <c r="AG792" s="35"/>
      <c r="AH792" s="34">
        <v>43057.665208333332</v>
      </c>
      <c r="AI792" s="34">
        <v>43058.021273148152</v>
      </c>
      <c r="AJ792" s="32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6.2500000000000507E-3</v>
      </c>
      <c r="AK79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58.3</v>
      </c>
      <c r="AL79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92" s="31">
        <f>IFERROR(MIP_4[[#This Row],[Tempo parado]]/(MIP_4[[#This Row],[C.B Sitrack]]-MIP_4[[#This Row],[S.B Sitrack]]),"")</f>
        <v>0</v>
      </c>
      <c r="AN792" s="30" t="s">
        <v>126</v>
      </c>
      <c r="AO792" s="44">
        <f>IF(AND(MIP_4[Exc]=0,MIP_4[Previsto / Realizado]="Realizado"),MIP_4[Sem],0)</f>
        <v>46</v>
      </c>
      <c r="AP792" s="29">
        <f>IF(AND(MIP_4[Exc]=0,MIP_4[Previsto / Realizado]="Realizado",ISBLANK(MIP_4[[#This Row],[S.B Sitrack]])=FALSE,ISBLANK(MIP_4[[#This Row],[C.B Sitrack]])=FALSE),MIP_4[Sem],0)</f>
        <v>46</v>
      </c>
    </row>
    <row r="793" spans="1:42" ht="15.75" x14ac:dyDescent="0.25">
      <c r="A793" s="29">
        <f>WEEKNUM(MIP_4[[#This Row],[Data]])</f>
        <v>47</v>
      </c>
      <c r="B793" s="45">
        <v>43058</v>
      </c>
      <c r="C793" s="45"/>
      <c r="D793" s="35" t="s">
        <v>72</v>
      </c>
      <c r="E793" s="35" t="s">
        <v>5</v>
      </c>
      <c r="F793" s="35"/>
      <c r="G793" s="44">
        <v>3</v>
      </c>
      <c r="H793" s="44">
        <v>5</v>
      </c>
      <c r="I793" s="44">
        <v>0</v>
      </c>
      <c r="J793" s="44">
        <v>0</v>
      </c>
      <c r="K793" s="44">
        <v>0</v>
      </c>
      <c r="L793" s="43">
        <v>0.625</v>
      </c>
      <c r="M793" s="43">
        <v>0.64583333333333337</v>
      </c>
      <c r="N793" s="43">
        <v>1.0125</v>
      </c>
      <c r="O793" s="43">
        <v>1.0333333333333334</v>
      </c>
      <c r="P793" s="39"/>
      <c r="Q793" s="67"/>
      <c r="R793" s="29">
        <f>MIP_4[[#This Row],[PT-1]]+MIP_4[[#This Row],[PT-2]]*2+MIP_4[[#This Row],[PT-3]]*3+MIP_4[[#This Row],[PT &gt; 3 Pontos]]</f>
        <v>5</v>
      </c>
      <c r="S79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79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793" s="41">
        <f ca="1">MIP_4[[#This Row],[Eficiência]]</f>
        <v>0.38501312244518748</v>
      </c>
      <c r="V793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93" s="39">
        <f>IF(MIP_4[[#This Row],[P.S]]-MIP_4[[#This Row],[P.E]]&lt;0,1+MIP_4[[#This Row],[P.S]]-MIP_4[[#This Row],[P.E]]-1/24,MIP_4[[#This Row],[P.S]]-MIP_4[[#This Row],[P.E]]-1/24)</f>
        <v>0.36666666666666675</v>
      </c>
      <c r="X793" s="39">
        <f ca="1">MIP_4[[#This Row],[PT-1]]*$S$3+MIP_4[[#This Row],[PT-2]]*$T$3+MIP_4[[#This Row],[PT-3]]*$U$3+MIP_4[[#This Row],[PT &gt; 3 Pontos]]*$V$3</f>
        <v>0.12512926479468589</v>
      </c>
      <c r="Y793" s="39">
        <f>MIP_4[[#This Row],[HH disponível]]-MIP_4[[#This Row],[HH AC TOT]]</f>
        <v>0.3249999999999999</v>
      </c>
      <c r="Z793" s="38">
        <f ca="1">MIP_4[[#This Row],[HH Produtivo
Total]]/MIP_4[[#This Row],[HH Trabalhado]]</f>
        <v>0.38501312244518748</v>
      </c>
      <c r="AA793" s="38">
        <f ca="1">MIP_4[[#This Row],[HH Produtivo
Total]]/MIP_4[[#This Row],[HH disponível]]</f>
        <v>0.34126163125823417</v>
      </c>
      <c r="AB793" s="38">
        <f>MIP_4[[#This Row],[HH Trabalhado]]/MIP_4[[#This Row],[HH disponível]]</f>
        <v>0.88636363636363591</v>
      </c>
      <c r="AC793" s="37" t="str">
        <f>LEFT(MIP_4[[#This Row],[Equipe]], SEARCH("/",MIP_4[[#This Row],[Equipe]],1)-1)</f>
        <v xml:space="preserve">ANDERSON </v>
      </c>
      <c r="AD793" s="37" t="str">
        <f>RIGHT(MIP_4[[#This Row],[Equipe]], LEN(MIP_4[[#This Row],[Equipe]])-SEARCH("/",MIP_4[[#This Row],[Equipe]],1))</f>
        <v xml:space="preserve"> GECIVALDO / MARCO</v>
      </c>
      <c r="AE793" s="29">
        <f>COUNTIFS('[1]Tempo parado'!G:G,"&gt;="&amp;MIP_4[[#This Row],[S.B Sitrack]],'[1]Tempo parado'!H:H,"&lt;="&amp;MIP_4[[#This Row],[C.B Sitrack]],'[1]Tempo parado'!A:A,MIP_4[[#This Row],[Placa]])</f>
        <v>0</v>
      </c>
      <c r="AF793" s="36"/>
      <c r="AG793" s="35"/>
      <c r="AH793" s="34"/>
      <c r="AI793" s="34"/>
      <c r="AJ79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9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9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93" s="31" t="str">
        <f>IFERROR(MIP_4[[#This Row],[Tempo parado]]/(MIP_4[[#This Row],[C.B Sitrack]]-MIP_4[[#This Row],[S.B Sitrack]]),"")</f>
        <v/>
      </c>
      <c r="AN793" s="30"/>
      <c r="AO793" s="44">
        <f>IF(AND(MIP_4[Exc]=0,MIP_4[Previsto / Realizado]="Realizado"),MIP_4[Sem],0)</f>
        <v>0</v>
      </c>
      <c r="AP793" s="29">
        <f>IF(AND(MIP_4[Exc]=0,MIP_4[Previsto / Realizado]="Realizado",ISBLANK(MIP_4[[#This Row],[S.B Sitrack]])=FALSE,ISBLANK(MIP_4[[#This Row],[C.B Sitrack]])=FALSE),MIP_4[Sem],0)</f>
        <v>0</v>
      </c>
    </row>
    <row r="794" spans="1:42" ht="15.75" x14ac:dyDescent="0.25">
      <c r="A794" s="29">
        <f>WEEKNUM(MIP_4[[#This Row],[Data]])</f>
        <v>47</v>
      </c>
      <c r="B794" s="45">
        <v>43058</v>
      </c>
      <c r="C794" s="45"/>
      <c r="D794" s="46" t="s">
        <v>72</v>
      </c>
      <c r="E794" s="35" t="s">
        <v>2</v>
      </c>
      <c r="F794" s="35" t="s">
        <v>6</v>
      </c>
      <c r="G794" s="44">
        <v>3</v>
      </c>
      <c r="H794" s="44">
        <v>10</v>
      </c>
      <c r="I794" s="44">
        <v>1</v>
      </c>
      <c r="J794" s="44">
        <v>0</v>
      </c>
      <c r="K794" s="44">
        <v>0</v>
      </c>
      <c r="L794" s="43">
        <v>0.64027777777777783</v>
      </c>
      <c r="M794" s="43">
        <v>0.65694444444444444</v>
      </c>
      <c r="N794" s="43">
        <v>1.0201388888888889</v>
      </c>
      <c r="O794" s="43">
        <v>4.2361111111111106E-2</v>
      </c>
      <c r="P794" s="39">
        <v>2.6388888888888889E-2</v>
      </c>
      <c r="Q794" s="42" t="s">
        <v>125</v>
      </c>
      <c r="R794" s="29">
        <f>MIP_4[[#This Row],[PT-1]]+MIP_4[[#This Row],[PT-2]]*2+MIP_4[[#This Row],[PT-3]]*3+MIP_4[[#This Row],[PT &gt; 3 Pontos]]</f>
        <v>12</v>
      </c>
      <c r="S79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6.5277777777777643E-2</v>
      </c>
      <c r="T79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3.8888888888888751E-2</v>
      </c>
      <c r="U794" s="41">
        <f ca="1">MIP_4[[#This Row],[Eficiência]]</f>
        <v>0.99670801364023809</v>
      </c>
      <c r="V794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94" s="39">
        <f>IF(MIP_4[[#This Row],[P.S]]-MIP_4[[#This Row],[P.E]]&lt;0,1+MIP_4[[#This Row],[P.S]]-MIP_4[[#This Row],[P.E]]-1/24,MIP_4[[#This Row],[P.S]]-MIP_4[[#This Row],[P.E]]-1/24)</f>
        <v>0.36041666666666655</v>
      </c>
      <c r="X794" s="39">
        <f ca="1">MIP_4[[#This Row],[PT-1]]*$S$3+MIP_4[[#This Row],[PT-2]]*$T$3+MIP_4[[#This Row],[PT-3]]*$U$3+MIP_4[[#This Row],[PT &gt; 3 Pontos]]*$V$3</f>
        <v>0.29416729569243139</v>
      </c>
      <c r="Y794" s="39">
        <f>MIP_4[[#This Row],[HH disponível]]-MIP_4[[#This Row],[HH AC TOT]]</f>
        <v>0.2951388888888889</v>
      </c>
      <c r="Z794" s="38">
        <f ca="1">MIP_4[[#This Row],[HH Produtivo
Total]]/MIP_4[[#This Row],[HH Trabalhado]]</f>
        <v>0.99670801364023809</v>
      </c>
      <c r="AA794" s="38">
        <f ca="1">MIP_4[[#This Row],[HH Produtivo
Total]]/MIP_4[[#This Row],[HH disponível]]</f>
        <v>0.81618671637206419</v>
      </c>
      <c r="AB794" s="38">
        <f>MIP_4[[#This Row],[HH Trabalhado]]/MIP_4[[#This Row],[HH disponível]]</f>
        <v>0.81888246628131045</v>
      </c>
      <c r="AC794" s="37" t="str">
        <f>LEFT(MIP_4[[#This Row],[Equipe]], SEARCH("/",MIP_4[[#This Row],[Equipe]],1)-1)</f>
        <v xml:space="preserve">ANDERSON </v>
      </c>
      <c r="AD794" s="37" t="str">
        <f>RIGHT(MIP_4[[#This Row],[Equipe]], LEN(MIP_4[[#This Row],[Equipe]])-SEARCH("/",MIP_4[[#This Row],[Equipe]],1))</f>
        <v xml:space="preserve"> GECIVALDO / MARCO</v>
      </c>
      <c r="AE794" s="29">
        <f>COUNTIFS('[1]Tempo parado'!G:G,"&gt;="&amp;MIP_4[[#This Row],[S.B Sitrack]],'[1]Tempo parado'!H:H,"&lt;="&amp;MIP_4[[#This Row],[C.B Sitrack]],'[1]Tempo parado'!A:A,MIP_4[[#This Row],[Placa]])</f>
        <v>0</v>
      </c>
      <c r="AF794" s="36"/>
      <c r="AG794" s="35"/>
      <c r="AH794" s="34">
        <v>43058.663206018522</v>
      </c>
      <c r="AI794" s="34">
        <v>43059.025555555556</v>
      </c>
      <c r="AJ794" s="32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1.1111111111111047E-2</v>
      </c>
      <c r="AK79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53.499999999999993</v>
      </c>
      <c r="AL79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94" s="31">
        <f>IFERROR(MIP_4[[#This Row],[Tempo parado]]/(MIP_4[[#This Row],[C.B Sitrack]]-MIP_4[[#This Row],[S.B Sitrack]]),"")</f>
        <v>0</v>
      </c>
      <c r="AN794" s="70" t="s">
        <v>124</v>
      </c>
      <c r="AO794" s="44">
        <f>IF(AND(MIP_4[Exc]=0,MIP_4[Previsto / Realizado]="Realizado"),MIP_4[Sem],0)</f>
        <v>47</v>
      </c>
      <c r="AP794" s="29">
        <f>IF(AND(MIP_4[Exc]=0,MIP_4[Previsto / Realizado]="Realizado",ISBLANK(MIP_4[[#This Row],[S.B Sitrack]])=FALSE,ISBLANK(MIP_4[[#This Row],[C.B Sitrack]])=FALSE),MIP_4[Sem],0)</f>
        <v>47</v>
      </c>
    </row>
    <row r="795" spans="1:42" ht="15.75" x14ac:dyDescent="0.25">
      <c r="A795" s="29">
        <f>WEEKNUM(MIP_4[[#This Row],[Data]])</f>
        <v>47</v>
      </c>
      <c r="B795" s="45">
        <v>43059</v>
      </c>
      <c r="C795" s="45"/>
      <c r="D795" s="35" t="s">
        <v>7</v>
      </c>
      <c r="E795" s="35" t="s">
        <v>5</v>
      </c>
      <c r="F795" s="35"/>
      <c r="G795" s="44">
        <v>2</v>
      </c>
      <c r="H795" s="44">
        <v>1</v>
      </c>
      <c r="I795" s="44">
        <v>0</v>
      </c>
      <c r="J795" s="44">
        <v>0</v>
      </c>
      <c r="K795" s="44">
        <v>10</v>
      </c>
      <c r="L795" s="43">
        <v>0.625</v>
      </c>
      <c r="M795" s="43">
        <v>0.64583333333333337</v>
      </c>
      <c r="N795" s="43">
        <v>1.0125</v>
      </c>
      <c r="O795" s="43">
        <v>1.0333333333333334</v>
      </c>
      <c r="P795" s="39"/>
      <c r="Q795" s="67"/>
      <c r="R795" s="29">
        <f>MIP_4[[#This Row],[PT-1]]+MIP_4[[#This Row],[PT-2]]*2+MIP_4[[#This Row],[PT-3]]*3+MIP_4[[#This Row],[PT &gt; 3 Pontos]]</f>
        <v>11</v>
      </c>
      <c r="S79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79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795" s="41">
        <f ca="1">MIP_4[[#This Row],[Eficiência]]</f>
        <v>0.70001834389666562</v>
      </c>
      <c r="V795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95" s="39">
        <f>IF(MIP_4[[#This Row],[P.S]]-MIP_4[[#This Row],[P.E]]&lt;0,1+MIP_4[[#This Row],[P.S]]-MIP_4[[#This Row],[P.E]]-1/24,MIP_4[[#This Row],[P.S]]-MIP_4[[#This Row],[P.E]]-1/24)</f>
        <v>0.36666666666666675</v>
      </c>
      <c r="X795" s="39">
        <f ca="1">MIP_4[[#This Row],[PT-1]]*$S$3+MIP_4[[#This Row],[PT-2]]*$T$3+MIP_4[[#This Row],[PT-3]]*$U$3+MIP_4[[#This Row],[PT &gt; 3 Pontos]]*$V$3</f>
        <v>0.22750596176641624</v>
      </c>
      <c r="Y795" s="39">
        <f>MIP_4[[#This Row],[HH disponível]]-MIP_4[[#This Row],[HH AC TOT]]</f>
        <v>0.3249999999999999</v>
      </c>
      <c r="Z795" s="38">
        <f ca="1">MIP_4[[#This Row],[HH Produtivo
Total]]/MIP_4[[#This Row],[HH Trabalhado]]</f>
        <v>0.70001834389666562</v>
      </c>
      <c r="AA795" s="38">
        <f ca="1">MIP_4[[#This Row],[HH Produtivo
Total]]/MIP_4[[#This Row],[HH disponível]]</f>
        <v>0.62047080481749872</v>
      </c>
      <c r="AB795" s="38">
        <f>MIP_4[[#This Row],[HH Trabalhado]]/MIP_4[[#This Row],[HH disponível]]</f>
        <v>0.88636363636363591</v>
      </c>
      <c r="AC795" s="37" t="str">
        <f>LEFT(MIP_4[[#This Row],[Equipe]], SEARCH("/",MIP_4[[#This Row],[Equipe]],1)-1)</f>
        <v xml:space="preserve">ANDERSON </v>
      </c>
      <c r="AD795" s="37" t="str">
        <f>RIGHT(MIP_4[[#This Row],[Equipe]], LEN(MIP_4[[#This Row],[Equipe]])-SEARCH("/",MIP_4[[#This Row],[Equipe]],1))</f>
        <v xml:space="preserve"> MARCO</v>
      </c>
      <c r="AE795" s="29">
        <f>COUNTIFS('[1]Tempo parado'!G:G,"&gt;="&amp;MIP_4[[#This Row],[S.B Sitrack]],'[1]Tempo parado'!H:H,"&lt;="&amp;MIP_4[[#This Row],[C.B Sitrack]],'[1]Tempo parado'!A:A,MIP_4[[#This Row],[Placa]])</f>
        <v>0</v>
      </c>
      <c r="AF795" s="36"/>
      <c r="AG795" s="35"/>
      <c r="AH795" s="34"/>
      <c r="AI795" s="34"/>
      <c r="AJ79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9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9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95" s="31" t="str">
        <f>IFERROR(MIP_4[[#This Row],[Tempo parado]]/(MIP_4[[#This Row],[C.B Sitrack]]-MIP_4[[#This Row],[S.B Sitrack]]),"")</f>
        <v/>
      </c>
      <c r="AN795" s="30"/>
      <c r="AO795" s="44">
        <f>IF(AND(MIP_4[Exc]=0,MIP_4[Previsto / Realizado]="Realizado"),MIP_4[Sem],0)</f>
        <v>0</v>
      </c>
      <c r="AP795" s="29">
        <f>IF(AND(MIP_4[Exc]=0,MIP_4[Previsto / Realizado]="Realizado",ISBLANK(MIP_4[[#This Row],[S.B Sitrack]])=FALSE,ISBLANK(MIP_4[[#This Row],[C.B Sitrack]])=FALSE),MIP_4[Sem],0)</f>
        <v>0</v>
      </c>
    </row>
    <row r="796" spans="1:42" ht="15.75" x14ac:dyDescent="0.25">
      <c r="A796" s="29">
        <f>WEEKNUM(MIP_4[[#This Row],[Data]])</f>
        <v>47</v>
      </c>
      <c r="B796" s="45">
        <v>43059</v>
      </c>
      <c r="C796" s="45"/>
      <c r="D796" s="69" t="s">
        <v>7</v>
      </c>
      <c r="E796" s="35" t="s">
        <v>2</v>
      </c>
      <c r="F796" s="35" t="s">
        <v>6</v>
      </c>
      <c r="G796" s="44">
        <v>2</v>
      </c>
      <c r="H796" s="44">
        <v>2</v>
      </c>
      <c r="I796" s="44">
        <v>0</v>
      </c>
      <c r="J796" s="44">
        <v>0</v>
      </c>
      <c r="K796" s="44">
        <v>10</v>
      </c>
      <c r="L796" s="43">
        <v>0.62361111111111112</v>
      </c>
      <c r="M796" s="43">
        <v>0.65972222222222221</v>
      </c>
      <c r="N796" s="43">
        <v>1.0291666666666666</v>
      </c>
      <c r="O796" s="68">
        <v>3.4027777777777775E-2</v>
      </c>
      <c r="P796" s="39">
        <v>7.4999999999999997E-2</v>
      </c>
      <c r="Q796" s="25" t="s">
        <v>123</v>
      </c>
      <c r="R796" s="29">
        <f>MIP_4[[#This Row],[PT-1]]+MIP_4[[#This Row],[PT-2]]*2+MIP_4[[#This Row],[PT-3]]*3+MIP_4[[#This Row],[PT &gt; 3 Pontos]]</f>
        <v>12</v>
      </c>
      <c r="S79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0.1159722222222223</v>
      </c>
      <c r="T79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4.0972222222222299E-2</v>
      </c>
      <c r="U796" s="41">
        <f ca="1">MIP_4[[#This Row],[Eficiência]]</f>
        <v>0.99902695935304719</v>
      </c>
      <c r="V796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96" s="39">
        <f>IF(MIP_4[[#This Row],[P.S]]-MIP_4[[#This Row],[P.E]]&lt;0,1+MIP_4[[#This Row],[P.S]]-MIP_4[[#This Row],[P.E]]-1/24,MIP_4[[#This Row],[P.S]]-MIP_4[[#This Row],[P.E]]-1/24)</f>
        <v>0.36874999999999997</v>
      </c>
      <c r="X796" s="39">
        <f ca="1">MIP_4[[#This Row],[PT-1]]*$S$3+MIP_4[[#This Row],[PT-2]]*$T$3+MIP_4[[#This Row],[PT-3]]*$U$3+MIP_4[[#This Row],[PT &gt; 3 Pontos]]*$V$3</f>
        <v>0.25253181472535347</v>
      </c>
      <c r="Y796" s="39">
        <f>MIP_4[[#This Row],[HH disponível]]-MIP_4[[#This Row],[HH AC TOT]]</f>
        <v>0.25277777777777766</v>
      </c>
      <c r="Z796" s="38">
        <f ca="1">MIP_4[[#This Row],[HH Produtivo
Total]]/MIP_4[[#This Row],[HH Trabalhado]]</f>
        <v>0.99902695935304719</v>
      </c>
      <c r="AA796" s="38">
        <f ca="1">MIP_4[[#This Row],[HH Produtivo
Total]]/MIP_4[[#This Row],[HH disponível]]</f>
        <v>0.684832039933162</v>
      </c>
      <c r="AB796" s="38">
        <f>MIP_4[[#This Row],[HH Trabalhado]]/MIP_4[[#This Row],[HH disponível]]</f>
        <v>0.68549905838041403</v>
      </c>
      <c r="AC796" s="37" t="str">
        <f>LEFT(MIP_4[[#This Row],[Equipe]], SEARCH("/",MIP_4[[#This Row],[Equipe]],1)-1)</f>
        <v xml:space="preserve">ANDERSON </v>
      </c>
      <c r="AD796" s="37" t="str">
        <f>RIGHT(MIP_4[[#This Row],[Equipe]], LEN(MIP_4[[#This Row],[Equipe]])-SEARCH("/",MIP_4[[#This Row],[Equipe]],1))</f>
        <v xml:space="preserve"> MARCO</v>
      </c>
      <c r="AE796" s="29">
        <f>COUNTIFS('[1]Tempo parado'!G:G,"&gt;="&amp;MIP_4[[#This Row],[S.B Sitrack]],'[1]Tempo parado'!H:H,"&lt;="&amp;MIP_4[[#This Row],[C.B Sitrack]],'[1]Tempo parado'!A:A,MIP_4[[#This Row],[Placa]])</f>
        <v>0</v>
      </c>
      <c r="AF796" s="36"/>
      <c r="AG796" s="35"/>
      <c r="AH796" s="34">
        <v>43059.660833333335</v>
      </c>
      <c r="AI796" s="34">
        <v>43060.018113425926</v>
      </c>
      <c r="AJ796" s="32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1.1805555555555448E-2</v>
      </c>
      <c r="AK79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39.900000000000006</v>
      </c>
      <c r="AL79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96" s="31">
        <f>IFERROR(MIP_4[[#This Row],[Tempo parado]]/(MIP_4[[#This Row],[C.B Sitrack]]-MIP_4[[#This Row],[S.B Sitrack]]),"")</f>
        <v>0</v>
      </c>
      <c r="AN796" s="30" t="s">
        <v>122</v>
      </c>
      <c r="AO796" s="44">
        <f>IF(AND(MIP_4[Exc]=0,MIP_4[Previsto / Realizado]="Realizado"),MIP_4[Sem],0)</f>
        <v>47</v>
      </c>
      <c r="AP796" s="29">
        <f>IF(AND(MIP_4[Exc]=0,MIP_4[Previsto / Realizado]="Realizado",ISBLANK(MIP_4[[#This Row],[S.B Sitrack]])=FALSE,ISBLANK(MIP_4[[#This Row],[C.B Sitrack]])=FALSE),MIP_4[Sem],0)</f>
        <v>47</v>
      </c>
    </row>
    <row r="797" spans="1:42" ht="15.75" x14ac:dyDescent="0.25">
      <c r="A797" s="29">
        <f>WEEKNUM(MIP_4[[#This Row],[Data]])</f>
        <v>47</v>
      </c>
      <c r="B797" s="45">
        <v>43060</v>
      </c>
      <c r="C797" s="45"/>
      <c r="D797" s="35" t="s">
        <v>10</v>
      </c>
      <c r="E797" s="35" t="s">
        <v>5</v>
      </c>
      <c r="F797" s="35"/>
      <c r="G797" s="44">
        <v>2</v>
      </c>
      <c r="H797" s="44">
        <v>2</v>
      </c>
      <c r="I797" s="44">
        <v>2</v>
      </c>
      <c r="J797" s="44">
        <v>0</v>
      </c>
      <c r="K797" s="44">
        <v>0</v>
      </c>
      <c r="L797" s="43">
        <v>0.25</v>
      </c>
      <c r="M797" s="43">
        <v>0.27083333333333331</v>
      </c>
      <c r="N797" s="43">
        <v>0.63750000000000007</v>
      </c>
      <c r="O797" s="43">
        <v>0.65833333333333333</v>
      </c>
      <c r="P797" s="39"/>
      <c r="Q797" s="67" t="s">
        <v>4</v>
      </c>
      <c r="R797" s="29">
        <f>MIP_4[[#This Row],[PT-1]]+MIP_4[[#This Row],[PT-2]]*2+MIP_4[[#This Row],[PT-3]]*3+MIP_4[[#This Row],[PT &gt; 3 Pontos]]</f>
        <v>6</v>
      </c>
      <c r="S79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4.1666666666666574E-2</v>
      </c>
      <c r="T79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4.1666666666666574E-2</v>
      </c>
      <c r="U797" s="41">
        <f ca="1">MIP_4[[#This Row],[Eficiência]]</f>
        <v>0.42421304038151852</v>
      </c>
      <c r="V797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97" s="39">
        <f>IF(MIP_4[[#This Row],[P.S]]-MIP_4[[#This Row],[P.E]]&lt;0,1+MIP_4[[#This Row],[P.S]]-MIP_4[[#This Row],[P.E]]-1/24,MIP_4[[#This Row],[P.S]]-MIP_4[[#This Row],[P.E]]-1/24)</f>
        <v>0.36666666666666664</v>
      </c>
      <c r="X797" s="39">
        <f ca="1">MIP_4[[#This Row],[PT-1]]*$S$3+MIP_4[[#This Row],[PT-2]]*$T$3+MIP_4[[#This Row],[PT-3]]*$U$3+MIP_4[[#This Row],[PT &gt; 3 Pontos]]*$V$3</f>
        <v>0.13786923812399354</v>
      </c>
      <c r="Y797" s="39">
        <f>MIP_4[[#This Row],[HH disponível]]-MIP_4[[#This Row],[HH AC TOT]]</f>
        <v>0.32500000000000007</v>
      </c>
      <c r="Z797" s="38">
        <f ca="1">MIP_4[[#This Row],[HH Produtivo
Total]]/MIP_4[[#This Row],[HH Trabalhado]]</f>
        <v>0.42421304038151852</v>
      </c>
      <c r="AA797" s="38">
        <f ca="1">MIP_4[[#This Row],[HH Produtivo
Total]]/MIP_4[[#This Row],[HH disponível]]</f>
        <v>0.37600701306543693</v>
      </c>
      <c r="AB797" s="38">
        <f>MIP_4[[#This Row],[HH Trabalhado]]/MIP_4[[#This Row],[HH disponível]]</f>
        <v>0.88636363636363658</v>
      </c>
      <c r="AC797" s="37" t="str">
        <f>LEFT(MIP_4[[#This Row],[Equipe]], SEARCH("/",MIP_4[[#This Row],[Equipe]],1)-1)</f>
        <v xml:space="preserve">JOILSON </v>
      </c>
      <c r="AD797" s="37" t="str">
        <f>RIGHT(MIP_4[[#This Row],[Equipe]], LEN(MIP_4[[#This Row],[Equipe]])-SEARCH("/",MIP_4[[#This Row],[Equipe]],1))</f>
        <v xml:space="preserve"> VALDEI</v>
      </c>
      <c r="AE797" s="29">
        <f>COUNTIFS('[1]Tempo parado'!G:G,"&gt;="&amp;MIP_4[[#This Row],[S.B Sitrack]],'[1]Tempo parado'!H:H,"&lt;="&amp;MIP_4[[#This Row],[C.B Sitrack]],'[1]Tempo parado'!A:A,MIP_4[[#This Row],[Placa]])</f>
        <v>0</v>
      </c>
      <c r="AF797" s="36"/>
      <c r="AG797" s="35"/>
      <c r="AH797" s="34"/>
      <c r="AI797" s="34"/>
      <c r="AJ79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9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9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97" s="31" t="str">
        <f>IFERROR(MIP_4[[#This Row],[Tempo parado]]/(MIP_4[[#This Row],[C.B Sitrack]]-MIP_4[[#This Row],[S.B Sitrack]]),"")</f>
        <v/>
      </c>
      <c r="AN797" s="30"/>
      <c r="AO797" s="44">
        <f>IF(AND(MIP_4[Exc]=0,MIP_4[Previsto / Realizado]="Realizado"),MIP_4[Sem],0)</f>
        <v>0</v>
      </c>
      <c r="AP797" s="29">
        <f>IF(AND(MIP_4[Exc]=0,MIP_4[Previsto / Realizado]="Realizado",ISBLANK(MIP_4[[#This Row],[S.B Sitrack]])=FALSE,ISBLANK(MIP_4[[#This Row],[C.B Sitrack]])=FALSE),MIP_4[Sem],0)</f>
        <v>0</v>
      </c>
    </row>
    <row r="798" spans="1:42" ht="15.75" x14ac:dyDescent="0.25">
      <c r="A798" s="29">
        <f>WEEKNUM(MIP_4[[#This Row],[Data]])</f>
        <v>47</v>
      </c>
      <c r="B798" s="45">
        <v>43060</v>
      </c>
      <c r="C798" s="45"/>
      <c r="D798" s="46" t="s">
        <v>10</v>
      </c>
      <c r="E798" s="35" t="s">
        <v>2</v>
      </c>
      <c r="F798" s="35" t="s">
        <v>1</v>
      </c>
      <c r="G798" s="44">
        <v>2</v>
      </c>
      <c r="H798" s="44">
        <v>7</v>
      </c>
      <c r="I798" s="44">
        <v>2</v>
      </c>
      <c r="J798" s="44">
        <v>0</v>
      </c>
      <c r="K798" s="44">
        <v>0</v>
      </c>
      <c r="L798" s="43">
        <v>0.24583333333333335</v>
      </c>
      <c r="M798" s="43">
        <v>0.26805555555555555</v>
      </c>
      <c r="N798" s="43">
        <v>0.60416666666666663</v>
      </c>
      <c r="O798" s="43">
        <v>0.65833333333333333</v>
      </c>
      <c r="P798" s="39"/>
      <c r="Q798" s="25" t="s">
        <v>9</v>
      </c>
      <c r="R798" s="29">
        <f>MIP_4[[#This Row],[PT-1]]+MIP_4[[#This Row],[PT-2]]*2+MIP_4[[#This Row],[PT-3]]*3+MIP_4[[#This Row],[PT &gt; 3 Pontos]]</f>
        <v>11</v>
      </c>
      <c r="S79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7.6388888888888895E-2</v>
      </c>
      <c r="T79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7.6388888888888895E-2</v>
      </c>
      <c r="U798" s="41">
        <f ca="1">MIP_4[[#This Row],[Eficiência]]</f>
        <v>0.893202462742685</v>
      </c>
      <c r="V798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98" s="39">
        <f>IF(MIP_4[[#This Row],[P.S]]-MIP_4[[#This Row],[P.E]]&lt;0,1+MIP_4[[#This Row],[P.S]]-MIP_4[[#This Row],[P.E]]-1/24,MIP_4[[#This Row],[P.S]]-MIP_4[[#This Row],[P.E]]-1/24)</f>
        <v>0.37083333333333329</v>
      </c>
      <c r="X798" s="39">
        <f ca="1">MIP_4[[#This Row],[PT-1]]*$S$3+MIP_4[[#This Row],[PT-2]]*$T$3+MIP_4[[#This Row],[PT-3]]*$U$3+MIP_4[[#This Row],[PT &gt; 3 Pontos]]*$V$3</f>
        <v>0.26299850291867943</v>
      </c>
      <c r="Y798" s="39">
        <f>MIP_4[[#This Row],[HH disponível]]-MIP_4[[#This Row],[HH AC TOT]]</f>
        <v>0.2944444444444444</v>
      </c>
      <c r="Z798" s="38">
        <f ca="1">MIP_4[[#This Row],[HH Produtivo
Total]]/MIP_4[[#This Row],[HH Trabalhado]]</f>
        <v>0.893202462742685</v>
      </c>
      <c r="AA798" s="38">
        <f ca="1">MIP_4[[#This Row],[HH Produtivo
Total]]/MIP_4[[#This Row],[HH disponível]]</f>
        <v>0.70920944607284353</v>
      </c>
      <c r="AB798" s="38">
        <f>MIP_4[[#This Row],[HH Trabalhado]]/MIP_4[[#This Row],[HH disponível]]</f>
        <v>0.79400749063670406</v>
      </c>
      <c r="AC798" s="37" t="str">
        <f>LEFT(MIP_4[[#This Row],[Equipe]], SEARCH("/",MIP_4[[#This Row],[Equipe]],1)-1)</f>
        <v xml:space="preserve">JOILSON </v>
      </c>
      <c r="AD798" s="37" t="str">
        <f>RIGHT(MIP_4[[#This Row],[Equipe]], LEN(MIP_4[[#This Row],[Equipe]])-SEARCH("/",MIP_4[[#This Row],[Equipe]],1))</f>
        <v xml:space="preserve"> VALDEI</v>
      </c>
      <c r="AE798" s="29">
        <f>COUNTIFS('[1]Tempo parado'!G:G,"&gt;="&amp;MIP_4[[#This Row],[S.B Sitrack]],'[1]Tempo parado'!H:H,"&lt;="&amp;MIP_4[[#This Row],[C.B Sitrack]],'[1]Tempo parado'!A:A,MIP_4[[#This Row],[Placa]])</f>
        <v>0</v>
      </c>
      <c r="AF798" s="36"/>
      <c r="AG798" s="35" t="s">
        <v>121</v>
      </c>
      <c r="AH798" s="34">
        <v>43060.269456018519</v>
      </c>
      <c r="AI798" s="34">
        <v>43060.626932870371</v>
      </c>
      <c r="AJ798" s="32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2.3611111111111138E-2</v>
      </c>
      <c r="AK79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41.1</v>
      </c>
      <c r="AL79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98" s="31">
        <f>IFERROR(MIP_4[[#This Row],[Tempo parado]]/(MIP_4[[#This Row],[C.B Sitrack]]-MIP_4[[#This Row],[S.B Sitrack]]),"")</f>
        <v>0</v>
      </c>
      <c r="AN798" s="30" t="s">
        <v>120</v>
      </c>
      <c r="AO798" s="44">
        <f>IF(AND(MIP_4[Exc]=0,MIP_4[Previsto / Realizado]="Realizado"),MIP_4[Sem],0)</f>
        <v>47</v>
      </c>
      <c r="AP798" s="29">
        <f>IF(AND(MIP_4[Exc]=0,MIP_4[Previsto / Realizado]="Realizado",ISBLANK(MIP_4[[#This Row],[S.B Sitrack]])=FALSE,ISBLANK(MIP_4[[#This Row],[C.B Sitrack]])=FALSE),MIP_4[Sem],0)</f>
        <v>47</v>
      </c>
    </row>
    <row r="799" spans="1:42" ht="15.75" x14ac:dyDescent="0.25">
      <c r="A799" s="29">
        <f>WEEKNUM(MIP_4[[#This Row],[Data]])</f>
        <v>47</v>
      </c>
      <c r="B799" s="45">
        <v>43060</v>
      </c>
      <c r="C799" s="45"/>
      <c r="D799" s="35" t="s">
        <v>83</v>
      </c>
      <c r="E799" s="35" t="s">
        <v>5</v>
      </c>
      <c r="F799" s="35"/>
      <c r="G799" s="44">
        <v>3</v>
      </c>
      <c r="H799" s="44">
        <v>9</v>
      </c>
      <c r="I799" s="44">
        <v>0</v>
      </c>
      <c r="J799" s="44">
        <v>0</v>
      </c>
      <c r="K799" s="44">
        <v>0</v>
      </c>
      <c r="L799" s="43">
        <v>0.625</v>
      </c>
      <c r="M799" s="43">
        <v>0.64583333333333337</v>
      </c>
      <c r="N799" s="43">
        <v>1.0125</v>
      </c>
      <c r="O799" s="43">
        <v>1.0333333333333334</v>
      </c>
      <c r="P799" s="39"/>
      <c r="Q799" s="67" t="s">
        <v>4</v>
      </c>
      <c r="R799" s="29">
        <f>MIP_4[[#This Row],[PT-1]]+MIP_4[[#This Row],[PT-2]]*2+MIP_4[[#This Row],[PT-3]]*3+MIP_4[[#This Row],[PT &gt; 3 Pontos]]</f>
        <v>9</v>
      </c>
      <c r="S79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4.1666666666666852E-2</v>
      </c>
      <c r="T79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4.1666666666666852E-2</v>
      </c>
      <c r="U799" s="41">
        <f ca="1">MIP_4[[#This Row],[Eficiência]]</f>
        <v>0.69302362040133747</v>
      </c>
      <c r="V799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799" s="39">
        <f>IF(MIP_4[[#This Row],[P.S]]-MIP_4[[#This Row],[P.E]]&lt;0,1+MIP_4[[#This Row],[P.S]]-MIP_4[[#This Row],[P.E]]-1/24,MIP_4[[#This Row],[P.S]]-MIP_4[[#This Row],[P.E]]-1/24)</f>
        <v>0.36666666666666675</v>
      </c>
      <c r="X799" s="39">
        <f ca="1">MIP_4[[#This Row],[PT-1]]*$S$3+MIP_4[[#This Row],[PT-2]]*$T$3+MIP_4[[#This Row],[PT-3]]*$U$3+MIP_4[[#This Row],[PT &gt; 3 Pontos]]*$V$3</f>
        <v>0.22523267663043461</v>
      </c>
      <c r="Y799" s="39">
        <f>MIP_4[[#This Row],[HH disponível]]-MIP_4[[#This Row],[HH AC TOT]]</f>
        <v>0.3249999999999999</v>
      </c>
      <c r="Z799" s="38">
        <f ca="1">MIP_4[[#This Row],[HH Produtivo
Total]]/MIP_4[[#This Row],[HH Trabalhado]]</f>
        <v>0.69302362040133747</v>
      </c>
      <c r="AA799" s="38">
        <f ca="1">MIP_4[[#This Row],[HH Produtivo
Total]]/MIP_4[[#This Row],[HH disponível]]</f>
        <v>0.61427093626482154</v>
      </c>
      <c r="AB799" s="38">
        <f>MIP_4[[#This Row],[HH Trabalhado]]/MIP_4[[#This Row],[HH disponível]]</f>
        <v>0.88636363636363591</v>
      </c>
      <c r="AC799" s="37" t="str">
        <f>LEFT(MIP_4[[#This Row],[Equipe]], SEARCH("/",MIP_4[[#This Row],[Equipe]],1)-1)</f>
        <v xml:space="preserve">ADEMÁRIO </v>
      </c>
      <c r="AD799" s="37" t="str">
        <f>RIGHT(MIP_4[[#This Row],[Equipe]], LEN(MIP_4[[#This Row],[Equipe]])-SEARCH("/",MIP_4[[#This Row],[Equipe]],1))</f>
        <v xml:space="preserve"> GECIVALDO / RONALDO</v>
      </c>
      <c r="AE799" s="29">
        <f>COUNTIFS('[1]Tempo parado'!G:G,"&gt;="&amp;MIP_4[[#This Row],[S.B Sitrack]],'[1]Tempo parado'!H:H,"&lt;="&amp;MIP_4[[#This Row],[C.B Sitrack]],'[1]Tempo parado'!A:A,MIP_4[[#This Row],[Placa]])</f>
        <v>0</v>
      </c>
      <c r="AF799" s="36"/>
      <c r="AG799" s="35"/>
      <c r="AH799" s="34"/>
      <c r="AI799" s="34"/>
      <c r="AJ79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79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79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799" s="31" t="str">
        <f>IFERROR(MIP_4[[#This Row],[Tempo parado]]/(MIP_4[[#This Row],[C.B Sitrack]]-MIP_4[[#This Row],[S.B Sitrack]]),"")</f>
        <v/>
      </c>
      <c r="AN799" s="30"/>
      <c r="AO799" s="44">
        <f>IF(AND(MIP_4[Exc]=0,MIP_4[Previsto / Realizado]="Realizado"),MIP_4[Sem],0)</f>
        <v>0</v>
      </c>
      <c r="AP799" s="29">
        <f>IF(AND(MIP_4[Exc]=0,MIP_4[Previsto / Realizado]="Realizado",ISBLANK(MIP_4[[#This Row],[S.B Sitrack]])=FALSE,ISBLANK(MIP_4[[#This Row],[C.B Sitrack]])=FALSE),MIP_4[Sem],0)</f>
        <v>0</v>
      </c>
    </row>
    <row r="800" spans="1:42" ht="15.75" x14ac:dyDescent="0.25">
      <c r="A800" s="12">
        <f>WEEKNUM(MIP_4[[#This Row],[Data]])</f>
        <v>47</v>
      </c>
      <c r="B800" s="28">
        <v>43060</v>
      </c>
      <c r="C800" s="28"/>
      <c r="D800" s="66" t="s">
        <v>83</v>
      </c>
      <c r="E800" s="18" t="s">
        <v>2</v>
      </c>
      <c r="F800" s="18" t="s">
        <v>39</v>
      </c>
      <c r="G800" s="27">
        <v>3</v>
      </c>
      <c r="H800" s="27">
        <v>12</v>
      </c>
      <c r="I800" s="27">
        <v>0</v>
      </c>
      <c r="J800" s="27">
        <v>0</v>
      </c>
      <c r="K800" s="27">
        <v>0</v>
      </c>
      <c r="L800" s="26">
        <v>0.625</v>
      </c>
      <c r="M800" s="26">
        <v>0.66249999999999998</v>
      </c>
      <c r="N800" s="26">
        <v>1.0055555555555555</v>
      </c>
      <c r="O800" s="26">
        <v>3.3333333333333333E-2</v>
      </c>
      <c r="P800" s="22"/>
      <c r="Q800" s="25" t="s">
        <v>34</v>
      </c>
      <c r="R800" s="12">
        <f>MIP_4[[#This Row],[PT-1]]+MIP_4[[#This Row],[PT-2]]*2+MIP_4[[#This Row],[PT-3]]*3+MIP_4[[#This Row],[PT &gt; 3 Pontos]]</f>
        <v>12</v>
      </c>
      <c r="S800" s="22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6.5277777777777879E-2</v>
      </c>
      <c r="T800" s="22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6.5277777777777879E-2</v>
      </c>
      <c r="U800" s="24">
        <f ca="1">MIP_4[[#This Row],[Eficiência]]</f>
        <v>0.99642105790422697</v>
      </c>
      <c r="V800" s="23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00" s="22">
        <f>IF(MIP_4[[#This Row],[P.S]]-MIP_4[[#This Row],[P.E]]&lt;0,1+MIP_4[[#This Row],[P.S]]-MIP_4[[#This Row],[P.E]]-1/24,MIP_4[[#This Row],[P.S]]-MIP_4[[#This Row],[P.E]]-1/24)</f>
        <v>0.36666666666666675</v>
      </c>
      <c r="X800" s="22">
        <f ca="1">MIP_4[[#This Row],[PT-1]]*$S$3+MIP_4[[#This Row],[PT-2]]*$T$3+MIP_4[[#This Row],[PT-3]]*$U$3+MIP_4[[#This Row],[PT &gt; 3 Pontos]]*$V$3</f>
        <v>0.30031023550724617</v>
      </c>
      <c r="Y800" s="22">
        <f>MIP_4[[#This Row],[HH disponível]]-MIP_4[[#This Row],[HH AC TOT]]</f>
        <v>0.30138888888888887</v>
      </c>
      <c r="Z800" s="21">
        <f ca="1">MIP_4[[#This Row],[HH Produtivo
Total]]/MIP_4[[#This Row],[HH Trabalhado]]</f>
        <v>0.99642105790422697</v>
      </c>
      <c r="AA800" s="21">
        <f ca="1">MIP_4[[#This Row],[HH Produtivo
Total]]/MIP_4[[#This Row],[HH disponível]]</f>
        <v>0.81902791501976213</v>
      </c>
      <c r="AB800" s="21">
        <f>MIP_4[[#This Row],[HH Trabalhado]]/MIP_4[[#This Row],[HH disponível]]</f>
        <v>0.82196969696969668</v>
      </c>
      <c r="AC800" s="20" t="str">
        <f>LEFT(MIP_4[[#This Row],[Equipe]], SEARCH("/",MIP_4[[#This Row],[Equipe]],1)-1)</f>
        <v xml:space="preserve">ADEMÁRIO </v>
      </c>
      <c r="AD800" s="20" t="str">
        <f>RIGHT(MIP_4[[#This Row],[Equipe]], LEN(MIP_4[[#This Row],[Equipe]])-SEARCH("/",MIP_4[[#This Row],[Equipe]],1))</f>
        <v xml:space="preserve"> GECIVALDO / RONALDO</v>
      </c>
      <c r="AE800" s="12">
        <f>COUNTIFS('[1]Tempo parado'!G:G,"&gt;="&amp;MIP_4[[#This Row],[S.B Sitrack]],'[1]Tempo parado'!H:H,"&lt;="&amp;MIP_4[[#This Row],[C.B Sitrack]],'[1]Tempo parado'!A:A,MIP_4[[#This Row],[Placa]])</f>
        <v>0</v>
      </c>
      <c r="AF800" s="19"/>
      <c r="AG800" s="18"/>
      <c r="AH800" s="17">
        <v>43060.666759259257</v>
      </c>
      <c r="AI800" s="17">
        <v>43061.020231481481</v>
      </c>
      <c r="AJ800" s="32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1.8750000000000006E-2</v>
      </c>
      <c r="AK800" s="16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48.5</v>
      </c>
      <c r="AL800" s="15">
        <f>SUMIFS('[1]Tempo parado'!I:I,'[1]Tempo parado'!G:G,"&gt;="&amp;MIP_4[[#This Row],[S.B Sitrack]],'[1]Tempo parado'!H:H,"&lt;="&amp;MIP_4[[#This Row],[C.B Sitrack]],'[1]Tempo parado'!A:A,MIP_4[[#This Row],[Placa]])</f>
        <v>0</v>
      </c>
      <c r="AM800" s="14">
        <f>IFERROR(MIP_4[[#This Row],[Tempo parado]]/(MIP_4[[#This Row],[C.B Sitrack]]-MIP_4[[#This Row],[S.B Sitrack]]),"")</f>
        <v>0</v>
      </c>
      <c r="AN800" s="30" t="s">
        <v>119</v>
      </c>
      <c r="AO800" s="44">
        <f>IF(AND(MIP_4[Exc]=0,MIP_4[Previsto / Realizado]="Realizado"),MIP_4[Sem],0)</f>
        <v>47</v>
      </c>
      <c r="AP800" s="29">
        <f>IF(AND(MIP_4[Exc]=0,MIP_4[Previsto / Realizado]="Realizado",ISBLANK(MIP_4[[#This Row],[S.B Sitrack]])=FALSE,ISBLANK(MIP_4[[#This Row],[C.B Sitrack]])=FALSE),MIP_4[Sem],0)</f>
        <v>47</v>
      </c>
    </row>
    <row r="801" spans="1:42" ht="15.75" x14ac:dyDescent="0.25">
      <c r="A801" s="54">
        <f>WEEKNUM(MIP_4[[#This Row],[Data]])</f>
        <v>47</v>
      </c>
      <c r="B801" s="63" t="s">
        <v>114</v>
      </c>
      <c r="C801" s="63"/>
      <c r="D801" s="52" t="s">
        <v>19</v>
      </c>
      <c r="E801" s="52" t="s">
        <v>5</v>
      </c>
      <c r="F801" s="52"/>
      <c r="G801" s="62">
        <v>2</v>
      </c>
      <c r="H801" s="62">
        <v>2</v>
      </c>
      <c r="I801" s="62">
        <v>1</v>
      </c>
      <c r="J801" s="62">
        <v>2</v>
      </c>
      <c r="K801" s="62">
        <v>4</v>
      </c>
      <c r="L801" s="61">
        <v>0.625</v>
      </c>
      <c r="M801" s="61">
        <v>0.63750000000000007</v>
      </c>
      <c r="N801" s="61">
        <v>4.8611111111111112E-3</v>
      </c>
      <c r="O801" s="61">
        <v>3.3333333333333333E-2</v>
      </c>
      <c r="P801" s="57"/>
      <c r="Q801" s="60"/>
      <c r="R801" s="54">
        <f>MIP_4[[#This Row],[PT-1]]+MIP_4[[#This Row],[PT-2]]*2+MIP_4[[#This Row],[PT-3]]*3+MIP_4[[#This Row],[PT &gt; 3 Pontos]]</f>
        <v>14</v>
      </c>
      <c r="S801" s="57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4.0972222222222299E-2</v>
      </c>
      <c r="T801" s="57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4.0972222222222299E-2</v>
      </c>
      <c r="U801" s="59">
        <f ca="1">MIP_4[[#This Row],[Eficiência]]</f>
        <v>0.92275406954186967</v>
      </c>
      <c r="V801" s="58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01" s="57">
        <f>IF(MIP_4[[#This Row],[P.S]]-MIP_4[[#This Row],[P.E]]&lt;0,1+MIP_4[[#This Row],[P.S]]-MIP_4[[#This Row],[P.E]]-1/24,MIP_4[[#This Row],[P.S]]-MIP_4[[#This Row],[P.E]]-1/24)</f>
        <v>0.36666666666666675</v>
      </c>
      <c r="X801" s="57">
        <f ca="1">MIP_4[[#This Row],[PT-1]]*$S$3+MIP_4[[#This Row],[PT-2]]*$T$3+MIP_4[[#This Row],[PT-3]]*$U$3+MIP_4[[#This Row],[PT &gt; 3 Pontos]]*$V$3</f>
        <v>0.30053587403828952</v>
      </c>
      <c r="Y801" s="57">
        <f>MIP_4[[#This Row],[HH disponível]]-MIP_4[[#This Row],[HH AC TOT]]</f>
        <v>0.32569444444444445</v>
      </c>
      <c r="Z801" s="56">
        <f ca="1">MIP_4[[#This Row],[HH Produtivo
Total]]/MIP_4[[#This Row],[HH Trabalhado]]</f>
        <v>0.92275406954186967</v>
      </c>
      <c r="AA801" s="56">
        <f ca="1">MIP_4[[#This Row],[HH Produtivo
Total]]/MIP_4[[#This Row],[HH disponível]]</f>
        <v>0.81964329283169846</v>
      </c>
      <c r="AB801" s="56">
        <f>MIP_4[[#This Row],[HH Trabalhado]]/MIP_4[[#This Row],[HH disponível]]</f>
        <v>0.88825757575757558</v>
      </c>
      <c r="AC801" s="55" t="str">
        <f>LEFT(MIP_4[[#This Row],[Equipe]], SEARCH("/",MIP_4[[#This Row],[Equipe]],1)-1)</f>
        <v xml:space="preserve">ADEMÁRIO </v>
      </c>
      <c r="AD801" s="55" t="str">
        <f>RIGHT(MIP_4[[#This Row],[Equipe]], LEN(MIP_4[[#This Row],[Equipe]])-SEARCH("/",MIP_4[[#This Row],[Equipe]],1))</f>
        <v xml:space="preserve"> RONALDO</v>
      </c>
      <c r="AE801" s="54">
        <f>COUNTIFS('[1]Tempo parado'!G:G,"&gt;="&amp;MIP_4[[#This Row],[S.B Sitrack]],'[1]Tempo parado'!H:H,"&lt;="&amp;MIP_4[[#This Row],[C.B Sitrack]],'[1]Tempo parado'!A:A,MIP_4[[#This Row],[Placa]])</f>
        <v>0</v>
      </c>
      <c r="AF801" s="53">
        <v>43062.358877314815</v>
      </c>
      <c r="AG801" s="52" t="s">
        <v>118</v>
      </c>
      <c r="AH801" s="51"/>
      <c r="AI801" s="51"/>
      <c r="AJ801" s="49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01" s="50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01" s="49">
        <f>SUMIFS('[1]Tempo parado'!I:I,'[1]Tempo parado'!G:G,"&gt;="&amp;MIP_4[[#This Row],[S.B Sitrack]],'[1]Tempo parado'!H:H,"&lt;="&amp;MIP_4[[#This Row],[C.B Sitrack]],'[1]Tempo parado'!A:A,MIP_4[[#This Row],[Placa]])</f>
        <v>0</v>
      </c>
      <c r="AM801" s="48" t="str">
        <f>IFERROR(MIP_4[[#This Row],[Tempo parado]]/(MIP_4[[#This Row],[C.B Sitrack]]-MIP_4[[#This Row],[S.B Sitrack]]),"")</f>
        <v/>
      </c>
      <c r="AN801" s="30"/>
      <c r="AO801" s="44">
        <f>IF(AND(MIP_4[Exc]=0,MIP_4[Previsto / Realizado]="Realizado"),MIP_4[Sem],0)</f>
        <v>0</v>
      </c>
      <c r="AP801" s="29">
        <f>IF(AND(MIP_4[Exc]=0,MIP_4[Previsto / Realizado]="Realizado",ISBLANK(MIP_4[[#This Row],[S.B Sitrack]])=FALSE,ISBLANK(MIP_4[[#This Row],[C.B Sitrack]])=FALSE),MIP_4[Sem],0)</f>
        <v>0</v>
      </c>
    </row>
    <row r="802" spans="1:42" ht="15.75" x14ac:dyDescent="0.25">
      <c r="A802" s="29">
        <f>WEEKNUM(MIP_4[[#This Row],[Data]])</f>
        <v>47</v>
      </c>
      <c r="B802" s="45">
        <v>43061</v>
      </c>
      <c r="C802" s="45"/>
      <c r="D802" s="46" t="s">
        <v>19</v>
      </c>
      <c r="E802" s="35" t="s">
        <v>2</v>
      </c>
      <c r="F802" s="35" t="s">
        <v>39</v>
      </c>
      <c r="G802" s="44">
        <v>2</v>
      </c>
      <c r="H802" s="44">
        <v>3</v>
      </c>
      <c r="I802" s="44">
        <v>1</v>
      </c>
      <c r="J802" s="44">
        <v>2</v>
      </c>
      <c r="K802" s="44">
        <v>4</v>
      </c>
      <c r="L802" s="43">
        <v>0.63611111111111118</v>
      </c>
      <c r="M802" s="43">
        <v>0.65277777777777779</v>
      </c>
      <c r="N802" s="43">
        <v>6.9444444444444441E-3</v>
      </c>
      <c r="O802" s="43">
        <v>4.1666666666666664E-2</v>
      </c>
      <c r="P802" s="39"/>
      <c r="Q802" s="42" t="s">
        <v>117</v>
      </c>
      <c r="R802" s="29">
        <f>MIP_4[[#This Row],[PT-1]]+MIP_4[[#This Row],[PT-2]]*2+MIP_4[[#This Row],[PT-3]]*3+MIP_4[[#This Row],[PT &gt; 3 Pontos]]</f>
        <v>15</v>
      </c>
      <c r="S80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5.1388888888888817E-2</v>
      </c>
      <c r="T80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5.1388888888888817E-2</v>
      </c>
      <c r="U802" s="41">
        <f ca="1">MIP_4[[#This Row],[Eficiência]]</f>
        <v>1.0417975263911254</v>
      </c>
      <c r="V802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02" s="39">
        <f>IF(MIP_4[[#This Row],[P.S]]-MIP_4[[#This Row],[P.E]]&lt;0,1+MIP_4[[#This Row],[P.S]]-MIP_4[[#This Row],[P.E]]-1/24,MIP_4[[#This Row],[P.S]]-MIP_4[[#This Row],[P.E]]-1/24)</f>
        <v>0.36388888888888887</v>
      </c>
      <c r="X802" s="39">
        <f ca="1">MIP_4[[#This Row],[PT-1]]*$S$3+MIP_4[[#This Row],[PT-2]]*$T$3+MIP_4[[#This Row],[PT-3]]*$U$3+MIP_4[[#This Row],[PT &gt; 3 Pontos]]*$V$3</f>
        <v>0.32556172699722674</v>
      </c>
      <c r="Y802" s="39">
        <f>MIP_4[[#This Row],[HH disponível]]-MIP_4[[#This Row],[HH AC TOT]]</f>
        <v>0.31250000000000006</v>
      </c>
      <c r="Z802" s="38">
        <f ca="1">MIP_4[[#This Row],[HH Produtivo
Total]]/MIP_4[[#This Row],[HH Trabalhado]]</f>
        <v>1.0417975263911254</v>
      </c>
      <c r="AA802" s="38">
        <f ca="1">MIP_4[[#This Row],[HH Produtivo
Total]]/MIP_4[[#This Row],[HH disponível]]</f>
        <v>0.89467344823665373</v>
      </c>
      <c r="AB802" s="38">
        <f>MIP_4[[#This Row],[HH Trabalhado]]/MIP_4[[#This Row],[HH disponível]]</f>
        <v>0.85877862595419863</v>
      </c>
      <c r="AC802" s="37" t="str">
        <f>LEFT(MIP_4[[#This Row],[Equipe]], SEARCH("/",MIP_4[[#This Row],[Equipe]],1)-1)</f>
        <v xml:space="preserve">ADEMÁRIO </v>
      </c>
      <c r="AD802" s="37" t="str">
        <f>RIGHT(MIP_4[[#This Row],[Equipe]], LEN(MIP_4[[#This Row],[Equipe]])-SEARCH("/",MIP_4[[#This Row],[Equipe]],1))</f>
        <v xml:space="preserve"> RONALDO</v>
      </c>
      <c r="AE802" s="29">
        <f>COUNTIFS('[1]Tempo parado'!G:G,"&gt;="&amp;MIP_4[[#This Row],[S.B Sitrack]],'[1]Tempo parado'!H:H,"&lt;="&amp;MIP_4[[#This Row],[C.B Sitrack]],'[1]Tempo parado'!A:A,MIP_4[[#This Row],[Placa]])</f>
        <v>0</v>
      </c>
      <c r="AF802" s="36"/>
      <c r="AG802" s="35" t="s">
        <v>116</v>
      </c>
      <c r="AH802" s="34">
        <v>43061.656354166669</v>
      </c>
      <c r="AI802" s="34">
        <v>43062.015127314815</v>
      </c>
      <c r="AJ802" s="32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1.1111111111111098E-2</v>
      </c>
      <c r="AK80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55.8</v>
      </c>
      <c r="AL80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02" s="31">
        <f>IFERROR(MIP_4[[#This Row],[Tempo parado]]/(MIP_4[[#This Row],[C.B Sitrack]]-MIP_4[[#This Row],[S.B Sitrack]]),"")</f>
        <v>0</v>
      </c>
      <c r="AN802" s="30" t="s">
        <v>115</v>
      </c>
      <c r="AO802" s="44">
        <f>IF(AND(MIP_4[Exc]=0,MIP_4[Previsto / Realizado]="Realizado"),MIP_4[Sem],0)</f>
        <v>47</v>
      </c>
      <c r="AP802" s="29">
        <f>IF(AND(MIP_4[Exc]=0,MIP_4[Previsto / Realizado]="Realizado",ISBLANK(MIP_4[[#This Row],[S.B Sitrack]])=FALSE,ISBLANK(MIP_4[[#This Row],[C.B Sitrack]])=FALSE),MIP_4[Sem],0)</f>
        <v>47</v>
      </c>
    </row>
    <row r="803" spans="1:42" ht="15.75" x14ac:dyDescent="0.25">
      <c r="A803" s="54">
        <f>WEEKNUM(MIP_4[[#This Row],[Data]])</f>
        <v>47</v>
      </c>
      <c r="B803" s="63" t="s">
        <v>114</v>
      </c>
      <c r="C803" s="63"/>
      <c r="D803" s="52" t="s">
        <v>7</v>
      </c>
      <c r="E803" s="52" t="s">
        <v>5</v>
      </c>
      <c r="F803" s="52"/>
      <c r="G803" s="62">
        <v>2</v>
      </c>
      <c r="H803" s="62">
        <v>2</v>
      </c>
      <c r="I803" s="62">
        <v>2</v>
      </c>
      <c r="J803" s="62">
        <v>0</v>
      </c>
      <c r="K803" s="62">
        <v>0</v>
      </c>
      <c r="L803" s="61">
        <v>0.625</v>
      </c>
      <c r="M803" s="61">
        <v>0.6381944444444444</v>
      </c>
      <c r="N803" s="61">
        <v>5.5555555555555558E-3</v>
      </c>
      <c r="O803" s="61">
        <v>3.3333333333333333E-2</v>
      </c>
      <c r="P803" s="57"/>
      <c r="Q803" s="60" t="s">
        <v>36</v>
      </c>
      <c r="R803" s="54">
        <f>MIP_4[[#This Row],[PT-1]]+MIP_4[[#This Row],[PT-2]]*2+MIP_4[[#This Row],[PT-3]]*3+MIP_4[[#This Row],[PT &gt; 3 Pontos]]</f>
        <v>6</v>
      </c>
      <c r="S803" s="57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4.0972222222222188E-2</v>
      </c>
      <c r="T803" s="57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4.0972222222222188E-2</v>
      </c>
      <c r="U803" s="59">
        <f ca="1">MIP_4[[#This Row],[Eficiência]]</f>
        <v>0.42330853496492671</v>
      </c>
      <c r="V803" s="58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03" s="57">
        <f>IF(MIP_4[[#This Row],[P.S]]-MIP_4[[#This Row],[P.E]]&lt;0,1+MIP_4[[#This Row],[P.S]]-MIP_4[[#This Row],[P.E]]-1/24,MIP_4[[#This Row],[P.S]]-MIP_4[[#This Row],[P.E]]-1/24)</f>
        <v>0.36666666666666675</v>
      </c>
      <c r="X803" s="57">
        <f ca="1">MIP_4[[#This Row],[PT-1]]*$S$3+MIP_4[[#This Row],[PT-2]]*$T$3+MIP_4[[#This Row],[PT-3]]*$U$3+MIP_4[[#This Row],[PT &gt; 3 Pontos]]*$V$3</f>
        <v>0.13786923812399354</v>
      </c>
      <c r="Y803" s="57">
        <f>MIP_4[[#This Row],[HH disponível]]-MIP_4[[#This Row],[HH AC TOT]]</f>
        <v>0.32569444444444456</v>
      </c>
      <c r="Z803" s="56">
        <f ca="1">MIP_4[[#This Row],[HH Produtivo
Total]]/MIP_4[[#This Row],[HH Trabalhado]]</f>
        <v>0.42330853496492671</v>
      </c>
      <c r="AA803" s="56">
        <f ca="1">MIP_4[[#This Row],[HH Produtivo
Total]]/MIP_4[[#This Row],[HH disponível]]</f>
        <v>0.37600701306543682</v>
      </c>
      <c r="AB803" s="56">
        <f>MIP_4[[#This Row],[HH Trabalhado]]/MIP_4[[#This Row],[HH disponível]]</f>
        <v>0.88825757575757591</v>
      </c>
      <c r="AC803" s="55" t="str">
        <f>LEFT(MIP_4[[#This Row],[Equipe]], SEARCH("/",MIP_4[[#This Row],[Equipe]],1)-1)</f>
        <v xml:space="preserve">ANDERSON </v>
      </c>
      <c r="AD803" s="55" t="str">
        <f>RIGHT(MIP_4[[#This Row],[Equipe]], LEN(MIP_4[[#This Row],[Equipe]])-SEARCH("/",MIP_4[[#This Row],[Equipe]],1))</f>
        <v xml:space="preserve"> MARCO</v>
      </c>
      <c r="AE803" s="54">
        <f>COUNTIFS('[1]Tempo parado'!G:G,"&gt;="&amp;MIP_4[[#This Row],[S.B Sitrack]],'[1]Tempo parado'!H:H,"&lt;="&amp;MIP_4[[#This Row],[C.B Sitrack]],'[1]Tempo parado'!A:A,MIP_4[[#This Row],[Placa]])</f>
        <v>0</v>
      </c>
      <c r="AF803" s="53">
        <v>43062.367152777777</v>
      </c>
      <c r="AG803" s="52"/>
      <c r="AH803" s="51"/>
      <c r="AI803" s="51"/>
      <c r="AJ803" s="49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03" s="50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03" s="49">
        <f>SUMIFS('[1]Tempo parado'!I:I,'[1]Tempo parado'!G:G,"&gt;="&amp;MIP_4[[#This Row],[S.B Sitrack]],'[1]Tempo parado'!H:H,"&lt;="&amp;MIP_4[[#This Row],[C.B Sitrack]],'[1]Tempo parado'!A:A,MIP_4[[#This Row],[Placa]])</f>
        <v>0</v>
      </c>
      <c r="AM803" s="48" t="str">
        <f>IFERROR(MIP_4[[#This Row],[Tempo parado]]/(MIP_4[[#This Row],[C.B Sitrack]]-MIP_4[[#This Row],[S.B Sitrack]]),"")</f>
        <v/>
      </c>
      <c r="AN803" s="30"/>
      <c r="AO803" s="44">
        <f>IF(AND(MIP_4[Exc]=0,MIP_4[Previsto / Realizado]="Realizado"),MIP_4[Sem],0)</f>
        <v>0</v>
      </c>
      <c r="AP803" s="29">
        <f>IF(AND(MIP_4[Exc]=0,MIP_4[Previsto / Realizado]="Realizado",ISBLANK(MIP_4[[#This Row],[S.B Sitrack]])=FALSE,ISBLANK(MIP_4[[#This Row],[C.B Sitrack]])=FALSE),MIP_4[Sem],0)</f>
        <v>0</v>
      </c>
    </row>
    <row r="804" spans="1:42" ht="15.75" x14ac:dyDescent="0.25">
      <c r="A804" s="12">
        <f>WEEKNUM(MIP_4[[#This Row],[Data]])</f>
        <v>47</v>
      </c>
      <c r="B804" s="28">
        <v>43061</v>
      </c>
      <c r="C804" s="28"/>
      <c r="D804" s="66" t="s">
        <v>7</v>
      </c>
      <c r="E804" s="18" t="s">
        <v>2</v>
      </c>
      <c r="F804" s="18" t="s">
        <v>6</v>
      </c>
      <c r="G804" s="27">
        <v>2</v>
      </c>
      <c r="H804" s="27">
        <v>6</v>
      </c>
      <c r="I804" s="27">
        <v>3</v>
      </c>
      <c r="J804" s="27">
        <v>0</v>
      </c>
      <c r="K804" s="27">
        <v>0</v>
      </c>
      <c r="L804" s="26">
        <v>0.64166666666666672</v>
      </c>
      <c r="M804" s="26">
        <v>0.65277777777777779</v>
      </c>
      <c r="N804" s="26">
        <v>2.7083333333333334E-2</v>
      </c>
      <c r="O804" s="26">
        <v>3.3333333333333333E-2</v>
      </c>
      <c r="P804" s="22"/>
      <c r="Q804" s="25" t="s">
        <v>113</v>
      </c>
      <c r="R804" s="12">
        <f>MIP_4[[#This Row],[PT-1]]+MIP_4[[#This Row],[PT-2]]*2+MIP_4[[#This Row],[PT-3]]*3+MIP_4[[#This Row],[PT &gt; 3 Pontos]]</f>
        <v>12</v>
      </c>
      <c r="S804" s="22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1.7361111111111049E-2</v>
      </c>
      <c r="T804" s="22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1.7361111111111049E-2</v>
      </c>
      <c r="U804" s="24">
        <f ca="1">MIP_4[[#This Row],[Eficiência]]</f>
        <v>0.84740968503222236</v>
      </c>
      <c r="V804" s="23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04" s="22">
        <f>IF(MIP_4[[#This Row],[P.S]]-MIP_4[[#This Row],[P.E]]&lt;0,1+MIP_4[[#This Row],[P.S]]-MIP_4[[#This Row],[P.E]]-1/24,MIP_4[[#This Row],[P.S]]-MIP_4[[#This Row],[P.E]]-1/24)</f>
        <v>0.35000000000000003</v>
      </c>
      <c r="X804" s="22">
        <f ca="1">MIP_4[[#This Row],[PT-1]]*$S$3+MIP_4[[#This Row],[PT-2]]*$T$3+MIP_4[[#This Row],[PT-3]]*$U$3+MIP_4[[#This Row],[PT &gt; 3 Pontos]]*$V$3</f>
        <v>0.28188141606280182</v>
      </c>
      <c r="Y804" s="22">
        <f>MIP_4[[#This Row],[HH disponível]]-MIP_4[[#This Row],[HH AC TOT]]</f>
        <v>0.33263888888888898</v>
      </c>
      <c r="Z804" s="21">
        <f ca="1">MIP_4[[#This Row],[HH Produtivo
Total]]/MIP_4[[#This Row],[HH Trabalhado]]</f>
        <v>0.84740968503222236</v>
      </c>
      <c r="AA804" s="21">
        <f ca="1">MIP_4[[#This Row],[HH Produtivo
Total]]/MIP_4[[#This Row],[HH disponível]]</f>
        <v>0.80537547446514801</v>
      </c>
      <c r="AB804" s="21">
        <f>MIP_4[[#This Row],[HH Trabalhado]]/MIP_4[[#This Row],[HH disponível]]</f>
        <v>0.95039682539682557</v>
      </c>
      <c r="AC804" s="20" t="str">
        <f>LEFT(MIP_4[[#This Row],[Equipe]], SEARCH("/",MIP_4[[#This Row],[Equipe]],1)-1)</f>
        <v xml:space="preserve">ANDERSON </v>
      </c>
      <c r="AD804" s="20" t="str">
        <f>RIGHT(MIP_4[[#This Row],[Equipe]], LEN(MIP_4[[#This Row],[Equipe]])-SEARCH("/",MIP_4[[#This Row],[Equipe]],1))</f>
        <v xml:space="preserve"> MARCO</v>
      </c>
      <c r="AE804" s="12">
        <f>COUNTIFS('[1]Tempo parado'!G:G,"&gt;="&amp;MIP_4[[#This Row],[S.B Sitrack]],'[1]Tempo parado'!H:H,"&lt;="&amp;MIP_4[[#This Row],[C.B Sitrack]],'[1]Tempo parado'!A:A,MIP_4[[#This Row],[Placa]])</f>
        <v>0</v>
      </c>
      <c r="AF804" s="19">
        <v>43062.385694444441</v>
      </c>
      <c r="AG804" s="18" t="s">
        <v>112</v>
      </c>
      <c r="AH804" s="17">
        <v>43061.655787037038</v>
      </c>
      <c r="AI804" s="17">
        <v>43062.025879629633</v>
      </c>
      <c r="AJ804" s="32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4.1666666666666553E-3</v>
      </c>
      <c r="AK804" s="16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62.9</v>
      </c>
      <c r="AL804" s="15">
        <f>SUMIFS('[1]Tempo parado'!I:I,'[1]Tempo parado'!G:G,"&gt;="&amp;MIP_4[[#This Row],[S.B Sitrack]],'[1]Tempo parado'!H:H,"&lt;="&amp;MIP_4[[#This Row],[C.B Sitrack]],'[1]Tempo parado'!A:A,MIP_4[[#This Row],[Placa]])</f>
        <v>0</v>
      </c>
      <c r="AM804" s="14">
        <f>IFERROR(MIP_4[[#This Row],[Tempo parado]]/(MIP_4[[#This Row],[C.B Sitrack]]-MIP_4[[#This Row],[S.B Sitrack]]),"")</f>
        <v>0</v>
      </c>
      <c r="AN804" s="30" t="s">
        <v>111</v>
      </c>
      <c r="AO804" s="44">
        <f>IF(AND(MIP_4[Exc]=0,MIP_4[Previsto / Realizado]="Realizado"),MIP_4[Sem],0)</f>
        <v>47</v>
      </c>
      <c r="AP804" s="29">
        <f>IF(AND(MIP_4[Exc]=0,MIP_4[Previsto / Realizado]="Realizado",ISBLANK(MIP_4[[#This Row],[S.B Sitrack]])=FALSE,ISBLANK(MIP_4[[#This Row],[C.B Sitrack]])=FALSE),MIP_4[Sem],0)</f>
        <v>47</v>
      </c>
    </row>
    <row r="805" spans="1:42" ht="15.75" x14ac:dyDescent="0.25">
      <c r="A805" s="54">
        <f>WEEKNUM(MIP_4[[#This Row],[Data]])</f>
        <v>47</v>
      </c>
      <c r="B805" s="63" t="s">
        <v>108</v>
      </c>
      <c r="C805" s="63"/>
      <c r="D805" s="52" t="s">
        <v>10</v>
      </c>
      <c r="E805" s="52" t="s">
        <v>5</v>
      </c>
      <c r="F805" s="52"/>
      <c r="G805" s="62"/>
      <c r="H805" s="62">
        <v>4</v>
      </c>
      <c r="I805" s="62">
        <v>1</v>
      </c>
      <c r="J805" s="62">
        <v>0</v>
      </c>
      <c r="K805" s="62">
        <v>0</v>
      </c>
      <c r="L805" s="61">
        <v>0.25</v>
      </c>
      <c r="M805" s="61">
        <v>0.2638888888888889</v>
      </c>
      <c r="N805" s="61">
        <v>0.62986111111111109</v>
      </c>
      <c r="O805" s="61">
        <v>0.65833333333333333</v>
      </c>
      <c r="P805" s="57"/>
      <c r="Q805" s="60"/>
      <c r="R805" s="54">
        <f>MIP_4[[#This Row],[PT-1]]+MIP_4[[#This Row],[PT-2]]*2+MIP_4[[#This Row],[PT-3]]*3+MIP_4[[#This Row],[PT &gt; 3 Pontos]]</f>
        <v>6</v>
      </c>
      <c r="S805" s="57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4.2361111111111127E-2</v>
      </c>
      <c r="T805" s="57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4.2361111111111127E-2</v>
      </c>
      <c r="U805" s="59">
        <f ca="1">MIP_4[[#This Row],[Eficiência]]</f>
        <v>0.44406324674921621</v>
      </c>
      <c r="V805" s="58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05" s="57">
        <f>IF(MIP_4[[#This Row],[P.S]]-MIP_4[[#This Row],[P.E]]&lt;0,1+MIP_4[[#This Row],[P.S]]-MIP_4[[#This Row],[P.E]]-1/24,MIP_4[[#This Row],[P.S]]-MIP_4[[#This Row],[P.E]]-1/24)</f>
        <v>0.36666666666666664</v>
      </c>
      <c r="X805" s="57">
        <f ca="1">MIP_4[[#This Row],[PT-1]]*$S$3+MIP_4[[#This Row],[PT-2]]*$T$3+MIP_4[[#This Row],[PT-3]]*$U$3+MIP_4[[#This Row],[PT &gt; 3 Pontos]]*$V$3</f>
        <v>0.1440121779388083</v>
      </c>
      <c r="Y805" s="57">
        <f>MIP_4[[#This Row],[HH disponível]]-MIP_4[[#This Row],[HH AC TOT]]</f>
        <v>0.32430555555555551</v>
      </c>
      <c r="Z805" s="56">
        <f ca="1">MIP_4[[#This Row],[HH Produtivo
Total]]/MIP_4[[#This Row],[HH Trabalhado]]</f>
        <v>0.44406324674921621</v>
      </c>
      <c r="AA805" s="56">
        <f ca="1">MIP_4[[#This Row],[HH Produtivo
Total]]/MIP_4[[#This Row],[HH disponível]]</f>
        <v>0.392760485287659</v>
      </c>
      <c r="AB805" s="56">
        <f>MIP_4[[#This Row],[HH Trabalhado]]/MIP_4[[#This Row],[HH disponível]]</f>
        <v>0.88446969696969691</v>
      </c>
      <c r="AC805" s="55" t="str">
        <f>LEFT(MIP_4[[#This Row],[Equipe]], SEARCH("/",MIP_4[[#This Row],[Equipe]],1)-1)</f>
        <v xml:space="preserve">JOILSON </v>
      </c>
      <c r="AD805" s="55" t="str">
        <f>RIGHT(MIP_4[[#This Row],[Equipe]], LEN(MIP_4[[#This Row],[Equipe]])-SEARCH("/",MIP_4[[#This Row],[Equipe]],1))</f>
        <v xml:space="preserve"> VALDEI</v>
      </c>
      <c r="AE805" s="54">
        <f>COUNTIFS('[1]Tempo parado'!G:G,"&gt;="&amp;MIP_4[[#This Row],[S.B Sitrack]],'[1]Tempo parado'!H:H,"&lt;="&amp;MIP_4[[#This Row],[C.B Sitrack]],'[1]Tempo parado'!A:A,MIP_4[[#This Row],[Placa]])</f>
        <v>0</v>
      </c>
      <c r="AF805" s="53">
        <v>43066.350046296298</v>
      </c>
      <c r="AG805" s="52" t="s">
        <v>110</v>
      </c>
      <c r="AH805" s="51"/>
      <c r="AI805" s="51"/>
      <c r="AJ805" s="49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05" s="50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05" s="49">
        <f>SUMIFS('[1]Tempo parado'!I:I,'[1]Tempo parado'!G:G,"&gt;="&amp;MIP_4[[#This Row],[S.B Sitrack]],'[1]Tempo parado'!H:H,"&lt;="&amp;MIP_4[[#This Row],[C.B Sitrack]],'[1]Tempo parado'!A:A,MIP_4[[#This Row],[Placa]])</f>
        <v>0</v>
      </c>
      <c r="AM805" s="48" t="str">
        <f>IFERROR(MIP_4[[#This Row],[Tempo parado]]/(MIP_4[[#This Row],[C.B Sitrack]]-MIP_4[[#This Row],[S.B Sitrack]]),"")</f>
        <v/>
      </c>
      <c r="AN805" s="30"/>
      <c r="AO805" s="44">
        <f>IF(AND(MIP_4[Exc]=0,MIP_4[Previsto / Realizado]="Realizado"),MIP_4[Sem],0)</f>
        <v>0</v>
      </c>
      <c r="AP805" s="29">
        <f>IF(AND(MIP_4[Exc]=0,MIP_4[Previsto / Realizado]="Realizado",ISBLANK(MIP_4[[#This Row],[S.B Sitrack]])=FALSE,ISBLANK(MIP_4[[#This Row],[C.B Sitrack]])=FALSE),MIP_4[Sem],0)</f>
        <v>0</v>
      </c>
    </row>
    <row r="806" spans="1:42" ht="15.75" x14ac:dyDescent="0.25">
      <c r="A806" s="29">
        <f>WEEKNUM(MIP_4[[#This Row],[Data]])</f>
        <v>47</v>
      </c>
      <c r="B806" s="45">
        <v>43062</v>
      </c>
      <c r="C806" s="45"/>
      <c r="D806" s="35" t="s">
        <v>10</v>
      </c>
      <c r="E806" s="35" t="s">
        <v>2</v>
      </c>
      <c r="F806" s="35" t="s">
        <v>1</v>
      </c>
      <c r="G806" s="44"/>
      <c r="H806" s="44">
        <v>4</v>
      </c>
      <c r="I806" s="44">
        <v>1</v>
      </c>
      <c r="J806" s="44">
        <v>1</v>
      </c>
      <c r="K806" s="44">
        <v>0</v>
      </c>
      <c r="L806" s="43">
        <v>0.25</v>
      </c>
      <c r="M806" s="43">
        <v>0.26666666666666666</v>
      </c>
      <c r="N806" s="43">
        <v>0.62708333333333333</v>
      </c>
      <c r="O806" s="43">
        <v>0.65833333333333333</v>
      </c>
      <c r="P806" s="39"/>
      <c r="Q806" s="42" t="s">
        <v>32</v>
      </c>
      <c r="R806" s="29">
        <f>MIP_4[[#This Row],[PT-1]]+MIP_4[[#This Row],[PT-2]]*2+MIP_4[[#This Row],[PT-3]]*3+MIP_4[[#This Row],[PT &gt; 3 Pontos]]</f>
        <v>9</v>
      </c>
      <c r="S80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4.7916666666666663E-2</v>
      </c>
      <c r="T80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4.7916666666666663E-2</v>
      </c>
      <c r="U806" s="41">
        <f ca="1">MIP_4[[#This Row],[Eficiência]]</f>
        <v>0.64879641470114602</v>
      </c>
      <c r="V806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06" s="39">
        <f>IF(MIP_4[[#This Row],[P.S]]-MIP_4[[#This Row],[P.E]]&lt;0,1+MIP_4[[#This Row],[P.S]]-MIP_4[[#This Row],[P.E]]-1/24,MIP_4[[#This Row],[P.S]]-MIP_4[[#This Row],[P.E]]-1/24)</f>
        <v>0.36666666666666664</v>
      </c>
      <c r="X806" s="39">
        <f ca="1">MIP_4[[#This Row],[PT-1]]*$S$3+MIP_4[[#This Row],[PT-2]]*$T$3+MIP_4[[#This Row],[PT-3]]*$U$3+MIP_4[[#This Row],[PT &gt; 3 Pontos]]*$V$3</f>
        <v>0.20680385718599029</v>
      </c>
      <c r="Y806" s="39">
        <f>MIP_4[[#This Row],[HH disponível]]-MIP_4[[#This Row],[HH AC TOT]]</f>
        <v>0.31874999999999998</v>
      </c>
      <c r="Z806" s="38">
        <f ca="1">MIP_4[[#This Row],[HH Produtivo
Total]]/MIP_4[[#This Row],[HH Trabalhado]]</f>
        <v>0.64879641470114602</v>
      </c>
      <c r="AA806" s="38">
        <f ca="1">MIP_4[[#This Row],[HH Produtivo
Total]]/MIP_4[[#This Row],[HH disponível]]</f>
        <v>0.5640105195981554</v>
      </c>
      <c r="AB806" s="38">
        <f>MIP_4[[#This Row],[HH Trabalhado]]/MIP_4[[#This Row],[HH disponível]]</f>
        <v>0.86931818181818177</v>
      </c>
      <c r="AC806" s="37" t="str">
        <f>LEFT(MIP_4[[#This Row],[Equipe]], SEARCH("/",MIP_4[[#This Row],[Equipe]],1)-1)</f>
        <v xml:space="preserve">JOILSON </v>
      </c>
      <c r="AD806" s="37" t="str">
        <f>RIGHT(MIP_4[[#This Row],[Equipe]], LEN(MIP_4[[#This Row],[Equipe]])-SEARCH("/",MIP_4[[#This Row],[Equipe]],1))</f>
        <v xml:space="preserve"> VALDEI</v>
      </c>
      <c r="AE806" s="29">
        <f>COUNTIFS('[1]Tempo parado'!G:G,"&gt;="&amp;MIP_4[[#This Row],[S.B Sitrack]],'[1]Tempo parado'!H:H,"&lt;="&amp;MIP_4[[#This Row],[C.B Sitrack]],'[1]Tempo parado'!A:A,MIP_4[[#This Row],[Placa]])</f>
        <v>0</v>
      </c>
      <c r="AF806" s="36"/>
      <c r="AG806" s="35" t="s">
        <v>109</v>
      </c>
      <c r="AH806" s="34"/>
      <c r="AI806" s="34"/>
      <c r="AJ80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0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0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06" s="31" t="str">
        <f>IFERROR(MIP_4[[#This Row],[Tempo parado]]/(MIP_4[[#This Row],[C.B Sitrack]]-MIP_4[[#This Row],[S.B Sitrack]]),"")</f>
        <v/>
      </c>
      <c r="AN806" s="30"/>
      <c r="AO806" s="44">
        <f>IF(AND(MIP_4[Exc]=0,MIP_4[Previsto / Realizado]="Realizado"),MIP_4[Sem],0)</f>
        <v>47</v>
      </c>
      <c r="AP806" s="29">
        <f>IF(AND(MIP_4[Exc]=0,MIP_4[Previsto / Realizado]="Realizado",ISBLANK(MIP_4[[#This Row],[S.B Sitrack]])=FALSE,ISBLANK(MIP_4[[#This Row],[C.B Sitrack]])=FALSE),MIP_4[Sem],0)</f>
        <v>0</v>
      </c>
    </row>
    <row r="807" spans="1:42" ht="15.75" x14ac:dyDescent="0.25">
      <c r="A807" s="54">
        <f>WEEKNUM(MIP_4[[#This Row],[Data]])</f>
        <v>47</v>
      </c>
      <c r="B807" s="63" t="s">
        <v>108</v>
      </c>
      <c r="C807" s="63"/>
      <c r="D807" s="52" t="s">
        <v>7</v>
      </c>
      <c r="E807" s="52" t="s">
        <v>5</v>
      </c>
      <c r="F807" s="52"/>
      <c r="G807" s="62"/>
      <c r="H807" s="62">
        <v>1</v>
      </c>
      <c r="I807" s="62">
        <v>3</v>
      </c>
      <c r="J807" s="62">
        <v>2</v>
      </c>
      <c r="K807" s="62">
        <v>0</v>
      </c>
      <c r="L807" s="61">
        <v>0.625</v>
      </c>
      <c r="M807" s="61">
        <v>0.6381944444444444</v>
      </c>
      <c r="N807" s="61">
        <v>5.5555555555555558E-3</v>
      </c>
      <c r="O807" s="61">
        <v>3.3333333333333333E-2</v>
      </c>
      <c r="P807" s="57"/>
      <c r="Q807" s="60"/>
      <c r="R807" s="54">
        <f>MIP_4[[#This Row],[PT-1]]+MIP_4[[#This Row],[PT-2]]*2+MIP_4[[#This Row],[PT-3]]*3+MIP_4[[#This Row],[PT &gt; 3 Pontos]]</f>
        <v>13</v>
      </c>
      <c r="S807" s="57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4.0972222222222188E-2</v>
      </c>
      <c r="T807" s="57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4.0972222222222188E-2</v>
      </c>
      <c r="U807" s="59">
        <f ca="1">MIP_4[[#This Row],[Eficiência]]</f>
        <v>0.8668723540681682</v>
      </c>
      <c r="V807" s="58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07" s="57">
        <f>IF(MIP_4[[#This Row],[P.S]]-MIP_4[[#This Row],[P.E]]&lt;0,1+MIP_4[[#This Row],[P.S]]-MIP_4[[#This Row],[P.E]]-1/24,MIP_4[[#This Row],[P.S]]-MIP_4[[#This Row],[P.E]]-1/24)</f>
        <v>0.36666666666666675</v>
      </c>
      <c r="X807" s="57">
        <f ca="1">MIP_4[[#This Row],[PT-1]]*$S$3+MIP_4[[#This Row],[PT-2]]*$T$3+MIP_4[[#This Row],[PT-3]]*$U$3+MIP_4[[#This Row],[PT &gt; 3 Pontos]]*$V$3</f>
        <v>0.2823355097624799</v>
      </c>
      <c r="Y807" s="57">
        <f>MIP_4[[#This Row],[HH disponível]]-MIP_4[[#This Row],[HH AC TOT]]</f>
        <v>0.32569444444444456</v>
      </c>
      <c r="Z807" s="56">
        <f ca="1">MIP_4[[#This Row],[HH Produtivo
Total]]/MIP_4[[#This Row],[HH Trabalhado]]</f>
        <v>0.8668723540681682</v>
      </c>
      <c r="AA807" s="56">
        <f ca="1">MIP_4[[#This Row],[HH Produtivo
Total]]/MIP_4[[#This Row],[HH disponível]]</f>
        <v>0.77000593571585407</v>
      </c>
      <c r="AB807" s="56">
        <f>MIP_4[[#This Row],[HH Trabalhado]]/MIP_4[[#This Row],[HH disponível]]</f>
        <v>0.88825757575757591</v>
      </c>
      <c r="AC807" s="55" t="str">
        <f>LEFT(MIP_4[[#This Row],[Equipe]], SEARCH("/",MIP_4[[#This Row],[Equipe]],1)-1)</f>
        <v xml:space="preserve">ANDERSON </v>
      </c>
      <c r="AD807" s="55" t="str">
        <f>RIGHT(MIP_4[[#This Row],[Equipe]], LEN(MIP_4[[#This Row],[Equipe]])-SEARCH("/",MIP_4[[#This Row],[Equipe]],1))</f>
        <v xml:space="preserve"> MARCO</v>
      </c>
      <c r="AE807" s="54">
        <f>COUNTIFS('[1]Tempo parado'!G:G,"&gt;="&amp;MIP_4[[#This Row],[S.B Sitrack]],'[1]Tempo parado'!H:H,"&lt;="&amp;MIP_4[[#This Row],[C.B Sitrack]],'[1]Tempo parado'!A:A,MIP_4[[#This Row],[Placa]])</f>
        <v>0</v>
      </c>
      <c r="AF807" s="53">
        <v>43066.350497685184</v>
      </c>
      <c r="AG807" s="52"/>
      <c r="AH807" s="51"/>
      <c r="AI807" s="51"/>
      <c r="AJ807" s="49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07" s="50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07" s="49">
        <f>SUMIFS('[1]Tempo parado'!I:I,'[1]Tempo parado'!G:G,"&gt;="&amp;MIP_4[[#This Row],[S.B Sitrack]],'[1]Tempo parado'!H:H,"&lt;="&amp;MIP_4[[#This Row],[C.B Sitrack]],'[1]Tempo parado'!A:A,MIP_4[[#This Row],[Placa]])</f>
        <v>0</v>
      </c>
      <c r="AM807" s="48" t="str">
        <f>IFERROR(MIP_4[[#This Row],[Tempo parado]]/(MIP_4[[#This Row],[C.B Sitrack]]-MIP_4[[#This Row],[S.B Sitrack]]),"")</f>
        <v/>
      </c>
      <c r="AN807" s="30"/>
      <c r="AO807" s="44">
        <f>IF(AND(MIP_4[Exc]=0,MIP_4[Previsto / Realizado]="Realizado"),MIP_4[Sem],0)</f>
        <v>0</v>
      </c>
      <c r="AP807" s="29">
        <f>IF(AND(MIP_4[Exc]=0,MIP_4[Previsto / Realizado]="Realizado",ISBLANK(MIP_4[[#This Row],[S.B Sitrack]])=FALSE,ISBLANK(MIP_4[[#This Row],[C.B Sitrack]])=FALSE),MIP_4[Sem],0)</f>
        <v>0</v>
      </c>
    </row>
    <row r="808" spans="1:42" ht="15.75" x14ac:dyDescent="0.25">
      <c r="A808" s="29">
        <f>WEEKNUM(MIP_4[[#This Row],[Data]])</f>
        <v>47</v>
      </c>
      <c r="B808" s="45">
        <v>43062</v>
      </c>
      <c r="C808" s="45"/>
      <c r="D808" s="46" t="s">
        <v>7</v>
      </c>
      <c r="E808" s="35" t="s">
        <v>2</v>
      </c>
      <c r="F808" s="35" t="s">
        <v>6</v>
      </c>
      <c r="G808" s="44"/>
      <c r="H808" s="44">
        <v>1</v>
      </c>
      <c r="I808" s="44">
        <v>3</v>
      </c>
      <c r="J808" s="44">
        <v>2</v>
      </c>
      <c r="K808" s="44">
        <v>0</v>
      </c>
      <c r="L808" s="43">
        <v>0.6333333333333333</v>
      </c>
      <c r="M808" s="43">
        <v>0.66388888888888886</v>
      </c>
      <c r="N808" s="43">
        <v>2.7083333333333334E-2</v>
      </c>
      <c r="O808" s="43">
        <v>3.3333333333333333E-2</v>
      </c>
      <c r="P808" s="39"/>
      <c r="Q808" s="42"/>
      <c r="R808" s="29">
        <f>MIP_4[[#This Row],[PT-1]]+MIP_4[[#This Row],[PT-2]]*2+MIP_4[[#This Row],[PT-3]]*3+MIP_4[[#This Row],[PT &gt; 3 Pontos]]</f>
        <v>13</v>
      </c>
      <c r="S80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3.6805555555555536E-2</v>
      </c>
      <c r="T80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3.6805555555555536E-2</v>
      </c>
      <c r="U808" s="41">
        <f ca="1">MIP_4[[#This Row],[Eficiência]]</f>
        <v>0.8781061210755311</v>
      </c>
      <c r="V808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08" s="39">
        <f>IF(MIP_4[[#This Row],[P.S]]-MIP_4[[#This Row],[P.E]]&lt;0,1+MIP_4[[#This Row],[P.S]]-MIP_4[[#This Row],[P.E]]-1/24,MIP_4[[#This Row],[P.S]]-MIP_4[[#This Row],[P.E]]-1/24)</f>
        <v>0.35833333333333345</v>
      </c>
      <c r="X808" s="39">
        <f ca="1">MIP_4[[#This Row],[PT-1]]*$S$3+MIP_4[[#This Row],[PT-2]]*$T$3+MIP_4[[#This Row],[PT-3]]*$U$3+MIP_4[[#This Row],[PT &gt; 3 Pontos]]*$V$3</f>
        <v>0.2823355097624799</v>
      </c>
      <c r="Y808" s="39">
        <f>MIP_4[[#This Row],[HH disponível]]-MIP_4[[#This Row],[HH AC TOT]]</f>
        <v>0.32152777777777791</v>
      </c>
      <c r="Z808" s="38">
        <f ca="1">MIP_4[[#This Row],[HH Produtivo
Total]]/MIP_4[[#This Row],[HH Trabalhado]]</f>
        <v>0.8781061210755311</v>
      </c>
      <c r="AA808" s="38">
        <f ca="1">MIP_4[[#This Row],[HH Produtivo
Total]]/MIP_4[[#This Row],[HH disponível]]</f>
        <v>0.78791305049994365</v>
      </c>
      <c r="AB808" s="38">
        <f>MIP_4[[#This Row],[HH Trabalhado]]/MIP_4[[#This Row],[HH disponível]]</f>
        <v>0.8972868217054264</v>
      </c>
      <c r="AC808" s="37" t="str">
        <f>LEFT(MIP_4[[#This Row],[Equipe]], SEARCH("/",MIP_4[[#This Row],[Equipe]],1)-1)</f>
        <v xml:space="preserve">ANDERSON </v>
      </c>
      <c r="AD808" s="37" t="str">
        <f>RIGHT(MIP_4[[#This Row],[Equipe]], LEN(MIP_4[[#This Row],[Equipe]])-SEARCH("/",MIP_4[[#This Row],[Equipe]],1))</f>
        <v xml:space="preserve"> MARCO</v>
      </c>
      <c r="AE808" s="29">
        <f>COUNTIFS('[1]Tempo parado'!G:G,"&gt;="&amp;MIP_4[[#This Row],[S.B Sitrack]],'[1]Tempo parado'!H:H,"&lt;="&amp;MIP_4[[#This Row],[C.B Sitrack]],'[1]Tempo parado'!A:A,MIP_4[[#This Row],[Placa]])</f>
        <v>0</v>
      </c>
      <c r="AF808" s="36"/>
      <c r="AG808" s="35" t="s">
        <v>107</v>
      </c>
      <c r="AH808" s="34">
        <v>43062.664282407408</v>
      </c>
      <c r="AI808" s="34">
        <v>43063.015949074077</v>
      </c>
      <c r="AJ808" s="32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1.1805555555555557E-2</v>
      </c>
      <c r="AK80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39.6</v>
      </c>
      <c r="AL80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08" s="31">
        <f>IFERROR(MIP_4[[#This Row],[Tempo parado]]/(MIP_4[[#This Row],[C.B Sitrack]]-MIP_4[[#This Row],[S.B Sitrack]]),"")</f>
        <v>0</v>
      </c>
      <c r="AN808" s="30" t="s">
        <v>106</v>
      </c>
      <c r="AO808" s="44">
        <f>IF(AND(MIP_4[Exc]=0,MIP_4[Previsto / Realizado]="Realizado"),MIP_4[Sem],0)</f>
        <v>47</v>
      </c>
      <c r="AP808" s="29">
        <f>IF(AND(MIP_4[Exc]=0,MIP_4[Previsto / Realizado]="Realizado",ISBLANK(MIP_4[[#This Row],[S.B Sitrack]])=FALSE,ISBLANK(MIP_4[[#This Row],[C.B Sitrack]])=FALSE),MIP_4[Sem],0)</f>
        <v>47</v>
      </c>
    </row>
    <row r="809" spans="1:42" ht="15.75" x14ac:dyDescent="0.25">
      <c r="A809" s="54">
        <f>WEEKNUM(MIP_4[[#This Row],[Data]])</f>
        <v>47</v>
      </c>
      <c r="B809" s="63" t="s">
        <v>101</v>
      </c>
      <c r="C809" s="63"/>
      <c r="D809" s="52" t="s">
        <v>10</v>
      </c>
      <c r="E809" s="52" t="s">
        <v>5</v>
      </c>
      <c r="F809" s="52"/>
      <c r="G809" s="62"/>
      <c r="H809" s="62">
        <v>5</v>
      </c>
      <c r="I809" s="62">
        <v>2</v>
      </c>
      <c r="J809" s="62">
        <v>0</v>
      </c>
      <c r="K809" s="62">
        <v>0</v>
      </c>
      <c r="L809" s="61">
        <v>0.25</v>
      </c>
      <c r="M809" s="61">
        <v>0.2638888888888889</v>
      </c>
      <c r="N809" s="61">
        <v>0.62986111111111109</v>
      </c>
      <c r="O809" s="61">
        <v>0.65833333333333333</v>
      </c>
      <c r="P809" s="57"/>
      <c r="Q809" s="60" t="s">
        <v>105</v>
      </c>
      <c r="R809" s="54">
        <f>MIP_4[[#This Row],[PT-1]]+MIP_4[[#This Row],[PT-2]]*2+MIP_4[[#This Row],[PT-3]]*3+MIP_4[[#This Row],[PT &gt; 3 Pontos]]</f>
        <v>9</v>
      </c>
      <c r="S809" s="57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4.2361111111111127E-2</v>
      </c>
      <c r="T809" s="57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4.2361111111111127E-2</v>
      </c>
      <c r="U809" s="59">
        <f ca="1">MIP_4[[#This Row],[Eficiência]]</f>
        <v>0.65662395649070515</v>
      </c>
      <c r="V809" s="58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09" s="57">
        <f>IF(MIP_4[[#This Row],[P.S]]-MIP_4[[#This Row],[P.E]]&lt;0,1+MIP_4[[#This Row],[P.S]]-MIP_4[[#This Row],[P.E]]-1/24,MIP_4[[#This Row],[P.S]]-MIP_4[[#This Row],[P.E]]-1/24)</f>
        <v>0.36666666666666664</v>
      </c>
      <c r="X809" s="57">
        <f ca="1">MIP_4[[#This Row],[PT-1]]*$S$3+MIP_4[[#This Row],[PT-2]]*$T$3+MIP_4[[#This Row],[PT-3]]*$U$3+MIP_4[[#This Row],[PT &gt; 3 Pontos]]*$V$3</f>
        <v>0.21294679700080504</v>
      </c>
      <c r="Y809" s="57">
        <f>MIP_4[[#This Row],[HH disponível]]-MIP_4[[#This Row],[HH AC TOT]]</f>
        <v>0.32430555555555551</v>
      </c>
      <c r="Z809" s="56">
        <f ca="1">MIP_4[[#This Row],[HH Produtivo
Total]]/MIP_4[[#This Row],[HH Trabalhado]]</f>
        <v>0.65662395649070515</v>
      </c>
      <c r="AA809" s="56">
        <f ca="1">MIP_4[[#This Row],[HH Produtivo
Total]]/MIP_4[[#This Row],[HH disponível]]</f>
        <v>0.58076399182037741</v>
      </c>
      <c r="AB809" s="56">
        <f>MIP_4[[#This Row],[HH Trabalhado]]/MIP_4[[#This Row],[HH disponível]]</f>
        <v>0.88446969696969691</v>
      </c>
      <c r="AC809" s="55" t="str">
        <f>LEFT(MIP_4[[#This Row],[Equipe]], SEARCH("/",MIP_4[[#This Row],[Equipe]],1)-1)</f>
        <v xml:space="preserve">JOILSON </v>
      </c>
      <c r="AD809" s="55" t="str">
        <f>RIGHT(MIP_4[[#This Row],[Equipe]], LEN(MIP_4[[#This Row],[Equipe]])-SEARCH("/",MIP_4[[#This Row],[Equipe]],1))</f>
        <v xml:space="preserve"> VALDEI</v>
      </c>
      <c r="AE809" s="54">
        <f>COUNTIFS('[1]Tempo parado'!G:G,"&gt;="&amp;MIP_4[[#This Row],[S.B Sitrack]],'[1]Tempo parado'!H:H,"&lt;="&amp;MIP_4[[#This Row],[C.B Sitrack]],'[1]Tempo parado'!A:A,MIP_4[[#This Row],[Placa]])</f>
        <v>0</v>
      </c>
      <c r="AF809" s="53">
        <v>43066.352164351854</v>
      </c>
      <c r="AG809" s="52" t="s">
        <v>104</v>
      </c>
      <c r="AH809" s="51"/>
      <c r="AI809" s="51"/>
      <c r="AJ809" s="49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09" s="50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09" s="49">
        <f>SUMIFS('[1]Tempo parado'!I:I,'[1]Tempo parado'!G:G,"&gt;="&amp;MIP_4[[#This Row],[S.B Sitrack]],'[1]Tempo parado'!H:H,"&lt;="&amp;MIP_4[[#This Row],[C.B Sitrack]],'[1]Tempo parado'!A:A,MIP_4[[#This Row],[Placa]])</f>
        <v>0</v>
      </c>
      <c r="AM809" s="48" t="str">
        <f>IFERROR(MIP_4[[#This Row],[Tempo parado]]/(MIP_4[[#This Row],[C.B Sitrack]]-MIP_4[[#This Row],[S.B Sitrack]]),"")</f>
        <v/>
      </c>
      <c r="AN809" s="30"/>
      <c r="AO809" s="44">
        <f>IF(AND(MIP_4[Exc]=0,MIP_4[Previsto / Realizado]="Realizado"),MIP_4[Sem],0)</f>
        <v>0</v>
      </c>
      <c r="AP809" s="29">
        <f>IF(AND(MIP_4[Exc]=0,MIP_4[Previsto / Realizado]="Realizado",ISBLANK(MIP_4[[#This Row],[S.B Sitrack]])=FALSE,ISBLANK(MIP_4[[#This Row],[C.B Sitrack]])=FALSE),MIP_4[Sem],0)</f>
        <v>0</v>
      </c>
    </row>
    <row r="810" spans="1:42" ht="15.75" x14ac:dyDescent="0.25">
      <c r="A810" s="29">
        <f>WEEKNUM(MIP_4[[#This Row],[Data]])</f>
        <v>47</v>
      </c>
      <c r="B810" s="45">
        <v>43063</v>
      </c>
      <c r="C810" s="45"/>
      <c r="D810" s="35" t="s">
        <v>10</v>
      </c>
      <c r="E810" s="35" t="s">
        <v>2</v>
      </c>
      <c r="F810" s="35" t="s">
        <v>1</v>
      </c>
      <c r="G810" s="44"/>
      <c r="H810" s="44">
        <v>4</v>
      </c>
      <c r="I810" s="44">
        <v>1</v>
      </c>
      <c r="J810" s="44">
        <v>0</v>
      </c>
      <c r="K810" s="44">
        <v>0</v>
      </c>
      <c r="L810" s="43">
        <v>0.25277777777777777</v>
      </c>
      <c r="M810" s="43">
        <v>0.27777777777777779</v>
      </c>
      <c r="N810" s="43">
        <v>0.55347222222222225</v>
      </c>
      <c r="O810" s="43">
        <v>0.55763888888888891</v>
      </c>
      <c r="P810" s="39"/>
      <c r="Q810" s="42" t="s">
        <v>103</v>
      </c>
      <c r="R810" s="29">
        <f>MIP_4[[#This Row],[PT-1]]+MIP_4[[#This Row],[PT-2]]*2+MIP_4[[#This Row],[PT-3]]*3+MIP_4[[#This Row],[PT &gt; 3 Pontos]]</f>
        <v>6</v>
      </c>
      <c r="S81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2.9166666666666674E-2</v>
      </c>
      <c r="T81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2.9166666666666674E-2</v>
      </c>
      <c r="U810" s="41">
        <f ca="1">MIP_4[[#This Row],[Eficiência]]</f>
        <v>0.61536360899668829</v>
      </c>
      <c r="V810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10" s="39">
        <f>IF(MIP_4[[#This Row],[P.S]]-MIP_4[[#This Row],[P.E]]&lt;0,1+MIP_4[[#This Row],[P.S]]-MIP_4[[#This Row],[P.E]]-1/24,MIP_4[[#This Row],[P.S]]-MIP_4[[#This Row],[P.E]]-1/24)</f>
        <v>0.26319444444444445</v>
      </c>
      <c r="X810" s="39">
        <f ca="1">MIP_4[[#This Row],[PT-1]]*$S$3+MIP_4[[#This Row],[PT-2]]*$T$3+MIP_4[[#This Row],[PT-3]]*$U$3+MIP_4[[#This Row],[PT &gt; 3 Pontos]]*$V$3</f>
        <v>0.1440121779388083</v>
      </c>
      <c r="Y810" s="39">
        <f>MIP_4[[#This Row],[HH disponível]]-MIP_4[[#This Row],[HH AC TOT]]</f>
        <v>0.23402777777777778</v>
      </c>
      <c r="Z810" s="38">
        <f ca="1">MIP_4[[#This Row],[HH Produtivo
Total]]/MIP_4[[#This Row],[HH Trabalhado]]</f>
        <v>0.61536360899668829</v>
      </c>
      <c r="AA810" s="38">
        <f ca="1">MIP_4[[#This Row],[HH Produtivo
Total]]/MIP_4[[#This Row],[HH disponível]]</f>
        <v>0.54717028029520831</v>
      </c>
      <c r="AB810" s="38">
        <f>MIP_4[[#This Row],[HH Trabalhado]]/MIP_4[[#This Row],[HH disponível]]</f>
        <v>0.8891820580474934</v>
      </c>
      <c r="AC810" s="37" t="str">
        <f>LEFT(MIP_4[[#This Row],[Equipe]], SEARCH("/",MIP_4[[#This Row],[Equipe]],1)-1)</f>
        <v xml:space="preserve">JOILSON </v>
      </c>
      <c r="AD810" s="37" t="str">
        <f>RIGHT(MIP_4[[#This Row],[Equipe]], LEN(MIP_4[[#This Row],[Equipe]])-SEARCH("/",MIP_4[[#This Row],[Equipe]],1))</f>
        <v xml:space="preserve"> VALDEI</v>
      </c>
      <c r="AE810" s="29">
        <f>COUNTIFS('[1]Tempo parado'!G:G,"&gt;="&amp;MIP_4[[#This Row],[S.B Sitrack]],'[1]Tempo parado'!H:H,"&lt;="&amp;MIP_4[[#This Row],[C.B Sitrack]],'[1]Tempo parado'!A:A,MIP_4[[#This Row],[Placa]])</f>
        <v>0</v>
      </c>
      <c r="AF810" s="36"/>
      <c r="AG810" s="35" t="s">
        <v>102</v>
      </c>
      <c r="AH810" s="34"/>
      <c r="AI810" s="34"/>
      <c r="AJ81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1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1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10" s="31" t="str">
        <f>IFERROR(MIP_4[[#This Row],[Tempo parado]]/(MIP_4[[#This Row],[C.B Sitrack]]-MIP_4[[#This Row],[S.B Sitrack]]),"")</f>
        <v/>
      </c>
      <c r="AN810" s="30"/>
      <c r="AO810" s="44">
        <f>IF(AND(MIP_4[Exc]=0,MIP_4[Previsto / Realizado]="Realizado"),MIP_4[Sem],0)</f>
        <v>47</v>
      </c>
      <c r="AP810" s="29">
        <f>IF(AND(MIP_4[Exc]=0,MIP_4[Previsto / Realizado]="Realizado",ISBLANK(MIP_4[[#This Row],[S.B Sitrack]])=FALSE,ISBLANK(MIP_4[[#This Row],[C.B Sitrack]])=FALSE),MIP_4[Sem],0)</f>
        <v>0</v>
      </c>
    </row>
    <row r="811" spans="1:42" ht="15.75" x14ac:dyDescent="0.25">
      <c r="A811" s="54">
        <f>WEEKNUM(MIP_4[[#This Row],[Data]])</f>
        <v>47</v>
      </c>
      <c r="B811" s="63" t="s">
        <v>101</v>
      </c>
      <c r="C811" s="63"/>
      <c r="D811" s="52" t="s">
        <v>7</v>
      </c>
      <c r="E811" s="52" t="s">
        <v>5</v>
      </c>
      <c r="F811" s="52"/>
      <c r="G811" s="62"/>
      <c r="H811" s="62">
        <v>8</v>
      </c>
      <c r="I811" s="62">
        <v>0</v>
      </c>
      <c r="J811" s="62">
        <v>0</v>
      </c>
      <c r="K811" s="62">
        <v>4</v>
      </c>
      <c r="L811" s="61">
        <v>0.625</v>
      </c>
      <c r="M811" s="61">
        <v>0.6381944444444444</v>
      </c>
      <c r="N811" s="61">
        <v>5.5555555555555558E-3</v>
      </c>
      <c r="O811" s="61">
        <v>3.3333333333333333E-2</v>
      </c>
      <c r="P811" s="57"/>
      <c r="Q811" s="60"/>
      <c r="R811" s="54">
        <f>MIP_4[[#This Row],[PT-1]]+MIP_4[[#This Row],[PT-2]]*2+MIP_4[[#This Row],[PT-3]]*3+MIP_4[[#This Row],[PT &gt; 3 Pontos]]</f>
        <v>12</v>
      </c>
      <c r="S811" s="57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4.0972222222222188E-2</v>
      </c>
      <c r="T811" s="57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4.0972222222222188E-2</v>
      </c>
      <c r="U811" s="59">
        <f ca="1">MIP_4[[#This Row],[Eficiência]]</f>
        <v>0.86338244938179975</v>
      </c>
      <c r="V811" s="58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11" s="57">
        <f>IF(MIP_4[[#This Row],[P.S]]-MIP_4[[#This Row],[P.E]]&lt;0,1+MIP_4[[#This Row],[P.S]]-MIP_4[[#This Row],[P.E]]-1/24,MIP_4[[#This Row],[P.S]]-MIP_4[[#This Row],[P.E]]-1/24)</f>
        <v>0.36666666666666675</v>
      </c>
      <c r="X811" s="57">
        <f ca="1">MIP_4[[#This Row],[PT-1]]*$S$3+MIP_4[[#This Row],[PT-2]]*$T$3+MIP_4[[#This Row],[PT-3]]*$U$3+MIP_4[[#This Row],[PT &gt; 3 Pontos]]*$V$3</f>
        <v>0.28119886719448905</v>
      </c>
      <c r="Y811" s="57">
        <f>MIP_4[[#This Row],[HH disponível]]-MIP_4[[#This Row],[HH AC TOT]]</f>
        <v>0.32569444444444456</v>
      </c>
      <c r="Z811" s="56">
        <f ca="1">MIP_4[[#This Row],[HH Produtivo
Total]]/MIP_4[[#This Row],[HH Trabalhado]]</f>
        <v>0.86338244938179975</v>
      </c>
      <c r="AA811" s="56">
        <f ca="1">MIP_4[[#This Row],[HH Produtivo
Total]]/MIP_4[[#This Row],[HH disponível]]</f>
        <v>0.76690600143951537</v>
      </c>
      <c r="AB811" s="56">
        <f>MIP_4[[#This Row],[HH Trabalhado]]/MIP_4[[#This Row],[HH disponível]]</f>
        <v>0.88825757575757591</v>
      </c>
      <c r="AC811" s="55" t="str">
        <f>LEFT(MIP_4[[#This Row],[Equipe]], SEARCH("/",MIP_4[[#This Row],[Equipe]],1)-1)</f>
        <v xml:space="preserve">ANDERSON </v>
      </c>
      <c r="AD811" s="55" t="str">
        <f>RIGHT(MIP_4[[#This Row],[Equipe]], LEN(MIP_4[[#This Row],[Equipe]])-SEARCH("/",MIP_4[[#This Row],[Equipe]],1))</f>
        <v xml:space="preserve"> MARCO</v>
      </c>
      <c r="AE811" s="54">
        <f>COUNTIFS('[1]Tempo parado'!G:G,"&gt;="&amp;MIP_4[[#This Row],[S.B Sitrack]],'[1]Tempo parado'!H:H,"&lt;="&amp;MIP_4[[#This Row],[C.B Sitrack]],'[1]Tempo parado'!A:A,MIP_4[[#This Row],[Placa]])</f>
        <v>0</v>
      </c>
      <c r="AF811" s="53">
        <v>43066.352581018517</v>
      </c>
      <c r="AG811" s="52"/>
      <c r="AH811" s="51"/>
      <c r="AI811" s="51"/>
      <c r="AJ811" s="49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11" s="50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11" s="49">
        <f>SUMIFS('[1]Tempo parado'!I:I,'[1]Tempo parado'!G:G,"&gt;="&amp;MIP_4[[#This Row],[S.B Sitrack]],'[1]Tempo parado'!H:H,"&lt;="&amp;MIP_4[[#This Row],[C.B Sitrack]],'[1]Tempo parado'!A:A,MIP_4[[#This Row],[Placa]])</f>
        <v>0</v>
      </c>
      <c r="AM811" s="48" t="str">
        <f>IFERROR(MIP_4[[#This Row],[Tempo parado]]/(MIP_4[[#This Row],[C.B Sitrack]]-MIP_4[[#This Row],[S.B Sitrack]]),"")</f>
        <v/>
      </c>
      <c r="AN811" s="30"/>
      <c r="AO811" s="44">
        <f>IF(AND(MIP_4[Exc]=0,MIP_4[Previsto / Realizado]="Realizado"),MIP_4[Sem],0)</f>
        <v>0</v>
      </c>
      <c r="AP811" s="29">
        <f>IF(AND(MIP_4[Exc]=0,MIP_4[Previsto / Realizado]="Realizado",ISBLANK(MIP_4[[#This Row],[S.B Sitrack]])=FALSE,ISBLANK(MIP_4[[#This Row],[C.B Sitrack]])=FALSE),MIP_4[Sem],0)</f>
        <v>0</v>
      </c>
    </row>
    <row r="812" spans="1:42" ht="15.75" x14ac:dyDescent="0.25">
      <c r="A812" s="29">
        <f>WEEKNUM(MIP_4[[#This Row],[Data]])</f>
        <v>47</v>
      </c>
      <c r="B812" s="45">
        <v>43063</v>
      </c>
      <c r="C812" s="45"/>
      <c r="D812" s="65" t="s">
        <v>7</v>
      </c>
      <c r="E812" s="35" t="s">
        <v>2</v>
      </c>
      <c r="F812" s="35" t="s">
        <v>6</v>
      </c>
      <c r="G812" s="44"/>
      <c r="H812" s="44">
        <v>7</v>
      </c>
      <c r="I812" s="44">
        <v>2</v>
      </c>
      <c r="J812" s="44">
        <v>1</v>
      </c>
      <c r="K812" s="44">
        <v>0</v>
      </c>
      <c r="L812" s="43">
        <v>0.65069444444444446</v>
      </c>
      <c r="M812" s="43">
        <v>0.66111111111111109</v>
      </c>
      <c r="N812" s="43">
        <v>2.7777777777777776E-2</v>
      </c>
      <c r="O812" s="43">
        <v>3.8194444444444441E-2</v>
      </c>
      <c r="P812" s="39"/>
      <c r="Q812" s="42" t="s">
        <v>100</v>
      </c>
      <c r="R812" s="29">
        <f>MIP_4[[#This Row],[PT-1]]+MIP_4[[#This Row],[PT-2]]*2+MIP_4[[#This Row],[PT-3]]*3+MIP_4[[#This Row],[PT &gt; 3 Pontos]]</f>
        <v>14</v>
      </c>
      <c r="S81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2.0833333333333259E-2</v>
      </c>
      <c r="T81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2.0833333333333259E-2</v>
      </c>
      <c r="U812" s="41">
        <f ca="1">MIP_4[[#This Row],[Eficiência]]</f>
        <v>1.002431329741112</v>
      </c>
      <c r="V812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12" s="39">
        <f>IF(MIP_4[[#This Row],[P.S]]-MIP_4[[#This Row],[P.E]]&lt;0,1+MIP_4[[#This Row],[P.S]]-MIP_4[[#This Row],[P.E]]-1/24,MIP_4[[#This Row],[P.S]]-MIP_4[[#This Row],[P.E]]-1/24)</f>
        <v>0.34583333333333327</v>
      </c>
      <c r="X812" s="39">
        <f ca="1">MIP_4[[#This Row],[PT-1]]*$S$3+MIP_4[[#This Row],[PT-2]]*$T$3+MIP_4[[#This Row],[PT-3]]*$U$3+MIP_4[[#This Row],[PT &gt; 3 Pontos]]*$V$3</f>
        <v>0.32579018216586142</v>
      </c>
      <c r="Y812" s="39">
        <f>MIP_4[[#This Row],[HH disponível]]-MIP_4[[#This Row],[HH AC TOT]]</f>
        <v>0.32500000000000001</v>
      </c>
      <c r="Z812" s="38">
        <f ca="1">MIP_4[[#This Row],[HH Produtivo
Total]]/MIP_4[[#This Row],[HH Trabalhado]]</f>
        <v>1.002431329741112</v>
      </c>
      <c r="AA812" s="38">
        <f ca="1">MIP_4[[#This Row],[HH Produtivo
Total]]/MIP_4[[#This Row],[HH disponível]]</f>
        <v>0.9420439002386356</v>
      </c>
      <c r="AB812" s="38">
        <f>MIP_4[[#This Row],[HH Trabalhado]]/MIP_4[[#This Row],[HH disponível]]</f>
        <v>0.93975903614457856</v>
      </c>
      <c r="AC812" s="37" t="str">
        <f>LEFT(MIP_4[[#This Row],[Equipe]], SEARCH("/",MIP_4[[#This Row],[Equipe]],1)-1)</f>
        <v xml:space="preserve">ANDERSON </v>
      </c>
      <c r="AD812" s="37" t="str">
        <f>RIGHT(MIP_4[[#This Row],[Equipe]], LEN(MIP_4[[#This Row],[Equipe]])-SEARCH("/",MIP_4[[#This Row],[Equipe]],1))</f>
        <v xml:space="preserve"> MARCO</v>
      </c>
      <c r="AE812" s="29">
        <f>COUNTIFS('[1]Tempo parado'!G:G,"&gt;="&amp;MIP_4[[#This Row],[S.B Sitrack]],'[1]Tempo parado'!H:H,"&lt;="&amp;MIP_4[[#This Row],[C.B Sitrack]],'[1]Tempo parado'!A:A,MIP_4[[#This Row],[Placa]])</f>
        <v>0</v>
      </c>
      <c r="AF812" s="36"/>
      <c r="AG812" s="35" t="s">
        <v>99</v>
      </c>
      <c r="AH812" s="34">
        <v>43063.662430555552</v>
      </c>
      <c r="AI812" s="34">
        <v>43064.029861111114</v>
      </c>
      <c r="AJ812" s="32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2.7777777777777783E-3</v>
      </c>
      <c r="AK81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68.40000000000002</v>
      </c>
      <c r="AL81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12" s="31">
        <f>IFERROR(MIP_4[[#This Row],[Tempo parado]]/(MIP_4[[#This Row],[C.B Sitrack]]-MIP_4[[#This Row],[S.B Sitrack]]),"")</f>
        <v>0</v>
      </c>
      <c r="AN812" s="30" t="s">
        <v>98</v>
      </c>
      <c r="AO812" s="44">
        <f>IF(AND(MIP_4[Exc]=0,MIP_4[Previsto / Realizado]="Realizado"),MIP_4[Sem],0)</f>
        <v>47</v>
      </c>
      <c r="AP812" s="29">
        <f>IF(AND(MIP_4[Exc]=0,MIP_4[Previsto / Realizado]="Realizado",ISBLANK(MIP_4[[#This Row],[S.B Sitrack]])=FALSE,ISBLANK(MIP_4[[#This Row],[C.B Sitrack]])=FALSE),MIP_4[Sem],0)</f>
        <v>47</v>
      </c>
    </row>
    <row r="813" spans="1:42" ht="15.75" x14ac:dyDescent="0.25">
      <c r="A813" s="54">
        <f>WEEKNUM(MIP_4[[#This Row],[Data]])</f>
        <v>47</v>
      </c>
      <c r="B813" s="63" t="s">
        <v>97</v>
      </c>
      <c r="C813" s="63"/>
      <c r="D813" s="52" t="s">
        <v>10</v>
      </c>
      <c r="E813" s="52" t="s">
        <v>5</v>
      </c>
      <c r="F813" s="52"/>
      <c r="G813" s="62"/>
      <c r="H813" s="62">
        <v>5</v>
      </c>
      <c r="I813" s="62">
        <v>2</v>
      </c>
      <c r="J813" s="62">
        <v>0</v>
      </c>
      <c r="K813" s="62">
        <v>0</v>
      </c>
      <c r="L813" s="61">
        <v>0.25</v>
      </c>
      <c r="M813" s="61">
        <v>0.2638888888888889</v>
      </c>
      <c r="N813" s="61">
        <v>0.62986111111111109</v>
      </c>
      <c r="O813" s="61">
        <v>0.65833333333333333</v>
      </c>
      <c r="P813" s="57"/>
      <c r="Q813" s="60"/>
      <c r="R813" s="54">
        <f>MIP_4[[#This Row],[PT-1]]+MIP_4[[#This Row],[PT-2]]*2+MIP_4[[#This Row],[PT-3]]*3+MIP_4[[#This Row],[PT &gt; 3 Pontos]]</f>
        <v>9</v>
      </c>
      <c r="S813" s="57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4.2361111111111127E-2</v>
      </c>
      <c r="T813" s="57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4.2361111111111127E-2</v>
      </c>
      <c r="U813" s="59">
        <f ca="1">MIP_4[[#This Row],[Eficiência]]</f>
        <v>0.65662395649070515</v>
      </c>
      <c r="V813" s="58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13" s="57">
        <f>IF(MIP_4[[#This Row],[P.S]]-MIP_4[[#This Row],[P.E]]&lt;0,1+MIP_4[[#This Row],[P.S]]-MIP_4[[#This Row],[P.E]]-1/24,MIP_4[[#This Row],[P.S]]-MIP_4[[#This Row],[P.E]]-1/24)</f>
        <v>0.36666666666666664</v>
      </c>
      <c r="X813" s="57">
        <f ca="1">MIP_4[[#This Row],[PT-1]]*$S$3+MIP_4[[#This Row],[PT-2]]*$T$3+MIP_4[[#This Row],[PT-3]]*$U$3+MIP_4[[#This Row],[PT &gt; 3 Pontos]]*$V$3</f>
        <v>0.21294679700080504</v>
      </c>
      <c r="Y813" s="57">
        <f>MIP_4[[#This Row],[HH disponível]]-MIP_4[[#This Row],[HH AC TOT]]</f>
        <v>0.32430555555555551</v>
      </c>
      <c r="Z813" s="56">
        <f ca="1">MIP_4[[#This Row],[HH Produtivo
Total]]/MIP_4[[#This Row],[HH Trabalhado]]</f>
        <v>0.65662395649070515</v>
      </c>
      <c r="AA813" s="56">
        <f ca="1">MIP_4[[#This Row],[HH Produtivo
Total]]/MIP_4[[#This Row],[HH disponível]]</f>
        <v>0.58076399182037741</v>
      </c>
      <c r="AB813" s="56">
        <f>MIP_4[[#This Row],[HH Trabalhado]]/MIP_4[[#This Row],[HH disponível]]</f>
        <v>0.88446969696969691</v>
      </c>
      <c r="AC813" s="55" t="str">
        <f>LEFT(MIP_4[[#This Row],[Equipe]], SEARCH("/",MIP_4[[#This Row],[Equipe]],1)-1)</f>
        <v xml:space="preserve">JOILSON </v>
      </c>
      <c r="AD813" s="55" t="str">
        <f>RIGHT(MIP_4[[#This Row],[Equipe]], LEN(MIP_4[[#This Row],[Equipe]])-SEARCH("/",MIP_4[[#This Row],[Equipe]],1))</f>
        <v xml:space="preserve"> VALDEI</v>
      </c>
      <c r="AE813" s="54">
        <f>COUNTIFS('[1]Tempo parado'!G:G,"&gt;="&amp;MIP_4[[#This Row],[S.B Sitrack]],'[1]Tempo parado'!H:H,"&lt;="&amp;MIP_4[[#This Row],[C.B Sitrack]],'[1]Tempo parado'!A:A,MIP_4[[#This Row],[Placa]])</f>
        <v>0</v>
      </c>
      <c r="AF813" s="53">
        <v>43066.359895833331</v>
      </c>
      <c r="AG813" s="52" t="s">
        <v>96</v>
      </c>
      <c r="AH813" s="51"/>
      <c r="AI813" s="51"/>
      <c r="AJ813" s="49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13" s="50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13" s="49">
        <f>SUMIFS('[1]Tempo parado'!I:I,'[1]Tempo parado'!G:G,"&gt;="&amp;MIP_4[[#This Row],[S.B Sitrack]],'[1]Tempo parado'!H:H,"&lt;="&amp;MIP_4[[#This Row],[C.B Sitrack]],'[1]Tempo parado'!A:A,MIP_4[[#This Row],[Placa]])</f>
        <v>0</v>
      </c>
      <c r="AM813" s="48" t="str">
        <f>IFERROR(MIP_4[[#This Row],[Tempo parado]]/(MIP_4[[#This Row],[C.B Sitrack]]-MIP_4[[#This Row],[S.B Sitrack]]),"")</f>
        <v/>
      </c>
      <c r="AN813" s="30"/>
      <c r="AO813" s="44">
        <f>IF(AND(MIP_4[Exc]=0,MIP_4[Previsto / Realizado]="Realizado"),MIP_4[Sem],0)</f>
        <v>0</v>
      </c>
      <c r="AP813" s="29">
        <f>IF(AND(MIP_4[Exc]=0,MIP_4[Previsto / Realizado]="Realizado",ISBLANK(MIP_4[[#This Row],[S.B Sitrack]])=FALSE,ISBLANK(MIP_4[[#This Row],[C.B Sitrack]])=FALSE),MIP_4[Sem],0)</f>
        <v>0</v>
      </c>
    </row>
    <row r="814" spans="1:42" ht="15.75" x14ac:dyDescent="0.25">
      <c r="A814" s="29">
        <f>WEEKNUM(MIP_4[[#This Row],[Data]])</f>
        <v>47</v>
      </c>
      <c r="B814" s="45">
        <v>43064</v>
      </c>
      <c r="C814" s="45"/>
      <c r="D814" s="35" t="s">
        <v>10</v>
      </c>
      <c r="E814" s="35" t="s">
        <v>2</v>
      </c>
      <c r="F814" s="35" t="s">
        <v>1</v>
      </c>
      <c r="G814" s="44"/>
      <c r="H814" s="44">
        <v>8</v>
      </c>
      <c r="I814" s="44">
        <v>2</v>
      </c>
      <c r="J814" s="44">
        <v>0</v>
      </c>
      <c r="K814" s="44">
        <v>0</v>
      </c>
      <c r="L814" s="43">
        <v>0.25069444444444444</v>
      </c>
      <c r="M814" s="43">
        <v>0.2673611111111111</v>
      </c>
      <c r="N814" s="43">
        <v>0.61597222222222225</v>
      </c>
      <c r="O814" s="43">
        <v>0.65972222222222221</v>
      </c>
      <c r="P814" s="39"/>
      <c r="Q814" s="42" t="s">
        <v>34</v>
      </c>
      <c r="R814" s="29">
        <f>MIP_4[[#This Row],[PT-1]]+MIP_4[[#This Row],[PT-2]]*2+MIP_4[[#This Row],[PT-3]]*3+MIP_4[[#This Row],[PT &gt; 3 Pontos]]</f>
        <v>12</v>
      </c>
      <c r="S81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6.0416666666666619E-2</v>
      </c>
      <c r="T81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6.0416666666666619E-2</v>
      </c>
      <c r="U814" s="41">
        <f ca="1">MIP_4[[#This Row],[Eficiência]]</f>
        <v>0.9383598924519635</v>
      </c>
      <c r="V814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14" s="39">
        <f>IF(MIP_4[[#This Row],[P.S]]-MIP_4[[#This Row],[P.E]]&lt;0,1+MIP_4[[#This Row],[P.S]]-MIP_4[[#This Row],[P.E]]-1/24,MIP_4[[#This Row],[P.S]]-MIP_4[[#This Row],[P.E]]-1/24)</f>
        <v>0.36736111111111108</v>
      </c>
      <c r="X814" s="39">
        <f ca="1">MIP_4[[#This Row],[PT-1]]*$S$3+MIP_4[[#This Row],[PT-2]]*$T$3+MIP_4[[#This Row],[PT-3]]*$U$3+MIP_4[[#This Row],[PT &gt; 3 Pontos]]*$V$3</f>
        <v>0.2880243558776166</v>
      </c>
      <c r="Y814" s="39">
        <f>MIP_4[[#This Row],[HH disponível]]-MIP_4[[#This Row],[HH AC TOT]]</f>
        <v>0.30694444444444446</v>
      </c>
      <c r="Z814" s="38">
        <f ca="1">MIP_4[[#This Row],[HH Produtivo
Total]]/MIP_4[[#This Row],[HH Trabalhado]]</f>
        <v>0.9383598924519635</v>
      </c>
      <c r="AA814" s="38">
        <f ca="1">MIP_4[[#This Row],[HH Produtivo
Total]]/MIP_4[[#This Row],[HH disponível]]</f>
        <v>0.78403605380674468</v>
      </c>
      <c r="AB814" s="38">
        <f>MIP_4[[#This Row],[HH Trabalhado]]/MIP_4[[#This Row],[HH disponível]]</f>
        <v>0.83553875236294906</v>
      </c>
      <c r="AC814" s="37" t="str">
        <f>LEFT(MIP_4[[#This Row],[Equipe]], SEARCH("/",MIP_4[[#This Row],[Equipe]],1)-1)</f>
        <v xml:space="preserve">JOILSON </v>
      </c>
      <c r="AD814" s="37" t="str">
        <f>RIGHT(MIP_4[[#This Row],[Equipe]], LEN(MIP_4[[#This Row],[Equipe]])-SEARCH("/",MIP_4[[#This Row],[Equipe]],1))</f>
        <v xml:space="preserve"> VALDEI</v>
      </c>
      <c r="AE814" s="29">
        <f>COUNTIFS('[1]Tempo parado'!G:G,"&gt;="&amp;MIP_4[[#This Row],[S.B Sitrack]],'[1]Tempo parado'!H:H,"&lt;="&amp;MIP_4[[#This Row],[C.B Sitrack]],'[1]Tempo parado'!A:A,MIP_4[[#This Row],[Placa]])</f>
        <v>0</v>
      </c>
      <c r="AF814" s="36"/>
      <c r="AG814" s="35" t="s">
        <v>95</v>
      </c>
      <c r="AH814" s="34"/>
      <c r="AI814" s="34"/>
      <c r="AJ81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1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1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14" s="31" t="str">
        <f>IFERROR(MIP_4[[#This Row],[Tempo parado]]/(MIP_4[[#This Row],[C.B Sitrack]]-MIP_4[[#This Row],[S.B Sitrack]]),"")</f>
        <v/>
      </c>
      <c r="AN814" s="30"/>
      <c r="AO814" s="44">
        <f>IF(AND(MIP_4[Exc]=0,MIP_4[Previsto / Realizado]="Realizado"),MIP_4[Sem],0)</f>
        <v>47</v>
      </c>
      <c r="AP814" s="29">
        <f>IF(AND(MIP_4[Exc]=0,MIP_4[Previsto / Realizado]="Realizado",ISBLANK(MIP_4[[#This Row],[S.B Sitrack]])=FALSE,ISBLANK(MIP_4[[#This Row],[C.B Sitrack]])=FALSE),MIP_4[Sem],0)</f>
        <v>0</v>
      </c>
    </row>
    <row r="815" spans="1:42" ht="15.75" x14ac:dyDescent="0.25">
      <c r="A815" s="54">
        <f>WEEKNUM(MIP_4[[#This Row],[Data]])</f>
        <v>48</v>
      </c>
      <c r="B815" s="63" t="s">
        <v>94</v>
      </c>
      <c r="C815" s="63"/>
      <c r="D815" s="52" t="s">
        <v>33</v>
      </c>
      <c r="E815" s="52" t="s">
        <v>5</v>
      </c>
      <c r="F815" s="52"/>
      <c r="G815" s="62"/>
      <c r="H815" s="62">
        <v>0</v>
      </c>
      <c r="I815" s="62">
        <v>0</v>
      </c>
      <c r="J815" s="62">
        <v>0</v>
      </c>
      <c r="K815" s="62">
        <v>0</v>
      </c>
      <c r="L815" s="61">
        <v>0.25</v>
      </c>
      <c r="M815" s="61">
        <v>0.2638888888888889</v>
      </c>
      <c r="N815" s="61">
        <v>0.62986111111111109</v>
      </c>
      <c r="O815" s="61">
        <v>0.65833333333333333</v>
      </c>
      <c r="P815" s="57"/>
      <c r="Q815" s="60" t="s">
        <v>93</v>
      </c>
      <c r="R815" s="54">
        <f>MIP_4[[#This Row],[PT-1]]+MIP_4[[#This Row],[PT-2]]*2+MIP_4[[#This Row],[PT-3]]*3+MIP_4[[#This Row],[PT &gt; 3 Pontos]]</f>
        <v>0</v>
      </c>
      <c r="S815" s="57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4.2361111111111127E-2</v>
      </c>
      <c r="T815" s="57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4.2361111111111127E-2</v>
      </c>
      <c r="U815" s="59">
        <f ca="1">MIP_4[[#This Row],[Eficiência]]</f>
        <v>0</v>
      </c>
      <c r="V815" s="58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15" s="57">
        <f>IF(MIP_4[[#This Row],[P.S]]-MIP_4[[#This Row],[P.E]]&lt;0,1+MIP_4[[#This Row],[P.S]]-MIP_4[[#This Row],[P.E]]-1/24,MIP_4[[#This Row],[P.S]]-MIP_4[[#This Row],[P.E]]-1/24)</f>
        <v>0.36666666666666664</v>
      </c>
      <c r="X815" s="57">
        <f ca="1">MIP_4[[#This Row],[PT-1]]*$S$3+MIP_4[[#This Row],[PT-2]]*$T$3+MIP_4[[#This Row],[PT-3]]*$U$3+MIP_4[[#This Row],[PT &gt; 3 Pontos]]*$V$3</f>
        <v>0</v>
      </c>
      <c r="Y815" s="57">
        <f>MIP_4[[#This Row],[HH disponível]]-MIP_4[[#This Row],[HH AC TOT]]</f>
        <v>0.32430555555555551</v>
      </c>
      <c r="Z815" s="56">
        <f ca="1">MIP_4[[#This Row],[HH Produtivo
Total]]/MIP_4[[#This Row],[HH Trabalhado]]</f>
        <v>0</v>
      </c>
      <c r="AA815" s="56">
        <f ca="1">MIP_4[[#This Row],[HH Produtivo
Total]]/MIP_4[[#This Row],[HH disponível]]</f>
        <v>0</v>
      </c>
      <c r="AB815" s="56">
        <f>MIP_4[[#This Row],[HH Trabalhado]]/MIP_4[[#This Row],[HH disponível]]</f>
        <v>0.88446969696969691</v>
      </c>
      <c r="AC815" s="55" t="str">
        <f>LEFT(MIP_4[[#This Row],[Equipe]], SEARCH("/",MIP_4[[#This Row],[Equipe]],1)-1)</f>
        <v xml:space="preserve">JOILSON </v>
      </c>
      <c r="AD815" s="55" t="str">
        <f>RIGHT(MIP_4[[#This Row],[Equipe]], LEN(MIP_4[[#This Row],[Equipe]])-SEARCH("/",MIP_4[[#This Row],[Equipe]],1))</f>
        <v xml:space="preserve"> HERVAL</v>
      </c>
      <c r="AE815" s="54">
        <f>COUNTIFS('[1]Tempo parado'!G:G,"&gt;="&amp;MIP_4[[#This Row],[S.B Sitrack]],'[1]Tempo parado'!H:H,"&lt;="&amp;MIP_4[[#This Row],[C.B Sitrack]],'[1]Tempo parado'!A:A,MIP_4[[#This Row],[Placa]])</f>
        <v>0</v>
      </c>
      <c r="AF815" s="53">
        <v>43066.371608796297</v>
      </c>
      <c r="AG815" s="52"/>
      <c r="AH815" s="51"/>
      <c r="AI815" s="51"/>
      <c r="AJ815" s="49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15" s="50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15" s="49">
        <f>SUMIFS('[1]Tempo parado'!I:I,'[1]Tempo parado'!G:G,"&gt;="&amp;MIP_4[[#This Row],[S.B Sitrack]],'[1]Tempo parado'!H:H,"&lt;="&amp;MIP_4[[#This Row],[C.B Sitrack]],'[1]Tempo parado'!A:A,MIP_4[[#This Row],[Placa]])</f>
        <v>0</v>
      </c>
      <c r="AM815" s="48" t="str">
        <f>IFERROR(MIP_4[[#This Row],[Tempo parado]]/(MIP_4[[#This Row],[C.B Sitrack]]-MIP_4[[#This Row],[S.B Sitrack]]),"")</f>
        <v/>
      </c>
      <c r="AN815" s="30"/>
      <c r="AO815" s="44">
        <f>IF(AND(MIP_4[Exc]=0,MIP_4[Previsto / Realizado]="Realizado"),MIP_4[Sem],0)</f>
        <v>0</v>
      </c>
      <c r="AP815" s="29">
        <f>IF(AND(MIP_4[Exc]=0,MIP_4[Previsto / Realizado]="Realizado",ISBLANK(MIP_4[[#This Row],[S.B Sitrack]])=FALSE,ISBLANK(MIP_4[[#This Row],[C.B Sitrack]])=FALSE),MIP_4[Sem],0)</f>
        <v>0</v>
      </c>
    </row>
    <row r="816" spans="1:42" ht="15.75" x14ac:dyDescent="0.25">
      <c r="A816" s="12">
        <f>WEEKNUM(MIP_4[[#This Row],[Data]])</f>
        <v>48</v>
      </c>
      <c r="B816" s="28">
        <v>43065</v>
      </c>
      <c r="C816" s="28"/>
      <c r="D816" s="18" t="s">
        <v>10</v>
      </c>
      <c r="E816" s="18" t="s">
        <v>2</v>
      </c>
      <c r="F816" s="18" t="s">
        <v>1</v>
      </c>
      <c r="G816" s="27"/>
      <c r="H816" s="27">
        <v>4</v>
      </c>
      <c r="I816" s="27">
        <v>2</v>
      </c>
      <c r="J816" s="27">
        <v>2</v>
      </c>
      <c r="K816" s="27">
        <v>0</v>
      </c>
      <c r="L816" s="26">
        <v>0.24652777777777779</v>
      </c>
      <c r="M816" s="26">
        <v>0.27777777777777779</v>
      </c>
      <c r="N816" s="26">
        <v>0.61458333333333337</v>
      </c>
      <c r="O816" s="26">
        <v>0.62569444444444444</v>
      </c>
      <c r="P816" s="22"/>
      <c r="Q816" s="25" t="s">
        <v>92</v>
      </c>
      <c r="R816" s="12">
        <f>MIP_4[[#This Row],[PT-1]]+MIP_4[[#This Row],[PT-2]]*2+MIP_4[[#This Row],[PT-3]]*3+MIP_4[[#This Row],[PT &gt; 3 Pontos]]</f>
        <v>14</v>
      </c>
      <c r="S816" s="22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4.2361111111111072E-2</v>
      </c>
      <c r="T816" s="22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4.2361111111111072E-2</v>
      </c>
      <c r="U816" s="24">
        <f ca="1">MIP_4[[#This Row],[Eficiência]]</f>
        <v>1.0622263427109973</v>
      </c>
      <c r="V816" s="23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16" s="22">
        <f>IF(MIP_4[[#This Row],[P.S]]-MIP_4[[#This Row],[P.E]]&lt;0,1+MIP_4[[#This Row],[P.S]]-MIP_4[[#This Row],[P.E]]-1/24,MIP_4[[#This Row],[P.S]]-MIP_4[[#This Row],[P.E]]-1/24)</f>
        <v>0.33749999999999997</v>
      </c>
      <c r="X816" s="22">
        <f ca="1">MIP_4[[#This Row],[PT-1]]*$S$3+MIP_4[[#This Row],[PT-2]]*$T$3+MIP_4[[#This Row],[PT-3]]*$U$3+MIP_4[[#This Row],[PT &gt; 3 Pontos]]*$V$3</f>
        <v>0.31350430253623185</v>
      </c>
      <c r="Y816" s="22">
        <f>MIP_4[[#This Row],[HH disponível]]-MIP_4[[#This Row],[HH AC TOT]]</f>
        <v>0.2951388888888889</v>
      </c>
      <c r="Z816" s="21">
        <f ca="1">MIP_4[[#This Row],[HH Produtivo
Total]]/MIP_4[[#This Row],[HH Trabalhado]]</f>
        <v>1.0622263427109973</v>
      </c>
      <c r="AA816" s="21">
        <f ca="1">MIP_4[[#This Row],[HH Produtivo
Total]]/MIP_4[[#This Row],[HH disponível]]</f>
        <v>0.92890163714439078</v>
      </c>
      <c r="AB816" s="21">
        <f>MIP_4[[#This Row],[HH Trabalhado]]/MIP_4[[#This Row],[HH disponível]]</f>
        <v>0.874485596707819</v>
      </c>
      <c r="AC816" s="20" t="str">
        <f>LEFT(MIP_4[[#This Row],[Equipe]], SEARCH("/",MIP_4[[#This Row],[Equipe]],1)-1)</f>
        <v xml:space="preserve">JOILSON </v>
      </c>
      <c r="AD816" s="20" t="str">
        <f>RIGHT(MIP_4[[#This Row],[Equipe]], LEN(MIP_4[[#This Row],[Equipe]])-SEARCH("/",MIP_4[[#This Row],[Equipe]],1))</f>
        <v xml:space="preserve"> VALDEI</v>
      </c>
      <c r="AE816" s="12">
        <f>COUNTIFS('[1]Tempo parado'!G:G,"&gt;="&amp;MIP_4[[#This Row],[S.B Sitrack]],'[1]Tempo parado'!H:H,"&lt;="&amp;MIP_4[[#This Row],[C.B Sitrack]],'[1]Tempo parado'!A:A,MIP_4[[#This Row],[Placa]])</f>
        <v>0</v>
      </c>
      <c r="AF816" s="19"/>
      <c r="AG816" s="18" t="s">
        <v>91</v>
      </c>
      <c r="AH816" s="17"/>
      <c r="AI816" s="17"/>
      <c r="AJ81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16" s="16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16" s="15">
        <f>SUMIFS('[1]Tempo parado'!I:I,'[1]Tempo parado'!G:G,"&gt;="&amp;MIP_4[[#This Row],[S.B Sitrack]],'[1]Tempo parado'!H:H,"&lt;="&amp;MIP_4[[#This Row],[C.B Sitrack]],'[1]Tempo parado'!A:A,MIP_4[[#This Row],[Placa]])</f>
        <v>0</v>
      </c>
      <c r="AM816" s="14" t="str">
        <f>IFERROR(MIP_4[[#This Row],[Tempo parado]]/(MIP_4[[#This Row],[C.B Sitrack]]-MIP_4[[#This Row],[S.B Sitrack]]),"")</f>
        <v/>
      </c>
      <c r="AN816" s="13"/>
      <c r="AO816" s="44">
        <f>IF(AND(MIP_4[Exc]=0,MIP_4[Previsto / Realizado]="Realizado"),MIP_4[Sem],0)</f>
        <v>48</v>
      </c>
      <c r="AP816" s="12">
        <f>IF(AND(MIP_4[Exc]=0,MIP_4[Previsto / Realizado]="Realizado",ISBLANK(MIP_4[[#This Row],[S.B Sitrack]])=FALSE,ISBLANK(MIP_4[[#This Row],[C.B Sitrack]])=FALSE),MIP_4[Sem],0)</f>
        <v>0</v>
      </c>
    </row>
    <row r="817" spans="1:42" ht="15.75" x14ac:dyDescent="0.25">
      <c r="A817" s="29">
        <f>WEEKNUM(MIP_4[[#This Row],[Data]])</f>
        <v>48</v>
      </c>
      <c r="B817" s="45" t="s">
        <v>90</v>
      </c>
      <c r="C817" s="45"/>
      <c r="D817" s="35" t="s">
        <v>7</v>
      </c>
      <c r="E817" s="35" t="s">
        <v>5</v>
      </c>
      <c r="F817" s="35"/>
      <c r="G817" s="44">
        <v>2</v>
      </c>
      <c r="H817" s="44">
        <v>6</v>
      </c>
      <c r="I817" s="44">
        <v>2</v>
      </c>
      <c r="J817" s="44">
        <v>2</v>
      </c>
      <c r="K817" s="44">
        <v>4</v>
      </c>
      <c r="L817" s="43">
        <v>0.625</v>
      </c>
      <c r="M817" s="43">
        <v>0.6381944444444444</v>
      </c>
      <c r="N817" s="43">
        <v>5.5555555555555558E-3</v>
      </c>
      <c r="O817" s="43">
        <v>3.3333333333333333E-2</v>
      </c>
      <c r="P817" s="39"/>
      <c r="Q817" s="42"/>
      <c r="R817" s="29">
        <f>MIP_4[[#This Row],[PT-1]]+MIP_4[[#This Row],[PT-2]]*2+MIP_4[[#This Row],[PT-3]]*3+MIP_4[[#This Row],[PT &gt; 3 Pontos]]</f>
        <v>20</v>
      </c>
      <c r="S81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4.0972222222222188E-2</v>
      </c>
      <c r="T81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4.0972222222222188E-2</v>
      </c>
      <c r="U817" s="41">
        <f ca="1">MIP_4[[#This Row],[Eficiência]]</f>
        <v>1.3649236563902361</v>
      </c>
      <c r="V817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17" s="39">
        <f>IF(MIP_4[[#This Row],[P.S]]-MIP_4[[#This Row],[P.E]]&lt;0,1+MIP_4[[#This Row],[P.S]]-MIP_4[[#This Row],[P.E]]-1/24,MIP_4[[#This Row],[P.S]]-MIP_4[[#This Row],[P.E]]-1/24)</f>
        <v>0.36666666666666675</v>
      </c>
      <c r="X817" s="39">
        <f ca="1">MIP_4[[#This Row],[PT-1]]*$S$3+MIP_4[[#This Row],[PT-2]]*$T$3+MIP_4[[#This Row],[PT-3]]*$U$3+MIP_4[[#This Row],[PT &gt; 3 Pontos]]*$V$3</f>
        <v>0.4445480519770979</v>
      </c>
      <c r="Y817" s="39">
        <f>MIP_4[[#This Row],[HH disponível]]-MIP_4[[#This Row],[HH AC TOT]]</f>
        <v>0.32569444444444456</v>
      </c>
      <c r="Z817" s="38">
        <f ca="1">MIP_4[[#This Row],[HH Produtivo
Total]]/MIP_4[[#This Row],[HH Trabalhado]]</f>
        <v>1.3649236563902361</v>
      </c>
      <c r="AA817" s="38">
        <f ca="1">MIP_4[[#This Row],[HH Produtivo
Total]]/MIP_4[[#This Row],[HH disponível]]</f>
        <v>1.2124037781193577</v>
      </c>
      <c r="AB817" s="38">
        <f>MIP_4[[#This Row],[HH Trabalhado]]/MIP_4[[#This Row],[HH disponível]]</f>
        <v>0.88825757575757591</v>
      </c>
      <c r="AC817" s="37" t="str">
        <f>LEFT(MIP_4[[#This Row],[Equipe]], SEARCH("/",MIP_4[[#This Row],[Equipe]],1)-1)</f>
        <v xml:space="preserve">ANDERSON </v>
      </c>
      <c r="AD817" s="37" t="str">
        <f>RIGHT(MIP_4[[#This Row],[Equipe]], LEN(MIP_4[[#This Row],[Equipe]])-SEARCH("/",MIP_4[[#This Row],[Equipe]],1))</f>
        <v xml:space="preserve"> MARCO</v>
      </c>
      <c r="AE817" s="29">
        <f>COUNTIFS('[1]Tempo parado'!G:G,"&gt;="&amp;MIP_4[[#This Row],[S.B Sitrack]],'[1]Tempo parado'!H:H,"&lt;="&amp;MIP_4[[#This Row],[C.B Sitrack]],'[1]Tempo parado'!A:A,MIP_4[[#This Row],[Placa]])</f>
        <v>0</v>
      </c>
      <c r="AF817" s="36"/>
      <c r="AG817" s="35"/>
      <c r="AH817" s="34"/>
      <c r="AI817" s="34"/>
      <c r="AJ81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1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1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17" s="31" t="str">
        <f>IFERROR(MIP_4[[#This Row],[Tempo parado]]/(MIP_4[[#This Row],[C.B Sitrack]]-MIP_4[[#This Row],[S.B Sitrack]]),"")</f>
        <v/>
      </c>
      <c r="AN817" s="30"/>
      <c r="AO817" s="29">
        <f>IF(AND(MIP_4[Exc]=0,MIP_4[Previsto / Realizado]="Realizado"),MIP_4[Sem],0)</f>
        <v>0</v>
      </c>
      <c r="AP817" s="29">
        <f>IF(AND(MIP_4[Exc]=0,MIP_4[Previsto / Realizado]="Realizado",ISBLANK(MIP_4[[#This Row],[S.B Sitrack]])=FALSE,ISBLANK(MIP_4[[#This Row],[C.B Sitrack]])=FALSE),MIP_4[Sem],0)</f>
        <v>0</v>
      </c>
    </row>
    <row r="818" spans="1:42" ht="15.75" x14ac:dyDescent="0.25">
      <c r="A818" s="29">
        <f>WEEKNUM(MIP_4[[#This Row],[Data]])</f>
        <v>48</v>
      </c>
      <c r="B818" s="45" t="s">
        <v>90</v>
      </c>
      <c r="C818" s="45"/>
      <c r="D818" s="35" t="s">
        <v>7</v>
      </c>
      <c r="E818" s="35" t="s">
        <v>2</v>
      </c>
      <c r="F818" s="35" t="s">
        <v>1</v>
      </c>
      <c r="G818" s="44">
        <v>2</v>
      </c>
      <c r="H818" s="44">
        <v>6</v>
      </c>
      <c r="I818" s="44">
        <v>1</v>
      </c>
      <c r="J818" s="44">
        <v>1</v>
      </c>
      <c r="K818" s="44">
        <v>4</v>
      </c>
      <c r="L818" s="43">
        <v>0.62986111111111109</v>
      </c>
      <c r="M818" s="43">
        <v>0.65277777777777779</v>
      </c>
      <c r="N818" s="43">
        <v>2.2222222222222223E-2</v>
      </c>
      <c r="O818" s="43">
        <v>3.4027777777777775E-2</v>
      </c>
      <c r="P818" s="39"/>
      <c r="Q818" s="42"/>
      <c r="R818" s="29">
        <f>MIP_4[[#This Row],[PT-1]]+MIP_4[[#This Row],[PT-2]]*2+MIP_4[[#This Row],[PT-3]]*3+MIP_4[[#This Row],[PT &gt; 3 Pontos]]</f>
        <v>15</v>
      </c>
      <c r="S81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3.472222222222221E-2</v>
      </c>
      <c r="T81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3.472222222222221E-2</v>
      </c>
      <c r="U818" s="41">
        <f ca="1">MIP_4[[#This Row],[Eficiência]]</f>
        <v>1.0307215117429513</v>
      </c>
      <c r="V818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18" s="39">
        <f>IF(MIP_4[[#This Row],[P.S]]-MIP_4[[#This Row],[P.E]]&lt;0,1+MIP_4[[#This Row],[P.S]]-MIP_4[[#This Row],[P.E]]-1/24,MIP_4[[#This Row],[P.S]]-MIP_4[[#This Row],[P.E]]-1/24)</f>
        <v>0.36249999999999999</v>
      </c>
      <c r="X818" s="39">
        <f ca="1">MIP_4[[#This Row],[PT-1]]*$S$3+MIP_4[[#This Row],[PT-2]]*$T$3+MIP_4[[#This Row],[PT-3]]*$U$3+MIP_4[[#This Row],[PT &gt; 3 Pontos]]*$V$3</f>
        <v>0.33784760662685631</v>
      </c>
      <c r="Y818" s="39">
        <f>MIP_4[[#This Row],[HH disponível]]-MIP_4[[#This Row],[HH AC TOT]]</f>
        <v>0.32777777777777778</v>
      </c>
      <c r="Z818" s="38">
        <f ca="1">MIP_4[[#This Row],[HH Produtivo
Total]]/MIP_4[[#This Row],[HH Trabalhado]]</f>
        <v>1.0307215117429513</v>
      </c>
      <c r="AA818" s="38">
        <f ca="1">MIP_4[[#This Row],[HH Produtivo
Total]]/MIP_4[[#This Row],[HH disponível]]</f>
        <v>0.93199339759132782</v>
      </c>
      <c r="AB818" s="38">
        <f>MIP_4[[#This Row],[HH Trabalhado]]/MIP_4[[#This Row],[HH disponível]]</f>
        <v>0.90421455938697326</v>
      </c>
      <c r="AC818" s="37" t="str">
        <f>LEFT(MIP_4[[#This Row],[Equipe]], SEARCH("/",MIP_4[[#This Row],[Equipe]],1)-1)</f>
        <v xml:space="preserve">ANDERSON </v>
      </c>
      <c r="AD818" s="37" t="str">
        <f>RIGHT(MIP_4[[#This Row],[Equipe]], LEN(MIP_4[[#This Row],[Equipe]])-SEARCH("/",MIP_4[[#This Row],[Equipe]],1))</f>
        <v xml:space="preserve"> MARCO</v>
      </c>
      <c r="AE818" s="29">
        <f>COUNTIFS('[1]Tempo parado'!G:G,"&gt;="&amp;MIP_4[[#This Row],[S.B Sitrack]],'[1]Tempo parado'!H:H,"&lt;="&amp;MIP_4[[#This Row],[C.B Sitrack]],'[1]Tempo parado'!A:A,MIP_4[[#This Row],[Placa]])</f>
        <v>0</v>
      </c>
      <c r="AF818" s="36"/>
      <c r="AG818" s="35"/>
      <c r="AH818" s="34"/>
      <c r="AI818" s="34"/>
      <c r="AJ81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1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1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18" s="31" t="str">
        <f>IFERROR(MIP_4[[#This Row],[Tempo parado]]/(MIP_4[[#This Row],[C.B Sitrack]]-MIP_4[[#This Row],[S.B Sitrack]]),"")</f>
        <v/>
      </c>
      <c r="AN818" s="30"/>
      <c r="AO818" s="29">
        <f>IF(AND(MIP_4[Exc]=0,MIP_4[Previsto / Realizado]="Realizado"),MIP_4[Sem],0)</f>
        <v>48</v>
      </c>
      <c r="AP818" s="29">
        <f>IF(AND(MIP_4[Exc]=0,MIP_4[Previsto / Realizado]="Realizado",ISBLANK(MIP_4[[#This Row],[S.B Sitrack]])=FALSE,ISBLANK(MIP_4[[#This Row],[C.B Sitrack]])=FALSE),MIP_4[Sem],0)</f>
        <v>0</v>
      </c>
    </row>
    <row r="819" spans="1:42" ht="15.75" x14ac:dyDescent="0.25">
      <c r="A819" s="29">
        <f>WEEKNUM(MIP_4[[#This Row],[Data]])</f>
        <v>48</v>
      </c>
      <c r="B819" s="45" t="s">
        <v>89</v>
      </c>
      <c r="C819" s="45"/>
      <c r="D819" s="35" t="s">
        <v>10</v>
      </c>
      <c r="E819" s="35" t="s">
        <v>5</v>
      </c>
      <c r="F819" s="35"/>
      <c r="G819" s="44">
        <v>2</v>
      </c>
      <c r="H819" s="44">
        <v>3</v>
      </c>
      <c r="I819" s="44">
        <v>1</v>
      </c>
      <c r="J819" s="44">
        <v>1</v>
      </c>
      <c r="K819" s="44"/>
      <c r="L819" s="43">
        <v>0.25</v>
      </c>
      <c r="M819" s="43">
        <v>0.2638888888888889</v>
      </c>
      <c r="N819" s="43">
        <v>0.62986111111111109</v>
      </c>
      <c r="O819" s="43">
        <v>0.65833333333333333</v>
      </c>
      <c r="P819" s="39"/>
      <c r="Q819" s="42" t="s">
        <v>4</v>
      </c>
      <c r="R819" s="29">
        <f>MIP_4[[#This Row],[PT-1]]+MIP_4[[#This Row],[PT-2]]*2+MIP_4[[#This Row],[PT-3]]*3+MIP_4[[#This Row],[PT &gt; 3 Pontos]]</f>
        <v>8</v>
      </c>
      <c r="S81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4.2361111111111127E-2</v>
      </c>
      <c r="T81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4.2361111111111127E-2</v>
      </c>
      <c r="U819" s="41">
        <f ca="1">MIP_4[[#This Row],[Eficiência]]</f>
        <v>0.56051461688855786</v>
      </c>
      <c r="V819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19" s="39">
        <f>IF(MIP_4[[#This Row],[P.S]]-MIP_4[[#This Row],[P.E]]&lt;0,1+MIP_4[[#This Row],[P.S]]-MIP_4[[#This Row],[P.E]]-1/24,MIP_4[[#This Row],[P.S]]-MIP_4[[#This Row],[P.E]]-1/24)</f>
        <v>0.36666666666666664</v>
      </c>
      <c r="X819" s="39">
        <f ca="1">MIP_4[[#This Row],[PT-1]]*$S$3+MIP_4[[#This Row],[PT-2]]*$T$3+MIP_4[[#This Row],[PT-3]]*$U$3+MIP_4[[#This Row],[PT &gt; 3 Pontos]]*$V$3</f>
        <v>0.18177800422705312</v>
      </c>
      <c r="Y819" s="39">
        <f>MIP_4[[#This Row],[HH disponível]]-MIP_4[[#This Row],[HH AC TOT]]</f>
        <v>0.32430555555555551</v>
      </c>
      <c r="Z819" s="38">
        <f ca="1">MIP_4[[#This Row],[HH Produtivo
Total]]/MIP_4[[#This Row],[HH Trabalhado]]</f>
        <v>0.56051461688855786</v>
      </c>
      <c r="AA819" s="38">
        <f ca="1">MIP_4[[#This Row],[HH Produtivo
Total]]/MIP_4[[#This Row],[HH disponível]]</f>
        <v>0.49575819334650856</v>
      </c>
      <c r="AB819" s="38">
        <f>MIP_4[[#This Row],[HH Trabalhado]]/MIP_4[[#This Row],[HH disponível]]</f>
        <v>0.88446969696969691</v>
      </c>
      <c r="AC819" s="37" t="str">
        <f>LEFT(MIP_4[[#This Row],[Equipe]], SEARCH("/",MIP_4[[#This Row],[Equipe]],1)-1)</f>
        <v xml:space="preserve">JOILSON </v>
      </c>
      <c r="AD819" s="37" t="str">
        <f>RIGHT(MIP_4[[#This Row],[Equipe]], LEN(MIP_4[[#This Row],[Equipe]])-SEARCH("/",MIP_4[[#This Row],[Equipe]],1))</f>
        <v xml:space="preserve"> VALDEI</v>
      </c>
      <c r="AE819" s="29">
        <f>COUNTIFS('[1]Tempo parado'!G:G,"&gt;="&amp;MIP_4[[#This Row],[S.B Sitrack]],'[1]Tempo parado'!H:H,"&lt;="&amp;MIP_4[[#This Row],[C.B Sitrack]],'[1]Tempo parado'!A:A,MIP_4[[#This Row],[Placa]])</f>
        <v>0</v>
      </c>
      <c r="AF819" s="36"/>
      <c r="AG819" s="35"/>
      <c r="AH819" s="34"/>
      <c r="AI819" s="34"/>
      <c r="AJ81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1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1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19" s="31" t="str">
        <f>IFERROR(MIP_4[[#This Row],[Tempo parado]]/(MIP_4[[#This Row],[C.B Sitrack]]-MIP_4[[#This Row],[S.B Sitrack]]),"")</f>
        <v/>
      </c>
      <c r="AN819" s="30"/>
      <c r="AO819" s="29">
        <f>IF(AND(MIP_4[Exc]=0,MIP_4[Previsto / Realizado]="Realizado"),MIP_4[Sem],0)</f>
        <v>0</v>
      </c>
      <c r="AP819" s="29">
        <f>IF(AND(MIP_4[Exc]=0,MIP_4[Previsto / Realizado]="Realizado",ISBLANK(MIP_4[[#This Row],[S.B Sitrack]])=FALSE,ISBLANK(MIP_4[[#This Row],[C.B Sitrack]])=FALSE),MIP_4[Sem],0)</f>
        <v>0</v>
      </c>
    </row>
    <row r="820" spans="1:42" ht="15.75" x14ac:dyDescent="0.25">
      <c r="A820" s="29">
        <f>WEEKNUM(MIP_4[[#This Row],[Data]])</f>
        <v>48</v>
      </c>
      <c r="B820" s="45" t="s">
        <v>89</v>
      </c>
      <c r="C820" s="45"/>
      <c r="D820" s="35" t="s">
        <v>10</v>
      </c>
      <c r="E820" s="35" t="s">
        <v>2</v>
      </c>
      <c r="F820" s="35" t="s">
        <v>1</v>
      </c>
      <c r="G820" s="44">
        <v>2</v>
      </c>
      <c r="H820" s="44">
        <v>6</v>
      </c>
      <c r="I820" s="44">
        <v>1</v>
      </c>
      <c r="J820" s="44">
        <v>1</v>
      </c>
      <c r="K820" s="44">
        <v>0</v>
      </c>
      <c r="L820" s="43">
        <v>0.24930555555555556</v>
      </c>
      <c r="M820" s="43">
        <v>0.27083333333333331</v>
      </c>
      <c r="N820" s="43">
        <v>0.6166666666666667</v>
      </c>
      <c r="O820" s="43">
        <v>0.66805555555555562</v>
      </c>
      <c r="P820" s="39"/>
      <c r="Q820" s="42" t="s">
        <v>34</v>
      </c>
      <c r="R820" s="29">
        <f>MIP_4[[#This Row],[PT-1]]+MIP_4[[#This Row],[PT-2]]*2+MIP_4[[#This Row],[PT-3]]*3+MIP_4[[#This Row],[PT &gt; 3 Pontos]]</f>
        <v>11</v>
      </c>
      <c r="S82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7.2916666666666685E-2</v>
      </c>
      <c r="T82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7.2916666666666685E-2</v>
      </c>
      <c r="U820" s="41">
        <f ca="1">MIP_4[[#This Row],[Eficiência]]</f>
        <v>0.84445664582092483</v>
      </c>
      <c r="V820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20" s="39">
        <f>IF(MIP_4[[#This Row],[P.S]]-MIP_4[[#This Row],[P.E]]&lt;0,1+MIP_4[[#This Row],[P.S]]-MIP_4[[#This Row],[P.E]]-1/24,MIP_4[[#This Row],[P.S]]-MIP_4[[#This Row],[P.E]]-1/24)</f>
        <v>0.37708333333333338</v>
      </c>
      <c r="X820" s="39">
        <f ca="1">MIP_4[[#This Row],[PT-1]]*$S$3+MIP_4[[#This Row],[PT-2]]*$T$3+MIP_4[[#This Row],[PT-3]]*$U$3+MIP_4[[#This Row],[PT &gt; 3 Pontos]]*$V$3</f>
        <v>0.25685556310386465</v>
      </c>
      <c r="Y820" s="39">
        <f>MIP_4[[#This Row],[HH disponível]]-MIP_4[[#This Row],[HH AC TOT]]</f>
        <v>0.3041666666666667</v>
      </c>
      <c r="Z820" s="38">
        <f ca="1">MIP_4[[#This Row],[HH Produtivo
Total]]/MIP_4[[#This Row],[HH Trabalhado]]</f>
        <v>0.84445664582092483</v>
      </c>
      <c r="AA820" s="38">
        <f ca="1">MIP_4[[#This Row],[HH Produtivo
Total]]/MIP_4[[#This Row],[HH disponível]]</f>
        <v>0.6811639242533426</v>
      </c>
      <c r="AB820" s="38">
        <f>MIP_4[[#This Row],[HH Trabalhado]]/MIP_4[[#This Row],[HH disponível]]</f>
        <v>0.80662983425414359</v>
      </c>
      <c r="AC820" s="37" t="str">
        <f>LEFT(MIP_4[[#This Row],[Equipe]], SEARCH("/",MIP_4[[#This Row],[Equipe]],1)-1)</f>
        <v xml:space="preserve">JOILSON </v>
      </c>
      <c r="AD820" s="37" t="str">
        <f>RIGHT(MIP_4[[#This Row],[Equipe]], LEN(MIP_4[[#This Row],[Equipe]])-SEARCH("/",MIP_4[[#This Row],[Equipe]],1))</f>
        <v xml:space="preserve"> VALDEI</v>
      </c>
      <c r="AE820" s="29">
        <f>COUNTIFS('[1]Tempo parado'!G:G,"&gt;="&amp;MIP_4[[#This Row],[S.B Sitrack]],'[1]Tempo parado'!H:H,"&lt;="&amp;MIP_4[[#This Row],[C.B Sitrack]],'[1]Tempo parado'!A:A,MIP_4[[#This Row],[Placa]])</f>
        <v>0</v>
      </c>
      <c r="AF820" s="36"/>
      <c r="AG820" s="35"/>
      <c r="AH820" s="34"/>
      <c r="AI820" s="34"/>
      <c r="AJ82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2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2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20" s="31" t="str">
        <f>IFERROR(MIP_4[[#This Row],[Tempo parado]]/(MIP_4[[#This Row],[C.B Sitrack]]-MIP_4[[#This Row],[S.B Sitrack]]),"")</f>
        <v/>
      </c>
      <c r="AN820" s="30"/>
      <c r="AO820" s="29">
        <f>IF(AND(MIP_4[Exc]=0,MIP_4[Previsto / Realizado]="Realizado"),MIP_4[Sem],0)</f>
        <v>48</v>
      </c>
      <c r="AP820" s="29">
        <f>IF(AND(MIP_4[Exc]=0,MIP_4[Previsto / Realizado]="Realizado",ISBLANK(MIP_4[[#This Row],[S.B Sitrack]])=FALSE,ISBLANK(MIP_4[[#This Row],[C.B Sitrack]])=FALSE),MIP_4[Sem],0)</f>
        <v>0</v>
      </c>
    </row>
    <row r="821" spans="1:42" ht="15.75" x14ac:dyDescent="0.25">
      <c r="A821" s="29">
        <f>WEEKNUM(MIP_4[[#This Row],[Data]])</f>
        <v>48</v>
      </c>
      <c r="B821" s="45" t="s">
        <v>89</v>
      </c>
      <c r="C821" s="45"/>
      <c r="D821" s="35" t="s">
        <v>72</v>
      </c>
      <c r="E821" s="35" t="s">
        <v>5</v>
      </c>
      <c r="F821" s="35"/>
      <c r="G821" s="44">
        <v>3</v>
      </c>
      <c r="H821" s="44">
        <v>0</v>
      </c>
      <c r="I821" s="44">
        <v>0</v>
      </c>
      <c r="J821" s="44">
        <v>0</v>
      </c>
      <c r="K821" s="44">
        <v>4</v>
      </c>
      <c r="L821" s="43">
        <v>0.625</v>
      </c>
      <c r="M821" s="43">
        <v>0.6381944444444444</v>
      </c>
      <c r="N821" s="43">
        <v>5.5555555555555558E-3</v>
      </c>
      <c r="O821" s="43">
        <v>3.3333333333333333E-2</v>
      </c>
      <c r="P821" s="39"/>
      <c r="Q821" s="42" t="s">
        <v>4</v>
      </c>
      <c r="R821" s="29">
        <f>MIP_4[[#This Row],[PT-1]]+MIP_4[[#This Row],[PT-2]]*2+MIP_4[[#This Row],[PT-3]]*3+MIP_4[[#This Row],[PT &gt; 3 Pontos]]</f>
        <v>4</v>
      </c>
      <c r="S82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4.0972222222222188E-2</v>
      </c>
      <c r="T82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4.0972222222222188E-2</v>
      </c>
      <c r="U821" s="41">
        <f ca="1">MIP_4[[#This Row],[Eficiência]]</f>
        <v>0.24867493107272476</v>
      </c>
      <c r="V821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21" s="39">
        <f>IF(MIP_4[[#This Row],[P.S]]-MIP_4[[#This Row],[P.E]]&lt;0,1+MIP_4[[#This Row],[P.S]]-MIP_4[[#This Row],[P.E]]-1/24,MIP_4[[#This Row],[P.S]]-MIP_4[[#This Row],[P.E]]-1/24)</f>
        <v>0.36666666666666675</v>
      </c>
      <c r="X821" s="39">
        <f ca="1">MIP_4[[#This Row],[PT-1]]*$S$3+MIP_4[[#This Row],[PT-2]]*$T$3+MIP_4[[#This Row],[PT-3]]*$U$3+MIP_4[[#This Row],[PT &gt; 3 Pontos]]*$V$3</f>
        <v>8.0992043522991636E-2</v>
      </c>
      <c r="Y821" s="39">
        <f>MIP_4[[#This Row],[HH disponível]]-MIP_4[[#This Row],[HH AC TOT]]</f>
        <v>0.32569444444444456</v>
      </c>
      <c r="Z821" s="38">
        <f ca="1">MIP_4[[#This Row],[HH Produtivo
Total]]/MIP_4[[#This Row],[HH Trabalhado]]</f>
        <v>0.24867493107272476</v>
      </c>
      <c r="AA821" s="38">
        <f ca="1">MIP_4[[#This Row],[HH Produtivo
Total]]/MIP_4[[#This Row],[HH disponível]]</f>
        <v>0.22088739142634078</v>
      </c>
      <c r="AB821" s="38">
        <f>MIP_4[[#This Row],[HH Trabalhado]]/MIP_4[[#This Row],[HH disponível]]</f>
        <v>0.88825757575757591</v>
      </c>
      <c r="AC821" s="37" t="str">
        <f>LEFT(MIP_4[[#This Row],[Equipe]], SEARCH("/",MIP_4[[#This Row],[Equipe]],1)-1)</f>
        <v xml:space="preserve">ANDERSON </v>
      </c>
      <c r="AD821" s="37" t="str">
        <f>RIGHT(MIP_4[[#This Row],[Equipe]], LEN(MIP_4[[#This Row],[Equipe]])-SEARCH("/",MIP_4[[#This Row],[Equipe]],1))</f>
        <v xml:space="preserve"> GECIVALDO / MARCO</v>
      </c>
      <c r="AE821" s="29">
        <f>COUNTIFS('[1]Tempo parado'!G:G,"&gt;="&amp;MIP_4[[#This Row],[S.B Sitrack]],'[1]Tempo parado'!H:H,"&lt;="&amp;MIP_4[[#This Row],[C.B Sitrack]],'[1]Tempo parado'!A:A,MIP_4[[#This Row],[Placa]])</f>
        <v>0</v>
      </c>
      <c r="AF821" s="36"/>
      <c r="AG821" s="35"/>
      <c r="AH821" s="34"/>
      <c r="AI821" s="34"/>
      <c r="AJ82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2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2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21" s="31" t="str">
        <f>IFERROR(MIP_4[[#This Row],[Tempo parado]]/(MIP_4[[#This Row],[C.B Sitrack]]-MIP_4[[#This Row],[S.B Sitrack]]),"")</f>
        <v/>
      </c>
      <c r="AN821" s="30"/>
      <c r="AO821" s="29">
        <f>IF(AND(MIP_4[Exc]=0,MIP_4[Previsto / Realizado]="Realizado"),MIP_4[Sem],0)</f>
        <v>0</v>
      </c>
      <c r="AP821" s="29">
        <f>IF(AND(MIP_4[Exc]=0,MIP_4[Previsto / Realizado]="Realizado",ISBLANK(MIP_4[[#This Row],[S.B Sitrack]])=FALSE,ISBLANK(MIP_4[[#This Row],[C.B Sitrack]])=FALSE),MIP_4[Sem],0)</f>
        <v>0</v>
      </c>
    </row>
    <row r="822" spans="1:42" ht="15.75" x14ac:dyDescent="0.25">
      <c r="A822" s="29">
        <f>WEEKNUM(MIP_4[[#This Row],[Data]])</f>
        <v>48</v>
      </c>
      <c r="B822" s="45" t="s">
        <v>89</v>
      </c>
      <c r="C822" s="45"/>
      <c r="D822" s="46" t="s">
        <v>72</v>
      </c>
      <c r="E822" s="35" t="s">
        <v>2</v>
      </c>
      <c r="F822" s="35" t="s">
        <v>39</v>
      </c>
      <c r="G822" s="44">
        <v>3</v>
      </c>
      <c r="H822" s="44">
        <v>3</v>
      </c>
      <c r="I822" s="44">
        <v>1</v>
      </c>
      <c r="J822" s="44">
        <v>0</v>
      </c>
      <c r="K822" s="44">
        <v>8</v>
      </c>
      <c r="L822" s="43">
        <v>0.63055555555555554</v>
      </c>
      <c r="M822" s="43">
        <v>0.65277777777777779</v>
      </c>
      <c r="N822" s="43">
        <v>2.4305555555555556E-2</v>
      </c>
      <c r="O822" s="43">
        <v>3.3333333333333333E-2</v>
      </c>
      <c r="P822" s="39"/>
      <c r="Q822" s="42" t="s">
        <v>88</v>
      </c>
      <c r="R822" s="29">
        <f>MIP_4[[#This Row],[PT-1]]+MIP_4[[#This Row],[PT-2]]*2+MIP_4[[#This Row],[PT-3]]*3+MIP_4[[#This Row],[PT &gt; 3 Pontos]]</f>
        <v>13</v>
      </c>
      <c r="S82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3.125E-2</v>
      </c>
      <c r="T82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3.125E-2</v>
      </c>
      <c r="U822" s="41">
        <f ca="1">MIP_4[[#This Row],[Eficiência]]</f>
        <v>0.8517839859310109</v>
      </c>
      <c r="V822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22" s="39">
        <f>IF(MIP_4[[#This Row],[P.S]]-MIP_4[[#This Row],[P.E]]&lt;0,1+MIP_4[[#This Row],[P.S]]-MIP_4[[#This Row],[P.E]]-1/24,MIP_4[[#This Row],[P.S]]-MIP_4[[#This Row],[P.E]]-1/24)</f>
        <v>0.36111111111111122</v>
      </c>
      <c r="X822" s="39">
        <f ca="1">MIP_4[[#This Row],[PT-1]]*$S$3+MIP_4[[#This Row],[PT-2]]*$T$3+MIP_4[[#This Row],[PT-3]]*$U$3+MIP_4[[#This Row],[PT &gt; 3 Pontos]]*$V$3</f>
        <v>0.28097041202585438</v>
      </c>
      <c r="Y822" s="39">
        <f>MIP_4[[#This Row],[HH disponível]]-MIP_4[[#This Row],[HH AC TOT]]</f>
        <v>0.32986111111111122</v>
      </c>
      <c r="Z822" s="38">
        <f ca="1">MIP_4[[#This Row],[HH Produtivo
Total]]/MIP_4[[#This Row],[HH Trabalhado]]</f>
        <v>0.8517839859310109</v>
      </c>
      <c r="AA822" s="38">
        <f ca="1">MIP_4[[#This Row],[HH Produtivo
Total]]/MIP_4[[#This Row],[HH disponível]]</f>
        <v>0.77807191022544264</v>
      </c>
      <c r="AB822" s="38">
        <f>MIP_4[[#This Row],[HH Trabalhado]]/MIP_4[[#This Row],[HH disponível]]</f>
        <v>0.91346153846153844</v>
      </c>
      <c r="AC822" s="37" t="str">
        <f>LEFT(MIP_4[[#This Row],[Equipe]], SEARCH("/",MIP_4[[#This Row],[Equipe]],1)-1)</f>
        <v xml:space="preserve">ANDERSON </v>
      </c>
      <c r="AD822" s="37" t="str">
        <f>RIGHT(MIP_4[[#This Row],[Equipe]], LEN(MIP_4[[#This Row],[Equipe]])-SEARCH("/",MIP_4[[#This Row],[Equipe]],1))</f>
        <v xml:space="preserve"> GECIVALDO / MARCO</v>
      </c>
      <c r="AE822" s="29">
        <f>COUNTIFS('[1]Tempo parado'!G:G,"&gt;="&amp;MIP_4[[#This Row],[S.B Sitrack]],'[1]Tempo parado'!H:H,"&lt;="&amp;MIP_4[[#This Row],[C.B Sitrack]],'[1]Tempo parado'!A:A,MIP_4[[#This Row],[Placa]])</f>
        <v>0</v>
      </c>
      <c r="AF822" s="36"/>
      <c r="AG822" s="35"/>
      <c r="AH822" s="34">
        <v>43067.6562037037</v>
      </c>
      <c r="AI822" s="34">
        <v>43068.029328703706</v>
      </c>
      <c r="AJ822" s="32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7.6388888888888756E-3</v>
      </c>
      <c r="AK82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3.6</v>
      </c>
      <c r="AL82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22" s="31">
        <f>IFERROR(MIP_4[[#This Row],[Tempo parado]]/(MIP_4[[#This Row],[C.B Sitrack]]-MIP_4[[#This Row],[S.B Sitrack]]),"")</f>
        <v>0</v>
      </c>
      <c r="AN822" s="30" t="s">
        <v>87</v>
      </c>
      <c r="AO822" s="29">
        <f>IF(AND(MIP_4[Exc]=0,MIP_4[Previsto / Realizado]="Realizado"),MIP_4[Sem],0)</f>
        <v>48</v>
      </c>
      <c r="AP822" s="29">
        <f>IF(AND(MIP_4[Exc]=0,MIP_4[Previsto / Realizado]="Realizado",ISBLANK(MIP_4[[#This Row],[S.B Sitrack]])=FALSE,ISBLANK(MIP_4[[#This Row],[C.B Sitrack]])=FALSE),MIP_4[Sem],0)</f>
        <v>48</v>
      </c>
    </row>
    <row r="823" spans="1:42" ht="15.75" x14ac:dyDescent="0.25">
      <c r="A823" s="29">
        <f>WEEKNUM(MIP_4[[#This Row],[Data]])</f>
        <v>48</v>
      </c>
      <c r="B823" s="45" t="s">
        <v>84</v>
      </c>
      <c r="C823" s="45"/>
      <c r="D823" s="35" t="s">
        <v>10</v>
      </c>
      <c r="E823" s="35" t="s">
        <v>5</v>
      </c>
      <c r="F823" s="35"/>
      <c r="G823" s="44">
        <v>2</v>
      </c>
      <c r="H823" s="44">
        <v>6</v>
      </c>
      <c r="I823" s="44">
        <v>2</v>
      </c>
      <c r="J823" s="44">
        <v>0</v>
      </c>
      <c r="K823" s="44">
        <v>0</v>
      </c>
      <c r="L823" s="43">
        <v>0.25</v>
      </c>
      <c r="M823" s="43">
        <v>0.2638888888888889</v>
      </c>
      <c r="N823" s="43">
        <v>0.62986111111111109</v>
      </c>
      <c r="O823" s="43">
        <v>0.65833333333333333</v>
      </c>
      <c r="P823" s="39"/>
      <c r="Q823" s="42"/>
      <c r="R823" s="29">
        <f>MIP_4[[#This Row],[PT-1]]+MIP_4[[#This Row],[PT-2]]*2+MIP_4[[#This Row],[PT-3]]*3+MIP_4[[#This Row],[PT &gt; 3 Pontos]]</f>
        <v>10</v>
      </c>
      <c r="S82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4.2361111111111127E-2</v>
      </c>
      <c r="T82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4.2361111111111127E-2</v>
      </c>
      <c r="U823" s="41">
        <f ca="1">MIP_4[[#This Row],[Eficiência]]</f>
        <v>0.73379146882661439</v>
      </c>
      <c r="V823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23" s="39">
        <f>IF(MIP_4[[#This Row],[P.S]]-MIP_4[[#This Row],[P.E]]&lt;0,1+MIP_4[[#This Row],[P.S]]-MIP_4[[#This Row],[P.E]]-1/24,MIP_4[[#This Row],[P.S]]-MIP_4[[#This Row],[P.E]]-1/24)</f>
        <v>0.36666666666666664</v>
      </c>
      <c r="X823" s="39">
        <f ca="1">MIP_4[[#This Row],[PT-1]]*$S$3+MIP_4[[#This Row],[PT-2]]*$T$3+MIP_4[[#This Row],[PT-3]]*$U$3+MIP_4[[#This Row],[PT &gt; 3 Pontos]]*$V$3</f>
        <v>0.23797264995974227</v>
      </c>
      <c r="Y823" s="39">
        <f>MIP_4[[#This Row],[HH disponível]]-MIP_4[[#This Row],[HH AC TOT]]</f>
        <v>0.32430555555555551</v>
      </c>
      <c r="Z823" s="38">
        <f ca="1">MIP_4[[#This Row],[HH Produtivo
Total]]/MIP_4[[#This Row],[HH Trabalhado]]</f>
        <v>0.73379146882661439</v>
      </c>
      <c r="AA823" s="38">
        <f ca="1">MIP_4[[#This Row],[HH Produtivo
Total]]/MIP_4[[#This Row],[HH disponível]]</f>
        <v>0.64901631807202442</v>
      </c>
      <c r="AB823" s="38">
        <f>MIP_4[[#This Row],[HH Trabalhado]]/MIP_4[[#This Row],[HH disponível]]</f>
        <v>0.88446969696969691</v>
      </c>
      <c r="AC823" s="37" t="str">
        <f>LEFT(MIP_4[[#This Row],[Equipe]], SEARCH("/",MIP_4[[#This Row],[Equipe]],1)-1)</f>
        <v xml:space="preserve">JOILSON </v>
      </c>
      <c r="AD823" s="37" t="str">
        <f>RIGHT(MIP_4[[#This Row],[Equipe]], LEN(MIP_4[[#This Row],[Equipe]])-SEARCH("/",MIP_4[[#This Row],[Equipe]],1))</f>
        <v xml:space="preserve"> VALDEI</v>
      </c>
      <c r="AE823" s="29">
        <f>COUNTIFS('[1]Tempo parado'!G:G,"&gt;="&amp;MIP_4[[#This Row],[S.B Sitrack]],'[1]Tempo parado'!H:H,"&lt;="&amp;MIP_4[[#This Row],[C.B Sitrack]],'[1]Tempo parado'!A:A,MIP_4[[#This Row],[Placa]])</f>
        <v>0</v>
      </c>
      <c r="AF823" s="36"/>
      <c r="AG823" s="35"/>
      <c r="AH823" s="34"/>
      <c r="AI823" s="34"/>
      <c r="AJ82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2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2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23" s="31" t="str">
        <f>IFERROR(MIP_4[[#This Row],[Tempo parado]]/(MIP_4[[#This Row],[C.B Sitrack]]-MIP_4[[#This Row],[S.B Sitrack]]),"")</f>
        <v/>
      </c>
      <c r="AN823" s="30"/>
      <c r="AO823" s="29">
        <f>IF(AND(MIP_4[Exc]=0,MIP_4[Previsto / Realizado]="Realizado"),MIP_4[Sem],0)</f>
        <v>0</v>
      </c>
      <c r="AP823" s="29">
        <f>IF(AND(MIP_4[Exc]=0,MIP_4[Previsto / Realizado]="Realizado",ISBLANK(MIP_4[[#This Row],[S.B Sitrack]])=FALSE,ISBLANK(MIP_4[[#This Row],[C.B Sitrack]])=FALSE),MIP_4[Sem],0)</f>
        <v>0</v>
      </c>
    </row>
    <row r="824" spans="1:42" ht="15.75" x14ac:dyDescent="0.25">
      <c r="A824" s="29">
        <f>WEEKNUM(MIP_4[[#This Row],[Data]])</f>
        <v>48</v>
      </c>
      <c r="B824" s="45" t="s">
        <v>84</v>
      </c>
      <c r="C824" s="45"/>
      <c r="D824" s="46" t="s">
        <v>10</v>
      </c>
      <c r="E824" s="35" t="s">
        <v>2</v>
      </c>
      <c r="F824" s="35" t="s">
        <v>39</v>
      </c>
      <c r="G824" s="44">
        <v>2</v>
      </c>
      <c r="H824" s="44">
        <v>6</v>
      </c>
      <c r="I824" s="44">
        <v>2</v>
      </c>
      <c r="J824" s="44">
        <v>0</v>
      </c>
      <c r="K824" s="44">
        <v>0</v>
      </c>
      <c r="L824" s="43">
        <v>0.24861111111111112</v>
      </c>
      <c r="M824" s="43">
        <v>0.27083333333333331</v>
      </c>
      <c r="N824" s="43">
        <v>0.63124999999999998</v>
      </c>
      <c r="O824" s="43">
        <v>0.66111111111111109</v>
      </c>
      <c r="P824" s="39"/>
      <c r="Q824" s="42"/>
      <c r="R824" s="29">
        <f>MIP_4[[#This Row],[PT-1]]+MIP_4[[#This Row],[PT-2]]*2+MIP_4[[#This Row],[PT-3]]*3+MIP_4[[#This Row],[PT &gt; 3 Pontos]]</f>
        <v>10</v>
      </c>
      <c r="S82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5.2083333333333315E-2</v>
      </c>
      <c r="T82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5.2083333333333315E-2</v>
      </c>
      <c r="U824" s="41">
        <f ca="1">MIP_4[[#This Row],[Eficiência]]</f>
        <v>0.7465808626187993</v>
      </c>
      <c r="V824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24" s="39">
        <f>IF(MIP_4[[#This Row],[P.S]]-MIP_4[[#This Row],[P.E]]&lt;0,1+MIP_4[[#This Row],[P.S]]-MIP_4[[#This Row],[P.E]]-1/24,MIP_4[[#This Row],[P.S]]-MIP_4[[#This Row],[P.E]]-1/24)</f>
        <v>0.37083333333333329</v>
      </c>
      <c r="X824" s="39">
        <f ca="1">MIP_4[[#This Row],[PT-1]]*$S$3+MIP_4[[#This Row],[PT-2]]*$T$3+MIP_4[[#This Row],[PT-3]]*$U$3+MIP_4[[#This Row],[PT &gt; 3 Pontos]]*$V$3</f>
        <v>0.23797264995974227</v>
      </c>
      <c r="Y824" s="39">
        <f>MIP_4[[#This Row],[HH disponível]]-MIP_4[[#This Row],[HH AC TOT]]</f>
        <v>0.31874999999999998</v>
      </c>
      <c r="Z824" s="38">
        <f ca="1">MIP_4[[#This Row],[HH Produtivo
Total]]/MIP_4[[#This Row],[HH Trabalhado]]</f>
        <v>0.7465808626187993</v>
      </c>
      <c r="AA824" s="38">
        <f ca="1">MIP_4[[#This Row],[HH Produtivo
Total]]/MIP_4[[#This Row],[HH disponível]]</f>
        <v>0.64172399989143991</v>
      </c>
      <c r="AB824" s="38">
        <f>MIP_4[[#This Row],[HH Trabalhado]]/MIP_4[[#This Row],[HH disponível]]</f>
        <v>0.8595505617977528</v>
      </c>
      <c r="AC824" s="37" t="str">
        <f>LEFT(MIP_4[[#This Row],[Equipe]], SEARCH("/",MIP_4[[#This Row],[Equipe]],1)-1)</f>
        <v xml:space="preserve">JOILSON </v>
      </c>
      <c r="AD824" s="37" t="str">
        <f>RIGHT(MIP_4[[#This Row],[Equipe]], LEN(MIP_4[[#This Row],[Equipe]])-SEARCH("/",MIP_4[[#This Row],[Equipe]],1))</f>
        <v xml:space="preserve"> VALDEI</v>
      </c>
      <c r="AE824" s="29">
        <f>COUNTIFS('[1]Tempo parado'!G:G,"&gt;="&amp;MIP_4[[#This Row],[S.B Sitrack]],'[1]Tempo parado'!H:H,"&lt;="&amp;MIP_4[[#This Row],[C.B Sitrack]],'[1]Tempo parado'!A:A,MIP_4[[#This Row],[Placa]])</f>
        <v>0</v>
      </c>
      <c r="AF824" s="36"/>
      <c r="AG824" s="35"/>
      <c r="AH824" s="34">
        <v>43068.286759259259</v>
      </c>
      <c r="AI824" s="34">
        <v>43068.625578703701</v>
      </c>
      <c r="AJ824" s="32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2.1527777777777812E-2</v>
      </c>
      <c r="AK82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3.8</v>
      </c>
      <c r="AL82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24" s="31">
        <f>IFERROR(MIP_4[[#This Row],[Tempo parado]]/(MIP_4[[#This Row],[C.B Sitrack]]-MIP_4[[#This Row],[S.B Sitrack]]),"")</f>
        <v>0</v>
      </c>
      <c r="AN824" s="30" t="s">
        <v>86</v>
      </c>
      <c r="AO824" s="29">
        <f>IF(AND(MIP_4[Exc]=0,MIP_4[Previsto / Realizado]="Realizado"),MIP_4[Sem],0)</f>
        <v>48</v>
      </c>
      <c r="AP824" s="29">
        <f>IF(AND(MIP_4[Exc]=0,MIP_4[Previsto / Realizado]="Realizado",ISBLANK(MIP_4[[#This Row],[S.B Sitrack]])=FALSE,ISBLANK(MIP_4[[#This Row],[C.B Sitrack]])=FALSE),MIP_4[Sem],0)</f>
        <v>48</v>
      </c>
    </row>
    <row r="825" spans="1:42" ht="15.75" x14ac:dyDescent="0.25">
      <c r="A825" s="29">
        <f>WEEKNUM(MIP_4[[#This Row],[Data]])</f>
        <v>48</v>
      </c>
      <c r="B825" s="45" t="s">
        <v>84</v>
      </c>
      <c r="C825" s="45"/>
      <c r="D825" s="35" t="s">
        <v>83</v>
      </c>
      <c r="E825" s="35" t="s">
        <v>5</v>
      </c>
      <c r="F825" s="35"/>
      <c r="G825" s="44">
        <v>3</v>
      </c>
      <c r="H825" s="44">
        <v>4</v>
      </c>
      <c r="I825" s="44">
        <v>0</v>
      </c>
      <c r="J825" s="44">
        <v>0</v>
      </c>
      <c r="K825" s="44">
        <v>0</v>
      </c>
      <c r="L825" s="43">
        <v>0.625</v>
      </c>
      <c r="M825" s="43">
        <v>0.6381944444444444</v>
      </c>
      <c r="N825" s="43">
        <v>5.5555555555555558E-3</v>
      </c>
      <c r="O825" s="43">
        <v>3.3333333333333333E-2</v>
      </c>
      <c r="P825" s="39"/>
      <c r="Q825" s="42" t="s">
        <v>85</v>
      </c>
      <c r="R825" s="29">
        <f>MIP_4[[#This Row],[PT-1]]+MIP_4[[#This Row],[PT-2]]*2+MIP_4[[#This Row],[PT-3]]*3+MIP_4[[#This Row],[PT &gt; 3 Pontos]]</f>
        <v>4</v>
      </c>
      <c r="S82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4.0972222222222188E-2</v>
      </c>
      <c r="T82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4.0972222222222188E-2</v>
      </c>
      <c r="U825" s="41">
        <f ca="1">MIP_4[[#This Row],[Eficiência]]</f>
        <v>0.30735375915453755</v>
      </c>
      <c r="V825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25" s="39">
        <f>IF(MIP_4[[#This Row],[P.S]]-MIP_4[[#This Row],[P.E]]&lt;0,1+MIP_4[[#This Row],[P.S]]-MIP_4[[#This Row],[P.E]]-1/24,MIP_4[[#This Row],[P.S]]-MIP_4[[#This Row],[P.E]]-1/24)</f>
        <v>0.36666666666666675</v>
      </c>
      <c r="X825" s="39">
        <f ca="1">MIP_4[[#This Row],[PT-1]]*$S$3+MIP_4[[#This Row],[PT-2]]*$T$3+MIP_4[[#This Row],[PT-3]]*$U$3+MIP_4[[#This Row],[PT &gt; 3 Pontos]]*$V$3</f>
        <v>0.10010341183574872</v>
      </c>
      <c r="Y825" s="39">
        <f>MIP_4[[#This Row],[HH disponível]]-MIP_4[[#This Row],[HH AC TOT]]</f>
        <v>0.32569444444444456</v>
      </c>
      <c r="Z825" s="38">
        <f ca="1">MIP_4[[#This Row],[HH Produtivo
Total]]/MIP_4[[#This Row],[HH Trabalhado]]</f>
        <v>0.30735375915453755</v>
      </c>
      <c r="AA825" s="38">
        <f ca="1">MIP_4[[#This Row],[HH Produtivo
Total]]/MIP_4[[#This Row],[HH disponível]]</f>
        <v>0.27300930500658738</v>
      </c>
      <c r="AB825" s="38">
        <f>MIP_4[[#This Row],[HH Trabalhado]]/MIP_4[[#This Row],[HH disponível]]</f>
        <v>0.88825757575757591</v>
      </c>
      <c r="AC825" s="37" t="str">
        <f>LEFT(MIP_4[[#This Row],[Equipe]], SEARCH("/",MIP_4[[#This Row],[Equipe]],1)-1)</f>
        <v xml:space="preserve">ADEMÁRIO </v>
      </c>
      <c r="AD825" s="37" t="str">
        <f>RIGHT(MIP_4[[#This Row],[Equipe]], LEN(MIP_4[[#This Row],[Equipe]])-SEARCH("/",MIP_4[[#This Row],[Equipe]],1))</f>
        <v xml:space="preserve"> GECIVALDO / RONALDO</v>
      </c>
      <c r="AE825" s="29">
        <f>COUNTIFS('[1]Tempo parado'!G:G,"&gt;="&amp;MIP_4[[#This Row],[S.B Sitrack]],'[1]Tempo parado'!H:H,"&lt;="&amp;MIP_4[[#This Row],[C.B Sitrack]],'[1]Tempo parado'!A:A,MIP_4[[#This Row],[Placa]])</f>
        <v>0</v>
      </c>
      <c r="AF825" s="36"/>
      <c r="AG825" s="35"/>
      <c r="AH825" s="34"/>
      <c r="AI825" s="34"/>
      <c r="AJ82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2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2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25" s="31" t="str">
        <f>IFERROR(MIP_4[[#This Row],[Tempo parado]]/(MIP_4[[#This Row],[C.B Sitrack]]-MIP_4[[#This Row],[S.B Sitrack]]),"")</f>
        <v/>
      </c>
      <c r="AN825" s="30"/>
      <c r="AO825" s="29">
        <f>IF(AND(MIP_4[Exc]=0,MIP_4[Previsto / Realizado]="Realizado"),MIP_4[Sem],0)</f>
        <v>0</v>
      </c>
      <c r="AP825" s="29">
        <f>IF(AND(MIP_4[Exc]=0,MIP_4[Previsto / Realizado]="Realizado",ISBLANK(MIP_4[[#This Row],[S.B Sitrack]])=FALSE,ISBLANK(MIP_4[[#This Row],[C.B Sitrack]])=FALSE),MIP_4[Sem],0)</f>
        <v>0</v>
      </c>
    </row>
    <row r="826" spans="1:42" ht="15.75" x14ac:dyDescent="0.25">
      <c r="A826" s="29">
        <f>WEEKNUM(MIP_4[[#This Row],[Data]])</f>
        <v>48</v>
      </c>
      <c r="B826" s="45" t="s">
        <v>84</v>
      </c>
      <c r="C826" s="45"/>
      <c r="D826" s="35" t="s">
        <v>83</v>
      </c>
      <c r="E826" s="35" t="s">
        <v>2</v>
      </c>
      <c r="F826" s="35" t="s">
        <v>39</v>
      </c>
      <c r="G826" s="44">
        <v>3</v>
      </c>
      <c r="H826" s="44">
        <v>5</v>
      </c>
      <c r="I826" s="44">
        <v>1</v>
      </c>
      <c r="J826" s="44">
        <v>0</v>
      </c>
      <c r="K826" s="44">
        <v>0</v>
      </c>
      <c r="L826" s="43">
        <v>0.64652777777777781</v>
      </c>
      <c r="M826" s="43">
        <v>0.71527777777777779</v>
      </c>
      <c r="N826" s="43">
        <v>6.2499999999999995E-3</v>
      </c>
      <c r="O826" s="43">
        <v>2.8472222222222222E-2</v>
      </c>
      <c r="P826" s="39">
        <v>3.7499999999999999E-2</v>
      </c>
      <c r="Q826" s="42" t="s">
        <v>82</v>
      </c>
      <c r="R826" s="29">
        <f>MIP_4[[#This Row],[PT-1]]+MIP_4[[#This Row],[PT-2]]*2+MIP_4[[#This Row],[PT-3]]*3+MIP_4[[#This Row],[PT &gt; 3 Pontos]]</f>
        <v>7</v>
      </c>
      <c r="S82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0.12847222222222224</v>
      </c>
      <c r="T82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9.0972222222222232E-2</v>
      </c>
      <c r="U826" s="41">
        <f ca="1">MIP_4[[#This Row],[Eficiência]]</f>
        <v>0.79808119505820829</v>
      </c>
      <c r="V826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26" s="39">
        <f>IF(MIP_4[[#This Row],[P.S]]-MIP_4[[#This Row],[P.E]]&lt;0,1+MIP_4[[#This Row],[P.S]]-MIP_4[[#This Row],[P.E]]-1/24,MIP_4[[#This Row],[P.S]]-MIP_4[[#This Row],[P.E]]-1/24)</f>
        <v>0.34027777777777773</v>
      </c>
      <c r="X826" s="39">
        <f ca="1">MIP_4[[#This Row],[PT-1]]*$S$3+MIP_4[[#This Row],[PT-2]]*$T$3+MIP_4[[#This Row],[PT-3]]*$U$3+MIP_4[[#This Row],[PT &gt; 3 Pontos]]*$V$3</f>
        <v>0.16903803089774547</v>
      </c>
      <c r="Y826" s="39">
        <f>MIP_4[[#This Row],[HH disponível]]-MIP_4[[#This Row],[HH AC TOT]]</f>
        <v>0.2118055555555555</v>
      </c>
      <c r="Z826" s="38">
        <f ca="1">MIP_4[[#This Row],[HH Produtivo
Total]]/MIP_4[[#This Row],[HH Trabalhado]]</f>
        <v>0.79808119505820829</v>
      </c>
      <c r="AA826" s="38">
        <f ca="1">MIP_4[[#This Row],[HH Produtivo
Total]]/MIP_4[[#This Row],[HH disponível]]</f>
        <v>0.49676482549541534</v>
      </c>
      <c r="AB826" s="38">
        <f>MIP_4[[#This Row],[HH Trabalhado]]/MIP_4[[#This Row],[HH disponível]]</f>
        <v>0.62244897959183665</v>
      </c>
      <c r="AC826" s="37" t="str">
        <f>LEFT(MIP_4[[#This Row],[Equipe]], SEARCH("/",MIP_4[[#This Row],[Equipe]],1)-1)</f>
        <v xml:space="preserve">ADEMÁRIO </v>
      </c>
      <c r="AD826" s="37" t="str">
        <f>RIGHT(MIP_4[[#This Row],[Equipe]], LEN(MIP_4[[#This Row],[Equipe]])-SEARCH("/",MIP_4[[#This Row],[Equipe]],1))</f>
        <v xml:space="preserve"> GECIVALDO / RONALDO</v>
      </c>
      <c r="AE826" s="29">
        <f>COUNTIFS('[1]Tempo parado'!G:G,"&gt;="&amp;MIP_4[[#This Row],[S.B Sitrack]],'[1]Tempo parado'!H:H,"&lt;="&amp;MIP_4[[#This Row],[C.B Sitrack]],'[1]Tempo parado'!A:A,MIP_4[[#This Row],[Placa]])</f>
        <v>0</v>
      </c>
      <c r="AF826" s="36"/>
      <c r="AG826" s="35"/>
      <c r="AH826" s="34">
        <v>43068.716134259259</v>
      </c>
      <c r="AI826" s="34">
        <v>43068.919409722221</v>
      </c>
      <c r="AJ826" s="32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0.91319444444444453</v>
      </c>
      <c r="AK82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17.8</v>
      </c>
      <c r="AL82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26" s="31">
        <f>IFERROR(MIP_4[[#This Row],[Tempo parado]]/(MIP_4[[#This Row],[C.B Sitrack]]-MIP_4[[#This Row],[S.B Sitrack]]),"")</f>
        <v>0</v>
      </c>
      <c r="AN826" s="30"/>
      <c r="AO826" s="29">
        <f>IF(AND(MIP_4[Exc]=0,MIP_4[Previsto / Realizado]="Realizado"),MIP_4[Sem],0)</f>
        <v>48</v>
      </c>
      <c r="AP826" s="29">
        <f>IF(AND(MIP_4[Exc]=0,MIP_4[Previsto / Realizado]="Realizado",ISBLANK(MIP_4[[#This Row],[S.B Sitrack]])=FALSE,ISBLANK(MIP_4[[#This Row],[C.B Sitrack]])=FALSE),MIP_4[Sem],0)</f>
        <v>48</v>
      </c>
    </row>
    <row r="827" spans="1:42" ht="15.75" x14ac:dyDescent="0.25">
      <c r="A827" s="29">
        <f>WEEKNUM(MIP_4[[#This Row],[Data]])</f>
        <v>48</v>
      </c>
      <c r="B827" s="45" t="s">
        <v>80</v>
      </c>
      <c r="C827" s="45"/>
      <c r="D827" s="35" t="s">
        <v>7</v>
      </c>
      <c r="E827" s="35" t="s">
        <v>5</v>
      </c>
      <c r="F827" s="35"/>
      <c r="G827" s="44">
        <v>2</v>
      </c>
      <c r="H827" s="44">
        <v>2</v>
      </c>
      <c r="I827" s="44">
        <v>4</v>
      </c>
      <c r="J827" s="44">
        <v>0</v>
      </c>
      <c r="K827" s="44">
        <v>0</v>
      </c>
      <c r="L827" s="43">
        <v>0.625</v>
      </c>
      <c r="M827" s="43">
        <v>0.6381944444444444</v>
      </c>
      <c r="N827" s="43">
        <v>5.5555555555555558E-3</v>
      </c>
      <c r="O827" s="43">
        <v>3.3333333333333333E-2</v>
      </c>
      <c r="P827" s="39"/>
      <c r="Q827" s="42" t="s">
        <v>81</v>
      </c>
      <c r="R827" s="29">
        <f>MIP_4[[#This Row],[PT-1]]+MIP_4[[#This Row],[PT-2]]*2+MIP_4[[#This Row],[PT-3]]*3+MIP_4[[#This Row],[PT &gt; 3 Pontos]]</f>
        <v>10</v>
      </c>
      <c r="S82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4.0972222222222188E-2</v>
      </c>
      <c r="T82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4.0972222222222188E-2</v>
      </c>
      <c r="U827" s="41">
        <f ca="1">MIP_4[[#This Row],[Eficiência]]</f>
        <v>0.69294019035258458</v>
      </c>
      <c r="V827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27" s="39">
        <f>IF(MIP_4[[#This Row],[P.S]]-MIP_4[[#This Row],[P.E]]&lt;0,1+MIP_4[[#This Row],[P.S]]-MIP_4[[#This Row],[P.E]]-1/24,MIP_4[[#This Row],[P.S]]-MIP_4[[#This Row],[P.E]]-1/24)</f>
        <v>0.36666666666666675</v>
      </c>
      <c r="X827" s="39">
        <f ca="1">MIP_4[[#This Row],[PT-1]]*$S$3+MIP_4[[#This Row],[PT-2]]*$T$3+MIP_4[[#This Row],[PT-3]]*$U$3+MIP_4[[#This Row],[PT &gt; 3 Pontos]]*$V$3</f>
        <v>0.2256867703301127</v>
      </c>
      <c r="Y827" s="39">
        <f>MIP_4[[#This Row],[HH disponível]]-MIP_4[[#This Row],[HH AC TOT]]</f>
        <v>0.32569444444444456</v>
      </c>
      <c r="Z827" s="38">
        <f ca="1">MIP_4[[#This Row],[HH Produtivo
Total]]/MIP_4[[#This Row],[HH Trabalhado]]</f>
        <v>0.69294019035258458</v>
      </c>
      <c r="AA827" s="38">
        <f ca="1">MIP_4[[#This Row],[HH Produtivo
Total]]/MIP_4[[#This Row],[HH disponível]]</f>
        <v>0.61550937362757996</v>
      </c>
      <c r="AB827" s="38">
        <f>MIP_4[[#This Row],[HH Trabalhado]]/MIP_4[[#This Row],[HH disponível]]</f>
        <v>0.88825757575757591</v>
      </c>
      <c r="AC827" s="37" t="str">
        <f>LEFT(MIP_4[[#This Row],[Equipe]], SEARCH("/",MIP_4[[#This Row],[Equipe]],1)-1)</f>
        <v xml:space="preserve">ANDERSON </v>
      </c>
      <c r="AD827" s="37" t="str">
        <f>RIGHT(MIP_4[[#This Row],[Equipe]], LEN(MIP_4[[#This Row],[Equipe]])-SEARCH("/",MIP_4[[#This Row],[Equipe]],1))</f>
        <v xml:space="preserve"> MARCO</v>
      </c>
      <c r="AE827" s="29">
        <f>COUNTIFS('[1]Tempo parado'!G:G,"&gt;="&amp;MIP_4[[#This Row],[S.B Sitrack]],'[1]Tempo parado'!H:H,"&lt;="&amp;MIP_4[[#This Row],[C.B Sitrack]],'[1]Tempo parado'!A:A,MIP_4[[#This Row],[Placa]])</f>
        <v>0</v>
      </c>
      <c r="AF827" s="36"/>
      <c r="AG827" s="35"/>
      <c r="AH827" s="34"/>
      <c r="AI827" s="34"/>
      <c r="AJ82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2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2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27" s="31" t="str">
        <f>IFERROR(MIP_4[[#This Row],[Tempo parado]]/(MIP_4[[#This Row],[C.B Sitrack]]-MIP_4[[#This Row],[S.B Sitrack]]),"")</f>
        <v/>
      </c>
      <c r="AN827" s="30"/>
      <c r="AO827" s="29">
        <f>IF(AND(MIP_4[Exc]=0,MIP_4[Previsto / Realizado]="Realizado"),MIP_4[Sem],0)</f>
        <v>0</v>
      </c>
      <c r="AP827" s="29">
        <f>IF(AND(MIP_4[Exc]=0,MIP_4[Previsto / Realizado]="Realizado",ISBLANK(MIP_4[[#This Row],[S.B Sitrack]])=FALSE,ISBLANK(MIP_4[[#This Row],[C.B Sitrack]])=FALSE),MIP_4[Sem],0)</f>
        <v>0</v>
      </c>
    </row>
    <row r="828" spans="1:42" ht="15.75" x14ac:dyDescent="0.25">
      <c r="A828" s="29">
        <f>WEEKNUM(MIP_4[[#This Row],[Data]])</f>
        <v>48</v>
      </c>
      <c r="B828" s="45" t="s">
        <v>80</v>
      </c>
      <c r="C828" s="45"/>
      <c r="D828" s="35" t="s">
        <v>7</v>
      </c>
      <c r="E828" s="35" t="s">
        <v>2</v>
      </c>
      <c r="F828" s="35" t="s">
        <v>39</v>
      </c>
      <c r="G828" s="44">
        <v>2</v>
      </c>
      <c r="H828" s="44">
        <v>3</v>
      </c>
      <c r="I828" s="44">
        <v>4</v>
      </c>
      <c r="J828" s="44">
        <v>0</v>
      </c>
      <c r="K828" s="44">
        <v>0</v>
      </c>
      <c r="L828" s="43">
        <v>0.62986111111111109</v>
      </c>
      <c r="M828" s="43">
        <v>0.68402777777777779</v>
      </c>
      <c r="N828" s="43">
        <v>2.9861111111111113E-2</v>
      </c>
      <c r="O828" s="43">
        <v>3.3333333333333333E-2</v>
      </c>
      <c r="P828" s="39">
        <v>4.7916666666666663E-2</v>
      </c>
      <c r="Q828" s="42" t="s">
        <v>79</v>
      </c>
      <c r="R828" s="29">
        <f>MIP_4[[#This Row],[PT-1]]+MIP_4[[#This Row],[PT-2]]*2+MIP_4[[#This Row],[PT-3]]*3+MIP_4[[#This Row],[PT &gt; 3 Pontos]]</f>
        <v>11</v>
      </c>
      <c r="S82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0.10555555555555557</v>
      </c>
      <c r="T82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5.7638888888888906E-2</v>
      </c>
      <c r="U828" s="41">
        <f ca="1">MIP_4[[#This Row],[Eficiência]]</f>
        <v>0.97839072503043811</v>
      </c>
      <c r="V828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28" s="39">
        <f>IF(MIP_4[[#This Row],[P.S]]-MIP_4[[#This Row],[P.E]]&lt;0,1+MIP_4[[#This Row],[P.S]]-MIP_4[[#This Row],[P.E]]-1/24,MIP_4[[#This Row],[P.S]]-MIP_4[[#This Row],[P.E]]-1/24)</f>
        <v>0.36180555555555566</v>
      </c>
      <c r="X828" s="39">
        <f ca="1">MIP_4[[#This Row],[PT-1]]*$S$3+MIP_4[[#This Row],[PT-2]]*$T$3+MIP_4[[#This Row],[PT-3]]*$U$3+MIP_4[[#This Row],[PT &gt; 3 Pontos]]*$V$3</f>
        <v>0.25071262328904986</v>
      </c>
      <c r="Y828" s="39">
        <f>MIP_4[[#This Row],[HH disponível]]-MIP_4[[#This Row],[HH AC TOT]]</f>
        <v>0.25625000000000009</v>
      </c>
      <c r="Z828" s="38">
        <f ca="1">MIP_4[[#This Row],[HH Produtivo
Total]]/MIP_4[[#This Row],[HH Trabalhado]]</f>
        <v>0.97839072503043811</v>
      </c>
      <c r="AA828" s="38">
        <f ca="1">MIP_4[[#This Row],[HH Produtivo
Total]]/MIP_4[[#This Row],[HH disponível]]</f>
        <v>0.69294851734401475</v>
      </c>
      <c r="AB828" s="38">
        <f>MIP_4[[#This Row],[HH Trabalhado]]/MIP_4[[#This Row],[HH disponível]]</f>
        <v>0.70825335892514396</v>
      </c>
      <c r="AC828" s="37" t="str">
        <f>LEFT(MIP_4[[#This Row],[Equipe]], SEARCH("/",MIP_4[[#This Row],[Equipe]],1)-1)</f>
        <v xml:space="preserve">ANDERSON </v>
      </c>
      <c r="AD828" s="37" t="str">
        <f>RIGHT(MIP_4[[#This Row],[Equipe]], LEN(MIP_4[[#This Row],[Equipe]])-SEARCH("/",MIP_4[[#This Row],[Equipe]],1))</f>
        <v xml:space="preserve"> MARCO</v>
      </c>
      <c r="AE828" s="29">
        <f>COUNTIFS('[1]Tempo parado'!G:G,"&gt;="&amp;MIP_4[[#This Row],[S.B Sitrack]],'[1]Tempo parado'!H:H,"&lt;="&amp;MIP_4[[#This Row],[C.B Sitrack]],'[1]Tempo parado'!A:A,MIP_4[[#This Row],[Placa]])</f>
        <v>0</v>
      </c>
      <c r="AF828" s="36"/>
      <c r="AG828" s="35"/>
      <c r="AH828" s="34">
        <v>43069.726041666669</v>
      </c>
      <c r="AI828" s="34">
        <v>43070.017824074072</v>
      </c>
      <c r="AJ828" s="32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5.4166666666666738E-2</v>
      </c>
      <c r="AK82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29.500000000000004</v>
      </c>
      <c r="AL82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28" s="31">
        <f>IFERROR(MIP_4[[#This Row],[Tempo parado]]/(MIP_4[[#This Row],[C.B Sitrack]]-MIP_4[[#This Row],[S.B Sitrack]]),"")</f>
        <v>0</v>
      </c>
      <c r="AN828" s="30"/>
      <c r="AO828" s="29">
        <f>IF(AND(MIP_4[Exc]=0,MIP_4[Previsto / Realizado]="Realizado"),MIP_4[Sem],0)</f>
        <v>48</v>
      </c>
      <c r="AP828" s="29">
        <f>IF(AND(MIP_4[Exc]=0,MIP_4[Previsto / Realizado]="Realizado",ISBLANK(MIP_4[[#This Row],[S.B Sitrack]])=FALSE,ISBLANK(MIP_4[[#This Row],[C.B Sitrack]])=FALSE),MIP_4[Sem],0)</f>
        <v>48</v>
      </c>
    </row>
    <row r="829" spans="1:42" ht="15.75" x14ac:dyDescent="0.25">
      <c r="A829" s="29">
        <f>WEEKNUM(MIP_4[[#This Row],[Data]])</f>
        <v>48</v>
      </c>
      <c r="B829" s="45">
        <v>43070</v>
      </c>
      <c r="C829" s="45"/>
      <c r="D829" s="35" t="s">
        <v>10</v>
      </c>
      <c r="E829" s="35" t="s">
        <v>5</v>
      </c>
      <c r="F829" s="35"/>
      <c r="G829" s="44"/>
      <c r="H829" s="44">
        <v>5</v>
      </c>
      <c r="I829" s="44">
        <v>0</v>
      </c>
      <c r="J829" s="44">
        <v>0</v>
      </c>
      <c r="K829" s="44">
        <v>0</v>
      </c>
      <c r="L829" s="43">
        <v>0.25</v>
      </c>
      <c r="M829" s="43">
        <v>0.2638888888888889</v>
      </c>
      <c r="N829" s="43">
        <v>0.62986111111111109</v>
      </c>
      <c r="O829" s="43">
        <v>0.65833333333333333</v>
      </c>
      <c r="P829" s="39"/>
      <c r="Q829" s="42" t="s">
        <v>78</v>
      </c>
      <c r="R829" s="29">
        <f>MIP_4[[#This Row],[PT-1]]+MIP_4[[#This Row],[PT-2]]*2+MIP_4[[#This Row],[PT-3]]*3+MIP_4[[#This Row],[PT &gt; 3 Pontos]]</f>
        <v>5</v>
      </c>
      <c r="S82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4.2361111111111127E-2</v>
      </c>
      <c r="T82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4.2361111111111127E-2</v>
      </c>
      <c r="U829" s="41">
        <f ca="1">MIP_4[[#This Row],[Eficiência]]</f>
        <v>0.38583756167954542</v>
      </c>
      <c r="V829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29" s="39">
        <f>IF(MIP_4[[#This Row],[P.S]]-MIP_4[[#This Row],[P.E]]&lt;0,1+MIP_4[[#This Row],[P.S]]-MIP_4[[#This Row],[P.E]]-1/24,MIP_4[[#This Row],[P.S]]-MIP_4[[#This Row],[P.E]]-1/24)</f>
        <v>0.36666666666666664</v>
      </c>
      <c r="X829" s="39">
        <f ca="1">MIP_4[[#This Row],[PT-1]]*$S$3+MIP_4[[#This Row],[PT-2]]*$T$3+MIP_4[[#This Row],[PT-3]]*$U$3+MIP_4[[#This Row],[PT &gt; 3 Pontos]]*$V$3</f>
        <v>0.12512926479468589</v>
      </c>
      <c r="Y829" s="39">
        <f>MIP_4[[#This Row],[HH disponível]]-MIP_4[[#This Row],[HH AC TOT]]</f>
        <v>0.32430555555555551</v>
      </c>
      <c r="Z829" s="38">
        <f ca="1">MIP_4[[#This Row],[HH Produtivo
Total]]/MIP_4[[#This Row],[HH Trabalhado]]</f>
        <v>0.38583756167954542</v>
      </c>
      <c r="AA829" s="38">
        <f ca="1">MIP_4[[#This Row],[HH Produtivo
Total]]/MIP_4[[#This Row],[HH disponível]]</f>
        <v>0.34126163125823428</v>
      </c>
      <c r="AB829" s="38">
        <f>MIP_4[[#This Row],[HH Trabalhado]]/MIP_4[[#This Row],[HH disponível]]</f>
        <v>0.88446969696969691</v>
      </c>
      <c r="AC829" s="37" t="str">
        <f>LEFT(MIP_4[[#This Row],[Equipe]], SEARCH("/",MIP_4[[#This Row],[Equipe]],1)-1)</f>
        <v xml:space="preserve">JOILSON </v>
      </c>
      <c r="AD829" s="37" t="str">
        <f>RIGHT(MIP_4[[#This Row],[Equipe]], LEN(MIP_4[[#This Row],[Equipe]])-SEARCH("/",MIP_4[[#This Row],[Equipe]],1))</f>
        <v xml:space="preserve"> VALDEI</v>
      </c>
      <c r="AE829" s="29">
        <f>COUNTIFS('[1]Tempo parado'!G:G,"&gt;="&amp;MIP_4[[#This Row],[S.B Sitrack]],'[1]Tempo parado'!H:H,"&lt;="&amp;MIP_4[[#This Row],[C.B Sitrack]],'[1]Tempo parado'!A:A,MIP_4[[#This Row],[Placa]])</f>
        <v>0</v>
      </c>
      <c r="AF829" s="36"/>
      <c r="AG829" s="35"/>
      <c r="AH829" s="34"/>
      <c r="AI829" s="34"/>
      <c r="AJ82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2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2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29" s="31" t="str">
        <f>IFERROR(MIP_4[[#This Row],[Tempo parado]]/(MIP_4[[#This Row],[C.B Sitrack]]-MIP_4[[#This Row],[S.B Sitrack]]),"")</f>
        <v/>
      </c>
      <c r="AN829" s="30"/>
      <c r="AO829" s="29">
        <f>IF(AND(MIP_4[Exc]=0,MIP_4[Previsto / Realizado]="Realizado"),MIP_4[Sem],0)</f>
        <v>0</v>
      </c>
      <c r="AP829" s="29">
        <f>IF(AND(MIP_4[Exc]=0,MIP_4[Previsto / Realizado]="Realizado",ISBLANK(MIP_4[[#This Row],[S.B Sitrack]])=FALSE,ISBLANK(MIP_4[[#This Row],[C.B Sitrack]])=FALSE),MIP_4[Sem],0)</f>
        <v>0</v>
      </c>
    </row>
    <row r="830" spans="1:42" ht="15.75" x14ac:dyDescent="0.25">
      <c r="A830" s="29">
        <f>WEEKNUM(MIP_4[[#This Row],[Data]])</f>
        <v>48</v>
      </c>
      <c r="B830" s="45">
        <v>43070</v>
      </c>
      <c r="C830" s="45"/>
      <c r="D830" s="35" t="s">
        <v>10</v>
      </c>
      <c r="E830" s="35" t="s">
        <v>2</v>
      </c>
      <c r="F830" s="35"/>
      <c r="G830" s="44"/>
      <c r="H830" s="44">
        <v>5</v>
      </c>
      <c r="I830" s="44">
        <v>0</v>
      </c>
      <c r="J830" s="44">
        <v>0</v>
      </c>
      <c r="K830" s="44">
        <v>0</v>
      </c>
      <c r="L830" s="43">
        <v>0.24722222222222223</v>
      </c>
      <c r="M830" s="43">
        <v>0.27986111111111112</v>
      </c>
      <c r="N830" s="43">
        <v>0.62222222222222223</v>
      </c>
      <c r="O830" s="43">
        <v>0.6791666666666667</v>
      </c>
      <c r="P830" s="39"/>
      <c r="Q830" s="42" t="s">
        <v>77</v>
      </c>
      <c r="R830" s="29">
        <f>MIP_4[[#This Row],[PT-1]]+MIP_4[[#This Row],[PT-2]]*2+MIP_4[[#This Row],[PT-3]]*3+MIP_4[[#This Row],[PT &gt; 3 Pontos]]</f>
        <v>5</v>
      </c>
      <c r="S83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8.9583333333333348E-2</v>
      </c>
      <c r="T83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8.9583333333333348E-2</v>
      </c>
      <c r="U830" s="41">
        <f ca="1">MIP_4[[#This Row],[Eficiência]]</f>
        <v>0.41613427552967136</v>
      </c>
      <c r="V830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30" s="39">
        <f>IF(MIP_4[[#This Row],[P.S]]-MIP_4[[#This Row],[P.E]]&lt;0,1+MIP_4[[#This Row],[P.S]]-MIP_4[[#This Row],[P.E]]-1/24,MIP_4[[#This Row],[P.S]]-MIP_4[[#This Row],[P.E]]-1/24)</f>
        <v>0.39027777777777778</v>
      </c>
      <c r="X830" s="39">
        <f ca="1">MIP_4[[#This Row],[PT-1]]*$S$3+MIP_4[[#This Row],[PT-2]]*$T$3+MIP_4[[#This Row],[PT-3]]*$U$3+MIP_4[[#This Row],[PT &gt; 3 Pontos]]*$V$3</f>
        <v>0.12512926479468589</v>
      </c>
      <c r="Y830" s="39">
        <f>MIP_4[[#This Row],[HH disponível]]-MIP_4[[#This Row],[HH AC TOT]]</f>
        <v>0.30069444444444443</v>
      </c>
      <c r="Z830" s="38">
        <f ca="1">MIP_4[[#This Row],[HH Produtivo
Total]]/MIP_4[[#This Row],[HH Trabalhado]]</f>
        <v>0.41613427552967136</v>
      </c>
      <c r="AA830" s="38">
        <f ca="1">MIP_4[[#This Row],[HH Produtivo
Total]]/MIP_4[[#This Row],[HH disponível]]</f>
        <v>0.32061590979421295</v>
      </c>
      <c r="AB830" s="38">
        <f>MIP_4[[#This Row],[HH Trabalhado]]/MIP_4[[#This Row],[HH disponível]]</f>
        <v>0.77046263345195731</v>
      </c>
      <c r="AC830" s="37" t="str">
        <f>LEFT(MIP_4[[#This Row],[Equipe]], SEARCH("/",MIP_4[[#This Row],[Equipe]],1)-1)</f>
        <v xml:space="preserve">JOILSON </v>
      </c>
      <c r="AD830" s="37" t="str">
        <f>RIGHT(MIP_4[[#This Row],[Equipe]], LEN(MIP_4[[#This Row],[Equipe]])-SEARCH("/",MIP_4[[#This Row],[Equipe]],1))</f>
        <v xml:space="preserve"> VALDEI</v>
      </c>
      <c r="AE830" s="29">
        <f>COUNTIFS('[1]Tempo parado'!G:G,"&gt;="&amp;MIP_4[[#This Row],[S.B Sitrack]],'[1]Tempo parado'!H:H,"&lt;="&amp;MIP_4[[#This Row],[C.B Sitrack]],'[1]Tempo parado'!A:A,MIP_4[[#This Row],[Placa]])</f>
        <v>0</v>
      </c>
      <c r="AF830" s="36"/>
      <c r="AG830" s="35"/>
      <c r="AH830" s="34"/>
      <c r="AI830" s="34"/>
      <c r="AJ83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3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3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30" s="31" t="str">
        <f>IFERROR(MIP_4[[#This Row],[Tempo parado]]/(MIP_4[[#This Row],[C.B Sitrack]]-MIP_4[[#This Row],[S.B Sitrack]]),"")</f>
        <v/>
      </c>
      <c r="AN830" s="30"/>
      <c r="AO830" s="29">
        <f>IF(AND(MIP_4[Exc]=0,MIP_4[Previsto / Realizado]="Realizado"),MIP_4[Sem],0)</f>
        <v>48</v>
      </c>
      <c r="AP830" s="29">
        <f>IF(AND(MIP_4[Exc]=0,MIP_4[Previsto / Realizado]="Realizado",ISBLANK(MIP_4[[#This Row],[S.B Sitrack]])=FALSE,ISBLANK(MIP_4[[#This Row],[C.B Sitrack]])=FALSE),MIP_4[Sem],0)</f>
        <v>0</v>
      </c>
    </row>
    <row r="831" spans="1:42" ht="15.75" x14ac:dyDescent="0.25">
      <c r="A831" s="29">
        <f>WEEKNUM(MIP_4[[#This Row],[Data]])</f>
        <v>48</v>
      </c>
      <c r="B831" s="45">
        <v>43070</v>
      </c>
      <c r="C831" s="45"/>
      <c r="D831" s="35" t="s">
        <v>72</v>
      </c>
      <c r="E831" s="35" t="s">
        <v>5</v>
      </c>
      <c r="F831" s="35"/>
      <c r="G831" s="44"/>
      <c r="H831" s="44">
        <v>2</v>
      </c>
      <c r="I831" s="44">
        <v>1</v>
      </c>
      <c r="J831" s="44">
        <v>0</v>
      </c>
      <c r="K831" s="44">
        <v>0</v>
      </c>
      <c r="L831" s="43">
        <v>0.625</v>
      </c>
      <c r="M831" s="43">
        <v>0.63750000000000007</v>
      </c>
      <c r="N831" s="43">
        <v>4.8611111111111112E-3</v>
      </c>
      <c r="O831" s="43">
        <v>3.3333333333333333E-2</v>
      </c>
      <c r="P831" s="39"/>
      <c r="Q831" s="42" t="s">
        <v>70</v>
      </c>
      <c r="R831" s="29">
        <f>MIP_4[[#This Row],[PT-1]]+MIP_4[[#This Row],[PT-2]]*2+MIP_4[[#This Row],[PT-3]]*3+MIP_4[[#This Row],[PT &gt; 3 Pontos]]</f>
        <v>4</v>
      </c>
      <c r="S83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4.0972222222222299E-2</v>
      </c>
      <c r="T83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4.0972222222222299E-2</v>
      </c>
      <c r="U831" s="41">
        <f ca="1">MIP_4[[#This Row],[Eficiência]]</f>
        <v>0.28849270727109783</v>
      </c>
      <c r="V831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31" s="39">
        <f>IF(MIP_4[[#This Row],[P.S]]-MIP_4[[#This Row],[P.E]]&lt;0,1+MIP_4[[#This Row],[P.S]]-MIP_4[[#This Row],[P.E]]-1/24,MIP_4[[#This Row],[P.S]]-MIP_4[[#This Row],[P.E]]-1/24)</f>
        <v>0.36666666666666675</v>
      </c>
      <c r="X831" s="39">
        <f ca="1">MIP_4[[#This Row],[PT-1]]*$S$3+MIP_4[[#This Row],[PT-2]]*$T$3+MIP_4[[#This Row],[PT-3]]*$U$3+MIP_4[[#This Row],[PT &gt; 3 Pontos]]*$V$3</f>
        <v>9.3960472020933938E-2</v>
      </c>
      <c r="Y831" s="39">
        <f>MIP_4[[#This Row],[HH disponível]]-MIP_4[[#This Row],[HH AC TOT]]</f>
        <v>0.32569444444444445</v>
      </c>
      <c r="Z831" s="38">
        <f ca="1">MIP_4[[#This Row],[HH Produtivo
Total]]/MIP_4[[#This Row],[HH Trabalhado]]</f>
        <v>0.28849270727109783</v>
      </c>
      <c r="AA831" s="38">
        <f ca="1">MIP_4[[#This Row],[HH Produtivo
Total]]/MIP_4[[#This Row],[HH disponível]]</f>
        <v>0.2562558327843652</v>
      </c>
      <c r="AB831" s="38">
        <f>MIP_4[[#This Row],[HH Trabalhado]]/MIP_4[[#This Row],[HH disponível]]</f>
        <v>0.88825757575757558</v>
      </c>
      <c r="AC831" s="37" t="str">
        <f>LEFT(MIP_4[[#This Row],[Equipe]], SEARCH("/",MIP_4[[#This Row],[Equipe]],1)-1)</f>
        <v xml:space="preserve">ANDERSON </v>
      </c>
      <c r="AD831" s="37" t="str">
        <f>RIGHT(MIP_4[[#This Row],[Equipe]], LEN(MIP_4[[#This Row],[Equipe]])-SEARCH("/",MIP_4[[#This Row],[Equipe]],1))</f>
        <v xml:space="preserve"> GECIVALDO / MARCO</v>
      </c>
      <c r="AE831" s="29">
        <f>COUNTIFS('[1]Tempo parado'!G:G,"&gt;="&amp;MIP_4[[#This Row],[S.B Sitrack]],'[1]Tempo parado'!H:H,"&lt;="&amp;MIP_4[[#This Row],[C.B Sitrack]],'[1]Tempo parado'!A:A,MIP_4[[#This Row],[Placa]])</f>
        <v>0</v>
      </c>
      <c r="AF831" s="36"/>
      <c r="AG831" s="35"/>
      <c r="AH831" s="34"/>
      <c r="AI831" s="34"/>
      <c r="AJ83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3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3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31" s="31" t="str">
        <f>IFERROR(MIP_4[[#This Row],[Tempo parado]]/(MIP_4[[#This Row],[C.B Sitrack]]-MIP_4[[#This Row],[S.B Sitrack]]),"")</f>
        <v/>
      </c>
      <c r="AN831" s="30"/>
      <c r="AO831" s="29">
        <f>IF(AND(MIP_4[Exc]=0,MIP_4[Previsto / Realizado]="Realizado"),MIP_4[Sem],0)</f>
        <v>0</v>
      </c>
      <c r="AP831" s="29">
        <f>IF(AND(MIP_4[Exc]=0,MIP_4[Previsto / Realizado]="Realizado",ISBLANK(MIP_4[[#This Row],[S.B Sitrack]])=FALSE,ISBLANK(MIP_4[[#This Row],[C.B Sitrack]])=FALSE),MIP_4[Sem],0)</f>
        <v>0</v>
      </c>
    </row>
    <row r="832" spans="1:42" ht="15.75" x14ac:dyDescent="0.25">
      <c r="A832" s="29">
        <f>WEEKNUM(MIP_4[[#This Row],[Data]])</f>
        <v>48</v>
      </c>
      <c r="B832" s="45">
        <v>43070</v>
      </c>
      <c r="C832" s="45"/>
      <c r="D832" s="35" t="s">
        <v>72</v>
      </c>
      <c r="E832" s="35" t="s">
        <v>2</v>
      </c>
      <c r="F832" s="35"/>
      <c r="G832" s="44"/>
      <c r="H832" s="44">
        <v>7</v>
      </c>
      <c r="I832" s="44">
        <v>1</v>
      </c>
      <c r="J832" s="44">
        <v>0</v>
      </c>
      <c r="K832" s="44">
        <v>0</v>
      </c>
      <c r="L832" s="43">
        <v>0.62152777777777779</v>
      </c>
      <c r="M832" s="43">
        <v>0.66666666666666663</v>
      </c>
      <c r="N832" s="43">
        <v>2.4305555555555556E-2</v>
      </c>
      <c r="O832" s="43">
        <v>4.6527777777777779E-2</v>
      </c>
      <c r="P832" s="39"/>
      <c r="Q832" s="42" t="s">
        <v>76</v>
      </c>
      <c r="R832" s="29">
        <f>MIP_4[[#This Row],[PT-1]]+MIP_4[[#This Row],[PT-2]]*2+MIP_4[[#This Row],[PT-3]]*3+MIP_4[[#This Row],[PT &gt; 3 Pontos]]</f>
        <v>9</v>
      </c>
      <c r="S83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6.7361111111111094E-2</v>
      </c>
      <c r="T83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6.7361111111111094E-2</v>
      </c>
      <c r="U832" s="41">
        <f ca="1">MIP_4[[#This Row],[Eficiência]]</f>
        <v>0.69338290332855534</v>
      </c>
      <c r="V832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32" s="39">
        <f>IF(MIP_4[[#This Row],[P.S]]-MIP_4[[#This Row],[P.E]]&lt;0,1+MIP_4[[#This Row],[P.S]]-MIP_4[[#This Row],[P.E]]-1/24,MIP_4[[#This Row],[P.S]]-MIP_4[[#This Row],[P.E]]-1/24)</f>
        <v>0.38333333333333325</v>
      </c>
      <c r="X832" s="39">
        <f ca="1">MIP_4[[#This Row],[PT-1]]*$S$3+MIP_4[[#This Row],[PT-2]]*$T$3+MIP_4[[#This Row],[PT-3]]*$U$3+MIP_4[[#This Row],[PT &gt; 3 Pontos]]*$V$3</f>
        <v>0.21908973681561986</v>
      </c>
      <c r="Y832" s="39">
        <f>MIP_4[[#This Row],[HH disponível]]-MIP_4[[#This Row],[HH AC TOT]]</f>
        <v>0.31597222222222215</v>
      </c>
      <c r="Z832" s="38">
        <f ca="1">MIP_4[[#This Row],[HH Produtivo
Total]]/MIP_4[[#This Row],[HH Trabalhado]]</f>
        <v>0.69338290332855534</v>
      </c>
      <c r="AA832" s="38">
        <f ca="1">MIP_4[[#This Row],[HH Produtivo
Total]]/MIP_4[[#This Row],[HH disponível]]</f>
        <v>0.5715384438668345</v>
      </c>
      <c r="AB832" s="38">
        <f>MIP_4[[#This Row],[HH Trabalhado]]/MIP_4[[#This Row],[HH disponível]]</f>
        <v>0.82427536231884058</v>
      </c>
      <c r="AC832" s="37" t="str">
        <f>LEFT(MIP_4[[#This Row],[Equipe]], SEARCH("/",MIP_4[[#This Row],[Equipe]],1)-1)</f>
        <v xml:space="preserve">ANDERSON </v>
      </c>
      <c r="AD832" s="37" t="str">
        <f>RIGHT(MIP_4[[#This Row],[Equipe]], LEN(MIP_4[[#This Row],[Equipe]])-SEARCH("/",MIP_4[[#This Row],[Equipe]],1))</f>
        <v xml:space="preserve"> GECIVALDO / MARCO</v>
      </c>
      <c r="AE832" s="29">
        <f>COUNTIFS('[1]Tempo parado'!G:G,"&gt;="&amp;MIP_4[[#This Row],[S.B Sitrack]],'[1]Tempo parado'!H:H,"&lt;="&amp;MIP_4[[#This Row],[C.B Sitrack]],'[1]Tempo parado'!A:A,MIP_4[[#This Row],[Placa]])</f>
        <v>0</v>
      </c>
      <c r="AF832" s="36"/>
      <c r="AG832" s="35"/>
      <c r="AH832" s="34"/>
      <c r="AI832" s="34"/>
      <c r="AJ83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3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3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32" s="31" t="str">
        <f>IFERROR(MIP_4[[#This Row],[Tempo parado]]/(MIP_4[[#This Row],[C.B Sitrack]]-MIP_4[[#This Row],[S.B Sitrack]]),"")</f>
        <v/>
      </c>
      <c r="AN832" s="30"/>
      <c r="AO832" s="29">
        <f>IF(AND(MIP_4[Exc]=0,MIP_4[Previsto / Realizado]="Realizado"),MIP_4[Sem],0)</f>
        <v>48</v>
      </c>
      <c r="AP832" s="29">
        <f>IF(AND(MIP_4[Exc]=0,MIP_4[Previsto / Realizado]="Realizado",ISBLANK(MIP_4[[#This Row],[S.B Sitrack]])=FALSE,ISBLANK(MIP_4[[#This Row],[C.B Sitrack]])=FALSE),MIP_4[Sem],0)</f>
        <v>0</v>
      </c>
    </row>
    <row r="833" spans="1:42" ht="15.75" x14ac:dyDescent="0.25">
      <c r="A833" s="29">
        <f>WEEKNUM(MIP_4[[#This Row],[Data]])</f>
        <v>48</v>
      </c>
      <c r="B833" s="45">
        <v>43070</v>
      </c>
      <c r="C833" s="45"/>
      <c r="D833" s="35" t="s">
        <v>19</v>
      </c>
      <c r="E833" s="35" t="s">
        <v>5</v>
      </c>
      <c r="F833" s="35"/>
      <c r="G833" s="44"/>
      <c r="H833" s="44">
        <v>5</v>
      </c>
      <c r="I833" s="44">
        <v>0</v>
      </c>
      <c r="J833" s="44">
        <v>0</v>
      </c>
      <c r="K833" s="44">
        <v>0</v>
      </c>
      <c r="L833" s="43">
        <v>0.625</v>
      </c>
      <c r="M833" s="43">
        <v>0.66666666666666663</v>
      </c>
      <c r="N833" s="43">
        <v>4.8611111111111112E-3</v>
      </c>
      <c r="O833" s="43">
        <v>4.3055555555555562E-2</v>
      </c>
      <c r="P833" s="39"/>
      <c r="Q833" s="42" t="s">
        <v>75</v>
      </c>
      <c r="R833" s="29">
        <f>MIP_4[[#This Row],[PT-1]]+MIP_4[[#This Row],[PT-2]]*2+MIP_4[[#This Row],[PT-3]]*3+MIP_4[[#This Row],[PT &gt; 3 Pontos]]</f>
        <v>5</v>
      </c>
      <c r="S83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7.9861111111111049E-2</v>
      </c>
      <c r="T83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7.9861111111111049E-2</v>
      </c>
      <c r="U833" s="41">
        <f ca="1">MIP_4[[#This Row],[Eficiência]]</f>
        <v>0.42198159556053305</v>
      </c>
      <c r="V833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33" s="39">
        <f>IF(MIP_4[[#This Row],[P.S]]-MIP_4[[#This Row],[P.E]]&lt;0,1+MIP_4[[#This Row],[P.S]]-MIP_4[[#This Row],[P.E]]-1/24,MIP_4[[#This Row],[P.S]]-MIP_4[[#This Row],[P.E]]-1/24)</f>
        <v>0.37638888888888894</v>
      </c>
      <c r="X833" s="39">
        <f ca="1">MIP_4[[#This Row],[PT-1]]*$S$3+MIP_4[[#This Row],[PT-2]]*$T$3+MIP_4[[#This Row],[PT-3]]*$U$3+MIP_4[[#This Row],[PT &gt; 3 Pontos]]*$V$3</f>
        <v>0.12512926479468589</v>
      </c>
      <c r="Y833" s="39">
        <f>MIP_4[[#This Row],[HH disponível]]-MIP_4[[#This Row],[HH AC TOT]]</f>
        <v>0.29652777777777789</v>
      </c>
      <c r="Z833" s="38">
        <f ca="1">MIP_4[[#This Row],[HH Produtivo
Total]]/MIP_4[[#This Row],[HH Trabalhado]]</f>
        <v>0.42198159556053305</v>
      </c>
      <c r="AA833" s="38">
        <f ca="1">MIP_4[[#This Row],[HH Produtivo
Total]]/MIP_4[[#This Row],[HH disponível]]</f>
        <v>0.33244675517407318</v>
      </c>
      <c r="AB833" s="38">
        <f>MIP_4[[#This Row],[HH Trabalhado]]/MIP_4[[#This Row],[HH disponível]]</f>
        <v>0.7878228782287825</v>
      </c>
      <c r="AC833" s="37" t="str">
        <f>LEFT(MIP_4[[#This Row],[Equipe]], SEARCH("/",MIP_4[[#This Row],[Equipe]],1)-1)</f>
        <v xml:space="preserve">ADEMÁRIO </v>
      </c>
      <c r="AD833" s="37" t="str">
        <f>RIGHT(MIP_4[[#This Row],[Equipe]], LEN(MIP_4[[#This Row],[Equipe]])-SEARCH("/",MIP_4[[#This Row],[Equipe]],1))</f>
        <v xml:space="preserve"> RONALDO</v>
      </c>
      <c r="AE833" s="29">
        <f>COUNTIFS('[1]Tempo parado'!G:G,"&gt;="&amp;MIP_4[[#This Row],[S.B Sitrack]],'[1]Tempo parado'!H:H,"&lt;="&amp;MIP_4[[#This Row],[C.B Sitrack]],'[1]Tempo parado'!A:A,MIP_4[[#This Row],[Placa]])</f>
        <v>0</v>
      </c>
      <c r="AF833" s="36"/>
      <c r="AG833" s="35"/>
      <c r="AH833" s="34"/>
      <c r="AI833" s="34"/>
      <c r="AJ83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3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3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33" s="31" t="str">
        <f>IFERROR(MIP_4[[#This Row],[Tempo parado]]/(MIP_4[[#This Row],[C.B Sitrack]]-MIP_4[[#This Row],[S.B Sitrack]]),"")</f>
        <v/>
      </c>
      <c r="AN833" s="30"/>
      <c r="AO833" s="29">
        <f>IF(AND(MIP_4[Exc]=0,MIP_4[Previsto / Realizado]="Realizado"),MIP_4[Sem],0)</f>
        <v>0</v>
      </c>
      <c r="AP833" s="29">
        <f>IF(AND(MIP_4[Exc]=0,MIP_4[Previsto / Realizado]="Realizado",ISBLANK(MIP_4[[#This Row],[S.B Sitrack]])=FALSE,ISBLANK(MIP_4[[#This Row],[C.B Sitrack]])=FALSE),MIP_4[Sem],0)</f>
        <v>0</v>
      </c>
    </row>
    <row r="834" spans="1:42" ht="15.75" x14ac:dyDescent="0.25">
      <c r="A834" s="29">
        <f>WEEKNUM(MIP_4[[#This Row],[Data]])</f>
        <v>48</v>
      </c>
      <c r="B834" s="45">
        <v>43070</v>
      </c>
      <c r="C834" s="45"/>
      <c r="D834" s="35" t="s">
        <v>19</v>
      </c>
      <c r="E834" s="35" t="s">
        <v>2</v>
      </c>
      <c r="F834" s="35"/>
      <c r="G834" s="44"/>
      <c r="H834" s="44">
        <v>6</v>
      </c>
      <c r="I834" s="44">
        <v>0</v>
      </c>
      <c r="J834" s="44">
        <v>0</v>
      </c>
      <c r="K834" s="44">
        <v>0</v>
      </c>
      <c r="L834" s="43">
        <v>0.64444444444444449</v>
      </c>
      <c r="M834" s="43">
        <v>0.66666666666666663</v>
      </c>
      <c r="N834" s="43">
        <v>5.5555555555555558E-3</v>
      </c>
      <c r="O834" s="43">
        <v>4.3055555555555562E-2</v>
      </c>
      <c r="P834" s="39"/>
      <c r="Q834" s="42" t="s">
        <v>74</v>
      </c>
      <c r="R834" s="29">
        <f>MIP_4[[#This Row],[PT-1]]+MIP_4[[#This Row],[PT-2]]*2+MIP_4[[#This Row],[PT-3]]*3+MIP_4[[#This Row],[PT &gt; 3 Pontos]]</f>
        <v>6</v>
      </c>
      <c r="S83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5.9722222222222121E-2</v>
      </c>
      <c r="T83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5.9722222222222121E-2</v>
      </c>
      <c r="U834" s="41">
        <f ca="1">MIP_4[[#This Row],[Eficiência]]</f>
        <v>0.50519478870377843</v>
      </c>
      <c r="V834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34" s="39">
        <f>IF(MIP_4[[#This Row],[P.S]]-MIP_4[[#This Row],[P.E]]&lt;0,1+MIP_4[[#This Row],[P.S]]-MIP_4[[#This Row],[P.E]]-1/24,MIP_4[[#This Row],[P.S]]-MIP_4[[#This Row],[P.E]]-1/24)</f>
        <v>0.35694444444444445</v>
      </c>
      <c r="X834" s="39">
        <f ca="1">MIP_4[[#This Row],[PT-1]]*$S$3+MIP_4[[#This Row],[PT-2]]*$T$3+MIP_4[[#This Row],[PT-3]]*$U$3+MIP_4[[#This Row],[PT &gt; 3 Pontos]]*$V$3</f>
        <v>0.15015511775362309</v>
      </c>
      <c r="Y834" s="39">
        <f>MIP_4[[#This Row],[HH disponível]]-MIP_4[[#This Row],[HH AC TOT]]</f>
        <v>0.29722222222222233</v>
      </c>
      <c r="Z834" s="38">
        <f ca="1">MIP_4[[#This Row],[HH Produtivo
Total]]/MIP_4[[#This Row],[HH Trabalhado]]</f>
        <v>0.50519478870377843</v>
      </c>
      <c r="AA834" s="38">
        <f ca="1">MIP_4[[#This Row],[HH Produtivo
Total]]/MIP_4[[#This Row],[HH disponível]]</f>
        <v>0.4206680341735744</v>
      </c>
      <c r="AB834" s="38">
        <f>MIP_4[[#This Row],[HH Trabalhado]]/MIP_4[[#This Row],[HH disponível]]</f>
        <v>0.832684824902724</v>
      </c>
      <c r="AC834" s="37" t="str">
        <f>LEFT(MIP_4[[#This Row],[Equipe]], SEARCH("/",MIP_4[[#This Row],[Equipe]],1)-1)</f>
        <v xml:space="preserve">ADEMÁRIO </v>
      </c>
      <c r="AD834" s="37" t="str">
        <f>RIGHT(MIP_4[[#This Row],[Equipe]], LEN(MIP_4[[#This Row],[Equipe]])-SEARCH("/",MIP_4[[#This Row],[Equipe]],1))</f>
        <v xml:space="preserve"> RONALDO</v>
      </c>
      <c r="AE834" s="29">
        <f>COUNTIFS('[1]Tempo parado'!G:G,"&gt;="&amp;MIP_4[[#This Row],[S.B Sitrack]],'[1]Tempo parado'!H:H,"&lt;="&amp;MIP_4[[#This Row],[C.B Sitrack]],'[1]Tempo parado'!A:A,MIP_4[[#This Row],[Placa]])</f>
        <v>0</v>
      </c>
      <c r="AF834" s="36"/>
      <c r="AG834" s="35"/>
      <c r="AH834" s="34"/>
      <c r="AI834" s="34"/>
      <c r="AJ83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3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3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34" s="31" t="str">
        <f>IFERROR(MIP_4[[#This Row],[Tempo parado]]/(MIP_4[[#This Row],[C.B Sitrack]]-MIP_4[[#This Row],[S.B Sitrack]]),"")</f>
        <v/>
      </c>
      <c r="AN834" s="30"/>
      <c r="AO834" s="29">
        <f>IF(AND(MIP_4[Exc]=0,MIP_4[Previsto / Realizado]="Realizado"),MIP_4[Sem],0)</f>
        <v>48</v>
      </c>
      <c r="AP834" s="29">
        <f>IF(AND(MIP_4[Exc]=0,MIP_4[Previsto / Realizado]="Realizado",ISBLANK(MIP_4[[#This Row],[S.B Sitrack]])=FALSE,ISBLANK(MIP_4[[#This Row],[C.B Sitrack]])=FALSE),MIP_4[Sem],0)</f>
        <v>0</v>
      </c>
    </row>
    <row r="835" spans="1:42" ht="15.75" x14ac:dyDescent="0.25">
      <c r="A835" s="29">
        <f>WEEKNUM(MIP_4[[#This Row],[Data]])</f>
        <v>49</v>
      </c>
      <c r="B835" s="45">
        <v>43072</v>
      </c>
      <c r="C835" s="45"/>
      <c r="D835" s="35" t="s">
        <v>72</v>
      </c>
      <c r="E835" s="35" t="s">
        <v>5</v>
      </c>
      <c r="F835" s="35"/>
      <c r="G835" s="44"/>
      <c r="H835" s="44">
        <v>3</v>
      </c>
      <c r="I835" s="44">
        <v>0</v>
      </c>
      <c r="J835" s="44">
        <v>0</v>
      </c>
      <c r="K835" s="44">
        <v>0</v>
      </c>
      <c r="L835" s="43">
        <v>0.625</v>
      </c>
      <c r="M835" s="43">
        <v>0.63750000000000007</v>
      </c>
      <c r="N835" s="43">
        <v>4.8611111111111112E-3</v>
      </c>
      <c r="O835" s="43">
        <v>3.3333333333333333E-2</v>
      </c>
      <c r="P835" s="39"/>
      <c r="Q835" s="42" t="s">
        <v>73</v>
      </c>
      <c r="R835" s="29">
        <f>MIP_4[[#This Row],[PT-1]]+MIP_4[[#This Row],[PT-2]]*2+MIP_4[[#This Row],[PT-3]]*3+MIP_4[[#This Row],[PT &gt; 3 Pontos]]</f>
        <v>3</v>
      </c>
      <c r="S83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4.0972222222222299E-2</v>
      </c>
      <c r="T83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4.0972222222222299E-2</v>
      </c>
      <c r="U835" s="41">
        <f ca="1">MIP_4[[#This Row],[Eficiência]]</f>
        <v>0.23051531936590325</v>
      </c>
      <c r="V835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35" s="39">
        <f>IF(MIP_4[[#This Row],[P.S]]-MIP_4[[#This Row],[P.E]]&lt;0,1+MIP_4[[#This Row],[P.S]]-MIP_4[[#This Row],[P.E]]-1/24,MIP_4[[#This Row],[P.S]]-MIP_4[[#This Row],[P.E]]-1/24)</f>
        <v>0.36666666666666675</v>
      </c>
      <c r="X835" s="39">
        <f ca="1">MIP_4[[#This Row],[PT-1]]*$S$3+MIP_4[[#This Row],[PT-2]]*$T$3+MIP_4[[#This Row],[PT-3]]*$U$3+MIP_4[[#This Row],[PT &gt; 3 Pontos]]*$V$3</f>
        <v>7.5077558876811543E-2</v>
      </c>
      <c r="Y835" s="39">
        <f>MIP_4[[#This Row],[HH disponível]]-MIP_4[[#This Row],[HH AC TOT]]</f>
        <v>0.32569444444444445</v>
      </c>
      <c r="Z835" s="38">
        <f ca="1">MIP_4[[#This Row],[HH Produtivo
Total]]/MIP_4[[#This Row],[HH Trabalhado]]</f>
        <v>0.23051531936590325</v>
      </c>
      <c r="AA835" s="38">
        <f ca="1">MIP_4[[#This Row],[HH Produtivo
Total]]/MIP_4[[#This Row],[HH disponível]]</f>
        <v>0.20475697875494053</v>
      </c>
      <c r="AB835" s="38">
        <f>MIP_4[[#This Row],[HH Trabalhado]]/MIP_4[[#This Row],[HH disponível]]</f>
        <v>0.88825757575757558</v>
      </c>
      <c r="AC835" s="37" t="str">
        <f>LEFT(MIP_4[[#This Row],[Equipe]], SEARCH("/",MIP_4[[#This Row],[Equipe]],1)-1)</f>
        <v xml:space="preserve">ANDERSON </v>
      </c>
      <c r="AD835" s="37" t="str">
        <f>RIGHT(MIP_4[[#This Row],[Equipe]], LEN(MIP_4[[#This Row],[Equipe]])-SEARCH("/",MIP_4[[#This Row],[Equipe]],1))</f>
        <v xml:space="preserve"> GECIVALDO / MARCO</v>
      </c>
      <c r="AE835" s="29">
        <f>COUNTIFS('[1]Tempo parado'!G:G,"&gt;="&amp;MIP_4[[#This Row],[S.B Sitrack]],'[1]Tempo parado'!H:H,"&lt;="&amp;MIP_4[[#This Row],[C.B Sitrack]],'[1]Tempo parado'!A:A,MIP_4[[#This Row],[Placa]])</f>
        <v>0</v>
      </c>
      <c r="AF835" s="36"/>
      <c r="AG835" s="35"/>
      <c r="AH835" s="34"/>
      <c r="AI835" s="34"/>
      <c r="AJ83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3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3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35" s="31" t="str">
        <f>IFERROR(MIP_4[[#This Row],[Tempo parado]]/(MIP_4[[#This Row],[C.B Sitrack]]-MIP_4[[#This Row],[S.B Sitrack]]),"")</f>
        <v/>
      </c>
      <c r="AN835" s="30"/>
      <c r="AO835" s="29">
        <f>IF(AND(MIP_4[Exc]=0,MIP_4[Previsto / Realizado]="Realizado"),MIP_4[Sem],0)</f>
        <v>0</v>
      </c>
      <c r="AP835" s="29">
        <f>IF(AND(MIP_4[Exc]=0,MIP_4[Previsto / Realizado]="Realizado",ISBLANK(MIP_4[[#This Row],[S.B Sitrack]])=FALSE,ISBLANK(MIP_4[[#This Row],[C.B Sitrack]])=FALSE),MIP_4[Sem],0)</f>
        <v>0</v>
      </c>
    </row>
    <row r="836" spans="1:42" ht="15.75" x14ac:dyDescent="0.25">
      <c r="A836" s="29">
        <f>WEEKNUM(MIP_4[[#This Row],[Data]])</f>
        <v>49</v>
      </c>
      <c r="B836" s="45">
        <v>43072</v>
      </c>
      <c r="C836" s="45"/>
      <c r="D836" s="35" t="s">
        <v>72</v>
      </c>
      <c r="E836" s="35" t="s">
        <v>2</v>
      </c>
      <c r="F836" s="35"/>
      <c r="G836" s="44"/>
      <c r="H836" s="44">
        <v>10</v>
      </c>
      <c r="I836" s="44">
        <v>0</v>
      </c>
      <c r="J836" s="44">
        <v>0</v>
      </c>
      <c r="K836" s="44">
        <v>0</v>
      </c>
      <c r="L836" s="43">
        <v>0.63611111111111118</v>
      </c>
      <c r="M836" s="43">
        <v>0.66180555555555554</v>
      </c>
      <c r="N836" s="43">
        <v>1.2499999999999999E-2</v>
      </c>
      <c r="O836" s="43">
        <v>3.4722222222222224E-2</v>
      </c>
      <c r="P836" s="39"/>
      <c r="Q836" s="42" t="s">
        <v>71</v>
      </c>
      <c r="R836" s="29">
        <f>MIP_4[[#This Row],[PT-1]]+MIP_4[[#This Row],[PT-2]]*2+MIP_4[[#This Row],[PT-3]]*3+MIP_4[[#This Row],[PT &gt; 3 Pontos]]</f>
        <v>10</v>
      </c>
      <c r="S83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4.7916666666666607E-2</v>
      </c>
      <c r="T83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4.7916666666666607E-2</v>
      </c>
      <c r="U836" s="41">
        <f ca="1">MIP_4[[#This Row],[Eficiência]]</f>
        <v>0.80982535417684332</v>
      </c>
      <c r="V836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36" s="39">
        <f>IF(MIP_4[[#This Row],[P.S]]-MIP_4[[#This Row],[P.E]]&lt;0,1+MIP_4[[#This Row],[P.S]]-MIP_4[[#This Row],[P.E]]-1/24,MIP_4[[#This Row],[P.S]]-MIP_4[[#This Row],[P.E]]-1/24)</f>
        <v>0.35694444444444445</v>
      </c>
      <c r="X836" s="39">
        <f ca="1">MIP_4[[#This Row],[PT-1]]*$S$3+MIP_4[[#This Row],[PT-2]]*$T$3+MIP_4[[#This Row],[PT-3]]*$U$3+MIP_4[[#This Row],[PT &gt; 3 Pontos]]*$V$3</f>
        <v>0.25025852958937178</v>
      </c>
      <c r="Y836" s="39">
        <f>MIP_4[[#This Row],[HH disponível]]-MIP_4[[#This Row],[HH AC TOT]]</f>
        <v>0.30902777777777785</v>
      </c>
      <c r="Z836" s="38">
        <f ca="1">MIP_4[[#This Row],[HH Produtivo
Total]]/MIP_4[[#This Row],[HH Trabalhado]]</f>
        <v>0.80982535417684332</v>
      </c>
      <c r="AA836" s="38">
        <f ca="1">MIP_4[[#This Row],[HH Produtivo
Total]]/MIP_4[[#This Row],[HH disponível]]</f>
        <v>0.70111339028929054</v>
      </c>
      <c r="AB836" s="38">
        <f>MIP_4[[#This Row],[HH Trabalhado]]/MIP_4[[#This Row],[HH disponível]]</f>
        <v>0.86575875486381337</v>
      </c>
      <c r="AC836" s="37" t="str">
        <f>LEFT(MIP_4[[#This Row],[Equipe]], SEARCH("/",MIP_4[[#This Row],[Equipe]],1)-1)</f>
        <v xml:space="preserve">ANDERSON </v>
      </c>
      <c r="AD836" s="37" t="str">
        <f>RIGHT(MIP_4[[#This Row],[Equipe]], LEN(MIP_4[[#This Row],[Equipe]])-SEARCH("/",MIP_4[[#This Row],[Equipe]],1))</f>
        <v xml:space="preserve"> GECIVALDO / MARCO</v>
      </c>
      <c r="AE836" s="29">
        <f>COUNTIFS('[1]Tempo parado'!G:G,"&gt;="&amp;MIP_4[[#This Row],[S.B Sitrack]],'[1]Tempo parado'!H:H,"&lt;="&amp;MIP_4[[#This Row],[C.B Sitrack]],'[1]Tempo parado'!A:A,MIP_4[[#This Row],[Placa]])</f>
        <v>0</v>
      </c>
      <c r="AF836" s="36"/>
      <c r="AG836" s="35"/>
      <c r="AH836" s="34"/>
      <c r="AI836" s="34"/>
      <c r="AJ83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3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3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36" s="31" t="str">
        <f>IFERROR(MIP_4[[#This Row],[Tempo parado]]/(MIP_4[[#This Row],[C.B Sitrack]]-MIP_4[[#This Row],[S.B Sitrack]]),"")</f>
        <v/>
      </c>
      <c r="AN836" s="30"/>
      <c r="AO836" s="29">
        <f>IF(AND(MIP_4[Exc]=0,MIP_4[Previsto / Realizado]="Realizado"),MIP_4[Sem],0)</f>
        <v>49</v>
      </c>
      <c r="AP836" s="29">
        <f>IF(AND(MIP_4[Exc]=0,MIP_4[Previsto / Realizado]="Realizado",ISBLANK(MIP_4[[#This Row],[S.B Sitrack]])=FALSE,ISBLANK(MIP_4[[#This Row],[C.B Sitrack]])=FALSE),MIP_4[Sem],0)</f>
        <v>0</v>
      </c>
    </row>
    <row r="837" spans="1:42" ht="15.75" x14ac:dyDescent="0.25">
      <c r="A837" s="29">
        <f>WEEKNUM(MIP_4[[#This Row],[Data]])</f>
        <v>49</v>
      </c>
      <c r="B837" s="45">
        <v>43073</v>
      </c>
      <c r="C837" s="45"/>
      <c r="D837" s="35" t="s">
        <v>65</v>
      </c>
      <c r="E837" s="35" t="s">
        <v>5</v>
      </c>
      <c r="F837" s="35"/>
      <c r="G837" s="44"/>
      <c r="H837" s="44">
        <v>1</v>
      </c>
      <c r="I837" s="44">
        <v>0</v>
      </c>
      <c r="J837" s="44">
        <v>0</v>
      </c>
      <c r="K837" s="44">
        <v>4</v>
      </c>
      <c r="L837" s="43">
        <v>0.25</v>
      </c>
      <c r="M837" s="43">
        <v>0.2638888888888889</v>
      </c>
      <c r="N837" s="43">
        <v>0.62986111111111109</v>
      </c>
      <c r="O837" s="43">
        <v>0.65833333333333333</v>
      </c>
      <c r="P837" s="39"/>
      <c r="Q837" s="42" t="s">
        <v>70</v>
      </c>
      <c r="R837" s="29">
        <f>MIP_4[[#This Row],[PT-1]]+MIP_4[[#This Row],[PT-2]]*2+MIP_4[[#This Row],[PT-3]]*3+MIP_4[[#This Row],[PT &gt; 3 Pontos]]</f>
        <v>5</v>
      </c>
      <c r="S83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4.2361111111111127E-2</v>
      </c>
      <c r="T83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4.2361111111111127E-2</v>
      </c>
      <c r="U837" s="41">
        <f ca="1">MIP_4[[#This Row],[Eficiência]]</f>
        <v>0.32690743240680409</v>
      </c>
      <c r="V837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37" s="39">
        <f>IF(MIP_4[[#This Row],[P.S]]-MIP_4[[#This Row],[P.E]]&lt;0,1+MIP_4[[#This Row],[P.S]]-MIP_4[[#This Row],[P.E]]-1/24,MIP_4[[#This Row],[P.S]]-MIP_4[[#This Row],[P.E]]-1/24)</f>
        <v>0.36666666666666664</v>
      </c>
      <c r="X837" s="39">
        <f ca="1">MIP_4[[#This Row],[PT-1]]*$S$3+MIP_4[[#This Row],[PT-2]]*$T$3+MIP_4[[#This Row],[PT-3]]*$U$3+MIP_4[[#This Row],[PT &gt; 3 Pontos]]*$V$3</f>
        <v>0.10601789648192882</v>
      </c>
      <c r="Y837" s="39">
        <f>MIP_4[[#This Row],[HH disponível]]-MIP_4[[#This Row],[HH AC TOT]]</f>
        <v>0.32430555555555551</v>
      </c>
      <c r="Z837" s="38">
        <f ca="1">MIP_4[[#This Row],[HH Produtivo
Total]]/MIP_4[[#This Row],[HH Trabalhado]]</f>
        <v>0.32690743240680409</v>
      </c>
      <c r="AA837" s="38">
        <f ca="1">MIP_4[[#This Row],[HH Produtivo
Total]]/MIP_4[[#This Row],[HH disponível]]</f>
        <v>0.28913971767798768</v>
      </c>
      <c r="AB837" s="38">
        <f>MIP_4[[#This Row],[HH Trabalhado]]/MIP_4[[#This Row],[HH disponível]]</f>
        <v>0.88446969696969691</v>
      </c>
      <c r="AC837" s="37" t="str">
        <f>LEFT(MIP_4[[#This Row],[Equipe]], SEARCH("/",MIP_4[[#This Row],[Equipe]],1)-1)</f>
        <v xml:space="preserve">CLAUDINEY </v>
      </c>
      <c r="AD837" s="37" t="str">
        <f>RIGHT(MIP_4[[#This Row],[Equipe]], LEN(MIP_4[[#This Row],[Equipe]])-SEARCH("/",MIP_4[[#This Row],[Equipe]],1))</f>
        <v xml:space="preserve"> JOILSON</v>
      </c>
      <c r="AE837" s="29">
        <f>COUNTIFS('[1]Tempo parado'!G:G,"&gt;="&amp;MIP_4[[#This Row],[S.B Sitrack]],'[1]Tempo parado'!H:H,"&lt;="&amp;MIP_4[[#This Row],[C.B Sitrack]],'[1]Tempo parado'!A:A,MIP_4[[#This Row],[Placa]])</f>
        <v>0</v>
      </c>
      <c r="AF837" s="36"/>
      <c r="AG837" s="35"/>
      <c r="AH837" s="34"/>
      <c r="AI837" s="34"/>
      <c r="AJ83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3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3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37" s="31" t="str">
        <f>IFERROR(MIP_4[[#This Row],[Tempo parado]]/(MIP_4[[#This Row],[C.B Sitrack]]-MIP_4[[#This Row],[S.B Sitrack]]),"")</f>
        <v/>
      </c>
      <c r="AN837" s="30"/>
      <c r="AO837" s="29">
        <f>IF(AND(MIP_4[Exc]=0,MIP_4[Previsto / Realizado]="Realizado"),MIP_4[Sem],0)</f>
        <v>0</v>
      </c>
      <c r="AP837" s="29">
        <f>IF(AND(MIP_4[Exc]=0,MIP_4[Previsto / Realizado]="Realizado",ISBLANK(MIP_4[[#This Row],[S.B Sitrack]])=FALSE,ISBLANK(MIP_4[[#This Row],[C.B Sitrack]])=FALSE),MIP_4[Sem],0)</f>
        <v>0</v>
      </c>
    </row>
    <row r="838" spans="1:42" ht="15.75" x14ac:dyDescent="0.25">
      <c r="A838" s="29">
        <f>WEEKNUM(MIP_4[[#This Row],[Data]])</f>
        <v>49</v>
      </c>
      <c r="B838" s="45">
        <v>43073</v>
      </c>
      <c r="C838" s="45"/>
      <c r="D838" s="35" t="s">
        <v>65</v>
      </c>
      <c r="E838" s="35" t="s">
        <v>2</v>
      </c>
      <c r="F838" s="35"/>
      <c r="G838" s="44"/>
      <c r="H838" s="44">
        <v>2</v>
      </c>
      <c r="I838" s="44">
        <v>0</v>
      </c>
      <c r="J838" s="44">
        <v>0</v>
      </c>
      <c r="K838" s="44">
        <v>4</v>
      </c>
      <c r="L838" s="43">
        <v>0.24652777777777779</v>
      </c>
      <c r="M838" s="43">
        <v>0.27083333333333331</v>
      </c>
      <c r="N838" s="43">
        <v>0.62152777777777779</v>
      </c>
      <c r="O838" s="43">
        <v>0.63055555555555554</v>
      </c>
      <c r="P838" s="39"/>
      <c r="Q838" s="42" t="s">
        <v>69</v>
      </c>
      <c r="R838" s="29">
        <f>MIP_4[[#This Row],[PT-1]]+MIP_4[[#This Row],[PT-2]]*2+MIP_4[[#This Row],[PT-3]]*3+MIP_4[[#This Row],[PT &gt; 3 Pontos]]</f>
        <v>6</v>
      </c>
      <c r="S83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3.333333333333327E-2</v>
      </c>
      <c r="T83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3.333333333333327E-2</v>
      </c>
      <c r="U838" s="41">
        <f ca="1">MIP_4[[#This Row],[Eficiência]]</f>
        <v>0.42405168358392592</v>
      </c>
      <c r="V838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38" s="39">
        <f>IF(MIP_4[[#This Row],[P.S]]-MIP_4[[#This Row],[P.E]]&lt;0,1+MIP_4[[#This Row],[P.S]]-MIP_4[[#This Row],[P.E]]-1/24,MIP_4[[#This Row],[P.S]]-MIP_4[[#This Row],[P.E]]-1/24)</f>
        <v>0.34236111111111106</v>
      </c>
      <c r="X838" s="39">
        <f ca="1">MIP_4[[#This Row],[PT-1]]*$S$3+MIP_4[[#This Row],[PT-2]]*$T$3+MIP_4[[#This Row],[PT-3]]*$U$3+MIP_4[[#This Row],[PT &gt; 3 Pontos]]*$V$3</f>
        <v>0.131043749440866</v>
      </c>
      <c r="Y838" s="39">
        <f>MIP_4[[#This Row],[HH disponível]]-MIP_4[[#This Row],[HH AC TOT]]</f>
        <v>0.30902777777777779</v>
      </c>
      <c r="Z838" s="38">
        <f ca="1">MIP_4[[#This Row],[HH Produtivo
Total]]/MIP_4[[#This Row],[HH Trabalhado]]</f>
        <v>0.42405168358392592</v>
      </c>
      <c r="AA838" s="38">
        <f ca="1">MIP_4[[#This Row],[HH Produtivo
Total]]/MIP_4[[#This Row],[HH disponível]]</f>
        <v>0.38276470424918269</v>
      </c>
      <c r="AB838" s="38">
        <f>MIP_4[[#This Row],[HH Trabalhado]]/MIP_4[[#This Row],[HH disponível]]</f>
        <v>0.90263691683570002</v>
      </c>
      <c r="AC838" s="37" t="str">
        <f>LEFT(MIP_4[[#This Row],[Equipe]], SEARCH("/",MIP_4[[#This Row],[Equipe]],1)-1)</f>
        <v xml:space="preserve">CLAUDINEY </v>
      </c>
      <c r="AD838" s="37" t="str">
        <f>RIGHT(MIP_4[[#This Row],[Equipe]], LEN(MIP_4[[#This Row],[Equipe]])-SEARCH("/",MIP_4[[#This Row],[Equipe]],1))</f>
        <v xml:space="preserve"> JOILSON</v>
      </c>
      <c r="AE838" s="29">
        <f>COUNTIFS('[1]Tempo parado'!G:G,"&gt;="&amp;MIP_4[[#This Row],[S.B Sitrack]],'[1]Tempo parado'!H:H,"&lt;="&amp;MIP_4[[#This Row],[C.B Sitrack]],'[1]Tempo parado'!A:A,MIP_4[[#This Row],[Placa]])</f>
        <v>0</v>
      </c>
      <c r="AF838" s="36"/>
      <c r="AG838" s="35"/>
      <c r="AH838" s="34"/>
      <c r="AI838" s="34"/>
      <c r="AJ83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3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3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38" s="31" t="str">
        <f>IFERROR(MIP_4[[#This Row],[Tempo parado]]/(MIP_4[[#This Row],[C.B Sitrack]]-MIP_4[[#This Row],[S.B Sitrack]]),"")</f>
        <v/>
      </c>
      <c r="AN838" s="30"/>
      <c r="AO838" s="29">
        <f>IF(AND(MIP_4[Exc]=0,MIP_4[Previsto / Realizado]="Realizado"),MIP_4[Sem],0)</f>
        <v>49</v>
      </c>
      <c r="AP838" s="29">
        <f>IF(AND(MIP_4[Exc]=0,MIP_4[Previsto / Realizado]="Realizado",ISBLANK(MIP_4[[#This Row],[S.B Sitrack]])=FALSE,ISBLANK(MIP_4[[#This Row],[C.B Sitrack]])=FALSE),MIP_4[Sem],0)</f>
        <v>0</v>
      </c>
    </row>
    <row r="839" spans="1:42" ht="15.75" x14ac:dyDescent="0.25">
      <c r="A839" s="29">
        <f>WEEKNUM(MIP_4[[#This Row],[Data]])</f>
        <v>49</v>
      </c>
      <c r="B839" s="45">
        <v>43073</v>
      </c>
      <c r="C839" s="45"/>
      <c r="D839" s="35" t="s">
        <v>19</v>
      </c>
      <c r="E839" s="35" t="s">
        <v>5</v>
      </c>
      <c r="F839" s="35"/>
      <c r="G839" s="44"/>
      <c r="H839" s="44">
        <v>5</v>
      </c>
      <c r="I839" s="44">
        <v>0</v>
      </c>
      <c r="J839" s="44">
        <v>0</v>
      </c>
      <c r="K839" s="44">
        <v>4</v>
      </c>
      <c r="L839" s="43">
        <v>0.625</v>
      </c>
      <c r="M839" s="43">
        <v>0.63750000000000007</v>
      </c>
      <c r="N839" s="43">
        <v>4.8611111111111112E-3</v>
      </c>
      <c r="O839" s="43">
        <v>3.3333333333333333E-2</v>
      </c>
      <c r="P839" s="39"/>
      <c r="Q839" s="42" t="s">
        <v>68</v>
      </c>
      <c r="R839" s="29">
        <f>MIP_4[[#This Row],[PT-1]]+MIP_4[[#This Row],[PT-2]]*2+MIP_4[[#This Row],[PT-3]]*3+MIP_4[[#This Row],[PT &gt; 3 Pontos]]</f>
        <v>9</v>
      </c>
      <c r="S83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4.0972222222222299E-2</v>
      </c>
      <c r="T83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4.0972222222222299E-2</v>
      </c>
      <c r="U839" s="41">
        <f ca="1">MIP_4[[#This Row],[Eficiência]]</f>
        <v>0.63286713001589689</v>
      </c>
      <c r="V839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39" s="39">
        <f>IF(MIP_4[[#This Row],[P.S]]-MIP_4[[#This Row],[P.E]]&lt;0,1+MIP_4[[#This Row],[P.S]]-MIP_4[[#This Row],[P.E]]-1/24,MIP_4[[#This Row],[P.S]]-MIP_4[[#This Row],[P.E]]-1/24)</f>
        <v>0.36666666666666675</v>
      </c>
      <c r="X839" s="39">
        <f ca="1">MIP_4[[#This Row],[PT-1]]*$S$3+MIP_4[[#This Row],[PT-2]]*$T$3+MIP_4[[#This Row],[PT-3]]*$U$3+MIP_4[[#This Row],[PT &gt; 3 Pontos]]*$V$3</f>
        <v>0.20612130831767753</v>
      </c>
      <c r="Y839" s="39">
        <f>MIP_4[[#This Row],[HH disponível]]-MIP_4[[#This Row],[HH AC TOT]]</f>
        <v>0.32569444444444445</v>
      </c>
      <c r="Z839" s="38">
        <f ca="1">MIP_4[[#This Row],[HH Produtivo
Total]]/MIP_4[[#This Row],[HH Trabalhado]]</f>
        <v>0.63286713001589689</v>
      </c>
      <c r="AA839" s="38">
        <f ca="1">MIP_4[[#This Row],[HH Produtivo
Total]]/MIP_4[[#This Row],[HH disponível]]</f>
        <v>0.56214902268457489</v>
      </c>
      <c r="AB839" s="38">
        <f>MIP_4[[#This Row],[HH Trabalhado]]/MIP_4[[#This Row],[HH disponível]]</f>
        <v>0.88825757575757558</v>
      </c>
      <c r="AC839" s="37" t="str">
        <f>LEFT(MIP_4[[#This Row],[Equipe]], SEARCH("/",MIP_4[[#This Row],[Equipe]],1)-1)</f>
        <v xml:space="preserve">ADEMÁRIO </v>
      </c>
      <c r="AD839" s="37" t="str">
        <f>RIGHT(MIP_4[[#This Row],[Equipe]], LEN(MIP_4[[#This Row],[Equipe]])-SEARCH("/",MIP_4[[#This Row],[Equipe]],1))</f>
        <v xml:space="preserve"> RONALDO</v>
      </c>
      <c r="AE839" s="29">
        <f>COUNTIFS('[1]Tempo parado'!G:G,"&gt;="&amp;MIP_4[[#This Row],[S.B Sitrack]],'[1]Tempo parado'!H:H,"&lt;="&amp;MIP_4[[#This Row],[C.B Sitrack]],'[1]Tempo parado'!A:A,MIP_4[[#This Row],[Placa]])</f>
        <v>0</v>
      </c>
      <c r="AF839" s="36"/>
      <c r="AG839" s="35"/>
      <c r="AH839" s="34"/>
      <c r="AI839" s="34"/>
      <c r="AJ83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3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3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39" s="31" t="str">
        <f>IFERROR(MIP_4[[#This Row],[Tempo parado]]/(MIP_4[[#This Row],[C.B Sitrack]]-MIP_4[[#This Row],[S.B Sitrack]]),"")</f>
        <v/>
      </c>
      <c r="AN839" s="30"/>
      <c r="AO839" s="29">
        <f>IF(AND(MIP_4[Exc]=0,MIP_4[Previsto / Realizado]="Realizado"),MIP_4[Sem],0)</f>
        <v>0</v>
      </c>
      <c r="AP839" s="29">
        <f>IF(AND(MIP_4[Exc]=0,MIP_4[Previsto / Realizado]="Realizado",ISBLANK(MIP_4[[#This Row],[S.B Sitrack]])=FALSE,ISBLANK(MIP_4[[#This Row],[C.B Sitrack]])=FALSE),MIP_4[Sem],0)</f>
        <v>0</v>
      </c>
    </row>
    <row r="840" spans="1:42" ht="15.75" x14ac:dyDescent="0.25">
      <c r="A840" s="29">
        <f>WEEKNUM(MIP_4[[#This Row],[Data]])</f>
        <v>49</v>
      </c>
      <c r="B840" s="45">
        <v>43073</v>
      </c>
      <c r="C840" s="45"/>
      <c r="D840" s="35" t="s">
        <v>19</v>
      </c>
      <c r="E840" s="35" t="s">
        <v>2</v>
      </c>
      <c r="F840" s="35"/>
      <c r="G840" s="44"/>
      <c r="H840" s="44">
        <v>6</v>
      </c>
      <c r="I840" s="44">
        <v>0</v>
      </c>
      <c r="J840" s="44">
        <v>0</v>
      </c>
      <c r="K840" s="44">
        <v>4</v>
      </c>
      <c r="L840" s="43">
        <v>0.65</v>
      </c>
      <c r="M840" s="43">
        <v>0.68958333333333333</v>
      </c>
      <c r="N840" s="43">
        <v>5.5555555555555558E-3</v>
      </c>
      <c r="O840" s="43">
        <v>3.6805555555555557E-2</v>
      </c>
      <c r="P840" s="39"/>
      <c r="Q840" s="42" t="s">
        <v>67</v>
      </c>
      <c r="R840" s="29">
        <f>MIP_4[[#This Row],[PT-1]]+MIP_4[[#This Row],[PT-2]]*2+MIP_4[[#This Row],[PT-3]]*3+MIP_4[[#This Row],[PT &gt; 3 Pontos]]</f>
        <v>10</v>
      </c>
      <c r="S84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7.0833333333333304E-2</v>
      </c>
      <c r="T84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7.0833333333333304E-2</v>
      </c>
      <c r="U840" s="41">
        <f ca="1">MIP_4[[#This Row],[Eficiência]]</f>
        <v>0.84266306895778542</v>
      </c>
      <c r="V840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40" s="39">
        <f>IF(MIP_4[[#This Row],[P.S]]-MIP_4[[#This Row],[P.E]]&lt;0,1+MIP_4[[#This Row],[P.S]]-MIP_4[[#This Row],[P.E]]-1/24,MIP_4[[#This Row],[P.S]]-MIP_4[[#This Row],[P.E]]-1/24)</f>
        <v>0.34513888888888883</v>
      </c>
      <c r="X840" s="39">
        <f ca="1">MIP_4[[#This Row],[PT-1]]*$S$3+MIP_4[[#This Row],[PT-2]]*$T$3+MIP_4[[#This Row],[PT-3]]*$U$3+MIP_4[[#This Row],[PT &gt; 3 Pontos]]*$V$3</f>
        <v>0.23114716127661472</v>
      </c>
      <c r="Y840" s="39">
        <f>MIP_4[[#This Row],[HH disponível]]-MIP_4[[#This Row],[HH AC TOT]]</f>
        <v>0.27430555555555552</v>
      </c>
      <c r="Z840" s="38">
        <f ca="1">MIP_4[[#This Row],[HH Produtivo
Total]]/MIP_4[[#This Row],[HH Trabalhado]]</f>
        <v>0.84266306895778542</v>
      </c>
      <c r="AA840" s="38">
        <f ca="1">MIP_4[[#This Row],[HH Produtivo
Total]]/MIP_4[[#This Row],[HH disponível]]</f>
        <v>0.66972215742117758</v>
      </c>
      <c r="AB840" s="38">
        <f>MIP_4[[#This Row],[HH Trabalhado]]/MIP_4[[#This Row],[HH disponível]]</f>
        <v>0.79476861167002022</v>
      </c>
      <c r="AC840" s="37" t="str">
        <f>LEFT(MIP_4[[#This Row],[Equipe]], SEARCH("/",MIP_4[[#This Row],[Equipe]],1)-1)</f>
        <v xml:space="preserve">ADEMÁRIO </v>
      </c>
      <c r="AD840" s="37" t="str">
        <f>RIGHT(MIP_4[[#This Row],[Equipe]], LEN(MIP_4[[#This Row],[Equipe]])-SEARCH("/",MIP_4[[#This Row],[Equipe]],1))</f>
        <v xml:space="preserve"> RONALDO</v>
      </c>
      <c r="AE840" s="29">
        <f>COUNTIFS('[1]Tempo parado'!G:G,"&gt;="&amp;MIP_4[[#This Row],[S.B Sitrack]],'[1]Tempo parado'!H:H,"&lt;="&amp;MIP_4[[#This Row],[C.B Sitrack]],'[1]Tempo parado'!A:A,MIP_4[[#This Row],[Placa]])</f>
        <v>0</v>
      </c>
      <c r="AF840" s="36"/>
      <c r="AG840" s="35"/>
      <c r="AH840" s="34"/>
      <c r="AI840" s="34"/>
      <c r="AJ84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4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4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40" s="31" t="str">
        <f>IFERROR(MIP_4[[#This Row],[Tempo parado]]/(MIP_4[[#This Row],[C.B Sitrack]]-MIP_4[[#This Row],[S.B Sitrack]]),"")</f>
        <v/>
      </c>
      <c r="AN840" s="30"/>
      <c r="AO840" s="29">
        <f>IF(AND(MIP_4[Exc]=0,MIP_4[Previsto / Realizado]="Realizado"),MIP_4[Sem],0)</f>
        <v>49</v>
      </c>
      <c r="AP840" s="29">
        <f>IF(AND(MIP_4[Exc]=0,MIP_4[Previsto / Realizado]="Realizado",ISBLANK(MIP_4[[#This Row],[S.B Sitrack]])=FALSE,ISBLANK(MIP_4[[#This Row],[C.B Sitrack]])=FALSE),MIP_4[Sem],0)</f>
        <v>0</v>
      </c>
    </row>
    <row r="841" spans="1:42" ht="15.75" x14ac:dyDescent="0.25">
      <c r="A841" s="29">
        <f>WEEKNUM(MIP_4[[#This Row],[Data]])</f>
        <v>49</v>
      </c>
      <c r="B841" s="45">
        <v>43074</v>
      </c>
      <c r="C841" s="45"/>
      <c r="D841" s="35" t="s">
        <v>65</v>
      </c>
      <c r="E841" s="35" t="s">
        <v>5</v>
      </c>
      <c r="F841" s="35"/>
      <c r="G841" s="44"/>
      <c r="H841" s="44">
        <v>1</v>
      </c>
      <c r="I841" s="44">
        <v>0</v>
      </c>
      <c r="J841" s="44">
        <v>0</v>
      </c>
      <c r="K841" s="44">
        <v>0</v>
      </c>
      <c r="L841" s="43">
        <v>0.25</v>
      </c>
      <c r="M841" s="43">
        <v>0.2638888888888889</v>
      </c>
      <c r="N841" s="43">
        <v>0.62986111111111109</v>
      </c>
      <c r="O841" s="43">
        <v>0.65833333333333333</v>
      </c>
      <c r="P841" s="39"/>
      <c r="Q841" s="42" t="s">
        <v>66</v>
      </c>
      <c r="R841" s="29">
        <f>MIP_4[[#This Row],[PT-1]]+MIP_4[[#This Row],[PT-2]]*2+MIP_4[[#This Row],[PT-3]]*3+MIP_4[[#This Row],[PT &gt; 3 Pontos]]</f>
        <v>1</v>
      </c>
      <c r="S84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4.2361111111111127E-2</v>
      </c>
      <c r="T84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4.2361111111111127E-2</v>
      </c>
      <c r="U841" s="41">
        <f ca="1">MIP_4[[#This Row],[Eficiência]]</f>
        <v>7.7167512335909086E-2</v>
      </c>
      <c r="V841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41" s="39">
        <f>IF(MIP_4[[#This Row],[P.S]]-MIP_4[[#This Row],[P.E]]&lt;0,1+MIP_4[[#This Row],[P.S]]-MIP_4[[#This Row],[P.E]]-1/24,MIP_4[[#This Row],[P.S]]-MIP_4[[#This Row],[P.E]]-1/24)</f>
        <v>0.36666666666666664</v>
      </c>
      <c r="X841" s="39">
        <f ca="1">MIP_4[[#This Row],[PT-1]]*$S$3+MIP_4[[#This Row],[PT-2]]*$T$3+MIP_4[[#This Row],[PT-3]]*$U$3+MIP_4[[#This Row],[PT &gt; 3 Pontos]]*$V$3</f>
        <v>2.5025852958937181E-2</v>
      </c>
      <c r="Y841" s="39">
        <f>MIP_4[[#This Row],[HH disponível]]-MIP_4[[#This Row],[HH AC TOT]]</f>
        <v>0.32430555555555551</v>
      </c>
      <c r="Z841" s="38">
        <f ca="1">MIP_4[[#This Row],[HH Produtivo
Total]]/MIP_4[[#This Row],[HH Trabalhado]]</f>
        <v>7.7167512335909086E-2</v>
      </c>
      <c r="AA841" s="38">
        <f ca="1">MIP_4[[#This Row],[HH Produtivo
Total]]/MIP_4[[#This Row],[HH disponível]]</f>
        <v>6.8252326251646858E-2</v>
      </c>
      <c r="AB841" s="38">
        <f>MIP_4[[#This Row],[HH Trabalhado]]/MIP_4[[#This Row],[HH disponível]]</f>
        <v>0.88446969696969691</v>
      </c>
      <c r="AC841" s="37" t="str">
        <f>LEFT(MIP_4[[#This Row],[Equipe]], SEARCH("/",MIP_4[[#This Row],[Equipe]],1)-1)</f>
        <v xml:space="preserve">CLAUDINEY </v>
      </c>
      <c r="AD841" s="37" t="str">
        <f>RIGHT(MIP_4[[#This Row],[Equipe]], LEN(MIP_4[[#This Row],[Equipe]])-SEARCH("/",MIP_4[[#This Row],[Equipe]],1))</f>
        <v xml:space="preserve"> JOILSON</v>
      </c>
      <c r="AE841" s="29">
        <f>COUNTIFS('[1]Tempo parado'!G:G,"&gt;="&amp;MIP_4[[#This Row],[S.B Sitrack]],'[1]Tempo parado'!H:H,"&lt;="&amp;MIP_4[[#This Row],[C.B Sitrack]],'[1]Tempo parado'!A:A,MIP_4[[#This Row],[Placa]])</f>
        <v>0</v>
      </c>
      <c r="AF841" s="36"/>
      <c r="AG841" s="35"/>
      <c r="AH841" s="34"/>
      <c r="AI841" s="34"/>
      <c r="AJ84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4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4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41" s="31" t="str">
        <f>IFERROR(MIP_4[[#This Row],[Tempo parado]]/(MIP_4[[#This Row],[C.B Sitrack]]-MIP_4[[#This Row],[S.B Sitrack]]),"")</f>
        <v/>
      </c>
      <c r="AN841" s="30"/>
      <c r="AO841" s="29">
        <f>IF(AND(MIP_4[Exc]=0,MIP_4[Previsto / Realizado]="Realizado"),MIP_4[Sem],0)</f>
        <v>0</v>
      </c>
      <c r="AP841" s="29">
        <f>IF(AND(MIP_4[Exc]=0,MIP_4[Previsto / Realizado]="Realizado",ISBLANK(MIP_4[[#This Row],[S.B Sitrack]])=FALSE,ISBLANK(MIP_4[[#This Row],[C.B Sitrack]])=FALSE),MIP_4[Sem],0)</f>
        <v>0</v>
      </c>
    </row>
    <row r="842" spans="1:42" ht="15.75" x14ac:dyDescent="0.25">
      <c r="A842" s="29">
        <f>WEEKNUM(MIP_4[[#This Row],[Data]])</f>
        <v>49</v>
      </c>
      <c r="B842" s="45">
        <v>43074</v>
      </c>
      <c r="C842" s="45"/>
      <c r="D842" s="35" t="s">
        <v>65</v>
      </c>
      <c r="E842" s="35" t="s">
        <v>2</v>
      </c>
      <c r="F842" s="35"/>
      <c r="G842" s="44"/>
      <c r="H842" s="44">
        <v>1</v>
      </c>
      <c r="I842" s="44">
        <v>0</v>
      </c>
      <c r="J842" s="44">
        <v>0</v>
      </c>
      <c r="K842" s="44">
        <v>0</v>
      </c>
      <c r="L842" s="43">
        <v>0.24583333333333335</v>
      </c>
      <c r="M842" s="43">
        <v>0.27083333333333331</v>
      </c>
      <c r="N842" s="43">
        <v>0.625</v>
      </c>
      <c r="O842" s="43">
        <v>0.66111111111111109</v>
      </c>
      <c r="P842" s="39"/>
      <c r="Q842" s="42" t="s">
        <v>64</v>
      </c>
      <c r="R842" s="29">
        <f>MIP_4[[#This Row],[PT-1]]+MIP_4[[#This Row],[PT-2]]*2+MIP_4[[#This Row],[PT-3]]*3+MIP_4[[#This Row],[PT &gt; 3 Pontos]]</f>
        <v>1</v>
      </c>
      <c r="S84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6.1111111111111061E-2</v>
      </c>
      <c r="T84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6.1111111111111061E-2</v>
      </c>
      <c r="U842" s="41">
        <f ca="1">MIP_4[[#This Row],[Eficiência]]</f>
        <v>8.0082729468598984E-2</v>
      </c>
      <c r="V842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42" s="39">
        <f>IF(MIP_4[[#This Row],[P.S]]-MIP_4[[#This Row],[P.E]]&lt;0,1+MIP_4[[#This Row],[P.S]]-MIP_4[[#This Row],[P.E]]-1/24,MIP_4[[#This Row],[P.S]]-MIP_4[[#This Row],[P.E]]-1/24)</f>
        <v>0.37361111111111106</v>
      </c>
      <c r="X842" s="39">
        <f ca="1">MIP_4[[#This Row],[PT-1]]*$S$3+MIP_4[[#This Row],[PT-2]]*$T$3+MIP_4[[#This Row],[PT-3]]*$U$3+MIP_4[[#This Row],[PT &gt; 3 Pontos]]*$V$3</f>
        <v>2.5025852958937181E-2</v>
      </c>
      <c r="Y842" s="39">
        <f>MIP_4[[#This Row],[HH disponível]]-MIP_4[[#This Row],[HH AC TOT]]</f>
        <v>0.3125</v>
      </c>
      <c r="Z842" s="38">
        <f ca="1">MIP_4[[#This Row],[HH Produtivo
Total]]/MIP_4[[#This Row],[HH Trabalhado]]</f>
        <v>8.0082729468598984E-2</v>
      </c>
      <c r="AA842" s="38">
        <f ca="1">MIP_4[[#This Row],[HH Produtivo
Total]]/MIP_4[[#This Row],[HH disponível]]</f>
        <v>6.698369565217388E-2</v>
      </c>
      <c r="AB842" s="38">
        <f>MIP_4[[#This Row],[HH Trabalhado]]/MIP_4[[#This Row],[HH disponível]]</f>
        <v>0.8364312267657994</v>
      </c>
      <c r="AC842" s="37" t="str">
        <f>LEFT(MIP_4[[#This Row],[Equipe]], SEARCH("/",MIP_4[[#This Row],[Equipe]],1)-1)</f>
        <v xml:space="preserve">CLAUDINEY </v>
      </c>
      <c r="AD842" s="37" t="str">
        <f>RIGHT(MIP_4[[#This Row],[Equipe]], LEN(MIP_4[[#This Row],[Equipe]])-SEARCH("/",MIP_4[[#This Row],[Equipe]],1))</f>
        <v xml:space="preserve"> JOILSON</v>
      </c>
      <c r="AE842" s="29">
        <f>COUNTIFS('[1]Tempo parado'!G:G,"&gt;="&amp;MIP_4[[#This Row],[S.B Sitrack]],'[1]Tempo parado'!H:H,"&lt;="&amp;MIP_4[[#This Row],[C.B Sitrack]],'[1]Tempo parado'!A:A,MIP_4[[#This Row],[Placa]])</f>
        <v>0</v>
      </c>
      <c r="AF842" s="36"/>
      <c r="AG842" s="35"/>
      <c r="AH842" s="34"/>
      <c r="AI842" s="34"/>
      <c r="AJ84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4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4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42" s="31" t="str">
        <f>IFERROR(MIP_4[[#This Row],[Tempo parado]]/(MIP_4[[#This Row],[C.B Sitrack]]-MIP_4[[#This Row],[S.B Sitrack]]),"")</f>
        <v/>
      </c>
      <c r="AN842" s="30"/>
      <c r="AO842" s="29">
        <f>IF(AND(MIP_4[Exc]=0,MIP_4[Previsto / Realizado]="Realizado"),MIP_4[Sem],0)</f>
        <v>49</v>
      </c>
      <c r="AP842" s="29">
        <f>IF(AND(MIP_4[Exc]=0,MIP_4[Previsto / Realizado]="Realizado",ISBLANK(MIP_4[[#This Row],[S.B Sitrack]])=FALSE,ISBLANK(MIP_4[[#This Row],[C.B Sitrack]])=FALSE),MIP_4[Sem],0)</f>
        <v>0</v>
      </c>
    </row>
    <row r="843" spans="1:42" ht="15.75" x14ac:dyDescent="0.25">
      <c r="A843" s="29">
        <f>WEEKNUM(MIP_4[[#This Row],[Data]])</f>
        <v>49</v>
      </c>
      <c r="B843" s="45">
        <v>43074</v>
      </c>
      <c r="C843" s="45"/>
      <c r="D843" s="35" t="s">
        <v>63</v>
      </c>
      <c r="E843" s="35" t="s">
        <v>5</v>
      </c>
      <c r="F843" s="35"/>
      <c r="G843" s="44"/>
      <c r="H843" s="44">
        <v>4</v>
      </c>
      <c r="I843" s="44">
        <v>2</v>
      </c>
      <c r="J843" s="44">
        <v>0</v>
      </c>
      <c r="K843" s="44">
        <v>0</v>
      </c>
      <c r="L843" s="43">
        <v>0.625</v>
      </c>
      <c r="M843" s="43">
        <v>0.63750000000000007</v>
      </c>
      <c r="N843" s="43">
        <v>4.8611111111111112E-3</v>
      </c>
      <c r="O843" s="43">
        <v>3.3333333333333333E-2</v>
      </c>
      <c r="P843" s="39"/>
      <c r="Q843" s="42"/>
      <c r="R843" s="29">
        <f>MIP_4[[#This Row],[PT-1]]+MIP_4[[#This Row],[PT-2]]*2+MIP_4[[#This Row],[PT-3]]*3+MIP_4[[#This Row],[PT &gt; 3 Pontos]]</f>
        <v>8</v>
      </c>
      <c r="S84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4.0972222222222299E-2</v>
      </c>
      <c r="T84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4.0972222222222299E-2</v>
      </c>
      <c r="U843" s="41">
        <f ca="1">MIP_4[[#This Row],[Eficiência]]</f>
        <v>0.57698541454219565</v>
      </c>
      <c r="V843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43" s="39">
        <f>IF(MIP_4[[#This Row],[P.S]]-MIP_4[[#This Row],[P.E]]&lt;0,1+MIP_4[[#This Row],[P.S]]-MIP_4[[#This Row],[P.E]]-1/24,MIP_4[[#This Row],[P.S]]-MIP_4[[#This Row],[P.E]]-1/24)</f>
        <v>0.36666666666666675</v>
      </c>
      <c r="X843" s="39">
        <f ca="1">MIP_4[[#This Row],[PT-1]]*$S$3+MIP_4[[#This Row],[PT-2]]*$T$3+MIP_4[[#This Row],[PT-3]]*$U$3+MIP_4[[#This Row],[PT &gt; 3 Pontos]]*$V$3</f>
        <v>0.18792094404186788</v>
      </c>
      <c r="Y843" s="39">
        <f>MIP_4[[#This Row],[HH disponível]]-MIP_4[[#This Row],[HH AC TOT]]</f>
        <v>0.32569444444444445</v>
      </c>
      <c r="Z843" s="38">
        <f ca="1">MIP_4[[#This Row],[HH Produtivo
Total]]/MIP_4[[#This Row],[HH Trabalhado]]</f>
        <v>0.57698541454219565</v>
      </c>
      <c r="AA843" s="38">
        <f ca="1">MIP_4[[#This Row],[HH Produtivo
Total]]/MIP_4[[#This Row],[HH disponível]]</f>
        <v>0.5125116655687304</v>
      </c>
      <c r="AB843" s="38">
        <f>MIP_4[[#This Row],[HH Trabalhado]]/MIP_4[[#This Row],[HH disponível]]</f>
        <v>0.88825757575757558</v>
      </c>
      <c r="AC843" s="37" t="str">
        <f>LEFT(MIP_4[[#This Row],[Equipe]], SEARCH("/",MIP_4[[#This Row],[Equipe]],1)-1)</f>
        <v xml:space="preserve">VADEI </v>
      </c>
      <c r="AD843" s="37" t="str">
        <f>RIGHT(MIP_4[[#This Row],[Equipe]], LEN(MIP_4[[#This Row],[Equipe]])-SEARCH("/",MIP_4[[#This Row],[Equipe]],1))</f>
        <v xml:space="preserve"> GECIVALDO</v>
      </c>
      <c r="AE843" s="29">
        <f>COUNTIFS('[1]Tempo parado'!G:G,"&gt;="&amp;MIP_4[[#This Row],[S.B Sitrack]],'[1]Tempo parado'!H:H,"&lt;="&amp;MIP_4[[#This Row],[C.B Sitrack]],'[1]Tempo parado'!A:A,MIP_4[[#This Row],[Placa]])</f>
        <v>0</v>
      </c>
      <c r="AF843" s="36"/>
      <c r="AG843" s="35"/>
      <c r="AH843" s="34"/>
      <c r="AI843" s="34"/>
      <c r="AJ84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4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4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43" s="31" t="str">
        <f>IFERROR(MIP_4[[#This Row],[Tempo parado]]/(MIP_4[[#This Row],[C.B Sitrack]]-MIP_4[[#This Row],[S.B Sitrack]]),"")</f>
        <v/>
      </c>
      <c r="AN843" s="30"/>
      <c r="AO843" s="29">
        <f>IF(AND(MIP_4[Exc]=0,MIP_4[Previsto / Realizado]="Realizado"),MIP_4[Sem],0)</f>
        <v>0</v>
      </c>
      <c r="AP843" s="29">
        <f>IF(AND(MIP_4[Exc]=0,MIP_4[Previsto / Realizado]="Realizado",ISBLANK(MIP_4[[#This Row],[S.B Sitrack]])=FALSE,ISBLANK(MIP_4[[#This Row],[C.B Sitrack]])=FALSE),MIP_4[Sem],0)</f>
        <v>0</v>
      </c>
    </row>
    <row r="844" spans="1:42" ht="15.75" x14ac:dyDescent="0.25">
      <c r="A844" s="29">
        <f>WEEKNUM(MIP_4[[#This Row],[Data]])</f>
        <v>49</v>
      </c>
      <c r="B844" s="45">
        <v>43074</v>
      </c>
      <c r="C844" s="45"/>
      <c r="D844" s="35" t="s">
        <v>63</v>
      </c>
      <c r="E844" s="35" t="s">
        <v>2</v>
      </c>
      <c r="F844" s="35"/>
      <c r="G844" s="44"/>
      <c r="H844" s="44">
        <v>7</v>
      </c>
      <c r="I844" s="44">
        <v>2</v>
      </c>
      <c r="J844" s="44">
        <v>0</v>
      </c>
      <c r="K844" s="44">
        <v>0</v>
      </c>
      <c r="L844" s="43">
        <v>0.61944444444444446</v>
      </c>
      <c r="M844" s="43">
        <v>0.65555555555555556</v>
      </c>
      <c r="N844" s="43">
        <v>0.97916666666666663</v>
      </c>
      <c r="O844" s="43">
        <v>0</v>
      </c>
      <c r="P844" s="39"/>
      <c r="Q844" s="42"/>
      <c r="R844" s="29">
        <f>MIP_4[[#This Row],[PT-1]]+MIP_4[[#This Row],[PT-2]]*2+MIP_4[[#This Row],[PT-3]]*3+MIP_4[[#This Row],[PT &gt; 3 Pontos]]</f>
        <v>11</v>
      </c>
      <c r="S84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5.6944444444444464E-2</v>
      </c>
      <c r="T84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5.6944444444444464E-2</v>
      </c>
      <c r="U844" s="41">
        <f ca="1">MIP_4[[#This Row],[Eficiência]]</f>
        <v>0.93280257192832139</v>
      </c>
      <c r="V844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44" s="39">
        <f>IF(MIP_4[[#This Row],[P.S]]-MIP_4[[#This Row],[P.E]]&lt;0,1+MIP_4[[#This Row],[P.S]]-MIP_4[[#This Row],[P.E]]-1/24,MIP_4[[#This Row],[P.S]]-MIP_4[[#This Row],[P.E]]-1/24)</f>
        <v>0.33888888888888885</v>
      </c>
      <c r="X844" s="39">
        <f ca="1">MIP_4[[#This Row],[PT-1]]*$S$3+MIP_4[[#This Row],[PT-2]]*$T$3+MIP_4[[#This Row],[PT-3]]*$U$3+MIP_4[[#This Row],[PT &gt; 3 Pontos]]*$V$3</f>
        <v>0.26299850291867943</v>
      </c>
      <c r="Y844" s="39">
        <f>MIP_4[[#This Row],[HH disponível]]-MIP_4[[#This Row],[HH AC TOT]]</f>
        <v>0.28194444444444439</v>
      </c>
      <c r="Z844" s="38">
        <f ca="1">MIP_4[[#This Row],[HH Produtivo
Total]]/MIP_4[[#This Row],[HH Trabalhado]]</f>
        <v>0.93280257192832139</v>
      </c>
      <c r="AA844" s="38">
        <f ca="1">MIP_4[[#This Row],[HH Produtivo
Total]]/MIP_4[[#This Row],[HH disponível]]</f>
        <v>0.77606115615348037</v>
      </c>
      <c r="AB844" s="38">
        <f>MIP_4[[#This Row],[HH Trabalhado]]/MIP_4[[#This Row],[HH disponível]]</f>
        <v>0.83196721311475397</v>
      </c>
      <c r="AC844" s="37" t="str">
        <f>LEFT(MIP_4[[#This Row],[Equipe]], SEARCH("/",MIP_4[[#This Row],[Equipe]],1)-1)</f>
        <v xml:space="preserve">VADEI </v>
      </c>
      <c r="AD844" s="37" t="str">
        <f>RIGHT(MIP_4[[#This Row],[Equipe]], LEN(MIP_4[[#This Row],[Equipe]])-SEARCH("/",MIP_4[[#This Row],[Equipe]],1))</f>
        <v xml:space="preserve"> GECIVALDO</v>
      </c>
      <c r="AE844" s="29">
        <f>COUNTIFS('[1]Tempo parado'!G:G,"&gt;="&amp;MIP_4[[#This Row],[S.B Sitrack]],'[1]Tempo parado'!H:H,"&lt;="&amp;MIP_4[[#This Row],[C.B Sitrack]],'[1]Tempo parado'!A:A,MIP_4[[#This Row],[Placa]])</f>
        <v>0</v>
      </c>
      <c r="AF844" s="36"/>
      <c r="AG844" s="35"/>
      <c r="AH844" s="34"/>
      <c r="AI844" s="34"/>
      <c r="AJ84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4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4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44" s="31" t="str">
        <f>IFERROR(MIP_4[[#This Row],[Tempo parado]]/(MIP_4[[#This Row],[C.B Sitrack]]-MIP_4[[#This Row],[S.B Sitrack]]),"")</f>
        <v/>
      </c>
      <c r="AN844" s="30"/>
      <c r="AO844" s="29">
        <f>IF(AND(MIP_4[Exc]=0,MIP_4[Previsto / Realizado]="Realizado"),MIP_4[Sem],0)</f>
        <v>49</v>
      </c>
      <c r="AP844" s="29">
        <f>IF(AND(MIP_4[Exc]=0,MIP_4[Previsto / Realizado]="Realizado",ISBLANK(MIP_4[[#This Row],[S.B Sitrack]])=FALSE,ISBLANK(MIP_4[[#This Row],[C.B Sitrack]])=FALSE),MIP_4[Sem],0)</f>
        <v>0</v>
      </c>
    </row>
    <row r="845" spans="1:42" ht="15.75" x14ac:dyDescent="0.25">
      <c r="A845" s="29">
        <f>WEEKNUM(MIP_4[[#This Row],[Data]])</f>
        <v>49</v>
      </c>
      <c r="B845" s="45">
        <v>43074</v>
      </c>
      <c r="C845" s="45"/>
      <c r="D845" s="35" t="s">
        <v>19</v>
      </c>
      <c r="E845" s="35" t="s">
        <v>5</v>
      </c>
      <c r="F845" s="35"/>
      <c r="G845" s="44"/>
      <c r="H845" s="44">
        <v>4</v>
      </c>
      <c r="I845" s="44">
        <v>3</v>
      </c>
      <c r="J845" s="44">
        <v>0</v>
      </c>
      <c r="K845" s="44">
        <v>0</v>
      </c>
      <c r="L845" s="43">
        <v>0.625</v>
      </c>
      <c r="M845" s="43">
        <v>0.63750000000000007</v>
      </c>
      <c r="N845" s="43">
        <v>4.8611111111111112E-3</v>
      </c>
      <c r="O845" s="43">
        <v>3.3333333333333333E-2</v>
      </c>
      <c r="P845" s="39"/>
      <c r="Q845" s="42"/>
      <c r="R845" s="29">
        <f>MIP_4[[#This Row],[PT-1]]+MIP_4[[#This Row],[PT-2]]*2+MIP_4[[#This Row],[PT-3]]*3+MIP_4[[#This Row],[PT &gt; 3 Pontos]]</f>
        <v>10</v>
      </c>
      <c r="S84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4.0972222222222299E-2</v>
      </c>
      <c r="T84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4.0972222222222299E-2</v>
      </c>
      <c r="U845" s="41">
        <f ca="1">MIP_4[[#This Row],[Eficiência]]</f>
        <v>0.7118012422360247</v>
      </c>
      <c r="V845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45" s="39">
        <f>IF(MIP_4[[#This Row],[P.S]]-MIP_4[[#This Row],[P.E]]&lt;0,1+MIP_4[[#This Row],[P.S]]-MIP_4[[#This Row],[P.E]]-1/24,MIP_4[[#This Row],[P.S]]-MIP_4[[#This Row],[P.E]]-1/24)</f>
        <v>0.36666666666666675</v>
      </c>
      <c r="X845" s="39">
        <f ca="1">MIP_4[[#This Row],[PT-1]]*$S$3+MIP_4[[#This Row],[PT-2]]*$T$3+MIP_4[[#This Row],[PT-3]]*$U$3+MIP_4[[#This Row],[PT &gt; 3 Pontos]]*$V$3</f>
        <v>0.23182971014492748</v>
      </c>
      <c r="Y845" s="39">
        <f>MIP_4[[#This Row],[HH disponível]]-MIP_4[[#This Row],[HH AC TOT]]</f>
        <v>0.32569444444444445</v>
      </c>
      <c r="Z845" s="38">
        <f ca="1">MIP_4[[#This Row],[HH Produtivo
Total]]/MIP_4[[#This Row],[HH Trabalhado]]</f>
        <v>0.7118012422360247</v>
      </c>
      <c r="AA845" s="38">
        <f ca="1">MIP_4[[#This Row],[HH Produtivo
Total]]/MIP_4[[#This Row],[HH disponível]]</f>
        <v>0.63226284584980208</v>
      </c>
      <c r="AB845" s="38">
        <f>MIP_4[[#This Row],[HH Trabalhado]]/MIP_4[[#This Row],[HH disponível]]</f>
        <v>0.88825757575757558</v>
      </c>
      <c r="AC845" s="37" t="str">
        <f>LEFT(MIP_4[[#This Row],[Equipe]], SEARCH("/",MIP_4[[#This Row],[Equipe]],1)-1)</f>
        <v xml:space="preserve">ADEMÁRIO </v>
      </c>
      <c r="AD845" s="37" t="str">
        <f>RIGHT(MIP_4[[#This Row],[Equipe]], LEN(MIP_4[[#This Row],[Equipe]])-SEARCH("/",MIP_4[[#This Row],[Equipe]],1))</f>
        <v xml:space="preserve"> RONALDO</v>
      </c>
      <c r="AE845" s="29">
        <f>COUNTIFS('[1]Tempo parado'!G:G,"&gt;="&amp;MIP_4[[#This Row],[S.B Sitrack]],'[1]Tempo parado'!H:H,"&lt;="&amp;MIP_4[[#This Row],[C.B Sitrack]],'[1]Tempo parado'!A:A,MIP_4[[#This Row],[Placa]])</f>
        <v>0</v>
      </c>
      <c r="AF845" s="36"/>
      <c r="AG845" s="35"/>
      <c r="AH845" s="34"/>
      <c r="AI845" s="34"/>
      <c r="AJ84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4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4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45" s="31" t="str">
        <f>IFERROR(MIP_4[[#This Row],[Tempo parado]]/(MIP_4[[#This Row],[C.B Sitrack]]-MIP_4[[#This Row],[S.B Sitrack]]),"")</f>
        <v/>
      </c>
      <c r="AN845" s="30"/>
      <c r="AO845" s="29">
        <f>IF(AND(MIP_4[Exc]=0,MIP_4[Previsto / Realizado]="Realizado"),MIP_4[Sem],0)</f>
        <v>0</v>
      </c>
      <c r="AP845" s="29">
        <f>IF(AND(MIP_4[Exc]=0,MIP_4[Previsto / Realizado]="Realizado",ISBLANK(MIP_4[[#This Row],[S.B Sitrack]])=FALSE,ISBLANK(MIP_4[[#This Row],[C.B Sitrack]])=FALSE),MIP_4[Sem],0)</f>
        <v>0</v>
      </c>
    </row>
    <row r="846" spans="1:42" ht="15.75" x14ac:dyDescent="0.25">
      <c r="A846" s="29">
        <f>WEEKNUM(MIP_4[[#This Row],[Data]])</f>
        <v>49</v>
      </c>
      <c r="B846" s="45">
        <v>43074</v>
      </c>
      <c r="C846" s="45"/>
      <c r="D846" s="35" t="s">
        <v>19</v>
      </c>
      <c r="E846" s="35" t="s">
        <v>2</v>
      </c>
      <c r="F846" s="35"/>
      <c r="G846" s="44"/>
      <c r="H846" s="44">
        <v>9</v>
      </c>
      <c r="I846" s="44">
        <v>0</v>
      </c>
      <c r="J846" s="44">
        <v>0</v>
      </c>
      <c r="K846" s="44">
        <v>0</v>
      </c>
      <c r="L846" s="43">
        <v>0.625</v>
      </c>
      <c r="M846" s="43">
        <v>0.64583333333333337</v>
      </c>
      <c r="N846" s="43">
        <v>8.3333333333333332E-3</v>
      </c>
      <c r="O846" s="43">
        <v>3.3333333333333333E-2</v>
      </c>
      <c r="P846" s="39"/>
      <c r="Q846" s="42" t="s">
        <v>62</v>
      </c>
      <c r="R846" s="29">
        <f>MIP_4[[#This Row],[PT-1]]+MIP_4[[#This Row],[PT-2]]*2+MIP_4[[#This Row],[PT-3]]*3+MIP_4[[#This Row],[PT &gt; 3 Pontos]]</f>
        <v>9</v>
      </c>
      <c r="S84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4.5833333333333393E-2</v>
      </c>
      <c r="T84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4.5833333333333393E-2</v>
      </c>
      <c r="U846" s="41">
        <f ca="1">MIP_4[[#This Row],[Eficiência]]</f>
        <v>0.70202392715979611</v>
      </c>
      <c r="V846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46" s="39">
        <f>IF(MIP_4[[#This Row],[P.S]]-MIP_4[[#This Row],[P.E]]&lt;0,1+MIP_4[[#This Row],[P.S]]-MIP_4[[#This Row],[P.E]]-1/24,MIP_4[[#This Row],[P.S]]-MIP_4[[#This Row],[P.E]]-1/24)</f>
        <v>0.36666666666666675</v>
      </c>
      <c r="X846" s="39">
        <f ca="1">MIP_4[[#This Row],[PT-1]]*$S$3+MIP_4[[#This Row],[PT-2]]*$T$3+MIP_4[[#This Row],[PT-3]]*$U$3+MIP_4[[#This Row],[PT &gt; 3 Pontos]]*$V$3</f>
        <v>0.22523267663043461</v>
      </c>
      <c r="Y846" s="39">
        <f>MIP_4[[#This Row],[HH disponível]]-MIP_4[[#This Row],[HH AC TOT]]</f>
        <v>0.32083333333333336</v>
      </c>
      <c r="Z846" s="38">
        <f ca="1">MIP_4[[#This Row],[HH Produtivo
Total]]/MIP_4[[#This Row],[HH Trabalhado]]</f>
        <v>0.70202392715979611</v>
      </c>
      <c r="AA846" s="38">
        <f ca="1">MIP_4[[#This Row],[HH Produtivo
Total]]/MIP_4[[#This Row],[HH disponível]]</f>
        <v>0.61427093626482154</v>
      </c>
      <c r="AB846" s="38">
        <f>MIP_4[[#This Row],[HH Trabalhado]]/MIP_4[[#This Row],[HH disponível]]</f>
        <v>0.87499999999999989</v>
      </c>
      <c r="AC846" s="37" t="str">
        <f>LEFT(MIP_4[[#This Row],[Equipe]], SEARCH("/",MIP_4[[#This Row],[Equipe]],1)-1)</f>
        <v xml:space="preserve">ADEMÁRIO </v>
      </c>
      <c r="AD846" s="37" t="str">
        <f>RIGHT(MIP_4[[#This Row],[Equipe]], LEN(MIP_4[[#This Row],[Equipe]])-SEARCH("/",MIP_4[[#This Row],[Equipe]],1))</f>
        <v xml:space="preserve"> RONALDO</v>
      </c>
      <c r="AE846" s="29">
        <f>COUNTIFS('[1]Tempo parado'!G:G,"&gt;="&amp;MIP_4[[#This Row],[S.B Sitrack]],'[1]Tempo parado'!H:H,"&lt;="&amp;MIP_4[[#This Row],[C.B Sitrack]],'[1]Tempo parado'!A:A,MIP_4[[#This Row],[Placa]])</f>
        <v>0</v>
      </c>
      <c r="AF846" s="36"/>
      <c r="AG846" s="35"/>
      <c r="AH846" s="34"/>
      <c r="AI846" s="34"/>
      <c r="AJ84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4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4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46" s="31" t="str">
        <f>IFERROR(MIP_4[[#This Row],[Tempo parado]]/(MIP_4[[#This Row],[C.B Sitrack]]-MIP_4[[#This Row],[S.B Sitrack]]),"")</f>
        <v/>
      </c>
      <c r="AN846" s="30"/>
      <c r="AO846" s="29">
        <f>IF(AND(MIP_4[Exc]=0,MIP_4[Previsto / Realizado]="Realizado"),MIP_4[Sem],0)</f>
        <v>49</v>
      </c>
      <c r="AP846" s="29">
        <f>IF(AND(MIP_4[Exc]=0,MIP_4[Previsto / Realizado]="Realizado",ISBLANK(MIP_4[[#This Row],[S.B Sitrack]])=FALSE,ISBLANK(MIP_4[[#This Row],[C.B Sitrack]])=FALSE),MIP_4[Sem],0)</f>
        <v>0</v>
      </c>
    </row>
    <row r="847" spans="1:42" ht="15.75" x14ac:dyDescent="0.25">
      <c r="A847" s="29">
        <f>WEEKNUM(MIP_4[[#This Row],[Data]])</f>
        <v>49</v>
      </c>
      <c r="B847" s="45">
        <v>43074</v>
      </c>
      <c r="C847" s="45"/>
      <c r="D847" s="35" t="s">
        <v>7</v>
      </c>
      <c r="E847" s="35" t="s">
        <v>5</v>
      </c>
      <c r="F847" s="35"/>
      <c r="G847" s="44"/>
      <c r="H847" s="44">
        <v>4</v>
      </c>
      <c r="I847" s="44">
        <v>1</v>
      </c>
      <c r="J847" s="44">
        <v>1</v>
      </c>
      <c r="K847" s="44">
        <v>0</v>
      </c>
      <c r="L847" s="43">
        <v>0.625</v>
      </c>
      <c r="M847" s="43">
        <v>0.63750000000000007</v>
      </c>
      <c r="N847" s="43">
        <v>4.8611111111111112E-3</v>
      </c>
      <c r="O847" s="43">
        <v>3.3333333333333333E-2</v>
      </c>
      <c r="P847" s="39"/>
      <c r="Q847" s="42" t="s">
        <v>61</v>
      </c>
      <c r="R847" s="29">
        <f>MIP_4[[#This Row],[PT-1]]+MIP_4[[#This Row],[PT-2]]*2+MIP_4[[#This Row],[PT-3]]*3+MIP_4[[#This Row],[PT &gt; 3 Pontos]]</f>
        <v>9</v>
      </c>
      <c r="S84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4.0972222222222299E-2</v>
      </c>
      <c r="T84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4.0972222222222299E-2</v>
      </c>
      <c r="U847" s="41">
        <f ca="1">MIP_4[[#This Row],[Eficiência]]</f>
        <v>0.63496280244739023</v>
      </c>
      <c r="V847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47" s="39">
        <f>IF(MIP_4[[#This Row],[P.S]]-MIP_4[[#This Row],[P.E]]&lt;0,1+MIP_4[[#This Row],[P.S]]-MIP_4[[#This Row],[P.E]]-1/24,MIP_4[[#This Row],[P.S]]-MIP_4[[#This Row],[P.E]]-1/24)</f>
        <v>0.36666666666666675</v>
      </c>
      <c r="X847" s="39">
        <f ca="1">MIP_4[[#This Row],[PT-1]]*$S$3+MIP_4[[#This Row],[PT-2]]*$T$3+MIP_4[[#This Row],[PT-3]]*$U$3+MIP_4[[#This Row],[PT &gt; 3 Pontos]]*$V$3</f>
        <v>0.20680385718599029</v>
      </c>
      <c r="Y847" s="39">
        <f>MIP_4[[#This Row],[HH disponível]]-MIP_4[[#This Row],[HH AC TOT]]</f>
        <v>0.32569444444444445</v>
      </c>
      <c r="Z847" s="38">
        <f ca="1">MIP_4[[#This Row],[HH Produtivo
Total]]/MIP_4[[#This Row],[HH Trabalhado]]</f>
        <v>0.63496280244739023</v>
      </c>
      <c r="AA847" s="38">
        <f ca="1">MIP_4[[#This Row],[HH Produtivo
Total]]/MIP_4[[#This Row],[HH disponível]]</f>
        <v>0.56401051959815518</v>
      </c>
      <c r="AB847" s="38">
        <f>MIP_4[[#This Row],[HH Trabalhado]]/MIP_4[[#This Row],[HH disponível]]</f>
        <v>0.88825757575757558</v>
      </c>
      <c r="AC847" s="37" t="str">
        <f>LEFT(MIP_4[[#This Row],[Equipe]], SEARCH("/",MIP_4[[#This Row],[Equipe]],1)-1)</f>
        <v xml:space="preserve">ANDERSON </v>
      </c>
      <c r="AD847" s="37" t="str">
        <f>RIGHT(MIP_4[[#This Row],[Equipe]], LEN(MIP_4[[#This Row],[Equipe]])-SEARCH("/",MIP_4[[#This Row],[Equipe]],1))</f>
        <v xml:space="preserve"> MARCO</v>
      </c>
      <c r="AE847" s="29">
        <f>COUNTIFS('[1]Tempo parado'!G:G,"&gt;="&amp;MIP_4[[#This Row],[S.B Sitrack]],'[1]Tempo parado'!H:H,"&lt;="&amp;MIP_4[[#This Row],[C.B Sitrack]],'[1]Tempo parado'!A:A,MIP_4[[#This Row],[Placa]])</f>
        <v>0</v>
      </c>
      <c r="AF847" s="36"/>
      <c r="AG847" s="35"/>
      <c r="AH847" s="34"/>
      <c r="AI847" s="34"/>
      <c r="AJ84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4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4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47" s="31" t="str">
        <f>IFERROR(MIP_4[[#This Row],[Tempo parado]]/(MIP_4[[#This Row],[C.B Sitrack]]-MIP_4[[#This Row],[S.B Sitrack]]),"")</f>
        <v/>
      </c>
      <c r="AN847" s="30"/>
      <c r="AO847" s="29">
        <f>IF(AND(MIP_4[Exc]=0,MIP_4[Previsto / Realizado]="Realizado"),MIP_4[Sem],0)</f>
        <v>0</v>
      </c>
      <c r="AP847" s="29">
        <f>IF(AND(MIP_4[Exc]=0,MIP_4[Previsto / Realizado]="Realizado",ISBLANK(MIP_4[[#This Row],[S.B Sitrack]])=FALSE,ISBLANK(MIP_4[[#This Row],[C.B Sitrack]])=FALSE),MIP_4[Sem],0)</f>
        <v>0</v>
      </c>
    </row>
    <row r="848" spans="1:42" ht="15.75" x14ac:dyDescent="0.25">
      <c r="A848" s="29">
        <f>WEEKNUM(MIP_4[[#This Row],[Data]])</f>
        <v>49</v>
      </c>
      <c r="B848" s="45">
        <v>43074</v>
      </c>
      <c r="C848" s="45"/>
      <c r="D848" s="35" t="s">
        <v>7</v>
      </c>
      <c r="E848" s="35" t="s">
        <v>2</v>
      </c>
      <c r="F848" s="35"/>
      <c r="G848" s="44"/>
      <c r="H848" s="44">
        <v>7</v>
      </c>
      <c r="I848" s="44">
        <v>1</v>
      </c>
      <c r="J848" s="44">
        <v>1</v>
      </c>
      <c r="K848" s="44">
        <v>0</v>
      </c>
      <c r="L848" s="43">
        <v>0.625</v>
      </c>
      <c r="M848" s="43">
        <v>0.64583333333333337</v>
      </c>
      <c r="N848" s="43">
        <v>0</v>
      </c>
      <c r="O848" s="43">
        <v>2.0833333333333332E-2</v>
      </c>
      <c r="P848" s="39"/>
      <c r="Q848" s="42"/>
      <c r="R848" s="29">
        <f>MIP_4[[#This Row],[PT-1]]+MIP_4[[#This Row],[PT-2]]*2+MIP_4[[#This Row],[PT-3]]*3+MIP_4[[#This Row],[PT &gt; 3 Pontos]]</f>
        <v>12</v>
      </c>
      <c r="S84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4.1666666666666741E-2</v>
      </c>
      <c r="T84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4.1666666666666741E-2</v>
      </c>
      <c r="U848" s="41">
        <f ca="1">MIP_4[[#This Row],[Eficiência]]</f>
        <v>0.90202053140096627</v>
      </c>
      <c r="V848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48" s="39">
        <f>IF(MIP_4[[#This Row],[P.S]]-MIP_4[[#This Row],[P.E]]&lt;0,1+MIP_4[[#This Row],[P.S]]-MIP_4[[#This Row],[P.E]]-1/24,MIP_4[[#This Row],[P.S]]-MIP_4[[#This Row],[P.E]]-1/24)</f>
        <v>0.35416666666666657</v>
      </c>
      <c r="X848" s="39">
        <f ca="1">MIP_4[[#This Row],[PT-1]]*$S$3+MIP_4[[#This Row],[PT-2]]*$T$3+MIP_4[[#This Row],[PT-3]]*$U$3+MIP_4[[#This Row],[PT &gt; 3 Pontos]]*$V$3</f>
        <v>0.28188141606280182</v>
      </c>
      <c r="Y848" s="39">
        <f>MIP_4[[#This Row],[HH disponível]]-MIP_4[[#This Row],[HH AC TOT]]</f>
        <v>0.31249999999999983</v>
      </c>
      <c r="Z848" s="38">
        <f ca="1">MIP_4[[#This Row],[HH Produtivo
Total]]/MIP_4[[#This Row],[HH Trabalhado]]</f>
        <v>0.90202053140096627</v>
      </c>
      <c r="AA848" s="38">
        <f ca="1">MIP_4[[#This Row],[HH Produtivo
Total]]/MIP_4[[#This Row],[HH disponível]]</f>
        <v>0.79590046888320531</v>
      </c>
      <c r="AB848" s="38">
        <f>MIP_4[[#This Row],[HH Trabalhado]]/MIP_4[[#This Row],[HH disponível]]</f>
        <v>0.88235294117647034</v>
      </c>
      <c r="AC848" s="37" t="str">
        <f>LEFT(MIP_4[[#This Row],[Equipe]], SEARCH("/",MIP_4[[#This Row],[Equipe]],1)-1)</f>
        <v xml:space="preserve">ANDERSON </v>
      </c>
      <c r="AD848" s="37" t="str">
        <f>RIGHT(MIP_4[[#This Row],[Equipe]], LEN(MIP_4[[#This Row],[Equipe]])-SEARCH("/",MIP_4[[#This Row],[Equipe]],1))</f>
        <v xml:space="preserve"> MARCO</v>
      </c>
      <c r="AE848" s="29">
        <f>COUNTIFS('[1]Tempo parado'!G:G,"&gt;="&amp;MIP_4[[#This Row],[S.B Sitrack]],'[1]Tempo parado'!H:H,"&lt;="&amp;MIP_4[[#This Row],[C.B Sitrack]],'[1]Tempo parado'!A:A,MIP_4[[#This Row],[Placa]])</f>
        <v>0</v>
      </c>
      <c r="AF848" s="36"/>
      <c r="AG848" s="35"/>
      <c r="AH848" s="34"/>
      <c r="AI848" s="34"/>
      <c r="AJ84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4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4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48" s="31" t="str">
        <f>IFERROR(MIP_4[[#This Row],[Tempo parado]]/(MIP_4[[#This Row],[C.B Sitrack]]-MIP_4[[#This Row],[S.B Sitrack]]),"")</f>
        <v/>
      </c>
      <c r="AN848" s="30"/>
      <c r="AO848" s="29">
        <f>IF(AND(MIP_4[Exc]=0,MIP_4[Previsto / Realizado]="Realizado"),MIP_4[Sem],0)</f>
        <v>49</v>
      </c>
      <c r="AP848" s="29">
        <f>IF(AND(MIP_4[Exc]=0,MIP_4[Previsto / Realizado]="Realizado",ISBLANK(MIP_4[[#This Row],[S.B Sitrack]])=FALSE,ISBLANK(MIP_4[[#This Row],[C.B Sitrack]])=FALSE),MIP_4[Sem],0)</f>
        <v>0</v>
      </c>
    </row>
    <row r="849" spans="1:42" ht="15.75" x14ac:dyDescent="0.25">
      <c r="A849" s="29">
        <f>WEEKNUM(MIP_4[[#This Row],[Data]])</f>
        <v>49</v>
      </c>
      <c r="B849" s="45">
        <v>43075</v>
      </c>
      <c r="C849" s="45"/>
      <c r="D849" s="35" t="s">
        <v>7</v>
      </c>
      <c r="E849" s="35" t="s">
        <v>5</v>
      </c>
      <c r="F849" s="35"/>
      <c r="G849" s="44"/>
      <c r="H849" s="44">
        <v>0</v>
      </c>
      <c r="I849" s="44">
        <v>3</v>
      </c>
      <c r="J849" s="44">
        <v>0</v>
      </c>
      <c r="K849" s="44">
        <v>0</v>
      </c>
      <c r="L849" s="43">
        <v>0.625</v>
      </c>
      <c r="M849" s="43">
        <v>0.6381944444444444</v>
      </c>
      <c r="N849" s="43">
        <v>5.5555555555555558E-3</v>
      </c>
      <c r="O849" s="43">
        <v>3.3333333333333333E-2</v>
      </c>
      <c r="P849" s="39"/>
      <c r="Q849" s="42" t="s">
        <v>60</v>
      </c>
      <c r="R849" s="29">
        <f>MIP_4[[#This Row],[PT-1]]+MIP_4[[#This Row],[PT-2]]*2+MIP_4[[#This Row],[PT-3]]*3+MIP_4[[#This Row],[PT &gt; 3 Pontos]]</f>
        <v>6</v>
      </c>
      <c r="S84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4.0972222222222188E-2</v>
      </c>
      <c r="T84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4.0972222222222188E-2</v>
      </c>
      <c r="U849" s="41">
        <f ca="1">MIP_4[[#This Row],[Eficiência]]</f>
        <v>0.40444748308148687</v>
      </c>
      <c r="V849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49" s="39">
        <f>IF(MIP_4[[#This Row],[P.S]]-MIP_4[[#This Row],[P.E]]&lt;0,1+MIP_4[[#This Row],[P.S]]-MIP_4[[#This Row],[P.E]]-1/24,MIP_4[[#This Row],[P.S]]-MIP_4[[#This Row],[P.E]]-1/24)</f>
        <v>0.36666666666666675</v>
      </c>
      <c r="X849" s="39">
        <f ca="1">MIP_4[[#This Row],[PT-1]]*$S$3+MIP_4[[#This Row],[PT-2]]*$T$3+MIP_4[[#This Row],[PT-3]]*$U$3+MIP_4[[#This Row],[PT &gt; 3 Pontos]]*$V$3</f>
        <v>0.13172629830917876</v>
      </c>
      <c r="Y849" s="39">
        <f>MIP_4[[#This Row],[HH disponível]]-MIP_4[[#This Row],[HH AC TOT]]</f>
        <v>0.32569444444444456</v>
      </c>
      <c r="Z849" s="38">
        <f ca="1">MIP_4[[#This Row],[HH Produtivo
Total]]/MIP_4[[#This Row],[HH Trabalhado]]</f>
        <v>0.40444748308148687</v>
      </c>
      <c r="AA849" s="38">
        <f ca="1">MIP_4[[#This Row],[HH Produtivo
Total]]/MIP_4[[#This Row],[HH disponível]]</f>
        <v>0.3592535408432147</v>
      </c>
      <c r="AB849" s="38">
        <f>MIP_4[[#This Row],[HH Trabalhado]]/MIP_4[[#This Row],[HH disponível]]</f>
        <v>0.88825757575757591</v>
      </c>
      <c r="AC849" s="37" t="str">
        <f>LEFT(MIP_4[[#This Row],[Equipe]], SEARCH("/",MIP_4[[#This Row],[Equipe]],1)-1)</f>
        <v xml:space="preserve">ANDERSON </v>
      </c>
      <c r="AD849" s="37" t="str">
        <f>RIGHT(MIP_4[[#This Row],[Equipe]], LEN(MIP_4[[#This Row],[Equipe]])-SEARCH("/",MIP_4[[#This Row],[Equipe]],1))</f>
        <v xml:space="preserve"> MARCO</v>
      </c>
      <c r="AE849" s="29">
        <f>COUNTIFS('[1]Tempo parado'!G:G,"&gt;="&amp;MIP_4[[#This Row],[S.B Sitrack]],'[1]Tempo parado'!H:H,"&lt;="&amp;MIP_4[[#This Row],[C.B Sitrack]],'[1]Tempo parado'!A:A,MIP_4[[#This Row],[Placa]])</f>
        <v>0</v>
      </c>
      <c r="AF849" s="36"/>
      <c r="AG849" s="35"/>
      <c r="AH849" s="34"/>
      <c r="AI849" s="34"/>
      <c r="AJ84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4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4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49" s="31" t="str">
        <f>IFERROR(MIP_4[[#This Row],[Tempo parado]]/(MIP_4[[#This Row],[C.B Sitrack]]-MIP_4[[#This Row],[S.B Sitrack]]),"")</f>
        <v/>
      </c>
      <c r="AN849" s="30"/>
      <c r="AO849" s="29">
        <f>IF(AND(MIP_4[Exc]=0,MIP_4[Previsto / Realizado]="Realizado"),MIP_4[Sem],0)</f>
        <v>0</v>
      </c>
      <c r="AP849" s="29">
        <f>IF(AND(MIP_4[Exc]=0,MIP_4[Previsto / Realizado]="Realizado",ISBLANK(MIP_4[[#This Row],[S.B Sitrack]])=FALSE,ISBLANK(MIP_4[[#This Row],[C.B Sitrack]])=FALSE),MIP_4[Sem],0)</f>
        <v>0</v>
      </c>
    </row>
    <row r="850" spans="1:42" ht="15.75" x14ac:dyDescent="0.25">
      <c r="A850" s="29">
        <f>WEEKNUM(MIP_4[[#This Row],[Data]])</f>
        <v>49</v>
      </c>
      <c r="B850" s="45">
        <v>43075</v>
      </c>
      <c r="C850" s="45"/>
      <c r="D850" s="35" t="s">
        <v>7</v>
      </c>
      <c r="E850" s="35" t="s">
        <v>2</v>
      </c>
      <c r="F850" s="35"/>
      <c r="G850" s="44"/>
      <c r="H850" s="44">
        <v>5</v>
      </c>
      <c r="I850" s="44">
        <v>3</v>
      </c>
      <c r="J850" s="44">
        <v>0</v>
      </c>
      <c r="K850" s="44">
        <v>0</v>
      </c>
      <c r="L850" s="43">
        <v>0.62986111111111109</v>
      </c>
      <c r="M850" s="43">
        <v>0.6743055555555556</v>
      </c>
      <c r="N850" s="43">
        <v>2.7083333333333334E-2</v>
      </c>
      <c r="O850" s="43">
        <v>3.3333333333333333E-2</v>
      </c>
      <c r="P850" s="39"/>
      <c r="Q850" s="42" t="s">
        <v>59</v>
      </c>
      <c r="R850" s="29">
        <f>MIP_4[[#This Row],[PT-1]]+MIP_4[[#This Row],[PT-2]]*2+MIP_4[[#This Row],[PT-3]]*3+MIP_4[[#This Row],[PT &gt; 3 Pontos]]</f>
        <v>11</v>
      </c>
      <c r="S85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5.0694444444444486E-2</v>
      </c>
      <c r="T85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5.0694444444444486E-2</v>
      </c>
      <c r="U850" s="41">
        <f ca="1">MIP_4[[#This Row],[Eficiência]]</f>
        <v>0.82560716711956483</v>
      </c>
      <c r="V850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50" s="39">
        <f>IF(MIP_4[[#This Row],[P.S]]-MIP_4[[#This Row],[P.E]]&lt;0,1+MIP_4[[#This Row],[P.S]]-MIP_4[[#This Row],[P.E]]-1/24,MIP_4[[#This Row],[P.S]]-MIP_4[[#This Row],[P.E]]-1/24)</f>
        <v>0.36180555555555566</v>
      </c>
      <c r="X850" s="39">
        <f ca="1">MIP_4[[#This Row],[PT-1]]*$S$3+MIP_4[[#This Row],[PT-2]]*$T$3+MIP_4[[#This Row],[PT-3]]*$U$3+MIP_4[[#This Row],[PT &gt; 3 Pontos]]*$V$3</f>
        <v>0.25685556310386465</v>
      </c>
      <c r="Y850" s="39">
        <f>MIP_4[[#This Row],[HH disponível]]-MIP_4[[#This Row],[HH AC TOT]]</f>
        <v>0.31111111111111117</v>
      </c>
      <c r="Z850" s="38">
        <f ca="1">MIP_4[[#This Row],[HH Produtivo
Total]]/MIP_4[[#This Row],[HH Trabalhado]]</f>
        <v>0.82560716711956483</v>
      </c>
      <c r="AA850" s="38">
        <f ca="1">MIP_4[[#This Row],[HH Produtivo
Total]]/MIP_4[[#This Row],[HH disponível]]</f>
        <v>0.70992708420261996</v>
      </c>
      <c r="AB850" s="38">
        <f>MIP_4[[#This Row],[HH Trabalhado]]/MIP_4[[#This Row],[HH disponível]]</f>
        <v>0.85988483685220718</v>
      </c>
      <c r="AC850" s="37" t="str">
        <f>LEFT(MIP_4[[#This Row],[Equipe]], SEARCH("/",MIP_4[[#This Row],[Equipe]],1)-1)</f>
        <v xml:space="preserve">ANDERSON </v>
      </c>
      <c r="AD850" s="37" t="str">
        <f>RIGHT(MIP_4[[#This Row],[Equipe]], LEN(MIP_4[[#This Row],[Equipe]])-SEARCH("/",MIP_4[[#This Row],[Equipe]],1))</f>
        <v xml:space="preserve"> MARCO</v>
      </c>
      <c r="AE850" s="29">
        <f>COUNTIFS('[1]Tempo parado'!G:G,"&gt;="&amp;MIP_4[[#This Row],[S.B Sitrack]],'[1]Tempo parado'!H:H,"&lt;="&amp;MIP_4[[#This Row],[C.B Sitrack]],'[1]Tempo parado'!A:A,MIP_4[[#This Row],[Placa]])</f>
        <v>0</v>
      </c>
      <c r="AF850" s="36"/>
      <c r="AG850" s="35"/>
      <c r="AH850" s="34"/>
      <c r="AI850" s="34"/>
      <c r="AJ85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5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5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50" s="31" t="str">
        <f>IFERROR(MIP_4[[#This Row],[Tempo parado]]/(MIP_4[[#This Row],[C.B Sitrack]]-MIP_4[[#This Row],[S.B Sitrack]]),"")</f>
        <v/>
      </c>
      <c r="AN850" s="30"/>
      <c r="AO850" s="29">
        <f>IF(AND(MIP_4[Exc]=0,MIP_4[Previsto / Realizado]="Realizado"),MIP_4[Sem],0)</f>
        <v>49</v>
      </c>
      <c r="AP850" s="29">
        <f>IF(AND(MIP_4[Exc]=0,MIP_4[Previsto / Realizado]="Realizado",ISBLANK(MIP_4[[#This Row],[S.B Sitrack]])=FALSE,ISBLANK(MIP_4[[#This Row],[C.B Sitrack]])=FALSE),MIP_4[Sem],0)</f>
        <v>0</v>
      </c>
    </row>
    <row r="851" spans="1:42" ht="15.75" x14ac:dyDescent="0.25">
      <c r="A851" s="29">
        <f>WEEKNUM(MIP_4[[#This Row],[Data]])</f>
        <v>49</v>
      </c>
      <c r="B851" s="45">
        <v>43075</v>
      </c>
      <c r="C851" s="45"/>
      <c r="D851" s="35" t="s">
        <v>3</v>
      </c>
      <c r="E851" s="35" t="s">
        <v>5</v>
      </c>
      <c r="F851" s="35"/>
      <c r="G851" s="44"/>
      <c r="H851" s="44">
        <v>2</v>
      </c>
      <c r="I851" s="44">
        <v>1</v>
      </c>
      <c r="J851" s="44">
        <v>0</v>
      </c>
      <c r="K851" s="44">
        <v>7</v>
      </c>
      <c r="L851" s="43">
        <v>0.625</v>
      </c>
      <c r="M851" s="43">
        <v>0.63750000000000007</v>
      </c>
      <c r="N851" s="43">
        <v>4.8611111111111112E-3</v>
      </c>
      <c r="O851" s="43">
        <v>3.3333333333333333E-2</v>
      </c>
      <c r="P851" s="39"/>
      <c r="Q851" s="42"/>
      <c r="R851" s="29">
        <f>MIP_4[[#This Row],[PT-1]]+MIP_4[[#This Row],[PT-2]]*2+MIP_4[[#This Row],[PT-3]]*3+MIP_4[[#This Row],[PT &gt; 3 Pontos]]</f>
        <v>11</v>
      </c>
      <c r="S85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4.0972222222222299E-2</v>
      </c>
      <c r="T85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4.0972222222222299E-2</v>
      </c>
      <c r="U851" s="41">
        <f ca="1">MIP_4[[#This Row],[Eficiência]]</f>
        <v>0.72367383664836626</v>
      </c>
      <c r="V851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51" s="39">
        <f>IF(MIP_4[[#This Row],[P.S]]-MIP_4[[#This Row],[P.E]]&lt;0,1+MIP_4[[#This Row],[P.S]]-MIP_4[[#This Row],[P.E]]-1/24,MIP_4[[#This Row],[P.S]]-MIP_4[[#This Row],[P.E]]-1/24)</f>
        <v>0.36666666666666675</v>
      </c>
      <c r="X851" s="39">
        <f ca="1">MIP_4[[#This Row],[PT-1]]*$S$3+MIP_4[[#This Row],[PT-2]]*$T$3+MIP_4[[#This Row],[PT-3]]*$U$3+MIP_4[[#This Row],[PT &gt; 3 Pontos]]*$V$3</f>
        <v>0.23569654818616931</v>
      </c>
      <c r="Y851" s="39">
        <f>MIP_4[[#This Row],[HH disponível]]-MIP_4[[#This Row],[HH AC TOT]]</f>
        <v>0.32569444444444445</v>
      </c>
      <c r="Z851" s="38">
        <f ca="1">MIP_4[[#This Row],[HH Produtivo
Total]]/MIP_4[[#This Row],[HH Trabalhado]]</f>
        <v>0.72367383664836626</v>
      </c>
      <c r="AA851" s="38">
        <f ca="1">MIP_4[[#This Row],[HH Produtivo
Total]]/MIP_4[[#This Row],[HH disponível]]</f>
        <v>0.64280876778046159</v>
      </c>
      <c r="AB851" s="38">
        <f>MIP_4[[#This Row],[HH Trabalhado]]/MIP_4[[#This Row],[HH disponível]]</f>
        <v>0.88825757575757558</v>
      </c>
      <c r="AC851" s="37" t="str">
        <f>LEFT(MIP_4[[#This Row],[Equipe]], SEARCH("/",MIP_4[[#This Row],[Equipe]],1)-1)</f>
        <v xml:space="preserve">EDILTON </v>
      </c>
      <c r="AD851" s="37" t="str">
        <f>RIGHT(MIP_4[[#This Row],[Equipe]], LEN(MIP_4[[#This Row],[Equipe]])-SEARCH("/",MIP_4[[#This Row],[Equipe]],1))</f>
        <v xml:space="preserve"> GECIVALDO</v>
      </c>
      <c r="AE851" s="29">
        <f>COUNTIFS('[1]Tempo parado'!G:G,"&gt;="&amp;MIP_4[[#This Row],[S.B Sitrack]],'[1]Tempo parado'!H:H,"&lt;="&amp;MIP_4[[#This Row],[C.B Sitrack]],'[1]Tempo parado'!A:A,MIP_4[[#This Row],[Placa]])</f>
        <v>0</v>
      </c>
      <c r="AF851" s="36"/>
      <c r="AG851" s="35"/>
      <c r="AH851" s="34"/>
      <c r="AI851" s="34"/>
      <c r="AJ85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5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5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51" s="31" t="str">
        <f>IFERROR(MIP_4[[#This Row],[Tempo parado]]/(MIP_4[[#This Row],[C.B Sitrack]]-MIP_4[[#This Row],[S.B Sitrack]]),"")</f>
        <v/>
      </c>
      <c r="AN851" s="30"/>
      <c r="AO851" s="29">
        <f>IF(AND(MIP_4[Exc]=0,MIP_4[Previsto / Realizado]="Realizado"),MIP_4[Sem],0)</f>
        <v>0</v>
      </c>
      <c r="AP851" s="29">
        <f>IF(AND(MIP_4[Exc]=0,MIP_4[Previsto / Realizado]="Realizado",ISBLANK(MIP_4[[#This Row],[S.B Sitrack]])=FALSE,ISBLANK(MIP_4[[#This Row],[C.B Sitrack]])=FALSE),MIP_4[Sem],0)</f>
        <v>0</v>
      </c>
    </row>
    <row r="852" spans="1:42" ht="15.75" x14ac:dyDescent="0.25">
      <c r="A852" s="29">
        <f>WEEKNUM(MIP_4[[#This Row],[Data]])</f>
        <v>49</v>
      </c>
      <c r="B852" s="45">
        <v>43075</v>
      </c>
      <c r="C852" s="45"/>
      <c r="D852" s="35" t="s">
        <v>3</v>
      </c>
      <c r="E852" s="35" t="s">
        <v>2</v>
      </c>
      <c r="F852" s="35"/>
      <c r="G852" s="44"/>
      <c r="H852" s="44">
        <v>2</v>
      </c>
      <c r="I852" s="44">
        <v>1</v>
      </c>
      <c r="J852" s="44">
        <v>0</v>
      </c>
      <c r="K852" s="44">
        <v>7</v>
      </c>
      <c r="L852" s="43">
        <v>0.62222222222222223</v>
      </c>
      <c r="M852" s="43">
        <v>0.66111111111111109</v>
      </c>
      <c r="N852" s="43">
        <v>3.1944444444444449E-2</v>
      </c>
      <c r="O852" s="43">
        <v>3.3333333333333333E-2</v>
      </c>
      <c r="P852" s="39"/>
      <c r="Q852" s="42"/>
      <c r="R852" s="29">
        <f>MIP_4[[#This Row],[PT-1]]+MIP_4[[#This Row],[PT-2]]*2+MIP_4[[#This Row],[PT-3]]*3+MIP_4[[#This Row],[PT &gt; 3 Pontos]]</f>
        <v>11</v>
      </c>
      <c r="S85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4.0277777777777746E-2</v>
      </c>
      <c r="T85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4.0277777777777746E-2</v>
      </c>
      <c r="U852" s="41">
        <f ca="1">MIP_4[[#This Row],[Eficiência]]</f>
        <v>0.71604014638836222</v>
      </c>
      <c r="V852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52" s="39">
        <f>IF(MIP_4[[#This Row],[P.S]]-MIP_4[[#This Row],[P.E]]&lt;0,1+MIP_4[[#This Row],[P.S]]-MIP_4[[#This Row],[P.E]]-1/24,MIP_4[[#This Row],[P.S]]-MIP_4[[#This Row],[P.E]]-1/24)</f>
        <v>0.36944444444444452</v>
      </c>
      <c r="X852" s="39">
        <f ca="1">MIP_4[[#This Row],[PT-1]]*$S$3+MIP_4[[#This Row],[PT-2]]*$T$3+MIP_4[[#This Row],[PT-3]]*$U$3+MIP_4[[#This Row],[PT &gt; 3 Pontos]]*$V$3</f>
        <v>0.23569654818616931</v>
      </c>
      <c r="Y852" s="39">
        <f>MIP_4[[#This Row],[HH disponível]]-MIP_4[[#This Row],[HH AC TOT]]</f>
        <v>0.32916666666666677</v>
      </c>
      <c r="Z852" s="38">
        <f ca="1">MIP_4[[#This Row],[HH Produtivo
Total]]/MIP_4[[#This Row],[HH Trabalhado]]</f>
        <v>0.71604014638836222</v>
      </c>
      <c r="AA852" s="38">
        <f ca="1">MIP_4[[#This Row],[HH Produtivo
Total]]/MIP_4[[#This Row],[HH disponível]]</f>
        <v>0.63797561915053336</v>
      </c>
      <c r="AB852" s="38">
        <f>MIP_4[[#This Row],[HH Trabalhado]]/MIP_4[[#This Row],[HH disponível]]</f>
        <v>0.89097744360902265</v>
      </c>
      <c r="AC852" s="37" t="str">
        <f>LEFT(MIP_4[[#This Row],[Equipe]], SEARCH("/",MIP_4[[#This Row],[Equipe]],1)-1)</f>
        <v xml:space="preserve">EDILTON </v>
      </c>
      <c r="AD852" s="37" t="str">
        <f>RIGHT(MIP_4[[#This Row],[Equipe]], LEN(MIP_4[[#This Row],[Equipe]])-SEARCH("/",MIP_4[[#This Row],[Equipe]],1))</f>
        <v xml:space="preserve"> GECIVALDO</v>
      </c>
      <c r="AE852" s="29">
        <f>COUNTIFS('[1]Tempo parado'!G:G,"&gt;="&amp;MIP_4[[#This Row],[S.B Sitrack]],'[1]Tempo parado'!H:H,"&lt;="&amp;MIP_4[[#This Row],[C.B Sitrack]],'[1]Tempo parado'!A:A,MIP_4[[#This Row],[Placa]])</f>
        <v>0</v>
      </c>
      <c r="AF852" s="36"/>
      <c r="AG852" s="35"/>
      <c r="AH852" s="34"/>
      <c r="AI852" s="34"/>
      <c r="AJ85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5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5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52" s="31" t="str">
        <f>IFERROR(MIP_4[[#This Row],[Tempo parado]]/(MIP_4[[#This Row],[C.B Sitrack]]-MIP_4[[#This Row],[S.B Sitrack]]),"")</f>
        <v/>
      </c>
      <c r="AN852" s="30"/>
      <c r="AO852" s="29">
        <f>IF(AND(MIP_4[Exc]=0,MIP_4[Previsto / Realizado]="Realizado"),MIP_4[Sem],0)</f>
        <v>49</v>
      </c>
      <c r="AP852" s="29">
        <f>IF(AND(MIP_4[Exc]=0,MIP_4[Previsto / Realizado]="Realizado",ISBLANK(MIP_4[[#This Row],[S.B Sitrack]])=FALSE,ISBLANK(MIP_4[[#This Row],[C.B Sitrack]])=FALSE),MIP_4[Sem],0)</f>
        <v>0</v>
      </c>
    </row>
    <row r="853" spans="1:42" ht="15.75" x14ac:dyDescent="0.25">
      <c r="A853" s="29">
        <f>WEEKNUM(MIP_4[[#This Row],[Data]])</f>
        <v>49</v>
      </c>
      <c r="B853" s="45">
        <v>43075</v>
      </c>
      <c r="C853" s="45"/>
      <c r="D853" s="35" t="s">
        <v>19</v>
      </c>
      <c r="E853" s="35" t="s">
        <v>5</v>
      </c>
      <c r="F853" s="35"/>
      <c r="G853" s="44"/>
      <c r="H853" s="44">
        <v>0</v>
      </c>
      <c r="I853" s="44">
        <v>0</v>
      </c>
      <c r="J853" s="44">
        <v>0</v>
      </c>
      <c r="K853" s="44">
        <v>0</v>
      </c>
      <c r="L853" s="43">
        <v>0.625</v>
      </c>
      <c r="M853" s="43">
        <v>0.6381944444444444</v>
      </c>
      <c r="N853" s="43">
        <v>5.5555555555555558E-3</v>
      </c>
      <c r="O853" s="43">
        <v>3.3333333333333333E-2</v>
      </c>
      <c r="P853" s="39"/>
      <c r="Q853" s="42" t="s">
        <v>58</v>
      </c>
      <c r="R853" s="29">
        <f>MIP_4[[#This Row],[PT-1]]+MIP_4[[#This Row],[PT-2]]*2+MIP_4[[#This Row],[PT-3]]*3+MIP_4[[#This Row],[PT &gt; 3 Pontos]]</f>
        <v>0</v>
      </c>
      <c r="S85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4.0972222222222188E-2</v>
      </c>
      <c r="T85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4.0972222222222188E-2</v>
      </c>
      <c r="U853" s="41">
        <f ca="1">MIP_4[[#This Row],[Eficiência]]</f>
        <v>0</v>
      </c>
      <c r="V853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53" s="39">
        <f>IF(MIP_4[[#This Row],[P.S]]-MIP_4[[#This Row],[P.E]]&lt;0,1+MIP_4[[#This Row],[P.S]]-MIP_4[[#This Row],[P.E]]-1/24,MIP_4[[#This Row],[P.S]]-MIP_4[[#This Row],[P.E]]-1/24)</f>
        <v>0.36666666666666675</v>
      </c>
      <c r="X853" s="39">
        <f ca="1">MIP_4[[#This Row],[PT-1]]*$S$3+MIP_4[[#This Row],[PT-2]]*$T$3+MIP_4[[#This Row],[PT-3]]*$U$3+MIP_4[[#This Row],[PT &gt; 3 Pontos]]*$V$3</f>
        <v>0</v>
      </c>
      <c r="Y853" s="39">
        <f>MIP_4[[#This Row],[HH disponível]]-MIP_4[[#This Row],[HH AC TOT]]</f>
        <v>0.32569444444444456</v>
      </c>
      <c r="Z853" s="38">
        <f ca="1">MIP_4[[#This Row],[HH Produtivo
Total]]/MIP_4[[#This Row],[HH Trabalhado]]</f>
        <v>0</v>
      </c>
      <c r="AA853" s="38">
        <f ca="1">MIP_4[[#This Row],[HH Produtivo
Total]]/MIP_4[[#This Row],[HH disponível]]</f>
        <v>0</v>
      </c>
      <c r="AB853" s="38">
        <f>MIP_4[[#This Row],[HH Trabalhado]]/MIP_4[[#This Row],[HH disponível]]</f>
        <v>0.88825757575757591</v>
      </c>
      <c r="AC853" s="37" t="str">
        <f>LEFT(MIP_4[[#This Row],[Equipe]], SEARCH("/",MIP_4[[#This Row],[Equipe]],1)-1)</f>
        <v xml:space="preserve">ADEMÁRIO </v>
      </c>
      <c r="AD853" s="37" t="str">
        <f>RIGHT(MIP_4[[#This Row],[Equipe]], LEN(MIP_4[[#This Row],[Equipe]])-SEARCH("/",MIP_4[[#This Row],[Equipe]],1))</f>
        <v xml:space="preserve"> RONALDO</v>
      </c>
      <c r="AE853" s="29">
        <f>COUNTIFS('[1]Tempo parado'!G:G,"&gt;="&amp;MIP_4[[#This Row],[S.B Sitrack]],'[1]Tempo parado'!H:H,"&lt;="&amp;MIP_4[[#This Row],[C.B Sitrack]],'[1]Tempo parado'!A:A,MIP_4[[#This Row],[Placa]])</f>
        <v>0</v>
      </c>
      <c r="AF853" s="36"/>
      <c r="AG853" s="35"/>
      <c r="AH853" s="34"/>
      <c r="AI853" s="34"/>
      <c r="AJ85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5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5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53" s="31" t="str">
        <f>IFERROR(MIP_4[[#This Row],[Tempo parado]]/(MIP_4[[#This Row],[C.B Sitrack]]-MIP_4[[#This Row],[S.B Sitrack]]),"")</f>
        <v/>
      </c>
      <c r="AN853" s="30"/>
      <c r="AO853" s="29">
        <f>IF(AND(MIP_4[Exc]=0,MIP_4[Previsto / Realizado]="Realizado"),MIP_4[Sem],0)</f>
        <v>0</v>
      </c>
      <c r="AP853" s="29">
        <f>IF(AND(MIP_4[Exc]=0,MIP_4[Previsto / Realizado]="Realizado",ISBLANK(MIP_4[[#This Row],[S.B Sitrack]])=FALSE,ISBLANK(MIP_4[[#This Row],[C.B Sitrack]])=FALSE),MIP_4[Sem],0)</f>
        <v>0</v>
      </c>
    </row>
    <row r="854" spans="1:42" ht="15.75" x14ac:dyDescent="0.25">
      <c r="A854" s="29">
        <f>WEEKNUM(MIP_4[[#This Row],[Data]])</f>
        <v>49</v>
      </c>
      <c r="B854" s="45">
        <v>43075</v>
      </c>
      <c r="C854" s="45"/>
      <c r="D854" s="35" t="s">
        <v>19</v>
      </c>
      <c r="E854" s="35" t="s">
        <v>2</v>
      </c>
      <c r="F854" s="35"/>
      <c r="G854" s="44"/>
      <c r="H854" s="44">
        <v>0</v>
      </c>
      <c r="I854" s="44">
        <v>0</v>
      </c>
      <c r="J854" s="44">
        <v>0</v>
      </c>
      <c r="K854" s="44">
        <v>10</v>
      </c>
      <c r="L854" s="43">
        <v>0.65902777777777777</v>
      </c>
      <c r="M854" s="43">
        <v>0.67152777777777783</v>
      </c>
      <c r="N854" s="43">
        <v>1.3194444444444444E-2</v>
      </c>
      <c r="O854" s="43">
        <v>3.4027777777777775E-2</v>
      </c>
      <c r="P854" s="39"/>
      <c r="Q854" s="42" t="s">
        <v>57</v>
      </c>
      <c r="R854" s="29">
        <f>MIP_4[[#This Row],[PT-1]]+MIP_4[[#This Row],[PT-2]]*2+MIP_4[[#This Row],[PT-3]]*3+MIP_4[[#This Row],[PT &gt; 3 Pontos]]</f>
        <v>10</v>
      </c>
      <c r="S85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3.3333333333333437E-2</v>
      </c>
      <c r="T85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3.3333333333333437E-2</v>
      </c>
      <c r="U854" s="41">
        <f ca="1">MIP_4[[#This Row],[Eficiência]]</f>
        <v>0.67493369602493047</v>
      </c>
      <c r="V854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54" s="39">
        <f>IF(MIP_4[[#This Row],[P.S]]-MIP_4[[#This Row],[P.E]]&lt;0,1+MIP_4[[#This Row],[P.S]]-MIP_4[[#This Row],[P.E]]-1/24,MIP_4[[#This Row],[P.S]]-MIP_4[[#This Row],[P.E]]-1/24)</f>
        <v>0.33333333333333331</v>
      </c>
      <c r="X854" s="39">
        <f ca="1">MIP_4[[#This Row],[PT-1]]*$S$3+MIP_4[[#This Row],[PT-2]]*$T$3+MIP_4[[#This Row],[PT-3]]*$U$3+MIP_4[[#This Row],[PT &gt; 3 Pontos]]*$V$3</f>
        <v>0.20248010880747908</v>
      </c>
      <c r="Y854" s="39">
        <f>MIP_4[[#This Row],[HH disponível]]-MIP_4[[#This Row],[HH AC TOT]]</f>
        <v>0.29999999999999988</v>
      </c>
      <c r="Z854" s="38">
        <f ca="1">MIP_4[[#This Row],[HH Produtivo
Total]]/MIP_4[[#This Row],[HH Trabalhado]]</f>
        <v>0.67493369602493047</v>
      </c>
      <c r="AA854" s="38">
        <f ca="1">MIP_4[[#This Row],[HH Produtivo
Total]]/MIP_4[[#This Row],[HH disponível]]</f>
        <v>0.60744032642243728</v>
      </c>
      <c r="AB854" s="38">
        <f>MIP_4[[#This Row],[HH Trabalhado]]/MIP_4[[#This Row],[HH disponível]]</f>
        <v>0.89999999999999969</v>
      </c>
      <c r="AC854" s="37" t="str">
        <f>LEFT(MIP_4[[#This Row],[Equipe]], SEARCH("/",MIP_4[[#This Row],[Equipe]],1)-1)</f>
        <v xml:space="preserve">ADEMÁRIO </v>
      </c>
      <c r="AD854" s="37" t="str">
        <f>RIGHT(MIP_4[[#This Row],[Equipe]], LEN(MIP_4[[#This Row],[Equipe]])-SEARCH("/",MIP_4[[#This Row],[Equipe]],1))</f>
        <v xml:space="preserve"> RONALDO</v>
      </c>
      <c r="AE854" s="29">
        <f>COUNTIFS('[1]Tempo parado'!G:G,"&gt;="&amp;MIP_4[[#This Row],[S.B Sitrack]],'[1]Tempo parado'!H:H,"&lt;="&amp;MIP_4[[#This Row],[C.B Sitrack]],'[1]Tempo parado'!A:A,MIP_4[[#This Row],[Placa]])</f>
        <v>0</v>
      </c>
      <c r="AF854" s="36"/>
      <c r="AG854" s="35"/>
      <c r="AH854" s="34"/>
      <c r="AI854" s="34"/>
      <c r="AJ85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5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5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54" s="31" t="str">
        <f>IFERROR(MIP_4[[#This Row],[Tempo parado]]/(MIP_4[[#This Row],[C.B Sitrack]]-MIP_4[[#This Row],[S.B Sitrack]]),"")</f>
        <v/>
      </c>
      <c r="AN854" s="30"/>
      <c r="AO854" s="29">
        <f>IF(AND(MIP_4[Exc]=0,MIP_4[Previsto / Realizado]="Realizado"),MIP_4[Sem],0)</f>
        <v>49</v>
      </c>
      <c r="AP854" s="29">
        <f>IF(AND(MIP_4[Exc]=0,MIP_4[Previsto / Realizado]="Realizado",ISBLANK(MIP_4[[#This Row],[S.B Sitrack]])=FALSE,ISBLANK(MIP_4[[#This Row],[C.B Sitrack]])=FALSE),MIP_4[Sem],0)</f>
        <v>0</v>
      </c>
    </row>
    <row r="855" spans="1:42" ht="15.75" x14ac:dyDescent="0.25">
      <c r="A855" s="29">
        <f>WEEKNUM(MIP_4[[#This Row],[Data]])</f>
        <v>49</v>
      </c>
      <c r="B855" s="45">
        <v>43076</v>
      </c>
      <c r="C855" s="45"/>
      <c r="D855" s="35" t="s">
        <v>10</v>
      </c>
      <c r="E855" s="35" t="s">
        <v>5</v>
      </c>
      <c r="F855" s="35"/>
      <c r="G855" s="44"/>
      <c r="H855" s="44">
        <v>2</v>
      </c>
      <c r="I855" s="44">
        <v>0</v>
      </c>
      <c r="J855" s="44">
        <v>0</v>
      </c>
      <c r="K855" s="44">
        <v>0</v>
      </c>
      <c r="L855" s="43">
        <v>0.25</v>
      </c>
      <c r="M855" s="43">
        <v>0.2638888888888889</v>
      </c>
      <c r="N855" s="43">
        <v>0.62986111111111109</v>
      </c>
      <c r="O855" s="43">
        <v>0.65833333333333333</v>
      </c>
      <c r="P855" s="39"/>
      <c r="Q855" s="42" t="s">
        <v>56</v>
      </c>
      <c r="R855" s="29">
        <f>MIP_4[[#This Row],[PT-1]]+MIP_4[[#This Row],[PT-2]]*2+MIP_4[[#This Row],[PT-3]]*3+MIP_4[[#This Row],[PT &gt; 3 Pontos]]</f>
        <v>2</v>
      </c>
      <c r="S85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4.2361111111111127E-2</v>
      </c>
      <c r="T85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4.2361111111111127E-2</v>
      </c>
      <c r="U855" s="41">
        <f ca="1">MIP_4[[#This Row],[Eficiência]]</f>
        <v>0.15433502467181817</v>
      </c>
      <c r="V855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55" s="39">
        <f>IF(MIP_4[[#This Row],[P.S]]-MIP_4[[#This Row],[P.E]]&lt;0,1+MIP_4[[#This Row],[P.S]]-MIP_4[[#This Row],[P.E]]-1/24,MIP_4[[#This Row],[P.S]]-MIP_4[[#This Row],[P.E]]-1/24)</f>
        <v>0.36666666666666664</v>
      </c>
      <c r="X855" s="39">
        <f ca="1">MIP_4[[#This Row],[PT-1]]*$S$3+MIP_4[[#This Row],[PT-2]]*$T$3+MIP_4[[#This Row],[PT-3]]*$U$3+MIP_4[[#This Row],[PT &gt; 3 Pontos]]*$V$3</f>
        <v>5.0051705917874362E-2</v>
      </c>
      <c r="Y855" s="39">
        <f>MIP_4[[#This Row],[HH disponível]]-MIP_4[[#This Row],[HH AC TOT]]</f>
        <v>0.32430555555555551</v>
      </c>
      <c r="Z855" s="38">
        <f ca="1">MIP_4[[#This Row],[HH Produtivo
Total]]/MIP_4[[#This Row],[HH Trabalhado]]</f>
        <v>0.15433502467181817</v>
      </c>
      <c r="AA855" s="38">
        <f ca="1">MIP_4[[#This Row],[HH Produtivo
Total]]/MIP_4[[#This Row],[HH disponível]]</f>
        <v>0.13650465250329372</v>
      </c>
      <c r="AB855" s="38">
        <f>MIP_4[[#This Row],[HH Trabalhado]]/MIP_4[[#This Row],[HH disponível]]</f>
        <v>0.88446969696969691</v>
      </c>
      <c r="AC855" s="37" t="str">
        <f>LEFT(MIP_4[[#This Row],[Equipe]], SEARCH("/",MIP_4[[#This Row],[Equipe]],1)-1)</f>
        <v xml:space="preserve">JOILSON </v>
      </c>
      <c r="AD855" s="37" t="str">
        <f>RIGHT(MIP_4[[#This Row],[Equipe]], LEN(MIP_4[[#This Row],[Equipe]])-SEARCH("/",MIP_4[[#This Row],[Equipe]],1))</f>
        <v xml:space="preserve"> VALDEI</v>
      </c>
      <c r="AE855" s="29">
        <f>COUNTIFS('[1]Tempo parado'!G:G,"&gt;="&amp;MIP_4[[#This Row],[S.B Sitrack]],'[1]Tempo parado'!H:H,"&lt;="&amp;MIP_4[[#This Row],[C.B Sitrack]],'[1]Tempo parado'!A:A,MIP_4[[#This Row],[Placa]])</f>
        <v>0</v>
      </c>
      <c r="AF855" s="36"/>
      <c r="AG855" s="35"/>
      <c r="AH855" s="34"/>
      <c r="AI855" s="34"/>
      <c r="AJ85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5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5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55" s="31" t="str">
        <f>IFERROR(MIP_4[[#This Row],[Tempo parado]]/(MIP_4[[#This Row],[C.B Sitrack]]-MIP_4[[#This Row],[S.B Sitrack]]),"")</f>
        <v/>
      </c>
      <c r="AN855" s="30"/>
      <c r="AO855" s="29">
        <f>IF(AND(MIP_4[Exc]=0,MIP_4[Previsto / Realizado]="Realizado"),MIP_4[Sem],0)</f>
        <v>0</v>
      </c>
      <c r="AP855" s="29">
        <f>IF(AND(MIP_4[Exc]=0,MIP_4[Previsto / Realizado]="Realizado",ISBLANK(MIP_4[[#This Row],[S.B Sitrack]])=FALSE,ISBLANK(MIP_4[[#This Row],[C.B Sitrack]])=FALSE),MIP_4[Sem],0)</f>
        <v>0</v>
      </c>
    </row>
    <row r="856" spans="1:42" ht="15.75" x14ac:dyDescent="0.25">
      <c r="A856" s="29">
        <f>WEEKNUM(MIP_4[[#This Row],[Data]])</f>
        <v>49</v>
      </c>
      <c r="B856" s="45">
        <v>43076</v>
      </c>
      <c r="C856" s="45"/>
      <c r="D856" s="35" t="s">
        <v>10</v>
      </c>
      <c r="E856" s="35" t="s">
        <v>2</v>
      </c>
      <c r="F856" s="35"/>
      <c r="G856" s="44"/>
      <c r="H856" s="44">
        <v>3</v>
      </c>
      <c r="I856" s="44">
        <v>1</v>
      </c>
      <c r="J856" s="44">
        <v>1</v>
      </c>
      <c r="K856" s="44">
        <v>0</v>
      </c>
      <c r="L856" s="43">
        <v>0.24791666666666667</v>
      </c>
      <c r="M856" s="43">
        <v>0.27569444444444446</v>
      </c>
      <c r="N856" s="43">
        <v>0.61319444444444449</v>
      </c>
      <c r="O856" s="43">
        <v>0.66111111111111109</v>
      </c>
      <c r="P856" s="39"/>
      <c r="Q856" s="42" t="s">
        <v>55</v>
      </c>
      <c r="R856" s="29">
        <f>MIP_4[[#This Row],[PT-1]]+MIP_4[[#This Row],[PT-2]]*2+MIP_4[[#This Row],[PT-3]]*3+MIP_4[[#This Row],[PT &gt; 3 Pontos]]</f>
        <v>8</v>
      </c>
      <c r="S85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7.5694444444444398E-2</v>
      </c>
      <c r="T85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7.5694444444444398E-2</v>
      </c>
      <c r="U856" s="41">
        <f ca="1">MIP_4[[#This Row],[Eficiência]]</f>
        <v>0.61446085935905281</v>
      </c>
      <c r="V856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56" s="39">
        <f>IF(MIP_4[[#This Row],[P.S]]-MIP_4[[#This Row],[P.E]]&lt;0,1+MIP_4[[#This Row],[P.S]]-MIP_4[[#This Row],[P.E]]-1/24,MIP_4[[#This Row],[P.S]]-MIP_4[[#This Row],[P.E]]-1/24)</f>
        <v>0.37152777777777773</v>
      </c>
      <c r="X856" s="39">
        <f ca="1">MIP_4[[#This Row],[PT-1]]*$S$3+MIP_4[[#This Row],[PT-2]]*$T$3+MIP_4[[#This Row],[PT-3]]*$U$3+MIP_4[[#This Row],[PT &gt; 3 Pontos]]*$V$3</f>
        <v>0.18177800422705312</v>
      </c>
      <c r="Y856" s="39">
        <f>MIP_4[[#This Row],[HH disponível]]-MIP_4[[#This Row],[HH AC TOT]]</f>
        <v>0.29583333333333334</v>
      </c>
      <c r="Z856" s="38">
        <f ca="1">MIP_4[[#This Row],[HH Produtivo
Total]]/MIP_4[[#This Row],[HH Trabalhado]]</f>
        <v>0.61446085935905281</v>
      </c>
      <c r="AA856" s="38">
        <f ca="1">MIP_4[[#This Row],[HH Produtivo
Total]]/MIP_4[[#This Row],[HH disponível]]</f>
        <v>0.48927163754571312</v>
      </c>
      <c r="AB856" s="38">
        <f>MIP_4[[#This Row],[HH Trabalhado]]/MIP_4[[#This Row],[HH disponível]]</f>
        <v>0.79626168224299076</v>
      </c>
      <c r="AC856" s="37" t="str">
        <f>LEFT(MIP_4[[#This Row],[Equipe]], SEARCH("/",MIP_4[[#This Row],[Equipe]],1)-1)</f>
        <v xml:space="preserve">JOILSON </v>
      </c>
      <c r="AD856" s="37" t="str">
        <f>RIGHT(MIP_4[[#This Row],[Equipe]], LEN(MIP_4[[#This Row],[Equipe]])-SEARCH("/",MIP_4[[#This Row],[Equipe]],1))</f>
        <v xml:space="preserve"> VALDEI</v>
      </c>
      <c r="AE856" s="29">
        <f>COUNTIFS('[1]Tempo parado'!G:G,"&gt;="&amp;MIP_4[[#This Row],[S.B Sitrack]],'[1]Tempo parado'!H:H,"&lt;="&amp;MIP_4[[#This Row],[C.B Sitrack]],'[1]Tempo parado'!A:A,MIP_4[[#This Row],[Placa]])</f>
        <v>0</v>
      </c>
      <c r="AF856" s="36"/>
      <c r="AG856" s="35"/>
      <c r="AH856" s="34"/>
      <c r="AI856" s="34"/>
      <c r="AJ85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5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5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56" s="31" t="str">
        <f>IFERROR(MIP_4[[#This Row],[Tempo parado]]/(MIP_4[[#This Row],[C.B Sitrack]]-MIP_4[[#This Row],[S.B Sitrack]]),"")</f>
        <v/>
      </c>
      <c r="AN856" s="30"/>
      <c r="AO856" s="29">
        <f>IF(AND(MIP_4[Exc]=0,MIP_4[Previsto / Realizado]="Realizado"),MIP_4[Sem],0)</f>
        <v>49</v>
      </c>
      <c r="AP856" s="29">
        <f>IF(AND(MIP_4[Exc]=0,MIP_4[Previsto / Realizado]="Realizado",ISBLANK(MIP_4[[#This Row],[S.B Sitrack]])=FALSE,ISBLANK(MIP_4[[#This Row],[C.B Sitrack]])=FALSE),MIP_4[Sem],0)</f>
        <v>0</v>
      </c>
    </row>
    <row r="857" spans="1:42" ht="15.75" x14ac:dyDescent="0.25">
      <c r="A857" s="29">
        <f>WEEKNUM(MIP_4[[#This Row],[Data]])</f>
        <v>49</v>
      </c>
      <c r="B857" s="45">
        <v>43076</v>
      </c>
      <c r="C857" s="45"/>
      <c r="D857" s="35" t="s">
        <v>7</v>
      </c>
      <c r="E857" s="35" t="s">
        <v>5</v>
      </c>
      <c r="F857" s="35"/>
      <c r="G857" s="44"/>
      <c r="H857" s="44">
        <v>6</v>
      </c>
      <c r="I857" s="44">
        <v>2</v>
      </c>
      <c r="J857" s="44">
        <v>0</v>
      </c>
      <c r="K857" s="44">
        <v>0</v>
      </c>
      <c r="L857" s="43">
        <v>0.625</v>
      </c>
      <c r="M857" s="43">
        <v>0.63750000000000007</v>
      </c>
      <c r="N857" s="43">
        <v>4.8611111111111112E-3</v>
      </c>
      <c r="O857" s="43">
        <v>3.3333333333333333E-2</v>
      </c>
      <c r="P857" s="39"/>
      <c r="Q857" s="42" t="s">
        <v>4</v>
      </c>
      <c r="R857" s="29">
        <f>MIP_4[[#This Row],[PT-1]]+MIP_4[[#This Row],[PT-2]]*2+MIP_4[[#This Row],[PT-3]]*3+MIP_4[[#This Row],[PT &gt; 3 Pontos]]</f>
        <v>10</v>
      </c>
      <c r="S85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4.0972222222222299E-2</v>
      </c>
      <c r="T85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4.0972222222222299E-2</v>
      </c>
      <c r="U857" s="41">
        <f ca="1">MIP_4[[#This Row],[Eficiência]]</f>
        <v>0.73066229411946448</v>
      </c>
      <c r="V857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57" s="39">
        <f>IF(MIP_4[[#This Row],[P.S]]-MIP_4[[#This Row],[P.E]]&lt;0,1+MIP_4[[#This Row],[P.S]]-MIP_4[[#This Row],[P.E]]-1/24,MIP_4[[#This Row],[P.S]]-MIP_4[[#This Row],[P.E]]-1/24)</f>
        <v>0.36666666666666675</v>
      </c>
      <c r="X857" s="39">
        <f ca="1">MIP_4[[#This Row],[PT-1]]*$S$3+MIP_4[[#This Row],[PT-2]]*$T$3+MIP_4[[#This Row],[PT-3]]*$U$3+MIP_4[[#This Row],[PT &gt; 3 Pontos]]*$V$3</f>
        <v>0.23797264995974227</v>
      </c>
      <c r="Y857" s="39">
        <f>MIP_4[[#This Row],[HH disponível]]-MIP_4[[#This Row],[HH AC TOT]]</f>
        <v>0.32569444444444445</v>
      </c>
      <c r="Z857" s="38">
        <f ca="1">MIP_4[[#This Row],[HH Produtivo
Total]]/MIP_4[[#This Row],[HH Trabalhado]]</f>
        <v>0.73066229411946448</v>
      </c>
      <c r="AA857" s="38">
        <f ca="1">MIP_4[[#This Row],[HH Produtivo
Total]]/MIP_4[[#This Row],[HH disponível]]</f>
        <v>0.6490163180720242</v>
      </c>
      <c r="AB857" s="38">
        <f>MIP_4[[#This Row],[HH Trabalhado]]/MIP_4[[#This Row],[HH disponível]]</f>
        <v>0.88825757575757558</v>
      </c>
      <c r="AC857" s="37" t="str">
        <f>LEFT(MIP_4[[#This Row],[Equipe]], SEARCH("/",MIP_4[[#This Row],[Equipe]],1)-1)</f>
        <v xml:space="preserve">ANDERSON </v>
      </c>
      <c r="AD857" s="37" t="str">
        <f>RIGHT(MIP_4[[#This Row],[Equipe]], LEN(MIP_4[[#This Row],[Equipe]])-SEARCH("/",MIP_4[[#This Row],[Equipe]],1))</f>
        <v xml:space="preserve"> MARCO</v>
      </c>
      <c r="AE857" s="29">
        <f>COUNTIFS('[1]Tempo parado'!G:G,"&gt;="&amp;MIP_4[[#This Row],[S.B Sitrack]],'[1]Tempo parado'!H:H,"&lt;="&amp;MIP_4[[#This Row],[C.B Sitrack]],'[1]Tempo parado'!A:A,MIP_4[[#This Row],[Placa]])</f>
        <v>0</v>
      </c>
      <c r="AF857" s="36"/>
      <c r="AG857" s="35"/>
      <c r="AH857" s="34"/>
      <c r="AI857" s="34"/>
      <c r="AJ85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5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5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57" s="31" t="str">
        <f>IFERROR(MIP_4[[#This Row],[Tempo parado]]/(MIP_4[[#This Row],[C.B Sitrack]]-MIP_4[[#This Row],[S.B Sitrack]]),"")</f>
        <v/>
      </c>
      <c r="AN857" s="30"/>
      <c r="AO857" s="29">
        <f>IF(AND(MIP_4[Exc]=0,MIP_4[Previsto / Realizado]="Realizado"),MIP_4[Sem],0)</f>
        <v>0</v>
      </c>
      <c r="AP857" s="29">
        <f>IF(AND(MIP_4[Exc]=0,MIP_4[Previsto / Realizado]="Realizado",ISBLANK(MIP_4[[#This Row],[S.B Sitrack]])=FALSE,ISBLANK(MIP_4[[#This Row],[C.B Sitrack]])=FALSE),MIP_4[Sem],0)</f>
        <v>0</v>
      </c>
    </row>
    <row r="858" spans="1:42" ht="15.75" x14ac:dyDescent="0.25">
      <c r="A858" s="29">
        <f>WEEKNUM(MIP_4[[#This Row],[Data]])</f>
        <v>49</v>
      </c>
      <c r="B858" s="45">
        <v>43076</v>
      </c>
      <c r="C858" s="45"/>
      <c r="D858" s="35" t="s">
        <v>7</v>
      </c>
      <c r="E858" s="35" t="s">
        <v>2</v>
      </c>
      <c r="F858" s="35"/>
      <c r="G858" s="44"/>
      <c r="H858" s="44">
        <v>10</v>
      </c>
      <c r="I858" s="44">
        <v>2</v>
      </c>
      <c r="J858" s="44">
        <v>0</v>
      </c>
      <c r="K858" s="44">
        <v>0</v>
      </c>
      <c r="L858" s="43">
        <v>0.63611111111111118</v>
      </c>
      <c r="M858" s="43">
        <v>0.6875</v>
      </c>
      <c r="N858" s="43">
        <v>2.4305555555555556E-2</v>
      </c>
      <c r="O858" s="43">
        <v>3.3333333333333333E-2</v>
      </c>
      <c r="P858" s="39"/>
      <c r="Q858" s="42"/>
      <c r="R858" s="29">
        <f>MIP_4[[#This Row],[PT-1]]+MIP_4[[#This Row],[PT-2]]*2+MIP_4[[#This Row],[PT-3]]*3+MIP_4[[#This Row],[PT &gt; 3 Pontos]]</f>
        <v>14</v>
      </c>
      <c r="S85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6.0416666666666563E-2</v>
      </c>
      <c r="T85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6.0416666666666563E-2</v>
      </c>
      <c r="U858" s="41">
        <f ca="1">MIP_4[[#This Row],[Eficiência]]</f>
        <v>1.1454812446717806</v>
      </c>
      <c r="V858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58" s="39">
        <f>IF(MIP_4[[#This Row],[P.S]]-MIP_4[[#This Row],[P.E]]&lt;0,1+MIP_4[[#This Row],[P.S]]-MIP_4[[#This Row],[P.E]]-1/24,MIP_4[[#This Row],[P.S]]-MIP_4[[#This Row],[P.E]]-1/24)</f>
        <v>0.35555555555555557</v>
      </c>
      <c r="X858" s="39">
        <f ca="1">MIP_4[[#This Row],[PT-1]]*$S$3+MIP_4[[#This Row],[PT-2]]*$T$3+MIP_4[[#This Row],[PT-3]]*$U$3+MIP_4[[#This Row],[PT &gt; 3 Pontos]]*$V$3</f>
        <v>0.33807606179549093</v>
      </c>
      <c r="Y858" s="39">
        <f>MIP_4[[#This Row],[HH disponível]]-MIP_4[[#This Row],[HH AC TOT]]</f>
        <v>0.29513888888888901</v>
      </c>
      <c r="Z858" s="38">
        <f ca="1">MIP_4[[#This Row],[HH Produtivo
Total]]/MIP_4[[#This Row],[HH Trabalhado]]</f>
        <v>1.1454812446717806</v>
      </c>
      <c r="AA858" s="38">
        <f ca="1">MIP_4[[#This Row],[HH Produtivo
Total]]/MIP_4[[#This Row],[HH disponível]]</f>
        <v>0.95083892379981827</v>
      </c>
      <c r="AB858" s="38">
        <f>MIP_4[[#This Row],[HH Trabalhado]]/MIP_4[[#This Row],[HH disponível]]</f>
        <v>0.83007812500000033</v>
      </c>
      <c r="AC858" s="37" t="str">
        <f>LEFT(MIP_4[[#This Row],[Equipe]], SEARCH("/",MIP_4[[#This Row],[Equipe]],1)-1)</f>
        <v xml:space="preserve">ANDERSON </v>
      </c>
      <c r="AD858" s="37" t="str">
        <f>RIGHT(MIP_4[[#This Row],[Equipe]], LEN(MIP_4[[#This Row],[Equipe]])-SEARCH("/",MIP_4[[#This Row],[Equipe]],1))</f>
        <v xml:space="preserve"> MARCO</v>
      </c>
      <c r="AE858" s="29">
        <f>COUNTIFS('[1]Tempo parado'!G:G,"&gt;="&amp;MIP_4[[#This Row],[S.B Sitrack]],'[1]Tempo parado'!H:H,"&lt;="&amp;MIP_4[[#This Row],[C.B Sitrack]],'[1]Tempo parado'!A:A,MIP_4[[#This Row],[Placa]])</f>
        <v>0</v>
      </c>
      <c r="AF858" s="36"/>
      <c r="AG858" s="35"/>
      <c r="AH858" s="34"/>
      <c r="AI858" s="34"/>
      <c r="AJ85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5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5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58" s="31" t="str">
        <f>IFERROR(MIP_4[[#This Row],[Tempo parado]]/(MIP_4[[#This Row],[C.B Sitrack]]-MIP_4[[#This Row],[S.B Sitrack]]),"")</f>
        <v/>
      </c>
      <c r="AN858" s="30"/>
      <c r="AO858" s="29">
        <f>IF(AND(MIP_4[Exc]=0,MIP_4[Previsto / Realizado]="Realizado"),MIP_4[Sem],0)</f>
        <v>49</v>
      </c>
      <c r="AP858" s="29">
        <f>IF(AND(MIP_4[Exc]=0,MIP_4[Previsto / Realizado]="Realizado",ISBLANK(MIP_4[[#This Row],[S.B Sitrack]])=FALSE,ISBLANK(MIP_4[[#This Row],[C.B Sitrack]])=FALSE),MIP_4[Sem],0)</f>
        <v>0</v>
      </c>
    </row>
    <row r="859" spans="1:42" ht="15.75" x14ac:dyDescent="0.25">
      <c r="A859" s="29">
        <f>WEEKNUM(MIP_4[[#This Row],[Data]])</f>
        <v>49</v>
      </c>
      <c r="B859" s="45">
        <v>43077</v>
      </c>
      <c r="C859" s="45"/>
      <c r="D859" s="35" t="s">
        <v>54</v>
      </c>
      <c r="E859" s="35" t="s">
        <v>5</v>
      </c>
      <c r="F859" s="35"/>
      <c r="G859" s="44"/>
      <c r="H859" s="44">
        <v>6</v>
      </c>
      <c r="I859" s="44">
        <v>1</v>
      </c>
      <c r="J859" s="44">
        <v>0</v>
      </c>
      <c r="K859" s="44">
        <v>0</v>
      </c>
      <c r="L859" s="43">
        <v>0.25</v>
      </c>
      <c r="M859" s="43">
        <v>0.2638888888888889</v>
      </c>
      <c r="N859" s="43">
        <v>0.62986111111111109</v>
      </c>
      <c r="O859" s="43">
        <v>0.65833333333333333</v>
      </c>
      <c r="P859" s="39"/>
      <c r="Q859" s="42"/>
      <c r="R859" s="29">
        <f>MIP_4[[#This Row],[PT-1]]+MIP_4[[#This Row],[PT-2]]*2+MIP_4[[#This Row],[PT-3]]*3+MIP_4[[#This Row],[PT &gt; 3 Pontos]]</f>
        <v>8</v>
      </c>
      <c r="S85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4.2361111111111127E-2</v>
      </c>
      <c r="T85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4.2361111111111127E-2</v>
      </c>
      <c r="U859" s="41">
        <f ca="1">MIP_4[[#This Row],[Eficiência]]</f>
        <v>0.59839827142103441</v>
      </c>
      <c r="V859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59" s="39">
        <f>IF(MIP_4[[#This Row],[P.S]]-MIP_4[[#This Row],[P.E]]&lt;0,1+MIP_4[[#This Row],[P.S]]-MIP_4[[#This Row],[P.E]]-1/24,MIP_4[[#This Row],[P.S]]-MIP_4[[#This Row],[P.E]]-1/24)</f>
        <v>0.36666666666666664</v>
      </c>
      <c r="X859" s="39">
        <f ca="1">MIP_4[[#This Row],[PT-1]]*$S$3+MIP_4[[#This Row],[PT-2]]*$T$3+MIP_4[[#This Row],[PT-3]]*$U$3+MIP_4[[#This Row],[PT &gt; 3 Pontos]]*$V$3</f>
        <v>0.19406388385668266</v>
      </c>
      <c r="Y859" s="39">
        <f>MIP_4[[#This Row],[HH disponível]]-MIP_4[[#This Row],[HH AC TOT]]</f>
        <v>0.32430555555555551</v>
      </c>
      <c r="Z859" s="38">
        <f ca="1">MIP_4[[#This Row],[HH Produtivo
Total]]/MIP_4[[#This Row],[HH Trabalhado]]</f>
        <v>0.59839827142103441</v>
      </c>
      <c r="AA859" s="38">
        <f ca="1">MIP_4[[#This Row],[HH Produtivo
Total]]/MIP_4[[#This Row],[HH disponível]]</f>
        <v>0.52926513779095274</v>
      </c>
      <c r="AB859" s="38">
        <f>MIP_4[[#This Row],[HH Trabalhado]]/MIP_4[[#This Row],[HH disponível]]</f>
        <v>0.88446969696969691</v>
      </c>
      <c r="AC859" s="37" t="str">
        <f>LEFT(MIP_4[[#This Row],[Equipe]], SEARCH("/",MIP_4[[#This Row],[Equipe]],1)-1)</f>
        <v xml:space="preserve">CLAUDINEY </v>
      </c>
      <c r="AD859" s="37" t="str">
        <f>RIGHT(MIP_4[[#This Row],[Equipe]], LEN(MIP_4[[#This Row],[Equipe]])-SEARCH("/",MIP_4[[#This Row],[Equipe]],1))</f>
        <v xml:space="preserve"> JOILSON / VALDEI</v>
      </c>
      <c r="AE859" s="29">
        <f>COUNTIFS('[1]Tempo parado'!G:G,"&gt;="&amp;MIP_4[[#This Row],[S.B Sitrack]],'[1]Tempo parado'!H:H,"&lt;="&amp;MIP_4[[#This Row],[C.B Sitrack]],'[1]Tempo parado'!A:A,MIP_4[[#This Row],[Placa]])</f>
        <v>0</v>
      </c>
      <c r="AF859" s="36"/>
      <c r="AG859" s="35"/>
      <c r="AH859" s="34"/>
      <c r="AI859" s="34"/>
      <c r="AJ85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5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5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59" s="31" t="str">
        <f>IFERROR(MIP_4[[#This Row],[Tempo parado]]/(MIP_4[[#This Row],[C.B Sitrack]]-MIP_4[[#This Row],[S.B Sitrack]]),"")</f>
        <v/>
      </c>
      <c r="AN859" s="30"/>
      <c r="AO859" s="29">
        <f>IF(AND(MIP_4[Exc]=0,MIP_4[Previsto / Realizado]="Realizado"),MIP_4[Sem],0)</f>
        <v>0</v>
      </c>
      <c r="AP859" s="29">
        <f>IF(AND(MIP_4[Exc]=0,MIP_4[Previsto / Realizado]="Realizado",ISBLANK(MIP_4[[#This Row],[S.B Sitrack]])=FALSE,ISBLANK(MIP_4[[#This Row],[C.B Sitrack]])=FALSE),MIP_4[Sem],0)</f>
        <v>0</v>
      </c>
    </row>
    <row r="860" spans="1:42" ht="15.75" x14ac:dyDescent="0.25">
      <c r="A860" s="29">
        <f>WEEKNUM(MIP_4[[#This Row],[Data]])</f>
        <v>49</v>
      </c>
      <c r="B860" s="45">
        <v>43077</v>
      </c>
      <c r="C860" s="45"/>
      <c r="D860" s="35" t="s">
        <v>54</v>
      </c>
      <c r="E860" s="35" t="s">
        <v>2</v>
      </c>
      <c r="F860" s="35"/>
      <c r="G860" s="44"/>
      <c r="H860" s="44">
        <v>7</v>
      </c>
      <c r="I860" s="44">
        <v>2</v>
      </c>
      <c r="J860" s="44">
        <v>0</v>
      </c>
      <c r="K860" s="44">
        <v>0</v>
      </c>
      <c r="L860" s="43">
        <v>0.27013888888888887</v>
      </c>
      <c r="M860" s="43">
        <v>0.28402777777777777</v>
      </c>
      <c r="N860" s="43">
        <v>0.59861111111111109</v>
      </c>
      <c r="O860" s="43">
        <v>0.66597222222222219</v>
      </c>
      <c r="P860" s="39"/>
      <c r="Q860" s="42" t="s">
        <v>53</v>
      </c>
      <c r="R860" s="29">
        <f>MIP_4[[#This Row],[PT-1]]+MIP_4[[#This Row],[PT-2]]*2+MIP_4[[#This Row],[PT-3]]*3+MIP_4[[#This Row],[PT &gt; 3 Pontos]]</f>
        <v>11</v>
      </c>
      <c r="S86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8.1249999999999989E-2</v>
      </c>
      <c r="T86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8.1249999999999989E-2</v>
      </c>
      <c r="U860" s="41">
        <f ca="1">MIP_4[[#This Row],[Eficiência]]</f>
        <v>0.96365863664859652</v>
      </c>
      <c r="V860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60" s="39">
        <f>IF(MIP_4[[#This Row],[P.S]]-MIP_4[[#This Row],[P.E]]&lt;0,1+MIP_4[[#This Row],[P.S]]-MIP_4[[#This Row],[P.E]]-1/24,MIP_4[[#This Row],[P.S]]-MIP_4[[#This Row],[P.E]]-1/24)</f>
        <v>0.35416666666666663</v>
      </c>
      <c r="X860" s="39">
        <f ca="1">MIP_4[[#This Row],[PT-1]]*$S$3+MIP_4[[#This Row],[PT-2]]*$T$3+MIP_4[[#This Row],[PT-3]]*$U$3+MIP_4[[#This Row],[PT &gt; 3 Pontos]]*$V$3</f>
        <v>0.26299850291867943</v>
      </c>
      <c r="Y860" s="39">
        <f>MIP_4[[#This Row],[HH disponível]]-MIP_4[[#This Row],[HH AC TOT]]</f>
        <v>0.27291666666666664</v>
      </c>
      <c r="Z860" s="38">
        <f ca="1">MIP_4[[#This Row],[HH Produtivo
Total]]/MIP_4[[#This Row],[HH Trabalhado]]</f>
        <v>0.96365863664859652</v>
      </c>
      <c r="AA860" s="38">
        <f ca="1">MIP_4[[#This Row],[HH Produtivo
Total]]/MIP_4[[#This Row],[HH disponível]]</f>
        <v>0.74258400824097726</v>
      </c>
      <c r="AB860" s="38">
        <f>MIP_4[[#This Row],[HH Trabalhado]]/MIP_4[[#This Row],[HH disponível]]</f>
        <v>0.77058823529411768</v>
      </c>
      <c r="AC860" s="37" t="str">
        <f>LEFT(MIP_4[[#This Row],[Equipe]], SEARCH("/",MIP_4[[#This Row],[Equipe]],1)-1)</f>
        <v xml:space="preserve">CLAUDINEY </v>
      </c>
      <c r="AD860" s="37" t="str">
        <f>RIGHT(MIP_4[[#This Row],[Equipe]], LEN(MIP_4[[#This Row],[Equipe]])-SEARCH("/",MIP_4[[#This Row],[Equipe]],1))</f>
        <v xml:space="preserve"> JOILSON / VALDEI</v>
      </c>
      <c r="AE860" s="29">
        <f>COUNTIFS('[1]Tempo parado'!G:G,"&gt;="&amp;MIP_4[[#This Row],[S.B Sitrack]],'[1]Tempo parado'!H:H,"&lt;="&amp;MIP_4[[#This Row],[C.B Sitrack]],'[1]Tempo parado'!A:A,MIP_4[[#This Row],[Placa]])</f>
        <v>0</v>
      </c>
      <c r="AF860" s="36"/>
      <c r="AG860" s="35"/>
      <c r="AH860" s="34"/>
      <c r="AI860" s="34"/>
      <c r="AJ86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6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6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60" s="31" t="str">
        <f>IFERROR(MIP_4[[#This Row],[Tempo parado]]/(MIP_4[[#This Row],[C.B Sitrack]]-MIP_4[[#This Row],[S.B Sitrack]]),"")</f>
        <v/>
      </c>
      <c r="AN860" s="30"/>
      <c r="AO860" s="29">
        <f>IF(AND(MIP_4[Exc]=0,MIP_4[Previsto / Realizado]="Realizado"),MIP_4[Sem],0)</f>
        <v>49</v>
      </c>
      <c r="AP860" s="29">
        <f>IF(AND(MIP_4[Exc]=0,MIP_4[Previsto / Realizado]="Realizado",ISBLANK(MIP_4[[#This Row],[S.B Sitrack]])=FALSE,ISBLANK(MIP_4[[#This Row],[C.B Sitrack]])=FALSE),MIP_4[Sem],0)</f>
        <v>0</v>
      </c>
    </row>
    <row r="861" spans="1:42" ht="15.75" x14ac:dyDescent="0.25">
      <c r="A861" s="29">
        <f>WEEKNUM(MIP_4[[#This Row],[Data]])</f>
        <v>49</v>
      </c>
      <c r="B861" s="45">
        <v>43077</v>
      </c>
      <c r="C861" s="45"/>
      <c r="D861" s="35" t="s">
        <v>7</v>
      </c>
      <c r="E861" s="35" t="s">
        <v>5</v>
      </c>
      <c r="F861" s="35"/>
      <c r="G861" s="44"/>
      <c r="H861" s="44">
        <v>2</v>
      </c>
      <c r="I861" s="44">
        <v>3</v>
      </c>
      <c r="J861" s="44">
        <v>1</v>
      </c>
      <c r="K861" s="44">
        <v>0</v>
      </c>
      <c r="L861" s="43">
        <v>0.625</v>
      </c>
      <c r="M861" s="43">
        <v>0.6381944444444444</v>
      </c>
      <c r="N861" s="43">
        <v>5.5555555555555558E-3</v>
      </c>
      <c r="O861" s="43">
        <v>3.3333333333333333E-2</v>
      </c>
      <c r="P861" s="39"/>
      <c r="Q861" s="42"/>
      <c r="R861" s="29">
        <f>MIP_4[[#This Row],[PT-1]]+MIP_4[[#This Row],[PT-2]]*2+MIP_4[[#This Row],[PT-3]]*3+MIP_4[[#This Row],[PT &gt; 3 Pontos]]</f>
        <v>11</v>
      </c>
      <c r="S86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4.0972222222222188E-2</v>
      </c>
      <c r="T86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4.0972222222222188E-2</v>
      </c>
      <c r="U861" s="41">
        <f ca="1">MIP_4[[#This Row],[Eficiência]]</f>
        <v>0.75091757825777916</v>
      </c>
      <c r="V861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61" s="39">
        <f>IF(MIP_4[[#This Row],[P.S]]-MIP_4[[#This Row],[P.E]]&lt;0,1+MIP_4[[#This Row],[P.S]]-MIP_4[[#This Row],[P.E]]-1/24,MIP_4[[#This Row],[P.S]]-MIP_4[[#This Row],[P.E]]-1/24)</f>
        <v>0.36666666666666675</v>
      </c>
      <c r="X861" s="39">
        <f ca="1">MIP_4[[#This Row],[PT-1]]*$S$3+MIP_4[[#This Row],[PT-2]]*$T$3+MIP_4[[#This Row],[PT-3]]*$U$3+MIP_4[[#This Row],[PT &gt; 3 Pontos]]*$V$3</f>
        <v>0.24456968347423511</v>
      </c>
      <c r="Y861" s="39">
        <f>MIP_4[[#This Row],[HH disponível]]-MIP_4[[#This Row],[HH AC TOT]]</f>
        <v>0.32569444444444456</v>
      </c>
      <c r="Z861" s="38">
        <f ca="1">MIP_4[[#This Row],[HH Produtivo
Total]]/MIP_4[[#This Row],[HH Trabalhado]]</f>
        <v>0.75091757825777916</v>
      </c>
      <c r="AA861" s="38">
        <f ca="1">MIP_4[[#This Row],[HH Produtivo
Total]]/MIP_4[[#This Row],[HH disponível]]</f>
        <v>0.66700822765700463</v>
      </c>
      <c r="AB861" s="38">
        <f>MIP_4[[#This Row],[HH Trabalhado]]/MIP_4[[#This Row],[HH disponível]]</f>
        <v>0.88825757575757591</v>
      </c>
      <c r="AC861" s="37" t="str">
        <f>LEFT(MIP_4[[#This Row],[Equipe]], SEARCH("/",MIP_4[[#This Row],[Equipe]],1)-1)</f>
        <v xml:space="preserve">ANDERSON </v>
      </c>
      <c r="AD861" s="37" t="str">
        <f>RIGHT(MIP_4[[#This Row],[Equipe]], LEN(MIP_4[[#This Row],[Equipe]])-SEARCH("/",MIP_4[[#This Row],[Equipe]],1))</f>
        <v xml:space="preserve"> MARCO</v>
      </c>
      <c r="AE861" s="29">
        <f>COUNTIFS('[1]Tempo parado'!G:G,"&gt;="&amp;MIP_4[[#This Row],[S.B Sitrack]],'[1]Tempo parado'!H:H,"&lt;="&amp;MIP_4[[#This Row],[C.B Sitrack]],'[1]Tempo parado'!A:A,MIP_4[[#This Row],[Placa]])</f>
        <v>0</v>
      </c>
      <c r="AF861" s="36"/>
      <c r="AG861" s="35"/>
      <c r="AH861" s="34"/>
      <c r="AI861" s="34"/>
      <c r="AJ86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6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6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61" s="31" t="str">
        <f>IFERROR(MIP_4[[#This Row],[Tempo parado]]/(MIP_4[[#This Row],[C.B Sitrack]]-MIP_4[[#This Row],[S.B Sitrack]]),"")</f>
        <v/>
      </c>
      <c r="AN861" s="30"/>
      <c r="AO861" s="29">
        <f>IF(AND(MIP_4[Exc]=0,MIP_4[Previsto / Realizado]="Realizado"),MIP_4[Sem],0)</f>
        <v>0</v>
      </c>
      <c r="AP861" s="29">
        <f>IF(AND(MIP_4[Exc]=0,MIP_4[Previsto / Realizado]="Realizado",ISBLANK(MIP_4[[#This Row],[S.B Sitrack]])=FALSE,ISBLANK(MIP_4[[#This Row],[C.B Sitrack]])=FALSE),MIP_4[Sem],0)</f>
        <v>0</v>
      </c>
    </row>
    <row r="862" spans="1:42" ht="15.75" x14ac:dyDescent="0.25">
      <c r="A862" s="29">
        <f>WEEKNUM(MIP_4[[#This Row],[Data]])</f>
        <v>49</v>
      </c>
      <c r="B862" s="45">
        <v>43077</v>
      </c>
      <c r="C862" s="45"/>
      <c r="D862" s="35" t="s">
        <v>7</v>
      </c>
      <c r="E862" s="35" t="s">
        <v>2</v>
      </c>
      <c r="F862" s="35"/>
      <c r="G862" s="44"/>
      <c r="H862" s="44">
        <v>2</v>
      </c>
      <c r="I862" s="44">
        <v>3</v>
      </c>
      <c r="J862" s="44">
        <v>1</v>
      </c>
      <c r="K862" s="44">
        <v>0</v>
      </c>
      <c r="L862" s="43">
        <v>0.63541666666666663</v>
      </c>
      <c r="M862" s="43">
        <v>0.67708333333333337</v>
      </c>
      <c r="N862" s="43">
        <v>0.91805555555555562</v>
      </c>
      <c r="O862" s="43">
        <v>0.91875000000000007</v>
      </c>
      <c r="P862" s="39"/>
      <c r="Q862" s="42" t="s">
        <v>52</v>
      </c>
      <c r="R862" s="29">
        <f>MIP_4[[#This Row],[PT-1]]+MIP_4[[#This Row],[PT-2]]*2+MIP_4[[#This Row],[PT-3]]*3+MIP_4[[#This Row],[PT &gt; 3 Pontos]]</f>
        <v>11</v>
      </c>
      <c r="S86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4.2361111111111183E-2</v>
      </c>
      <c r="T86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4.2361111111111183E-2</v>
      </c>
      <c r="U862" s="41">
        <f ca="1">MIP_4[[#This Row],[Eficiência]]</f>
        <v>1.2271092132505173</v>
      </c>
      <c r="V862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62" s="39">
        <f>IF(MIP_4[[#This Row],[P.S]]-MIP_4[[#This Row],[P.E]]&lt;0,1+MIP_4[[#This Row],[P.S]]-MIP_4[[#This Row],[P.E]]-1/24,MIP_4[[#This Row],[P.S]]-MIP_4[[#This Row],[P.E]]-1/24)</f>
        <v>0.24166666666666678</v>
      </c>
      <c r="X862" s="39">
        <f ca="1">MIP_4[[#This Row],[PT-1]]*$S$3+MIP_4[[#This Row],[PT-2]]*$T$3+MIP_4[[#This Row],[PT-3]]*$U$3+MIP_4[[#This Row],[PT &gt; 3 Pontos]]*$V$3</f>
        <v>0.24456968347423511</v>
      </c>
      <c r="Y862" s="39">
        <f>MIP_4[[#This Row],[HH disponível]]-MIP_4[[#This Row],[HH AC TOT]]</f>
        <v>0.1993055555555556</v>
      </c>
      <c r="Z862" s="38">
        <f ca="1">MIP_4[[#This Row],[HH Produtivo
Total]]/MIP_4[[#This Row],[HH Trabalhado]]</f>
        <v>1.2271092132505173</v>
      </c>
      <c r="AA862" s="38">
        <f ca="1">MIP_4[[#This Row],[HH Produtivo
Total]]/MIP_4[[#This Row],[HH disponível]]</f>
        <v>1.0120124833416619</v>
      </c>
      <c r="AB862" s="38">
        <f>MIP_4[[#This Row],[HH Trabalhado]]/MIP_4[[#This Row],[HH disponível]]</f>
        <v>0.82471264367816066</v>
      </c>
      <c r="AC862" s="37" t="str">
        <f>LEFT(MIP_4[[#This Row],[Equipe]], SEARCH("/",MIP_4[[#This Row],[Equipe]],1)-1)</f>
        <v xml:space="preserve">ANDERSON </v>
      </c>
      <c r="AD862" s="37" t="str">
        <f>RIGHT(MIP_4[[#This Row],[Equipe]], LEN(MIP_4[[#This Row],[Equipe]])-SEARCH("/",MIP_4[[#This Row],[Equipe]],1))</f>
        <v xml:space="preserve"> MARCO</v>
      </c>
      <c r="AE862" s="29">
        <f>COUNTIFS('[1]Tempo parado'!G:G,"&gt;="&amp;MIP_4[[#This Row],[S.B Sitrack]],'[1]Tempo parado'!H:H,"&lt;="&amp;MIP_4[[#This Row],[C.B Sitrack]],'[1]Tempo parado'!A:A,MIP_4[[#This Row],[Placa]])</f>
        <v>0</v>
      </c>
      <c r="AF862" s="36"/>
      <c r="AG862" s="35"/>
      <c r="AH862" s="34"/>
      <c r="AI862" s="34"/>
      <c r="AJ86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6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6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62" s="31" t="str">
        <f>IFERROR(MIP_4[[#This Row],[Tempo parado]]/(MIP_4[[#This Row],[C.B Sitrack]]-MIP_4[[#This Row],[S.B Sitrack]]),"")</f>
        <v/>
      </c>
      <c r="AN862" s="30"/>
      <c r="AO862" s="29">
        <f>IF(AND(MIP_4[Exc]=0,MIP_4[Previsto / Realizado]="Realizado"),MIP_4[Sem],0)</f>
        <v>49</v>
      </c>
      <c r="AP862" s="29">
        <f>IF(AND(MIP_4[Exc]=0,MIP_4[Previsto / Realizado]="Realizado",ISBLANK(MIP_4[[#This Row],[S.B Sitrack]])=FALSE,ISBLANK(MIP_4[[#This Row],[C.B Sitrack]])=FALSE),MIP_4[Sem],0)</f>
        <v>0</v>
      </c>
    </row>
    <row r="863" spans="1:42" ht="15.75" x14ac:dyDescent="0.25">
      <c r="A863" s="29">
        <f>WEEKNUM(MIP_4[[#This Row],[Data]])</f>
        <v>50</v>
      </c>
      <c r="B863" s="45">
        <v>43080</v>
      </c>
      <c r="C863" s="45"/>
      <c r="D863" s="35" t="s">
        <v>7</v>
      </c>
      <c r="E863" s="35" t="s">
        <v>5</v>
      </c>
      <c r="F863" s="35"/>
      <c r="G863" s="44"/>
      <c r="H863" s="44">
        <v>1</v>
      </c>
      <c r="I863" s="44">
        <v>1</v>
      </c>
      <c r="J863" s="44">
        <v>1</v>
      </c>
      <c r="K863" s="44">
        <v>0</v>
      </c>
      <c r="L863" s="43">
        <v>0</v>
      </c>
      <c r="M863" s="43">
        <v>0</v>
      </c>
      <c r="N863" s="43">
        <v>0</v>
      </c>
      <c r="O863" s="43">
        <v>0</v>
      </c>
      <c r="P863" s="39"/>
      <c r="Q863" s="42" t="s">
        <v>51</v>
      </c>
      <c r="R863" s="29">
        <f>MIP_4[[#This Row],[PT-1]]+MIP_4[[#This Row],[PT-2]]*2+MIP_4[[#This Row],[PT-3]]*3+MIP_4[[#This Row],[PT &gt; 3 Pontos]]</f>
        <v>6</v>
      </c>
      <c r="S86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</v>
      </c>
      <c r="T86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0</v>
      </c>
      <c r="U863" s="41">
        <f ca="1">MIP_4[[#This Row],[Eficiência]]</f>
        <v>-3.1614311594202902</v>
      </c>
      <c r="V863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63" s="39">
        <f>IF(MIP_4[[#This Row],[P.S]]-MIP_4[[#This Row],[P.E]]&lt;0,1+MIP_4[[#This Row],[P.S]]-MIP_4[[#This Row],[P.E]]-1/24,MIP_4[[#This Row],[P.S]]-MIP_4[[#This Row],[P.E]]-1/24)</f>
        <v>-4.1666666666666664E-2</v>
      </c>
      <c r="X863" s="39">
        <f ca="1">MIP_4[[#This Row],[PT-1]]*$S$3+MIP_4[[#This Row],[PT-2]]*$T$3+MIP_4[[#This Row],[PT-3]]*$U$3+MIP_4[[#This Row],[PT &gt; 3 Pontos]]*$V$3</f>
        <v>0.13172629830917876</v>
      </c>
      <c r="Y863" s="39">
        <f>MIP_4[[#This Row],[HH disponível]]-MIP_4[[#This Row],[HH AC TOT]]</f>
        <v>-4.1666666666666664E-2</v>
      </c>
      <c r="Z863" s="38">
        <f ca="1">MIP_4[[#This Row],[HH Produtivo
Total]]/MIP_4[[#This Row],[HH Trabalhado]]</f>
        <v>-3.1614311594202902</v>
      </c>
      <c r="AA863" s="38">
        <f ca="1">MIP_4[[#This Row],[HH Produtivo
Total]]/MIP_4[[#This Row],[HH disponível]]</f>
        <v>-3.1614311594202902</v>
      </c>
      <c r="AB863" s="38">
        <f>MIP_4[[#This Row],[HH Trabalhado]]/MIP_4[[#This Row],[HH disponível]]</f>
        <v>1</v>
      </c>
      <c r="AC863" s="37" t="str">
        <f>LEFT(MIP_4[[#This Row],[Equipe]], SEARCH("/",MIP_4[[#This Row],[Equipe]],1)-1)</f>
        <v xml:space="preserve">ANDERSON </v>
      </c>
      <c r="AD863" s="37" t="str">
        <f>RIGHT(MIP_4[[#This Row],[Equipe]], LEN(MIP_4[[#This Row],[Equipe]])-SEARCH("/",MIP_4[[#This Row],[Equipe]],1))</f>
        <v xml:space="preserve"> MARCO</v>
      </c>
      <c r="AE863" s="29">
        <f>COUNTIFS('[1]Tempo parado'!G:G,"&gt;="&amp;MIP_4[[#This Row],[S.B Sitrack]],'[1]Tempo parado'!H:H,"&lt;="&amp;MIP_4[[#This Row],[C.B Sitrack]],'[1]Tempo parado'!A:A,MIP_4[[#This Row],[Placa]])</f>
        <v>0</v>
      </c>
      <c r="AF863" s="36"/>
      <c r="AG863" s="35"/>
      <c r="AH863" s="34"/>
      <c r="AI863" s="34"/>
      <c r="AJ86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6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6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63" s="31" t="str">
        <f>IFERROR(MIP_4[[#This Row],[Tempo parado]]/(MIP_4[[#This Row],[C.B Sitrack]]-MIP_4[[#This Row],[S.B Sitrack]]),"")</f>
        <v/>
      </c>
      <c r="AN863" s="30"/>
      <c r="AO863" s="29">
        <f>IF(AND(MIP_4[Exc]=0,MIP_4[Previsto / Realizado]="Realizado"),MIP_4[Sem],0)</f>
        <v>0</v>
      </c>
      <c r="AP863" s="29">
        <f>IF(AND(MIP_4[Exc]=0,MIP_4[Previsto / Realizado]="Realizado",ISBLANK(MIP_4[[#This Row],[S.B Sitrack]])=FALSE,ISBLANK(MIP_4[[#This Row],[C.B Sitrack]])=FALSE),MIP_4[Sem],0)</f>
        <v>0</v>
      </c>
    </row>
    <row r="864" spans="1:42" ht="15.75" x14ac:dyDescent="0.25">
      <c r="A864" s="29">
        <f>WEEKNUM(MIP_4[[#This Row],[Data]])</f>
        <v>50</v>
      </c>
      <c r="B864" s="45">
        <v>43080</v>
      </c>
      <c r="C864" s="45"/>
      <c r="D864" s="35" t="s">
        <v>7</v>
      </c>
      <c r="E864" s="35" t="s">
        <v>2</v>
      </c>
      <c r="F864" s="35"/>
      <c r="G864" s="44"/>
      <c r="H864" s="44">
        <v>3</v>
      </c>
      <c r="I864" s="44">
        <v>1</v>
      </c>
      <c r="J864" s="44">
        <v>2</v>
      </c>
      <c r="K864" s="44">
        <v>0</v>
      </c>
      <c r="L864" s="43">
        <v>0.62986111111111109</v>
      </c>
      <c r="M864" s="43">
        <v>0.67361111111111116</v>
      </c>
      <c r="N864" s="43">
        <v>0.88263888888888886</v>
      </c>
      <c r="O864" s="43">
        <v>3.4722222222222224E-2</v>
      </c>
      <c r="P864" s="39"/>
      <c r="Q864" s="42" t="s">
        <v>50</v>
      </c>
      <c r="R864" s="29">
        <f>MIP_4[[#This Row],[PT-1]]+MIP_4[[#This Row],[PT-2]]*2+MIP_4[[#This Row],[PT-3]]*3+MIP_4[[#This Row],[PT &gt; 3 Pontos]]</f>
        <v>11</v>
      </c>
      <c r="S86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0.19583333333333353</v>
      </c>
      <c r="T86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0.19583333333333353</v>
      </c>
      <c r="U864" s="41">
        <f ca="1">MIP_4[[#This Row],[Eficiência]]</f>
        <v>1.4613292290576712</v>
      </c>
      <c r="V864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64" s="39">
        <f>IF(MIP_4[[#This Row],[P.S]]-MIP_4[[#This Row],[P.E]]&lt;0,1+MIP_4[[#This Row],[P.S]]-MIP_4[[#This Row],[P.E]]-1/24,MIP_4[[#This Row],[P.S]]-MIP_4[[#This Row],[P.E]]-1/24)</f>
        <v>0.36319444444444454</v>
      </c>
      <c r="X864" s="39">
        <f ca="1">MIP_4[[#This Row],[PT-1]]*$S$3+MIP_4[[#This Row],[PT-2]]*$T$3+MIP_4[[#This Row],[PT-3]]*$U$3+MIP_4[[#This Row],[PT &gt; 3 Pontos]]*$V$3</f>
        <v>0.24456968347423511</v>
      </c>
      <c r="Y864" s="39">
        <f>MIP_4[[#This Row],[HH disponível]]-MIP_4[[#This Row],[HH AC TOT]]</f>
        <v>0.16736111111111102</v>
      </c>
      <c r="Z864" s="38">
        <f ca="1">MIP_4[[#This Row],[HH Produtivo
Total]]/MIP_4[[#This Row],[HH Trabalhado]]</f>
        <v>1.4613292290576712</v>
      </c>
      <c r="AA864" s="38">
        <f ca="1">MIP_4[[#This Row],[HH Produtivo
Total]]/MIP_4[[#This Row],[HH disponível]]</f>
        <v>0.67338497935544639</v>
      </c>
      <c r="AB864" s="38">
        <f>MIP_4[[#This Row],[HH Trabalhado]]/MIP_4[[#This Row],[HH disponível]]</f>
        <v>0.46080305927342219</v>
      </c>
      <c r="AC864" s="37" t="str">
        <f>LEFT(MIP_4[[#This Row],[Equipe]], SEARCH("/",MIP_4[[#This Row],[Equipe]],1)-1)</f>
        <v xml:space="preserve">ANDERSON </v>
      </c>
      <c r="AD864" s="37" t="str">
        <f>RIGHT(MIP_4[[#This Row],[Equipe]], LEN(MIP_4[[#This Row],[Equipe]])-SEARCH("/",MIP_4[[#This Row],[Equipe]],1))</f>
        <v xml:space="preserve"> MARCO</v>
      </c>
      <c r="AE864" s="29">
        <f>COUNTIFS('[1]Tempo parado'!G:G,"&gt;="&amp;MIP_4[[#This Row],[S.B Sitrack]],'[1]Tempo parado'!H:H,"&lt;="&amp;MIP_4[[#This Row],[C.B Sitrack]],'[1]Tempo parado'!A:A,MIP_4[[#This Row],[Placa]])</f>
        <v>0</v>
      </c>
      <c r="AF864" s="36"/>
      <c r="AG864" s="35"/>
      <c r="AH864" s="34"/>
      <c r="AI864" s="34"/>
      <c r="AJ86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6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6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64" s="31" t="str">
        <f>IFERROR(MIP_4[[#This Row],[Tempo parado]]/(MIP_4[[#This Row],[C.B Sitrack]]-MIP_4[[#This Row],[S.B Sitrack]]),"")</f>
        <v/>
      </c>
      <c r="AN864" s="30"/>
      <c r="AO864" s="29">
        <f>IF(AND(MIP_4[Exc]=0,MIP_4[Previsto / Realizado]="Realizado"),MIP_4[Sem],0)</f>
        <v>50</v>
      </c>
      <c r="AP864" s="29">
        <f>IF(AND(MIP_4[Exc]=0,MIP_4[Previsto / Realizado]="Realizado",ISBLANK(MIP_4[[#This Row],[S.B Sitrack]])=FALSE,ISBLANK(MIP_4[[#This Row],[C.B Sitrack]])=FALSE),MIP_4[Sem],0)</f>
        <v>0</v>
      </c>
    </row>
    <row r="865" spans="1:42" ht="15.75" x14ac:dyDescent="0.25">
      <c r="A865" s="29">
        <f>WEEKNUM(MIP_4[[#This Row],[Data]])</f>
        <v>50</v>
      </c>
      <c r="B865" s="45">
        <v>43080</v>
      </c>
      <c r="C865" s="45"/>
      <c r="D865" s="35" t="s">
        <v>3</v>
      </c>
      <c r="E865" s="35" t="s">
        <v>5</v>
      </c>
      <c r="F865" s="35"/>
      <c r="G865" s="44"/>
      <c r="H865" s="44">
        <v>5</v>
      </c>
      <c r="I865" s="44">
        <v>2</v>
      </c>
      <c r="J865" s="44">
        <v>0</v>
      </c>
      <c r="K865" s="44">
        <v>0</v>
      </c>
      <c r="L865" s="43">
        <v>0.625</v>
      </c>
      <c r="M865" s="43">
        <v>0.63750000000000007</v>
      </c>
      <c r="N865" s="43">
        <v>4.8611111111111112E-3</v>
      </c>
      <c r="O865" s="43">
        <v>3.3333333333333333E-2</v>
      </c>
      <c r="P865" s="39"/>
      <c r="Q865" s="42"/>
      <c r="R865" s="29">
        <f>MIP_4[[#This Row],[PT-1]]+MIP_4[[#This Row],[PT-2]]*2+MIP_4[[#This Row],[PT-3]]*3+MIP_4[[#This Row],[PT &gt; 3 Pontos]]</f>
        <v>9</v>
      </c>
      <c r="S86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4.0972222222222299E-2</v>
      </c>
      <c r="T86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4.0972222222222299E-2</v>
      </c>
      <c r="U865" s="41">
        <f ca="1">MIP_4[[#This Row],[Eficiência]]</f>
        <v>0.65382385433083001</v>
      </c>
      <c r="V865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65" s="39">
        <f>IF(MIP_4[[#This Row],[P.S]]-MIP_4[[#This Row],[P.E]]&lt;0,1+MIP_4[[#This Row],[P.S]]-MIP_4[[#This Row],[P.E]]-1/24,MIP_4[[#This Row],[P.S]]-MIP_4[[#This Row],[P.E]]-1/24)</f>
        <v>0.36666666666666675</v>
      </c>
      <c r="X865" s="39">
        <f ca="1">MIP_4[[#This Row],[PT-1]]*$S$3+MIP_4[[#This Row],[PT-2]]*$T$3+MIP_4[[#This Row],[PT-3]]*$U$3+MIP_4[[#This Row],[PT &gt; 3 Pontos]]*$V$3</f>
        <v>0.21294679700080504</v>
      </c>
      <c r="Y865" s="39">
        <f>MIP_4[[#This Row],[HH disponível]]-MIP_4[[#This Row],[HH AC TOT]]</f>
        <v>0.32569444444444445</v>
      </c>
      <c r="Z865" s="38">
        <f ca="1">MIP_4[[#This Row],[HH Produtivo
Total]]/MIP_4[[#This Row],[HH Trabalhado]]</f>
        <v>0.65382385433083001</v>
      </c>
      <c r="AA865" s="38">
        <f ca="1">MIP_4[[#This Row],[HH Produtivo
Total]]/MIP_4[[#This Row],[HH disponível]]</f>
        <v>0.5807639918203773</v>
      </c>
      <c r="AB865" s="38">
        <f>MIP_4[[#This Row],[HH Trabalhado]]/MIP_4[[#This Row],[HH disponível]]</f>
        <v>0.88825757575757558</v>
      </c>
      <c r="AC865" s="37" t="str">
        <f>LEFT(MIP_4[[#This Row],[Equipe]], SEARCH("/",MIP_4[[#This Row],[Equipe]],1)-1)</f>
        <v xml:space="preserve">EDILTON </v>
      </c>
      <c r="AD865" s="37" t="str">
        <f>RIGHT(MIP_4[[#This Row],[Equipe]], LEN(MIP_4[[#This Row],[Equipe]])-SEARCH("/",MIP_4[[#This Row],[Equipe]],1))</f>
        <v xml:space="preserve"> GECIVALDO</v>
      </c>
      <c r="AE865" s="29">
        <f>COUNTIFS('[1]Tempo parado'!G:G,"&gt;="&amp;MIP_4[[#This Row],[S.B Sitrack]],'[1]Tempo parado'!H:H,"&lt;="&amp;MIP_4[[#This Row],[C.B Sitrack]],'[1]Tempo parado'!A:A,MIP_4[[#This Row],[Placa]])</f>
        <v>0</v>
      </c>
      <c r="AF865" s="36"/>
      <c r="AG865" s="35"/>
      <c r="AH865" s="34"/>
      <c r="AI865" s="34"/>
      <c r="AJ86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6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6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65" s="31" t="str">
        <f>IFERROR(MIP_4[[#This Row],[Tempo parado]]/(MIP_4[[#This Row],[C.B Sitrack]]-MIP_4[[#This Row],[S.B Sitrack]]),"")</f>
        <v/>
      </c>
      <c r="AN865" s="30"/>
      <c r="AO865" s="29">
        <f>IF(AND(MIP_4[Exc]=0,MIP_4[Previsto / Realizado]="Realizado"),MIP_4[Sem],0)</f>
        <v>0</v>
      </c>
      <c r="AP865" s="29">
        <f>IF(AND(MIP_4[Exc]=0,MIP_4[Previsto / Realizado]="Realizado",ISBLANK(MIP_4[[#This Row],[S.B Sitrack]])=FALSE,ISBLANK(MIP_4[[#This Row],[C.B Sitrack]])=FALSE),MIP_4[Sem],0)</f>
        <v>0</v>
      </c>
    </row>
    <row r="866" spans="1:42" ht="15.75" x14ac:dyDescent="0.25">
      <c r="A866" s="29">
        <f>WEEKNUM(MIP_4[[#This Row],[Data]])</f>
        <v>46</v>
      </c>
      <c r="B866" s="45">
        <v>43051</v>
      </c>
      <c r="C866" s="45"/>
      <c r="D866" s="35" t="s">
        <v>3</v>
      </c>
      <c r="E866" s="35" t="s">
        <v>2</v>
      </c>
      <c r="F866" s="35"/>
      <c r="G866" s="44"/>
      <c r="H866" s="44">
        <v>5</v>
      </c>
      <c r="I866" s="44">
        <v>2</v>
      </c>
      <c r="J866" s="44">
        <v>0</v>
      </c>
      <c r="K866" s="44">
        <v>0</v>
      </c>
      <c r="L866" s="43">
        <v>0.62708333333333333</v>
      </c>
      <c r="M866" s="43">
        <v>0.66875000000000007</v>
      </c>
      <c r="N866" s="43">
        <v>4.8611111111111112E-3</v>
      </c>
      <c r="O866" s="43">
        <v>3.3333333333333333E-2</v>
      </c>
      <c r="P866" s="39"/>
      <c r="Q866" s="42" t="s">
        <v>49</v>
      </c>
      <c r="R866" s="29">
        <f>MIP_4[[#This Row],[PT-1]]+MIP_4[[#This Row],[PT-2]]*2+MIP_4[[#This Row],[PT-3]]*3+MIP_4[[#This Row],[PT &gt; 3 Pontos]]</f>
        <v>9</v>
      </c>
      <c r="S86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7.0138888888888973E-2</v>
      </c>
      <c r="T86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7.0138888888888973E-2</v>
      </c>
      <c r="U866" s="41">
        <f ca="1">MIP_4[[#This Row],[Eficiência]]</f>
        <v>0.7232155369838662</v>
      </c>
      <c r="V866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66" s="39">
        <f>IF(MIP_4[[#This Row],[P.S]]-MIP_4[[#This Row],[P.E]]&lt;0,1+MIP_4[[#This Row],[P.S]]-MIP_4[[#This Row],[P.E]]-1/24,MIP_4[[#This Row],[P.S]]-MIP_4[[#This Row],[P.E]]-1/24)</f>
        <v>0.36458333333333343</v>
      </c>
      <c r="X866" s="39">
        <f ca="1">MIP_4[[#This Row],[PT-1]]*$S$3+MIP_4[[#This Row],[PT-2]]*$T$3+MIP_4[[#This Row],[PT-3]]*$U$3+MIP_4[[#This Row],[PT &gt; 3 Pontos]]*$V$3</f>
        <v>0.21294679700080504</v>
      </c>
      <c r="Y866" s="39">
        <f>MIP_4[[#This Row],[HH disponível]]-MIP_4[[#This Row],[HH AC TOT]]</f>
        <v>0.29444444444444445</v>
      </c>
      <c r="Z866" s="38">
        <f ca="1">MIP_4[[#This Row],[HH Produtivo
Total]]/MIP_4[[#This Row],[HH Trabalhado]]</f>
        <v>0.7232155369838662</v>
      </c>
      <c r="AA866" s="38">
        <f ca="1">MIP_4[[#This Row],[HH Produtivo
Total]]/MIP_4[[#This Row],[HH disponível]]</f>
        <v>0.58408264320220793</v>
      </c>
      <c r="AB866" s="38">
        <f>MIP_4[[#This Row],[HH Trabalhado]]/MIP_4[[#This Row],[HH disponível]]</f>
        <v>0.80761904761904746</v>
      </c>
      <c r="AC866" s="37" t="str">
        <f>LEFT(MIP_4[[#This Row],[Equipe]], SEARCH("/",MIP_4[[#This Row],[Equipe]],1)-1)</f>
        <v xml:space="preserve">EDILTON </v>
      </c>
      <c r="AD866" s="37" t="str">
        <f>RIGHT(MIP_4[[#This Row],[Equipe]], LEN(MIP_4[[#This Row],[Equipe]])-SEARCH("/",MIP_4[[#This Row],[Equipe]],1))</f>
        <v xml:space="preserve"> GECIVALDO</v>
      </c>
      <c r="AE866" s="29">
        <f>COUNTIFS('[1]Tempo parado'!G:G,"&gt;="&amp;MIP_4[[#This Row],[S.B Sitrack]],'[1]Tempo parado'!H:H,"&lt;="&amp;MIP_4[[#This Row],[C.B Sitrack]],'[1]Tempo parado'!A:A,MIP_4[[#This Row],[Placa]])</f>
        <v>0</v>
      </c>
      <c r="AF866" s="36"/>
      <c r="AG866" s="35"/>
      <c r="AH866" s="34"/>
      <c r="AI866" s="34"/>
      <c r="AJ86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6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6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66" s="31" t="str">
        <f>IFERROR(MIP_4[[#This Row],[Tempo parado]]/(MIP_4[[#This Row],[C.B Sitrack]]-MIP_4[[#This Row],[S.B Sitrack]]),"")</f>
        <v/>
      </c>
      <c r="AN866" s="30"/>
      <c r="AO866" s="29">
        <f>IF(AND(MIP_4[Exc]=0,MIP_4[Previsto / Realizado]="Realizado"),MIP_4[Sem],0)</f>
        <v>46</v>
      </c>
      <c r="AP866" s="29">
        <f>IF(AND(MIP_4[Exc]=0,MIP_4[Previsto / Realizado]="Realizado",ISBLANK(MIP_4[[#This Row],[S.B Sitrack]])=FALSE,ISBLANK(MIP_4[[#This Row],[C.B Sitrack]])=FALSE),MIP_4[Sem],0)</f>
        <v>0</v>
      </c>
    </row>
    <row r="867" spans="1:42" ht="15.75" x14ac:dyDescent="0.25">
      <c r="A867" s="29">
        <f>WEEKNUM(MIP_4[[#This Row],[Data]])</f>
        <v>50</v>
      </c>
      <c r="B867" s="45">
        <v>43081</v>
      </c>
      <c r="C867" s="45"/>
      <c r="D867" s="35" t="s">
        <v>10</v>
      </c>
      <c r="E867" s="35" t="s">
        <v>5</v>
      </c>
      <c r="F867" s="35"/>
      <c r="G867" s="44"/>
      <c r="H867" s="44">
        <v>3</v>
      </c>
      <c r="I867" s="44">
        <v>0</v>
      </c>
      <c r="J867" s="44">
        <v>1</v>
      </c>
      <c r="K867" s="44">
        <v>0</v>
      </c>
      <c r="L867" s="43">
        <v>0.25</v>
      </c>
      <c r="M867" s="43">
        <v>0.2638888888888889</v>
      </c>
      <c r="N867" s="43">
        <v>0.62986111111111109</v>
      </c>
      <c r="O867" s="43">
        <v>0.65833333333333333</v>
      </c>
      <c r="P867" s="39"/>
      <c r="Q867" s="42" t="s">
        <v>48</v>
      </c>
      <c r="R867" s="29">
        <f>MIP_4[[#This Row],[PT-1]]+MIP_4[[#This Row],[PT-2]]*2+MIP_4[[#This Row],[PT-3]]*3+MIP_4[[#This Row],[PT &gt; 3 Pontos]]</f>
        <v>6</v>
      </c>
      <c r="S86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4.2361111111111127E-2</v>
      </c>
      <c r="T86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4.2361111111111127E-2</v>
      </c>
      <c r="U867" s="41">
        <f ca="1">MIP_4[[#This Row],[Eficiência]]</f>
        <v>0.42512141948297799</v>
      </c>
      <c r="V867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67" s="39">
        <f>IF(MIP_4[[#This Row],[P.S]]-MIP_4[[#This Row],[P.E]]&lt;0,1+MIP_4[[#This Row],[P.S]]-MIP_4[[#This Row],[P.E]]-1/24,MIP_4[[#This Row],[P.S]]-MIP_4[[#This Row],[P.E]]-1/24)</f>
        <v>0.36666666666666664</v>
      </c>
      <c r="X867" s="39">
        <f ca="1">MIP_4[[#This Row],[PT-1]]*$S$3+MIP_4[[#This Row],[PT-2]]*$T$3+MIP_4[[#This Row],[PT-3]]*$U$3+MIP_4[[#This Row],[PT &gt; 3 Pontos]]*$V$3</f>
        <v>0.13786923812399354</v>
      </c>
      <c r="Y867" s="39">
        <f>MIP_4[[#This Row],[HH disponível]]-MIP_4[[#This Row],[HH AC TOT]]</f>
        <v>0.32430555555555551</v>
      </c>
      <c r="Z867" s="38">
        <f ca="1">MIP_4[[#This Row],[HH Produtivo
Total]]/MIP_4[[#This Row],[HH Trabalhado]]</f>
        <v>0.42512141948297799</v>
      </c>
      <c r="AA867" s="38">
        <f ca="1">MIP_4[[#This Row],[HH Produtivo
Total]]/MIP_4[[#This Row],[HH disponível]]</f>
        <v>0.37600701306543693</v>
      </c>
      <c r="AB867" s="38">
        <f>MIP_4[[#This Row],[HH Trabalhado]]/MIP_4[[#This Row],[HH disponível]]</f>
        <v>0.88446969696969691</v>
      </c>
      <c r="AC867" s="37" t="str">
        <f>LEFT(MIP_4[[#This Row],[Equipe]], SEARCH("/",MIP_4[[#This Row],[Equipe]],1)-1)</f>
        <v xml:space="preserve">JOILSON </v>
      </c>
      <c r="AD867" s="37" t="str">
        <f>RIGHT(MIP_4[[#This Row],[Equipe]], LEN(MIP_4[[#This Row],[Equipe]])-SEARCH("/",MIP_4[[#This Row],[Equipe]],1))</f>
        <v xml:space="preserve"> VALDEI</v>
      </c>
      <c r="AE867" s="29">
        <f>COUNTIFS('[1]Tempo parado'!G:G,"&gt;="&amp;MIP_4[[#This Row],[S.B Sitrack]],'[1]Tempo parado'!H:H,"&lt;="&amp;MIP_4[[#This Row],[C.B Sitrack]],'[1]Tempo parado'!A:A,MIP_4[[#This Row],[Placa]])</f>
        <v>0</v>
      </c>
      <c r="AF867" s="36"/>
      <c r="AG867" s="35"/>
      <c r="AH867" s="34"/>
      <c r="AI867" s="34"/>
      <c r="AJ86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6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6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67" s="31" t="str">
        <f>IFERROR(MIP_4[[#This Row],[Tempo parado]]/(MIP_4[[#This Row],[C.B Sitrack]]-MIP_4[[#This Row],[S.B Sitrack]]),"")</f>
        <v/>
      </c>
      <c r="AN867" s="30"/>
      <c r="AO867" s="29">
        <f>IF(AND(MIP_4[Exc]=0,MIP_4[Previsto / Realizado]="Realizado"),MIP_4[Sem],0)</f>
        <v>0</v>
      </c>
      <c r="AP867" s="29">
        <f>IF(AND(MIP_4[Exc]=0,MIP_4[Previsto / Realizado]="Realizado",ISBLANK(MIP_4[[#This Row],[S.B Sitrack]])=FALSE,ISBLANK(MIP_4[[#This Row],[C.B Sitrack]])=FALSE),MIP_4[Sem],0)</f>
        <v>0</v>
      </c>
    </row>
    <row r="868" spans="1:42" ht="15.75" x14ac:dyDescent="0.25">
      <c r="A868" s="29">
        <f>WEEKNUM(MIP_4[[#This Row],[Data]])</f>
        <v>50</v>
      </c>
      <c r="B868" s="45">
        <v>43081</v>
      </c>
      <c r="C868" s="45"/>
      <c r="D868" s="35" t="s">
        <v>10</v>
      </c>
      <c r="E868" s="35" t="s">
        <v>2</v>
      </c>
      <c r="F868" s="35" t="s">
        <v>1</v>
      </c>
      <c r="G868" s="44"/>
      <c r="H868" s="44">
        <v>5</v>
      </c>
      <c r="I868" s="44">
        <v>0</v>
      </c>
      <c r="J868" s="44">
        <v>2</v>
      </c>
      <c r="K868" s="44">
        <v>0</v>
      </c>
      <c r="L868" s="43">
        <v>0.24861111111111112</v>
      </c>
      <c r="M868" s="43">
        <v>0.27777777777777779</v>
      </c>
      <c r="N868" s="43">
        <v>0.62222222222222223</v>
      </c>
      <c r="O868" s="43">
        <v>0.67152777777777783</v>
      </c>
      <c r="P868" s="39"/>
      <c r="Q868" s="42" t="s">
        <v>47</v>
      </c>
      <c r="R868" s="29">
        <f>MIP_4[[#This Row],[PT-1]]+MIP_4[[#This Row],[PT-2]]*2+MIP_4[[#This Row],[PT-3]]*3+MIP_4[[#This Row],[PT &gt; 3 Pontos]]</f>
        <v>11</v>
      </c>
      <c r="S86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7.8472222222222276E-2</v>
      </c>
      <c r="T86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7.8472222222222276E-2</v>
      </c>
      <c r="U868" s="41">
        <f ca="1">MIP_4[[#This Row],[Eficiência]]</f>
        <v>0.82804169159686203</v>
      </c>
      <c r="V868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68" s="39">
        <f>IF(MIP_4[[#This Row],[P.S]]-MIP_4[[#This Row],[P.E]]&lt;0,1+MIP_4[[#This Row],[P.S]]-MIP_4[[#This Row],[P.E]]-1/24,MIP_4[[#This Row],[P.S]]-MIP_4[[#This Row],[P.E]]-1/24)</f>
        <v>0.38125000000000003</v>
      </c>
      <c r="X868" s="39">
        <f ca="1">MIP_4[[#This Row],[PT-1]]*$S$3+MIP_4[[#This Row],[PT-2]]*$T$3+MIP_4[[#This Row],[PT-3]]*$U$3+MIP_4[[#This Row],[PT &gt; 3 Pontos]]*$V$3</f>
        <v>0.25071262328904986</v>
      </c>
      <c r="Y868" s="39">
        <f>MIP_4[[#This Row],[HH disponível]]-MIP_4[[#This Row],[HH AC TOT]]</f>
        <v>0.30277777777777776</v>
      </c>
      <c r="Z868" s="38">
        <f ca="1">MIP_4[[#This Row],[HH Produtivo
Total]]/MIP_4[[#This Row],[HH Trabalhado]]</f>
        <v>0.82804169159686203</v>
      </c>
      <c r="AA868" s="38">
        <f ca="1">MIP_4[[#This Row],[HH Produtivo
Total]]/MIP_4[[#This Row],[HH disponível]]</f>
        <v>0.65760688075816354</v>
      </c>
      <c r="AB868" s="38">
        <f>MIP_4[[#This Row],[HH Trabalhado]]/MIP_4[[#This Row],[HH disponível]]</f>
        <v>0.79417122040072852</v>
      </c>
      <c r="AC868" s="37" t="str">
        <f>LEFT(MIP_4[[#This Row],[Equipe]], SEARCH("/",MIP_4[[#This Row],[Equipe]],1)-1)</f>
        <v xml:space="preserve">JOILSON </v>
      </c>
      <c r="AD868" s="37" t="str">
        <f>RIGHT(MIP_4[[#This Row],[Equipe]], LEN(MIP_4[[#This Row],[Equipe]])-SEARCH("/",MIP_4[[#This Row],[Equipe]],1))</f>
        <v xml:space="preserve"> VALDEI</v>
      </c>
      <c r="AE868" s="29">
        <f>COUNTIFS('[1]Tempo parado'!G:G,"&gt;="&amp;MIP_4[[#This Row],[S.B Sitrack]],'[1]Tempo parado'!H:H,"&lt;="&amp;MIP_4[[#This Row],[C.B Sitrack]],'[1]Tempo parado'!A:A,MIP_4[[#This Row],[Placa]])</f>
        <v>0</v>
      </c>
      <c r="AF868" s="36"/>
      <c r="AG868" s="35"/>
      <c r="AH868" s="34"/>
      <c r="AI868" s="34"/>
      <c r="AJ86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6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6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68" s="31" t="str">
        <f>IFERROR(MIP_4[[#This Row],[Tempo parado]]/(MIP_4[[#This Row],[C.B Sitrack]]-MIP_4[[#This Row],[S.B Sitrack]]),"")</f>
        <v/>
      </c>
      <c r="AN868" s="30"/>
      <c r="AO868" s="29">
        <f>IF(AND(MIP_4[Exc]=0,MIP_4[Previsto / Realizado]="Realizado"),MIP_4[Sem],0)</f>
        <v>50</v>
      </c>
      <c r="AP868" s="29">
        <f>IF(AND(MIP_4[Exc]=0,MIP_4[Previsto / Realizado]="Realizado",ISBLANK(MIP_4[[#This Row],[S.B Sitrack]])=FALSE,ISBLANK(MIP_4[[#This Row],[C.B Sitrack]])=FALSE),MIP_4[Sem],0)</f>
        <v>0</v>
      </c>
    </row>
    <row r="869" spans="1:42" ht="15.75" x14ac:dyDescent="0.25">
      <c r="A869" s="29">
        <f>WEEKNUM(MIP_4[[#This Row],[Data]])</f>
        <v>50</v>
      </c>
      <c r="B869" s="45">
        <v>43081</v>
      </c>
      <c r="C869" s="45"/>
      <c r="D869" s="35" t="s">
        <v>7</v>
      </c>
      <c r="E869" s="35" t="s">
        <v>5</v>
      </c>
      <c r="F869" s="35"/>
      <c r="G869" s="44"/>
      <c r="H869" s="44">
        <v>2</v>
      </c>
      <c r="I869" s="44">
        <v>3</v>
      </c>
      <c r="J869" s="44">
        <v>0</v>
      </c>
      <c r="K869" s="44">
        <v>0</v>
      </c>
      <c r="L869" s="43">
        <v>0.625</v>
      </c>
      <c r="M869" s="43">
        <v>0.6381944444444444</v>
      </c>
      <c r="N869" s="43">
        <v>5.5555555555555558E-3</v>
      </c>
      <c r="O869" s="43">
        <v>3.3333333333333333E-2</v>
      </c>
      <c r="P869" s="39"/>
      <c r="Q869" s="42" t="s">
        <v>4</v>
      </c>
      <c r="R869" s="29">
        <f>MIP_4[[#This Row],[PT-1]]+MIP_4[[#This Row],[PT-2]]*2+MIP_4[[#This Row],[PT-3]]*3+MIP_4[[#This Row],[PT &gt; 3 Pontos]]</f>
        <v>8</v>
      </c>
      <c r="S86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4.0972222222222188E-2</v>
      </c>
      <c r="T86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4.0972222222222188E-2</v>
      </c>
      <c r="U869" s="41">
        <f ca="1">MIP_4[[#This Row],[Eficiência]]</f>
        <v>0.55812436265875565</v>
      </c>
      <c r="V869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69" s="39">
        <f>IF(MIP_4[[#This Row],[P.S]]-MIP_4[[#This Row],[P.E]]&lt;0,1+MIP_4[[#This Row],[P.S]]-MIP_4[[#This Row],[P.E]]-1/24,MIP_4[[#This Row],[P.S]]-MIP_4[[#This Row],[P.E]]-1/24)</f>
        <v>0.36666666666666675</v>
      </c>
      <c r="X869" s="39">
        <f ca="1">MIP_4[[#This Row],[PT-1]]*$S$3+MIP_4[[#This Row],[PT-2]]*$T$3+MIP_4[[#This Row],[PT-3]]*$U$3+MIP_4[[#This Row],[PT &gt; 3 Pontos]]*$V$3</f>
        <v>0.18177800422705312</v>
      </c>
      <c r="Y869" s="39">
        <f>MIP_4[[#This Row],[HH disponível]]-MIP_4[[#This Row],[HH AC TOT]]</f>
        <v>0.32569444444444456</v>
      </c>
      <c r="Z869" s="38">
        <f ca="1">MIP_4[[#This Row],[HH Produtivo
Total]]/MIP_4[[#This Row],[HH Trabalhado]]</f>
        <v>0.55812436265875565</v>
      </c>
      <c r="AA869" s="38">
        <f ca="1">MIP_4[[#This Row],[HH Produtivo
Total]]/MIP_4[[#This Row],[HH disponível]]</f>
        <v>0.49575819334650839</v>
      </c>
      <c r="AB869" s="38">
        <f>MIP_4[[#This Row],[HH Trabalhado]]/MIP_4[[#This Row],[HH disponível]]</f>
        <v>0.88825757575757591</v>
      </c>
      <c r="AC869" s="37" t="str">
        <f>LEFT(MIP_4[[#This Row],[Equipe]], SEARCH("/",MIP_4[[#This Row],[Equipe]],1)-1)</f>
        <v xml:space="preserve">ANDERSON </v>
      </c>
      <c r="AD869" s="37" t="str">
        <f>RIGHT(MIP_4[[#This Row],[Equipe]], LEN(MIP_4[[#This Row],[Equipe]])-SEARCH("/",MIP_4[[#This Row],[Equipe]],1))</f>
        <v xml:space="preserve"> MARCO</v>
      </c>
      <c r="AE869" s="29">
        <f>COUNTIFS('[1]Tempo parado'!G:G,"&gt;="&amp;MIP_4[[#This Row],[S.B Sitrack]],'[1]Tempo parado'!H:H,"&lt;="&amp;MIP_4[[#This Row],[C.B Sitrack]],'[1]Tempo parado'!A:A,MIP_4[[#This Row],[Placa]])</f>
        <v>0</v>
      </c>
      <c r="AF869" s="36"/>
      <c r="AG869" s="35"/>
      <c r="AH869" s="34"/>
      <c r="AI869" s="34"/>
      <c r="AJ86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6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6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69" s="31" t="str">
        <f>IFERROR(MIP_4[[#This Row],[Tempo parado]]/(MIP_4[[#This Row],[C.B Sitrack]]-MIP_4[[#This Row],[S.B Sitrack]]),"")</f>
        <v/>
      </c>
      <c r="AN869" s="30"/>
      <c r="AO869" s="29">
        <f>IF(AND(MIP_4[Exc]=0,MIP_4[Previsto / Realizado]="Realizado"),MIP_4[Sem],0)</f>
        <v>0</v>
      </c>
      <c r="AP869" s="29">
        <f>IF(AND(MIP_4[Exc]=0,MIP_4[Previsto / Realizado]="Realizado",ISBLANK(MIP_4[[#This Row],[S.B Sitrack]])=FALSE,ISBLANK(MIP_4[[#This Row],[C.B Sitrack]])=FALSE),MIP_4[Sem],0)</f>
        <v>0</v>
      </c>
    </row>
    <row r="870" spans="1:42" ht="15.75" x14ac:dyDescent="0.25">
      <c r="A870" s="29">
        <f>WEEKNUM(MIP_4[[#This Row],[Data]])</f>
        <v>50</v>
      </c>
      <c r="B870" s="45">
        <v>43081</v>
      </c>
      <c r="C870" s="45"/>
      <c r="D870" s="46" t="s">
        <v>7</v>
      </c>
      <c r="E870" s="35" t="s">
        <v>2</v>
      </c>
      <c r="F870" s="35" t="s">
        <v>6</v>
      </c>
      <c r="G870" s="44"/>
      <c r="H870" s="44">
        <v>3</v>
      </c>
      <c r="I870" s="44">
        <v>3</v>
      </c>
      <c r="J870" s="44">
        <v>0</v>
      </c>
      <c r="K870" s="44">
        <v>5</v>
      </c>
      <c r="L870" s="43">
        <v>0.63750000000000007</v>
      </c>
      <c r="M870" s="43">
        <v>0.67152777777777783</v>
      </c>
      <c r="N870" s="43">
        <v>1.3194444444444444E-2</v>
      </c>
      <c r="O870" s="43">
        <v>3.3333333333333333E-2</v>
      </c>
      <c r="P870" s="39"/>
      <c r="Q870" s="42" t="s">
        <v>17</v>
      </c>
      <c r="R870" s="29">
        <f>MIP_4[[#This Row],[PT-1]]+MIP_4[[#This Row],[PT-2]]*2+MIP_4[[#This Row],[PT-3]]*3+MIP_4[[#This Row],[PT &gt; 3 Pontos]]</f>
        <v>14</v>
      </c>
      <c r="S87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5.4166666666666696E-2</v>
      </c>
      <c r="T87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5.4166666666666696E-2</v>
      </c>
      <c r="U870" s="41">
        <f ca="1">MIP_4[[#This Row],[Eficiência]]</f>
        <v>1.026813038632433</v>
      </c>
      <c r="V870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70" s="39">
        <f>IF(MIP_4[[#This Row],[P.S]]-MIP_4[[#This Row],[P.E]]&lt;0,1+MIP_4[[#This Row],[P.S]]-MIP_4[[#This Row],[P.E]]-1/24,MIP_4[[#This Row],[P.S]]-MIP_4[[#This Row],[P.E]]-1/24)</f>
        <v>0.35416666666666669</v>
      </c>
      <c r="X870" s="39">
        <f ca="1">MIP_4[[#This Row],[PT-1]]*$S$3+MIP_4[[#This Row],[PT-2]]*$T$3+MIP_4[[#This Row],[PT-3]]*$U$3+MIP_4[[#This Row],[PT &gt; 3 Pontos]]*$V$3</f>
        <v>0.30804391158972988</v>
      </c>
      <c r="Y870" s="39">
        <f>MIP_4[[#This Row],[HH disponível]]-MIP_4[[#This Row],[HH AC TOT]]</f>
        <v>0.3</v>
      </c>
      <c r="Z870" s="38">
        <f ca="1">MIP_4[[#This Row],[HH Produtivo
Total]]/MIP_4[[#This Row],[HH Trabalhado]]</f>
        <v>1.026813038632433</v>
      </c>
      <c r="AA870" s="38">
        <f ca="1">MIP_4[[#This Row],[HH Produtivo
Total]]/MIP_4[[#This Row],[HH disponível]]</f>
        <v>0.86977104448864906</v>
      </c>
      <c r="AB870" s="38">
        <f>MIP_4[[#This Row],[HH Trabalhado]]/MIP_4[[#This Row],[HH disponível]]</f>
        <v>0.84705882352941164</v>
      </c>
      <c r="AC870" s="37" t="str">
        <f>LEFT(MIP_4[[#This Row],[Equipe]], SEARCH("/",MIP_4[[#This Row],[Equipe]],1)-1)</f>
        <v xml:space="preserve">ANDERSON </v>
      </c>
      <c r="AD870" s="37" t="str">
        <f>RIGHT(MIP_4[[#This Row],[Equipe]], LEN(MIP_4[[#This Row],[Equipe]])-SEARCH("/",MIP_4[[#This Row],[Equipe]],1))</f>
        <v xml:space="preserve"> MARCO</v>
      </c>
      <c r="AE870" s="29">
        <f>COUNTIFS('[1]Tempo parado'!G:G,"&gt;="&amp;MIP_4[[#This Row],[S.B Sitrack]],'[1]Tempo parado'!H:H,"&lt;="&amp;MIP_4[[#This Row],[C.B Sitrack]],'[1]Tempo parado'!A:A,MIP_4[[#This Row],[Placa]])</f>
        <v>0</v>
      </c>
      <c r="AF870" s="36"/>
      <c r="AG870" s="35"/>
      <c r="AH870" s="34">
        <v>43081.675729166665</v>
      </c>
      <c r="AI870" s="34">
        <v>43082.020543981482</v>
      </c>
      <c r="AJ870" s="32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1.1111111111110987E-2</v>
      </c>
      <c r="AK87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51.6</v>
      </c>
      <c r="AL87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70" s="31">
        <f>IFERROR(MIP_4[[#This Row],[Tempo parado]]/(MIP_4[[#This Row],[C.B Sitrack]]-MIP_4[[#This Row],[S.B Sitrack]]),"")</f>
        <v>0</v>
      </c>
      <c r="AN870" s="30" t="s">
        <v>46</v>
      </c>
      <c r="AO870" s="29">
        <f>IF(AND(MIP_4[Exc]=0,MIP_4[Previsto / Realizado]="Realizado"),MIP_4[Sem],0)</f>
        <v>50</v>
      </c>
      <c r="AP870" s="29">
        <f>IF(AND(MIP_4[Exc]=0,MIP_4[Previsto / Realizado]="Realizado",ISBLANK(MIP_4[[#This Row],[S.B Sitrack]])=FALSE,ISBLANK(MIP_4[[#This Row],[C.B Sitrack]])=FALSE),MIP_4[Sem],0)</f>
        <v>50</v>
      </c>
    </row>
    <row r="871" spans="1:42" ht="15.75" x14ac:dyDescent="0.25">
      <c r="A871" s="29">
        <f>WEEKNUM(MIP_4[[#This Row],[Data]])</f>
        <v>50</v>
      </c>
      <c r="B871" s="45">
        <v>43082</v>
      </c>
      <c r="C871" s="45"/>
      <c r="D871" s="35" t="s">
        <v>3</v>
      </c>
      <c r="E871" s="35" t="s">
        <v>5</v>
      </c>
      <c r="F871" s="35"/>
      <c r="G871" s="44"/>
      <c r="H871" s="44">
        <v>5</v>
      </c>
      <c r="I871" s="44">
        <v>1</v>
      </c>
      <c r="J871" s="44">
        <v>1</v>
      </c>
      <c r="K871" s="44">
        <v>0</v>
      </c>
      <c r="L871" s="43">
        <v>0.625</v>
      </c>
      <c r="M871" s="43">
        <v>0.6381944444444444</v>
      </c>
      <c r="N871" s="43">
        <v>5.5555555555555558E-3</v>
      </c>
      <c r="O871" s="43">
        <v>3.3333333333333333E-2</v>
      </c>
      <c r="P871" s="39"/>
      <c r="Q871" s="42"/>
      <c r="R871" s="29">
        <f>MIP_4[[#This Row],[PT-1]]+MIP_4[[#This Row],[PT-2]]*2+MIP_4[[#This Row],[PT-3]]*3+MIP_4[[#This Row],[PT &gt; 3 Pontos]]</f>
        <v>10</v>
      </c>
      <c r="S87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4.0972222222222188E-2</v>
      </c>
      <c r="T87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4.0972222222222188E-2</v>
      </c>
      <c r="U871" s="41">
        <f ca="1">MIP_4[[#This Row],[Eficiência]]</f>
        <v>0.71180124223602437</v>
      </c>
      <c r="V871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71" s="39">
        <f>IF(MIP_4[[#This Row],[P.S]]-MIP_4[[#This Row],[P.E]]&lt;0,1+MIP_4[[#This Row],[P.S]]-MIP_4[[#This Row],[P.E]]-1/24,MIP_4[[#This Row],[P.S]]-MIP_4[[#This Row],[P.E]]-1/24)</f>
        <v>0.36666666666666675</v>
      </c>
      <c r="X871" s="39">
        <f ca="1">MIP_4[[#This Row],[PT-1]]*$S$3+MIP_4[[#This Row],[PT-2]]*$T$3+MIP_4[[#This Row],[PT-3]]*$U$3+MIP_4[[#This Row],[PT &gt; 3 Pontos]]*$V$3</f>
        <v>0.23182971014492745</v>
      </c>
      <c r="Y871" s="39">
        <f>MIP_4[[#This Row],[HH disponível]]-MIP_4[[#This Row],[HH AC TOT]]</f>
        <v>0.32569444444444456</v>
      </c>
      <c r="Z871" s="38">
        <f ca="1">MIP_4[[#This Row],[HH Produtivo
Total]]/MIP_4[[#This Row],[HH Trabalhado]]</f>
        <v>0.71180124223602437</v>
      </c>
      <c r="AA871" s="38">
        <f ca="1">MIP_4[[#This Row],[HH Produtivo
Total]]/MIP_4[[#This Row],[HH disponível]]</f>
        <v>0.63226284584980197</v>
      </c>
      <c r="AB871" s="38">
        <f>MIP_4[[#This Row],[HH Trabalhado]]/MIP_4[[#This Row],[HH disponível]]</f>
        <v>0.88825757575757591</v>
      </c>
      <c r="AC871" s="37" t="str">
        <f>LEFT(MIP_4[[#This Row],[Equipe]], SEARCH("/",MIP_4[[#This Row],[Equipe]],1)-1)</f>
        <v xml:space="preserve">EDILTON </v>
      </c>
      <c r="AD871" s="37" t="str">
        <f>RIGHT(MIP_4[[#This Row],[Equipe]], LEN(MIP_4[[#This Row],[Equipe]])-SEARCH("/",MIP_4[[#This Row],[Equipe]],1))</f>
        <v xml:space="preserve"> GECIVALDO</v>
      </c>
      <c r="AE871" s="29">
        <f>COUNTIFS('[1]Tempo parado'!G:G,"&gt;="&amp;MIP_4[[#This Row],[S.B Sitrack]],'[1]Tempo parado'!H:H,"&lt;="&amp;MIP_4[[#This Row],[C.B Sitrack]],'[1]Tempo parado'!A:A,MIP_4[[#This Row],[Placa]])</f>
        <v>0</v>
      </c>
      <c r="AF871" s="36"/>
      <c r="AG871" s="35"/>
      <c r="AH871" s="34"/>
      <c r="AI871" s="34"/>
      <c r="AJ87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7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7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71" s="31" t="str">
        <f>IFERROR(MIP_4[[#This Row],[Tempo parado]]/(MIP_4[[#This Row],[C.B Sitrack]]-MIP_4[[#This Row],[S.B Sitrack]]),"")</f>
        <v/>
      </c>
      <c r="AN871" s="30"/>
      <c r="AO871" s="29">
        <f>IF(AND(MIP_4[Exc]=0,MIP_4[Previsto / Realizado]="Realizado"),MIP_4[Sem],0)</f>
        <v>0</v>
      </c>
      <c r="AP871" s="29">
        <f>IF(AND(MIP_4[Exc]=0,MIP_4[Previsto / Realizado]="Realizado",ISBLANK(MIP_4[[#This Row],[S.B Sitrack]])=FALSE,ISBLANK(MIP_4[[#This Row],[C.B Sitrack]])=FALSE),MIP_4[Sem],0)</f>
        <v>0</v>
      </c>
    </row>
    <row r="872" spans="1:42" ht="15.75" x14ac:dyDescent="0.25">
      <c r="A872" s="29">
        <f>WEEKNUM(MIP_4[[#This Row],[Data]])</f>
        <v>50</v>
      </c>
      <c r="B872" s="45" t="s">
        <v>45</v>
      </c>
      <c r="C872" s="45"/>
      <c r="D872" s="35" t="s">
        <v>3</v>
      </c>
      <c r="E872" s="35" t="s">
        <v>2</v>
      </c>
      <c r="F872" s="35" t="s">
        <v>1</v>
      </c>
      <c r="G872" s="44"/>
      <c r="H872" s="44">
        <v>5</v>
      </c>
      <c r="I872" s="44">
        <v>1</v>
      </c>
      <c r="J872" s="44">
        <v>1</v>
      </c>
      <c r="K872" s="44">
        <v>0</v>
      </c>
      <c r="L872" s="43">
        <v>0.62569444444444444</v>
      </c>
      <c r="M872" s="43">
        <v>0.65625</v>
      </c>
      <c r="N872" s="43">
        <v>3.125E-2</v>
      </c>
      <c r="O872" s="43">
        <v>3.3333333333333333E-2</v>
      </c>
      <c r="P872" s="39"/>
      <c r="Q872" s="42" t="s">
        <v>44</v>
      </c>
      <c r="R872" s="29">
        <f>MIP_4[[#This Row],[PT-1]]+MIP_4[[#This Row],[PT-2]]*2+MIP_4[[#This Row],[PT-3]]*3+MIP_4[[#This Row],[PT &gt; 3 Pontos]]</f>
        <v>10</v>
      </c>
      <c r="S87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3.2638888888888884E-2</v>
      </c>
      <c r="T87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3.2638888888888884E-2</v>
      </c>
      <c r="U872" s="41">
        <f ca="1">MIP_4[[#This Row],[Eficiência]]</f>
        <v>0.69548913043478222</v>
      </c>
      <c r="V872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72" s="39">
        <f>IF(MIP_4[[#This Row],[P.S]]-MIP_4[[#This Row],[P.E]]&lt;0,1+MIP_4[[#This Row],[P.S]]-MIP_4[[#This Row],[P.E]]-1/24,MIP_4[[#This Row],[P.S]]-MIP_4[[#This Row],[P.E]]-1/24)</f>
        <v>0.36597222222222231</v>
      </c>
      <c r="X872" s="39">
        <f ca="1">MIP_4[[#This Row],[PT-1]]*$S$3+MIP_4[[#This Row],[PT-2]]*$T$3+MIP_4[[#This Row],[PT-3]]*$U$3+MIP_4[[#This Row],[PT &gt; 3 Pontos]]*$V$3</f>
        <v>0.23182971014492745</v>
      </c>
      <c r="Y872" s="39">
        <f>MIP_4[[#This Row],[HH disponível]]-MIP_4[[#This Row],[HH AC TOT]]</f>
        <v>0.33333333333333343</v>
      </c>
      <c r="Z872" s="38">
        <f ca="1">MIP_4[[#This Row],[HH Produtivo
Total]]/MIP_4[[#This Row],[HH Trabalhado]]</f>
        <v>0.69548913043478222</v>
      </c>
      <c r="AA872" s="38">
        <f ca="1">MIP_4[[#This Row],[HH Produtivo
Total]]/MIP_4[[#This Row],[HH disponível]]</f>
        <v>0.63346258559524748</v>
      </c>
      <c r="AB872" s="38">
        <f>MIP_4[[#This Row],[HH Trabalhado]]/MIP_4[[#This Row],[HH disponível]]</f>
        <v>0.91081593927893745</v>
      </c>
      <c r="AC872" s="37" t="str">
        <f>LEFT(MIP_4[[#This Row],[Equipe]], SEARCH("/",MIP_4[[#This Row],[Equipe]],1)-1)</f>
        <v xml:space="preserve">EDILTON </v>
      </c>
      <c r="AD872" s="37" t="str">
        <f>RIGHT(MIP_4[[#This Row],[Equipe]], LEN(MIP_4[[#This Row],[Equipe]])-SEARCH("/",MIP_4[[#This Row],[Equipe]],1))</f>
        <v xml:space="preserve"> GECIVALDO</v>
      </c>
      <c r="AE872" s="29">
        <f>COUNTIFS('[1]Tempo parado'!G:G,"&gt;="&amp;MIP_4[[#This Row],[S.B Sitrack]],'[1]Tempo parado'!H:H,"&lt;="&amp;MIP_4[[#This Row],[C.B Sitrack]],'[1]Tempo parado'!A:A,MIP_4[[#This Row],[Placa]])</f>
        <v>0</v>
      </c>
      <c r="AF872" s="36"/>
      <c r="AG872" s="35"/>
      <c r="AH872" s="34"/>
      <c r="AI872" s="34"/>
      <c r="AJ87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7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7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72" s="31" t="str">
        <f>IFERROR(MIP_4[[#This Row],[Tempo parado]]/(MIP_4[[#This Row],[C.B Sitrack]]-MIP_4[[#This Row],[S.B Sitrack]]),"")</f>
        <v/>
      </c>
      <c r="AN872" s="30"/>
      <c r="AO872" s="29">
        <f>IF(AND(MIP_4[Exc]=0,MIP_4[Previsto / Realizado]="Realizado"),MIP_4[Sem],0)</f>
        <v>50</v>
      </c>
      <c r="AP872" s="29">
        <f>IF(AND(MIP_4[Exc]=0,MIP_4[Previsto / Realizado]="Realizado",ISBLANK(MIP_4[[#This Row],[S.B Sitrack]])=FALSE,ISBLANK(MIP_4[[#This Row],[C.B Sitrack]])=FALSE),MIP_4[Sem],0)</f>
        <v>0</v>
      </c>
    </row>
    <row r="873" spans="1:42" ht="15.75" x14ac:dyDescent="0.25">
      <c r="A873" s="29">
        <f>WEEKNUM(MIP_4[[#This Row],[Data]])</f>
        <v>50</v>
      </c>
      <c r="B873" s="45">
        <v>43083</v>
      </c>
      <c r="C873" s="45"/>
      <c r="D873" s="35" t="s">
        <v>10</v>
      </c>
      <c r="E873" s="35" t="s">
        <v>5</v>
      </c>
      <c r="F873" s="35"/>
      <c r="G873" s="44"/>
      <c r="H873" s="44">
        <v>4</v>
      </c>
      <c r="I873" s="44">
        <v>0</v>
      </c>
      <c r="J873" s="44">
        <v>0</v>
      </c>
      <c r="K873" s="44">
        <v>0</v>
      </c>
      <c r="L873" s="43">
        <v>0.25</v>
      </c>
      <c r="M873" s="43">
        <v>0.2638888888888889</v>
      </c>
      <c r="N873" s="43">
        <v>0.62986111111111109</v>
      </c>
      <c r="O873" s="43">
        <v>0.65833333333333333</v>
      </c>
      <c r="P873" s="39"/>
      <c r="Q873" s="42" t="s">
        <v>4</v>
      </c>
      <c r="R873" s="29">
        <f>MIP_4[[#This Row],[PT-1]]+MIP_4[[#This Row],[PT-2]]*2+MIP_4[[#This Row],[PT-3]]*3+MIP_4[[#This Row],[PT &gt; 3 Pontos]]</f>
        <v>4</v>
      </c>
      <c r="S87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4.2361111111111127E-2</v>
      </c>
      <c r="T87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4.2361111111111127E-2</v>
      </c>
      <c r="U873" s="41">
        <f ca="1">MIP_4[[#This Row],[Eficiência]]</f>
        <v>0.30867004934363634</v>
      </c>
      <c r="V873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73" s="39">
        <f>IF(MIP_4[[#This Row],[P.S]]-MIP_4[[#This Row],[P.E]]&lt;0,1+MIP_4[[#This Row],[P.S]]-MIP_4[[#This Row],[P.E]]-1/24,MIP_4[[#This Row],[P.S]]-MIP_4[[#This Row],[P.E]]-1/24)</f>
        <v>0.36666666666666664</v>
      </c>
      <c r="X873" s="39">
        <f ca="1">MIP_4[[#This Row],[PT-1]]*$S$3+MIP_4[[#This Row],[PT-2]]*$T$3+MIP_4[[#This Row],[PT-3]]*$U$3+MIP_4[[#This Row],[PT &gt; 3 Pontos]]*$V$3</f>
        <v>0.10010341183574872</v>
      </c>
      <c r="Y873" s="39">
        <f>MIP_4[[#This Row],[HH disponível]]-MIP_4[[#This Row],[HH AC TOT]]</f>
        <v>0.32430555555555551</v>
      </c>
      <c r="Z873" s="38">
        <f ca="1">MIP_4[[#This Row],[HH Produtivo
Total]]/MIP_4[[#This Row],[HH Trabalhado]]</f>
        <v>0.30867004934363634</v>
      </c>
      <c r="AA873" s="38">
        <f ca="1">MIP_4[[#This Row],[HH Produtivo
Total]]/MIP_4[[#This Row],[HH disponível]]</f>
        <v>0.27300930500658743</v>
      </c>
      <c r="AB873" s="38">
        <f>MIP_4[[#This Row],[HH Trabalhado]]/MIP_4[[#This Row],[HH disponível]]</f>
        <v>0.88446969696969691</v>
      </c>
      <c r="AC873" s="37" t="str">
        <f>LEFT(MIP_4[[#This Row],[Equipe]], SEARCH("/",MIP_4[[#This Row],[Equipe]],1)-1)</f>
        <v xml:space="preserve">JOILSON </v>
      </c>
      <c r="AD873" s="37" t="str">
        <f>RIGHT(MIP_4[[#This Row],[Equipe]], LEN(MIP_4[[#This Row],[Equipe]])-SEARCH("/",MIP_4[[#This Row],[Equipe]],1))</f>
        <v xml:space="preserve"> VALDEI</v>
      </c>
      <c r="AE873" s="29">
        <f>COUNTIFS('[1]Tempo parado'!G:G,"&gt;="&amp;MIP_4[[#This Row],[S.B Sitrack]],'[1]Tempo parado'!H:H,"&lt;="&amp;MIP_4[[#This Row],[C.B Sitrack]],'[1]Tempo parado'!A:A,MIP_4[[#This Row],[Placa]])</f>
        <v>0</v>
      </c>
      <c r="AF873" s="36"/>
      <c r="AG873" s="35"/>
      <c r="AH873" s="34"/>
      <c r="AI873" s="34"/>
      <c r="AJ87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7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7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73" s="31" t="str">
        <f>IFERROR(MIP_4[[#This Row],[Tempo parado]]/(MIP_4[[#This Row],[C.B Sitrack]]-MIP_4[[#This Row],[S.B Sitrack]]),"")</f>
        <v/>
      </c>
      <c r="AN873" s="30"/>
      <c r="AO873" s="29">
        <f>IF(AND(MIP_4[Exc]=0,MIP_4[Previsto / Realizado]="Realizado"),MIP_4[Sem],0)</f>
        <v>0</v>
      </c>
      <c r="AP873" s="29">
        <f>IF(AND(MIP_4[Exc]=0,MIP_4[Previsto / Realizado]="Realizado",ISBLANK(MIP_4[[#This Row],[S.B Sitrack]])=FALSE,ISBLANK(MIP_4[[#This Row],[C.B Sitrack]])=FALSE),MIP_4[Sem],0)</f>
        <v>0</v>
      </c>
    </row>
    <row r="874" spans="1:42" ht="15.75" x14ac:dyDescent="0.25">
      <c r="A874" s="29">
        <f>WEEKNUM(MIP_4[[#This Row],[Data]])</f>
        <v>50</v>
      </c>
      <c r="B874" s="45" t="s">
        <v>42</v>
      </c>
      <c r="C874" s="45"/>
      <c r="D874" s="35" t="s">
        <v>10</v>
      </c>
      <c r="E874" s="35" t="s">
        <v>2</v>
      </c>
      <c r="F874" s="35" t="s">
        <v>1</v>
      </c>
      <c r="G874" s="44"/>
      <c r="H874" s="44">
        <v>7</v>
      </c>
      <c r="I874" s="44">
        <v>1</v>
      </c>
      <c r="J874" s="44">
        <v>0</v>
      </c>
      <c r="K874" s="44">
        <v>0</v>
      </c>
      <c r="L874" s="43">
        <v>0.25</v>
      </c>
      <c r="M874" s="43">
        <v>0.27291666666666664</v>
      </c>
      <c r="N874" s="43">
        <v>0.58750000000000002</v>
      </c>
      <c r="O874" s="43">
        <v>0.65972222222222221</v>
      </c>
      <c r="P874" s="39"/>
      <c r="Q874" s="42" t="s">
        <v>43</v>
      </c>
      <c r="R874" s="29">
        <f>MIP_4[[#This Row],[PT-1]]+MIP_4[[#This Row],[PT-2]]*2+MIP_4[[#This Row],[PT-3]]*3+MIP_4[[#This Row],[PT &gt; 3 Pontos]]</f>
        <v>9</v>
      </c>
      <c r="S87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9.5138888888888828E-2</v>
      </c>
      <c r="T87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9.5138888888888828E-2</v>
      </c>
      <c r="U874" s="41">
        <f ca="1">MIP_4[[#This Row],[Eficiência]]</f>
        <v>0.80277155474425588</v>
      </c>
      <c r="V874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74" s="39">
        <f>IF(MIP_4[[#This Row],[P.S]]-MIP_4[[#This Row],[P.E]]&lt;0,1+MIP_4[[#This Row],[P.S]]-MIP_4[[#This Row],[P.E]]-1/24,MIP_4[[#This Row],[P.S]]-MIP_4[[#This Row],[P.E]]-1/24)</f>
        <v>0.36805555555555552</v>
      </c>
      <c r="X874" s="39">
        <f ca="1">MIP_4[[#This Row],[PT-1]]*$S$3+MIP_4[[#This Row],[PT-2]]*$T$3+MIP_4[[#This Row],[PT-3]]*$U$3+MIP_4[[#This Row],[PT &gt; 3 Pontos]]*$V$3</f>
        <v>0.21908973681561986</v>
      </c>
      <c r="Y874" s="39">
        <f>MIP_4[[#This Row],[HH disponível]]-MIP_4[[#This Row],[HH AC TOT]]</f>
        <v>0.2729166666666667</v>
      </c>
      <c r="Z874" s="38">
        <f ca="1">MIP_4[[#This Row],[HH Produtivo
Total]]/MIP_4[[#This Row],[HH Trabalhado]]</f>
        <v>0.80277155474425588</v>
      </c>
      <c r="AA874" s="38">
        <f ca="1">MIP_4[[#This Row],[HH Produtivo
Total]]/MIP_4[[#This Row],[HH disponível]]</f>
        <v>0.59526268115942005</v>
      </c>
      <c r="AB874" s="38">
        <f>MIP_4[[#This Row],[HH Trabalhado]]/MIP_4[[#This Row],[HH disponível]]</f>
        <v>0.74150943396226432</v>
      </c>
      <c r="AC874" s="37" t="str">
        <f>LEFT(MIP_4[[#This Row],[Equipe]], SEARCH("/",MIP_4[[#This Row],[Equipe]],1)-1)</f>
        <v xml:space="preserve">JOILSON </v>
      </c>
      <c r="AD874" s="37" t="str">
        <f>RIGHT(MIP_4[[#This Row],[Equipe]], LEN(MIP_4[[#This Row],[Equipe]])-SEARCH("/",MIP_4[[#This Row],[Equipe]],1))</f>
        <v xml:space="preserve"> VALDEI</v>
      </c>
      <c r="AE874" s="29">
        <f>COUNTIFS('[1]Tempo parado'!G:G,"&gt;="&amp;MIP_4[[#This Row],[S.B Sitrack]],'[1]Tempo parado'!H:H,"&lt;="&amp;MIP_4[[#This Row],[C.B Sitrack]],'[1]Tempo parado'!A:A,MIP_4[[#This Row],[Placa]])</f>
        <v>0</v>
      </c>
      <c r="AF874" s="36"/>
      <c r="AG874" s="35"/>
      <c r="AH874" s="34"/>
      <c r="AI874" s="34"/>
      <c r="AJ87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7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7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74" s="31" t="str">
        <f>IFERROR(MIP_4[[#This Row],[Tempo parado]]/(MIP_4[[#This Row],[C.B Sitrack]]-MIP_4[[#This Row],[S.B Sitrack]]),"")</f>
        <v/>
      </c>
      <c r="AN874" s="30"/>
      <c r="AO874" s="29">
        <f>IF(AND(MIP_4[Exc]=0,MIP_4[Previsto / Realizado]="Realizado"),MIP_4[Sem],0)</f>
        <v>50</v>
      </c>
      <c r="AP874" s="29">
        <f>IF(AND(MIP_4[Exc]=0,MIP_4[Previsto / Realizado]="Realizado",ISBLANK(MIP_4[[#This Row],[S.B Sitrack]])=FALSE,ISBLANK(MIP_4[[#This Row],[C.B Sitrack]])=FALSE),MIP_4[Sem],0)</f>
        <v>0</v>
      </c>
    </row>
    <row r="875" spans="1:42" ht="15.75" x14ac:dyDescent="0.25">
      <c r="A875" s="29">
        <f>WEEKNUM(MIP_4[[#This Row],[Data]])</f>
        <v>50</v>
      </c>
      <c r="B875" s="45">
        <v>43083</v>
      </c>
      <c r="C875" s="45"/>
      <c r="D875" s="35" t="s">
        <v>7</v>
      </c>
      <c r="E875" s="35" t="s">
        <v>5</v>
      </c>
      <c r="F875" s="35"/>
      <c r="G875" s="44"/>
      <c r="H875" s="44">
        <v>6</v>
      </c>
      <c r="I875" s="44">
        <v>2</v>
      </c>
      <c r="J875" s="44">
        <v>0</v>
      </c>
      <c r="K875" s="44">
        <v>0</v>
      </c>
      <c r="L875" s="43">
        <v>0.625</v>
      </c>
      <c r="M875" s="43">
        <v>0.6381944444444444</v>
      </c>
      <c r="N875" s="43">
        <v>5.5555555555555558E-3</v>
      </c>
      <c r="O875" s="43">
        <v>3.3333333333333333E-2</v>
      </c>
      <c r="P875" s="39"/>
      <c r="Q875" s="42" t="s">
        <v>4</v>
      </c>
      <c r="R875" s="29">
        <f>MIP_4[[#This Row],[PT-1]]+MIP_4[[#This Row],[PT-2]]*2+MIP_4[[#This Row],[PT-3]]*3+MIP_4[[#This Row],[PT &gt; 3 Pontos]]</f>
        <v>10</v>
      </c>
      <c r="S87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4.0972222222222188E-2</v>
      </c>
      <c r="T87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4.0972222222222188E-2</v>
      </c>
      <c r="U875" s="41">
        <f ca="1">MIP_4[[#This Row],[Eficiência]]</f>
        <v>0.73066229411946426</v>
      </c>
      <c r="V875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75" s="39">
        <f>IF(MIP_4[[#This Row],[P.S]]-MIP_4[[#This Row],[P.E]]&lt;0,1+MIP_4[[#This Row],[P.S]]-MIP_4[[#This Row],[P.E]]-1/24,MIP_4[[#This Row],[P.S]]-MIP_4[[#This Row],[P.E]]-1/24)</f>
        <v>0.36666666666666675</v>
      </c>
      <c r="X875" s="39">
        <f ca="1">MIP_4[[#This Row],[PT-1]]*$S$3+MIP_4[[#This Row],[PT-2]]*$T$3+MIP_4[[#This Row],[PT-3]]*$U$3+MIP_4[[#This Row],[PT &gt; 3 Pontos]]*$V$3</f>
        <v>0.23797264995974227</v>
      </c>
      <c r="Y875" s="39">
        <f>MIP_4[[#This Row],[HH disponível]]-MIP_4[[#This Row],[HH AC TOT]]</f>
        <v>0.32569444444444456</v>
      </c>
      <c r="Z875" s="38">
        <f ca="1">MIP_4[[#This Row],[HH Produtivo
Total]]/MIP_4[[#This Row],[HH Trabalhado]]</f>
        <v>0.73066229411946426</v>
      </c>
      <c r="AA875" s="38">
        <f ca="1">MIP_4[[#This Row],[HH Produtivo
Total]]/MIP_4[[#This Row],[HH disponível]]</f>
        <v>0.6490163180720242</v>
      </c>
      <c r="AB875" s="38">
        <f>MIP_4[[#This Row],[HH Trabalhado]]/MIP_4[[#This Row],[HH disponível]]</f>
        <v>0.88825757575757591</v>
      </c>
      <c r="AC875" s="37" t="str">
        <f>LEFT(MIP_4[[#This Row],[Equipe]], SEARCH("/",MIP_4[[#This Row],[Equipe]],1)-1)</f>
        <v xml:space="preserve">ANDERSON </v>
      </c>
      <c r="AD875" s="37" t="str">
        <f>RIGHT(MIP_4[[#This Row],[Equipe]], LEN(MIP_4[[#This Row],[Equipe]])-SEARCH("/",MIP_4[[#This Row],[Equipe]],1))</f>
        <v xml:space="preserve"> MARCO</v>
      </c>
      <c r="AE875" s="29">
        <f>COUNTIFS('[1]Tempo parado'!G:G,"&gt;="&amp;MIP_4[[#This Row],[S.B Sitrack]],'[1]Tempo parado'!H:H,"&lt;="&amp;MIP_4[[#This Row],[C.B Sitrack]],'[1]Tempo parado'!A:A,MIP_4[[#This Row],[Placa]])</f>
        <v>0</v>
      </c>
      <c r="AF875" s="36"/>
      <c r="AG875" s="35"/>
      <c r="AH875" s="34"/>
      <c r="AI875" s="34"/>
      <c r="AJ87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7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7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75" s="31" t="str">
        <f>IFERROR(MIP_4[[#This Row],[Tempo parado]]/(MIP_4[[#This Row],[C.B Sitrack]]-MIP_4[[#This Row],[S.B Sitrack]]),"")</f>
        <v/>
      </c>
      <c r="AN875" s="30"/>
      <c r="AO875" s="29">
        <f>IF(AND(MIP_4[Exc]=0,MIP_4[Previsto / Realizado]="Realizado"),MIP_4[Sem],0)</f>
        <v>0</v>
      </c>
      <c r="AP875" s="29">
        <f>IF(AND(MIP_4[Exc]=0,MIP_4[Previsto / Realizado]="Realizado",ISBLANK(MIP_4[[#This Row],[S.B Sitrack]])=FALSE,ISBLANK(MIP_4[[#This Row],[C.B Sitrack]])=FALSE),MIP_4[Sem],0)</f>
        <v>0</v>
      </c>
    </row>
    <row r="876" spans="1:42" ht="15.75" x14ac:dyDescent="0.25">
      <c r="A876" s="29">
        <f>WEEKNUM(MIP_4[[#This Row],[Data]])</f>
        <v>50</v>
      </c>
      <c r="B876" s="45" t="s">
        <v>42</v>
      </c>
      <c r="C876" s="45"/>
      <c r="D876" s="46" t="s">
        <v>7</v>
      </c>
      <c r="E876" s="35" t="s">
        <v>2</v>
      </c>
      <c r="F876" s="35" t="s">
        <v>6</v>
      </c>
      <c r="G876" s="44"/>
      <c r="H876" s="44">
        <v>7</v>
      </c>
      <c r="I876" s="44">
        <v>2</v>
      </c>
      <c r="J876" s="44">
        <v>0</v>
      </c>
      <c r="K876" s="44">
        <v>0</v>
      </c>
      <c r="L876" s="43">
        <v>0.62569444444444444</v>
      </c>
      <c r="M876" s="43">
        <v>0.66180555555555554</v>
      </c>
      <c r="N876" s="43">
        <v>2.4305555555555556E-2</v>
      </c>
      <c r="O876" s="43">
        <v>3.3333333333333333E-2</v>
      </c>
      <c r="P876" s="39"/>
      <c r="Q876" s="42" t="s">
        <v>41</v>
      </c>
      <c r="R876" s="29">
        <f>MIP_4[[#This Row],[PT-1]]+MIP_4[[#This Row],[PT-2]]*2+MIP_4[[#This Row],[PT-3]]*3+MIP_4[[#This Row],[PT &gt; 3 Pontos]]</f>
        <v>11</v>
      </c>
      <c r="S87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4.513888888888884E-2</v>
      </c>
      <c r="T87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4.513888888888884E-2</v>
      </c>
      <c r="U876" s="41">
        <f ca="1">MIP_4[[#This Row],[Eficiência]]</f>
        <v>0.8197355935127667</v>
      </c>
      <c r="V876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76" s="39">
        <f>IF(MIP_4[[#This Row],[P.S]]-MIP_4[[#This Row],[P.E]]&lt;0,1+MIP_4[[#This Row],[P.S]]-MIP_4[[#This Row],[P.E]]-1/24,MIP_4[[#This Row],[P.S]]-MIP_4[[#This Row],[P.E]]-1/24)</f>
        <v>0.36597222222222231</v>
      </c>
      <c r="X876" s="39">
        <f ca="1">MIP_4[[#This Row],[PT-1]]*$S$3+MIP_4[[#This Row],[PT-2]]*$T$3+MIP_4[[#This Row],[PT-3]]*$U$3+MIP_4[[#This Row],[PT &gt; 3 Pontos]]*$V$3</f>
        <v>0.26299850291867943</v>
      </c>
      <c r="Y876" s="39">
        <f>MIP_4[[#This Row],[HH disponível]]-MIP_4[[#This Row],[HH AC TOT]]</f>
        <v>0.32083333333333347</v>
      </c>
      <c r="Z876" s="38">
        <f ca="1">MIP_4[[#This Row],[HH Produtivo
Total]]/MIP_4[[#This Row],[HH Trabalhado]]</f>
        <v>0.8197355935127667</v>
      </c>
      <c r="AA876" s="38">
        <f ca="1">MIP_4[[#This Row],[HH Produtivo
Total]]/MIP_4[[#This Row],[HH disponível]]</f>
        <v>0.7186296853944939</v>
      </c>
      <c r="AB876" s="38">
        <f>MIP_4[[#This Row],[HH Trabalhado]]/MIP_4[[#This Row],[HH disponível]]</f>
        <v>0.87666034155597738</v>
      </c>
      <c r="AC876" s="37" t="str">
        <f>LEFT(MIP_4[[#This Row],[Equipe]], SEARCH("/",MIP_4[[#This Row],[Equipe]],1)-1)</f>
        <v xml:space="preserve">ANDERSON </v>
      </c>
      <c r="AD876" s="37" t="str">
        <f>RIGHT(MIP_4[[#This Row],[Equipe]], LEN(MIP_4[[#This Row],[Equipe]])-SEARCH("/",MIP_4[[#This Row],[Equipe]],1))</f>
        <v xml:space="preserve"> MARCO</v>
      </c>
      <c r="AE876" s="29">
        <f>COUNTIFS('[1]Tempo parado'!G:G,"&gt;="&amp;MIP_4[[#This Row],[S.B Sitrack]],'[1]Tempo parado'!H:H,"&lt;="&amp;MIP_4[[#This Row],[C.B Sitrack]],'[1]Tempo parado'!A:A,MIP_4[[#This Row],[Placa]])</f>
        <v>0</v>
      </c>
      <c r="AF876" s="36"/>
      <c r="AG876" s="35"/>
      <c r="AH876" s="34">
        <v>43083.663263888891</v>
      </c>
      <c r="AI876" s="34">
        <v>43084.022291666668</v>
      </c>
      <c r="AJ876" s="32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3.4722222222222168E-3</v>
      </c>
      <c r="AK87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71</v>
      </c>
      <c r="AL87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76" s="31">
        <f>IFERROR(MIP_4[[#This Row],[Tempo parado]]/(MIP_4[[#This Row],[C.B Sitrack]]-MIP_4[[#This Row],[S.B Sitrack]]),"")</f>
        <v>0</v>
      </c>
      <c r="AN876" s="30" t="s">
        <v>40</v>
      </c>
      <c r="AO876" s="29">
        <f>IF(AND(MIP_4[Exc]=0,MIP_4[Previsto / Realizado]="Realizado"),MIP_4[Sem],0)</f>
        <v>50</v>
      </c>
      <c r="AP876" s="29">
        <f>IF(AND(MIP_4[Exc]=0,MIP_4[Previsto / Realizado]="Realizado",ISBLANK(MIP_4[[#This Row],[S.B Sitrack]])=FALSE,ISBLANK(MIP_4[[#This Row],[C.B Sitrack]])=FALSE),MIP_4[Sem],0)</f>
        <v>50</v>
      </c>
    </row>
    <row r="877" spans="1:42" ht="15.75" x14ac:dyDescent="0.25">
      <c r="A877" s="29">
        <f>WEEKNUM(MIP_4[[#This Row],[Data]])</f>
        <v>50</v>
      </c>
      <c r="B877" s="45">
        <v>43084</v>
      </c>
      <c r="C877" s="45"/>
      <c r="D877" s="35" t="s">
        <v>19</v>
      </c>
      <c r="E877" s="35" t="s">
        <v>5</v>
      </c>
      <c r="F877" s="35"/>
      <c r="G877" s="44"/>
      <c r="H877" s="44">
        <v>7</v>
      </c>
      <c r="I877" s="44">
        <v>2</v>
      </c>
      <c r="J877" s="44">
        <v>0</v>
      </c>
      <c r="K877" s="44">
        <v>0</v>
      </c>
      <c r="L877" s="43">
        <v>0.625</v>
      </c>
      <c r="M877" s="43">
        <v>0.6381944444444444</v>
      </c>
      <c r="N877" s="43">
        <v>5.5555555555555558E-3</v>
      </c>
      <c r="O877" s="43">
        <v>3.3333333333333333E-2</v>
      </c>
      <c r="P877" s="39"/>
      <c r="Q877" s="42"/>
      <c r="R877" s="29">
        <f>MIP_4[[#This Row],[PT-1]]+MIP_4[[#This Row],[PT-2]]*2+MIP_4[[#This Row],[PT-3]]*3+MIP_4[[#This Row],[PT &gt; 3 Pontos]]</f>
        <v>11</v>
      </c>
      <c r="S87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4.0972222222222188E-2</v>
      </c>
      <c r="T87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4.0972222222222188E-2</v>
      </c>
      <c r="U877" s="41">
        <f ca="1">MIP_4[[#This Row],[Eficiência]]</f>
        <v>0.80750073390809862</v>
      </c>
      <c r="V877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77" s="39">
        <f>IF(MIP_4[[#This Row],[P.S]]-MIP_4[[#This Row],[P.E]]&lt;0,1+MIP_4[[#This Row],[P.S]]-MIP_4[[#This Row],[P.E]]-1/24,MIP_4[[#This Row],[P.S]]-MIP_4[[#This Row],[P.E]]-1/24)</f>
        <v>0.36666666666666675</v>
      </c>
      <c r="X877" s="39">
        <f ca="1">MIP_4[[#This Row],[PT-1]]*$S$3+MIP_4[[#This Row],[PT-2]]*$T$3+MIP_4[[#This Row],[PT-3]]*$U$3+MIP_4[[#This Row],[PT &gt; 3 Pontos]]*$V$3</f>
        <v>0.26299850291867943</v>
      </c>
      <c r="Y877" s="39">
        <f>MIP_4[[#This Row],[HH disponível]]-MIP_4[[#This Row],[HH AC TOT]]</f>
        <v>0.32569444444444456</v>
      </c>
      <c r="Z877" s="38">
        <f ca="1">MIP_4[[#This Row],[HH Produtivo
Total]]/MIP_4[[#This Row],[HH Trabalhado]]</f>
        <v>0.80750073390809862</v>
      </c>
      <c r="AA877" s="38">
        <f ca="1">MIP_4[[#This Row],[HH Produtivo
Total]]/MIP_4[[#This Row],[HH disponível]]</f>
        <v>0.71726864432367099</v>
      </c>
      <c r="AB877" s="38">
        <f>MIP_4[[#This Row],[HH Trabalhado]]/MIP_4[[#This Row],[HH disponível]]</f>
        <v>0.88825757575757591</v>
      </c>
      <c r="AC877" s="37" t="str">
        <f>LEFT(MIP_4[[#This Row],[Equipe]], SEARCH("/",MIP_4[[#This Row],[Equipe]],1)-1)</f>
        <v xml:space="preserve">ADEMÁRIO </v>
      </c>
      <c r="AD877" s="37" t="str">
        <f>RIGHT(MIP_4[[#This Row],[Equipe]], LEN(MIP_4[[#This Row],[Equipe]])-SEARCH("/",MIP_4[[#This Row],[Equipe]],1))</f>
        <v xml:space="preserve"> RONALDO</v>
      </c>
      <c r="AE877" s="29">
        <f>COUNTIFS('[1]Tempo parado'!G:G,"&gt;="&amp;MIP_4[[#This Row],[S.B Sitrack]],'[1]Tempo parado'!H:H,"&lt;="&amp;MIP_4[[#This Row],[C.B Sitrack]],'[1]Tempo parado'!A:A,MIP_4[[#This Row],[Placa]])</f>
        <v>0</v>
      </c>
      <c r="AF877" s="36"/>
      <c r="AG877" s="35"/>
      <c r="AH877" s="34"/>
      <c r="AI877" s="34"/>
      <c r="AJ87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7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7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77" s="31" t="str">
        <f>IFERROR(MIP_4[[#This Row],[Tempo parado]]/(MIP_4[[#This Row],[C.B Sitrack]]-MIP_4[[#This Row],[S.B Sitrack]]),"")</f>
        <v/>
      </c>
      <c r="AN877" s="30"/>
      <c r="AO877" s="29">
        <f>IF(AND(MIP_4[Exc]=0,MIP_4[Previsto / Realizado]="Realizado"),MIP_4[Sem],0)</f>
        <v>0</v>
      </c>
      <c r="AP877" s="29">
        <f>IF(AND(MIP_4[Exc]=0,MIP_4[Previsto / Realizado]="Realizado",ISBLANK(MIP_4[[#This Row],[S.B Sitrack]])=FALSE,ISBLANK(MIP_4[[#This Row],[C.B Sitrack]])=FALSE),MIP_4[Sem],0)</f>
        <v>0</v>
      </c>
    </row>
    <row r="878" spans="1:42" ht="15.75" x14ac:dyDescent="0.25">
      <c r="A878" s="29">
        <f>WEEKNUM(MIP_4[[#This Row],[Data]])</f>
        <v>50</v>
      </c>
      <c r="B878" s="45" t="s">
        <v>35</v>
      </c>
      <c r="C878" s="45"/>
      <c r="D878" s="46" t="s">
        <v>19</v>
      </c>
      <c r="E878" s="35" t="s">
        <v>2</v>
      </c>
      <c r="F878" s="35" t="s">
        <v>39</v>
      </c>
      <c r="G878" s="44"/>
      <c r="H878" s="44">
        <v>7</v>
      </c>
      <c r="I878" s="44">
        <v>2</v>
      </c>
      <c r="J878" s="44">
        <v>0</v>
      </c>
      <c r="K878" s="44">
        <v>0</v>
      </c>
      <c r="L878" s="43">
        <v>0.71527777777777779</v>
      </c>
      <c r="M878" s="43">
        <v>0.72916666666666663</v>
      </c>
      <c r="N878" s="43">
        <v>1.3194444444444444E-2</v>
      </c>
      <c r="O878" s="43">
        <v>3.8194444444444441E-2</v>
      </c>
      <c r="P878" s="39"/>
      <c r="Q878" s="42" t="s">
        <v>38</v>
      </c>
      <c r="R878" s="29">
        <f>MIP_4[[#This Row],[PT-1]]+MIP_4[[#This Row],[PT-2]]*2+MIP_4[[#This Row],[PT-3]]*3+MIP_4[[#This Row],[PT &gt; 3 Pontos]]</f>
        <v>11</v>
      </c>
      <c r="S87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3.8888888888888862E-2</v>
      </c>
      <c r="T87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3.8888888888888862E-2</v>
      </c>
      <c r="U878" s="41">
        <f ca="1">MIP_4[[#This Row],[Eficiência]]</f>
        <v>1.0851514160541502</v>
      </c>
      <c r="V878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78" s="39">
        <f>IF(MIP_4[[#This Row],[P.S]]-MIP_4[[#This Row],[P.E]]&lt;0,1+MIP_4[[#This Row],[P.S]]-MIP_4[[#This Row],[P.E]]-1/24,MIP_4[[#This Row],[P.S]]-MIP_4[[#This Row],[P.E]]-1/24)</f>
        <v>0.28124999999999994</v>
      </c>
      <c r="X878" s="39">
        <f ca="1">MIP_4[[#This Row],[PT-1]]*$S$3+MIP_4[[#This Row],[PT-2]]*$T$3+MIP_4[[#This Row],[PT-3]]*$U$3+MIP_4[[#This Row],[PT &gt; 3 Pontos]]*$V$3</f>
        <v>0.26299850291867943</v>
      </c>
      <c r="Y878" s="39">
        <f>MIP_4[[#This Row],[HH disponível]]-MIP_4[[#This Row],[HH AC TOT]]</f>
        <v>0.24236111111111108</v>
      </c>
      <c r="Z878" s="38">
        <f ca="1">MIP_4[[#This Row],[HH Produtivo
Total]]/MIP_4[[#This Row],[HH Trabalhado]]</f>
        <v>1.0851514160541502</v>
      </c>
      <c r="AA878" s="38">
        <f ca="1">MIP_4[[#This Row],[HH Produtivo
Total]]/MIP_4[[#This Row],[HH disponível]]</f>
        <v>0.93510578815530487</v>
      </c>
      <c r="AB878" s="38">
        <f>MIP_4[[#This Row],[HH Trabalhado]]/MIP_4[[#This Row],[HH disponível]]</f>
        <v>0.86172839506172849</v>
      </c>
      <c r="AC878" s="37" t="str">
        <f>LEFT(MIP_4[[#This Row],[Equipe]], SEARCH("/",MIP_4[[#This Row],[Equipe]],1)-1)</f>
        <v xml:space="preserve">ADEMÁRIO </v>
      </c>
      <c r="AD878" s="37" t="str">
        <f>RIGHT(MIP_4[[#This Row],[Equipe]], LEN(MIP_4[[#This Row],[Equipe]])-SEARCH("/",MIP_4[[#This Row],[Equipe]],1))</f>
        <v xml:space="preserve"> RONALDO</v>
      </c>
      <c r="AE878" s="29">
        <f>COUNTIFS('[1]Tempo parado'!G:G,"&gt;="&amp;MIP_4[[#This Row],[S.B Sitrack]],'[1]Tempo parado'!H:H,"&lt;="&amp;MIP_4[[#This Row],[C.B Sitrack]],'[1]Tempo parado'!A:A,MIP_4[[#This Row],[Placa]])</f>
        <v>0</v>
      </c>
      <c r="AF878" s="36"/>
      <c r="AG878" s="35"/>
      <c r="AH878" s="34">
        <v>43084.73337962963</v>
      </c>
      <c r="AI878" s="34">
        <v>43085.024039351854</v>
      </c>
      <c r="AJ878" s="32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1.4583333333333429E-2</v>
      </c>
      <c r="AK87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36.6</v>
      </c>
      <c r="AL87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78" s="31">
        <f>IFERROR(MIP_4[[#This Row],[Tempo parado]]/(MIP_4[[#This Row],[C.B Sitrack]]-MIP_4[[#This Row],[S.B Sitrack]]),"")</f>
        <v>0</v>
      </c>
      <c r="AN878" s="30" t="s">
        <v>37</v>
      </c>
      <c r="AO878" s="29">
        <f>IF(AND(MIP_4[Exc]=0,MIP_4[Previsto / Realizado]="Realizado"),MIP_4[Sem],0)</f>
        <v>50</v>
      </c>
      <c r="AP878" s="29">
        <f>IF(AND(MIP_4[Exc]=0,MIP_4[Previsto / Realizado]="Realizado",ISBLANK(MIP_4[[#This Row],[S.B Sitrack]])=FALSE,ISBLANK(MIP_4[[#This Row],[C.B Sitrack]])=FALSE),MIP_4[Sem],0)</f>
        <v>50</v>
      </c>
    </row>
    <row r="879" spans="1:42" ht="15.75" x14ac:dyDescent="0.25">
      <c r="A879" s="29">
        <f>WEEKNUM(MIP_4[[#This Row],[Data]])</f>
        <v>50</v>
      </c>
      <c r="B879" s="45" t="s">
        <v>35</v>
      </c>
      <c r="C879" s="45"/>
      <c r="D879" s="35" t="s">
        <v>3</v>
      </c>
      <c r="E879" s="35" t="s">
        <v>5</v>
      </c>
      <c r="F879" s="35"/>
      <c r="G879" s="44"/>
      <c r="H879" s="44">
        <v>2</v>
      </c>
      <c r="I879" s="44">
        <v>2</v>
      </c>
      <c r="J879" s="44">
        <v>1</v>
      </c>
      <c r="K879" s="44">
        <v>0</v>
      </c>
      <c r="L879" s="43">
        <v>0.625</v>
      </c>
      <c r="M879" s="43">
        <v>0.6381944444444444</v>
      </c>
      <c r="N879" s="43">
        <v>5.5555555555555558E-3</v>
      </c>
      <c r="O879" s="43">
        <v>3.3333333333333333E-2</v>
      </c>
      <c r="P879" s="39"/>
      <c r="Q879" s="42" t="s">
        <v>36</v>
      </c>
      <c r="R879" s="29">
        <f>MIP_4[[#This Row],[PT-1]]+MIP_4[[#This Row],[PT-2]]*2+MIP_4[[#This Row],[PT-3]]*3+MIP_4[[#This Row],[PT &gt; 3 Pontos]]</f>
        <v>9</v>
      </c>
      <c r="S87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4.0972222222222188E-2</v>
      </c>
      <c r="T87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4.0972222222222188E-2</v>
      </c>
      <c r="U879" s="41">
        <f ca="1">MIP_4[[#This Row],[Eficiência]]</f>
        <v>0.61610175056395022</v>
      </c>
      <c r="V879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79" s="39">
        <f>IF(MIP_4[[#This Row],[P.S]]-MIP_4[[#This Row],[P.E]]&lt;0,1+MIP_4[[#This Row],[P.S]]-MIP_4[[#This Row],[P.E]]-1/24,MIP_4[[#This Row],[P.S]]-MIP_4[[#This Row],[P.E]]-1/24)</f>
        <v>0.36666666666666675</v>
      </c>
      <c r="X879" s="39">
        <f ca="1">MIP_4[[#This Row],[PT-1]]*$S$3+MIP_4[[#This Row],[PT-2]]*$T$3+MIP_4[[#This Row],[PT-3]]*$U$3+MIP_4[[#This Row],[PT &gt; 3 Pontos]]*$V$3</f>
        <v>0.20066091737117553</v>
      </c>
      <c r="Y879" s="39">
        <f>MIP_4[[#This Row],[HH disponível]]-MIP_4[[#This Row],[HH AC TOT]]</f>
        <v>0.32569444444444456</v>
      </c>
      <c r="Z879" s="38">
        <f ca="1">MIP_4[[#This Row],[HH Produtivo
Total]]/MIP_4[[#This Row],[HH Trabalhado]]</f>
        <v>0.61610175056395022</v>
      </c>
      <c r="AA879" s="38">
        <f ca="1">MIP_4[[#This Row],[HH Produtivo
Total]]/MIP_4[[#This Row],[HH disponível]]</f>
        <v>0.54725704737593317</v>
      </c>
      <c r="AB879" s="38">
        <f>MIP_4[[#This Row],[HH Trabalhado]]/MIP_4[[#This Row],[HH disponível]]</f>
        <v>0.88825757575757591</v>
      </c>
      <c r="AC879" s="37" t="str">
        <f>LEFT(MIP_4[[#This Row],[Equipe]], SEARCH("/",MIP_4[[#This Row],[Equipe]],1)-1)</f>
        <v xml:space="preserve">EDILTON </v>
      </c>
      <c r="AD879" s="37" t="str">
        <f>RIGHT(MIP_4[[#This Row],[Equipe]], LEN(MIP_4[[#This Row],[Equipe]])-SEARCH("/",MIP_4[[#This Row],[Equipe]],1))</f>
        <v xml:space="preserve"> GECIVALDO</v>
      </c>
      <c r="AE879" s="29">
        <f>COUNTIFS('[1]Tempo parado'!G:G,"&gt;="&amp;MIP_4[[#This Row],[S.B Sitrack]],'[1]Tempo parado'!H:H,"&lt;="&amp;MIP_4[[#This Row],[C.B Sitrack]],'[1]Tempo parado'!A:A,MIP_4[[#This Row],[Placa]])</f>
        <v>0</v>
      </c>
      <c r="AF879" s="36"/>
      <c r="AG879" s="35"/>
      <c r="AH879" s="34"/>
      <c r="AI879" s="34"/>
      <c r="AJ87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7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7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79" s="31" t="str">
        <f>IFERROR(MIP_4[[#This Row],[Tempo parado]]/(MIP_4[[#This Row],[C.B Sitrack]]-MIP_4[[#This Row],[S.B Sitrack]]),"")</f>
        <v/>
      </c>
      <c r="AN879" s="30"/>
      <c r="AO879" s="29">
        <f>IF(AND(MIP_4[Exc]=0,MIP_4[Previsto / Realizado]="Realizado"),MIP_4[Sem],0)</f>
        <v>0</v>
      </c>
      <c r="AP879" s="29">
        <f>IF(AND(MIP_4[Exc]=0,MIP_4[Previsto / Realizado]="Realizado",ISBLANK(MIP_4[[#This Row],[S.B Sitrack]])=FALSE,ISBLANK(MIP_4[[#This Row],[C.B Sitrack]])=FALSE),MIP_4[Sem],0)</f>
        <v>0</v>
      </c>
    </row>
    <row r="880" spans="1:42" ht="15.75" x14ac:dyDescent="0.25">
      <c r="A880" s="29">
        <f>WEEKNUM(MIP_4[[#This Row],[Data]])</f>
        <v>50</v>
      </c>
      <c r="B880" s="45" t="s">
        <v>35</v>
      </c>
      <c r="C880" s="45"/>
      <c r="D880" s="35" t="s">
        <v>3</v>
      </c>
      <c r="E880" s="35" t="s">
        <v>2</v>
      </c>
      <c r="F880" s="35" t="s">
        <v>1</v>
      </c>
      <c r="G880" s="44"/>
      <c r="H880" s="44">
        <v>5</v>
      </c>
      <c r="I880" s="44">
        <v>2</v>
      </c>
      <c r="J880" s="44">
        <v>1</v>
      </c>
      <c r="K880" s="44">
        <v>0</v>
      </c>
      <c r="L880" s="43">
        <v>0.62152777777777779</v>
      </c>
      <c r="M880" s="43">
        <v>0.6875</v>
      </c>
      <c r="N880" s="43">
        <v>7.6388888888888886E-3</v>
      </c>
      <c r="O880" s="43">
        <v>3.3333333333333333E-2</v>
      </c>
      <c r="P880" s="39"/>
      <c r="Q880" s="42" t="s">
        <v>34</v>
      </c>
      <c r="R880" s="29">
        <f>MIP_4[[#This Row],[PT-1]]+MIP_4[[#This Row],[PT-2]]*2+MIP_4[[#This Row],[PT-3]]*3+MIP_4[[#This Row],[PT &gt; 3 Pontos]]</f>
        <v>12</v>
      </c>
      <c r="S88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9.1666666666666674E-2</v>
      </c>
      <c r="T88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9.1666666666666674E-2</v>
      </c>
      <c r="U880" s="41">
        <f ca="1">MIP_4[[#This Row],[Eficiência]]</f>
        <v>0.99018305685062646</v>
      </c>
      <c r="V880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80" s="39">
        <f>IF(MIP_4[[#This Row],[P.S]]-MIP_4[[#This Row],[P.E]]&lt;0,1+MIP_4[[#This Row],[P.S]]-MIP_4[[#This Row],[P.E]]-1/24,MIP_4[[#This Row],[P.S]]-MIP_4[[#This Row],[P.E]]-1/24)</f>
        <v>0.37013888888888896</v>
      </c>
      <c r="X880" s="39">
        <f ca="1">MIP_4[[#This Row],[PT-1]]*$S$3+MIP_4[[#This Row],[PT-2]]*$T$3+MIP_4[[#This Row],[PT-3]]*$U$3+MIP_4[[#This Row],[PT &gt; 3 Pontos]]*$V$3</f>
        <v>0.27573847624798703</v>
      </c>
      <c r="Y880" s="39">
        <f>MIP_4[[#This Row],[HH disponível]]-MIP_4[[#This Row],[HH AC TOT]]</f>
        <v>0.27847222222222229</v>
      </c>
      <c r="Z880" s="38">
        <f ca="1">MIP_4[[#This Row],[HH Produtivo
Total]]/MIP_4[[#This Row],[HH Trabalhado]]</f>
        <v>0.99018305685062646</v>
      </c>
      <c r="AA880" s="38">
        <f ca="1">MIP_4[[#This Row],[HH Produtivo
Total]]/MIP_4[[#This Row],[HH disponível]]</f>
        <v>0.74495948554803237</v>
      </c>
      <c r="AB880" s="38">
        <f>MIP_4[[#This Row],[HH Trabalhado]]/MIP_4[[#This Row],[HH disponível]]</f>
        <v>0.75234521575984992</v>
      </c>
      <c r="AC880" s="37" t="str">
        <f>LEFT(MIP_4[[#This Row],[Equipe]], SEARCH("/",MIP_4[[#This Row],[Equipe]],1)-1)</f>
        <v xml:space="preserve">EDILTON </v>
      </c>
      <c r="AD880" s="37" t="str">
        <f>RIGHT(MIP_4[[#This Row],[Equipe]], LEN(MIP_4[[#This Row],[Equipe]])-SEARCH("/",MIP_4[[#This Row],[Equipe]],1))</f>
        <v xml:space="preserve"> GECIVALDO</v>
      </c>
      <c r="AE880" s="29">
        <f>COUNTIFS('[1]Tempo parado'!G:G,"&gt;="&amp;MIP_4[[#This Row],[S.B Sitrack]],'[1]Tempo parado'!H:H,"&lt;="&amp;MIP_4[[#This Row],[C.B Sitrack]],'[1]Tempo parado'!A:A,MIP_4[[#This Row],[Placa]])</f>
        <v>0</v>
      </c>
      <c r="AF880" s="36"/>
      <c r="AG880" s="35"/>
      <c r="AH880" s="34"/>
      <c r="AI880" s="34"/>
      <c r="AJ88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8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8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80" s="31" t="str">
        <f>IFERROR(MIP_4[[#This Row],[Tempo parado]]/(MIP_4[[#This Row],[C.B Sitrack]]-MIP_4[[#This Row],[S.B Sitrack]]),"")</f>
        <v/>
      </c>
      <c r="AN880" s="30"/>
      <c r="AO880" s="29">
        <f>IF(AND(MIP_4[Exc]=0,MIP_4[Previsto / Realizado]="Realizado"),MIP_4[Sem],0)</f>
        <v>50</v>
      </c>
      <c r="AP880" s="29">
        <f>IF(AND(MIP_4[Exc]=0,MIP_4[Previsto / Realizado]="Realizado",ISBLANK(MIP_4[[#This Row],[S.B Sitrack]])=FALSE,ISBLANK(MIP_4[[#This Row],[C.B Sitrack]])=FALSE),MIP_4[Sem],0)</f>
        <v>0</v>
      </c>
    </row>
    <row r="881" spans="1:42" ht="15.75" x14ac:dyDescent="0.25">
      <c r="A881" s="29">
        <f>WEEKNUM(MIP_4[[#This Row],[Data]])</f>
        <v>51</v>
      </c>
      <c r="B881" s="45" t="s">
        <v>30</v>
      </c>
      <c r="C881" s="45"/>
      <c r="D881" s="35" t="s">
        <v>33</v>
      </c>
      <c r="E881" s="35" t="s">
        <v>5</v>
      </c>
      <c r="F881" s="35"/>
      <c r="G881" s="44"/>
      <c r="H881" s="44">
        <v>8</v>
      </c>
      <c r="I881" s="44">
        <v>3</v>
      </c>
      <c r="J881" s="44">
        <v>1</v>
      </c>
      <c r="K881" s="44">
        <v>0</v>
      </c>
      <c r="L881" s="43">
        <v>0.25</v>
      </c>
      <c r="M881" s="43">
        <v>0.2638888888888889</v>
      </c>
      <c r="N881" s="43">
        <v>0.62986111111111109</v>
      </c>
      <c r="O881" s="43">
        <v>0.65833333333333333</v>
      </c>
      <c r="P881" s="39"/>
      <c r="Q881" s="42"/>
      <c r="R881" s="29">
        <f>MIP_4[[#This Row],[PT-1]]+MIP_4[[#This Row],[PT-2]]*2+MIP_4[[#This Row],[PT-3]]*3+MIP_4[[#This Row],[PT &gt; 3 Pontos]]</f>
        <v>17</v>
      </c>
      <c r="S88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4.2361111111111127E-2</v>
      </c>
      <c r="T88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4.2361111111111127E-2</v>
      </c>
      <c r="U881" s="41">
        <f ca="1">MIP_4[[#This Row],[Eficiência]]</f>
        <v>1.217138573379263</v>
      </c>
      <c r="V881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81" s="39">
        <f>IF(MIP_4[[#This Row],[P.S]]-MIP_4[[#This Row],[P.E]]&lt;0,1+MIP_4[[#This Row],[P.S]]-MIP_4[[#This Row],[P.E]]-1/24,MIP_4[[#This Row],[P.S]]-MIP_4[[#This Row],[P.E]]-1/24)</f>
        <v>0.36666666666666664</v>
      </c>
      <c r="X881" s="39">
        <f ca="1">MIP_4[[#This Row],[PT-1]]*$S$3+MIP_4[[#This Row],[PT-2]]*$T$3+MIP_4[[#This Row],[PT-3]]*$U$3+MIP_4[[#This Row],[PT &gt; 3 Pontos]]*$V$3</f>
        <v>0.39472480122785819</v>
      </c>
      <c r="Y881" s="39">
        <f>MIP_4[[#This Row],[HH disponível]]-MIP_4[[#This Row],[HH AC TOT]]</f>
        <v>0.32430555555555551</v>
      </c>
      <c r="Z881" s="38">
        <f ca="1">MIP_4[[#This Row],[HH Produtivo
Total]]/MIP_4[[#This Row],[HH Trabalhado]]</f>
        <v>1.217138573379263</v>
      </c>
      <c r="AA881" s="38">
        <f ca="1">MIP_4[[#This Row],[HH Produtivo
Total]]/MIP_4[[#This Row],[HH disponível]]</f>
        <v>1.076522185166886</v>
      </c>
      <c r="AB881" s="38">
        <f>MIP_4[[#This Row],[HH Trabalhado]]/MIP_4[[#This Row],[HH disponível]]</f>
        <v>0.88446969696969691</v>
      </c>
      <c r="AC881" s="37" t="str">
        <f>LEFT(MIP_4[[#This Row],[Equipe]], SEARCH("/",MIP_4[[#This Row],[Equipe]],1)-1)</f>
        <v xml:space="preserve">JOILSON </v>
      </c>
      <c r="AD881" s="37" t="str">
        <f>RIGHT(MIP_4[[#This Row],[Equipe]], LEN(MIP_4[[#This Row],[Equipe]])-SEARCH("/",MIP_4[[#This Row],[Equipe]],1))</f>
        <v xml:space="preserve"> HERVAL</v>
      </c>
      <c r="AE881" s="29">
        <f>COUNTIFS('[1]Tempo parado'!G:G,"&gt;="&amp;MIP_4[[#This Row],[S.B Sitrack]],'[1]Tempo parado'!H:H,"&lt;="&amp;MIP_4[[#This Row],[C.B Sitrack]],'[1]Tempo parado'!A:A,MIP_4[[#This Row],[Placa]])</f>
        <v>0</v>
      </c>
      <c r="AF881" s="36"/>
      <c r="AG881" s="35"/>
      <c r="AH881" s="34"/>
      <c r="AI881" s="34"/>
      <c r="AJ88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8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8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81" s="31" t="str">
        <f>IFERROR(MIP_4[[#This Row],[Tempo parado]]/(MIP_4[[#This Row],[C.B Sitrack]]-MIP_4[[#This Row],[S.B Sitrack]]),"")</f>
        <v/>
      </c>
      <c r="AN881" s="30"/>
      <c r="AO881" s="29">
        <f>IF(AND(MIP_4[Exc]=0,MIP_4[Previsto / Realizado]="Realizado"),MIP_4[Sem],0)</f>
        <v>0</v>
      </c>
      <c r="AP881" s="29">
        <f>IF(AND(MIP_4[Exc]=0,MIP_4[Previsto / Realizado]="Realizado",ISBLANK(MIP_4[[#This Row],[S.B Sitrack]])=FALSE,ISBLANK(MIP_4[[#This Row],[C.B Sitrack]])=FALSE),MIP_4[Sem],0)</f>
        <v>0</v>
      </c>
    </row>
    <row r="882" spans="1:42" ht="15.75" x14ac:dyDescent="0.25">
      <c r="A882" s="29">
        <f>WEEKNUM(MIP_4[[#This Row],[Data]])</f>
        <v>51</v>
      </c>
      <c r="B882" s="45" t="s">
        <v>30</v>
      </c>
      <c r="C882" s="45"/>
      <c r="D882" s="46" t="s">
        <v>10</v>
      </c>
      <c r="E882" s="35" t="s">
        <v>2</v>
      </c>
      <c r="F882" s="35" t="s">
        <v>6</v>
      </c>
      <c r="G882" s="44"/>
      <c r="H882" s="44">
        <v>6</v>
      </c>
      <c r="I882" s="44">
        <v>1</v>
      </c>
      <c r="J882" s="44">
        <v>0</v>
      </c>
      <c r="K882" s="44">
        <v>0</v>
      </c>
      <c r="L882" s="43">
        <v>0.25069444444444444</v>
      </c>
      <c r="M882" s="43">
        <v>0.27083333333333331</v>
      </c>
      <c r="N882" s="43">
        <v>0.59375</v>
      </c>
      <c r="O882" s="43">
        <v>0.66041666666666665</v>
      </c>
      <c r="P882" s="39"/>
      <c r="Q882" s="42" t="s">
        <v>32</v>
      </c>
      <c r="R882" s="29">
        <f>MIP_4[[#This Row],[PT-1]]+MIP_4[[#This Row],[PT-2]]*2+MIP_4[[#This Row],[PT-3]]*3+MIP_4[[#This Row],[PT &gt; 3 Pontos]]</f>
        <v>8</v>
      </c>
      <c r="S88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8.6805555555555525E-2</v>
      </c>
      <c r="T88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8.6805555555555525E-2</v>
      </c>
      <c r="U882" s="41">
        <f ca="1">MIP_4[[#This Row],[Eficiência]]</f>
        <v>0.69000492037931616</v>
      </c>
      <c r="V882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82" s="39">
        <f>IF(MIP_4[[#This Row],[P.S]]-MIP_4[[#This Row],[P.E]]&lt;0,1+MIP_4[[#This Row],[P.S]]-MIP_4[[#This Row],[P.E]]-1/24,MIP_4[[#This Row],[P.S]]-MIP_4[[#This Row],[P.E]]-1/24)</f>
        <v>0.36805555555555552</v>
      </c>
      <c r="X882" s="39">
        <f ca="1">MIP_4[[#This Row],[PT-1]]*$S$3+MIP_4[[#This Row],[PT-2]]*$T$3+MIP_4[[#This Row],[PT-3]]*$U$3+MIP_4[[#This Row],[PT &gt; 3 Pontos]]*$V$3</f>
        <v>0.19406388385668266</v>
      </c>
      <c r="Y882" s="39">
        <f>MIP_4[[#This Row],[HH disponível]]-MIP_4[[#This Row],[HH AC TOT]]</f>
        <v>0.28125</v>
      </c>
      <c r="Z882" s="38">
        <f ca="1">MIP_4[[#This Row],[HH Produtivo
Total]]/MIP_4[[#This Row],[HH Trabalhado]]</f>
        <v>0.69000492037931616</v>
      </c>
      <c r="AA882" s="38">
        <f ca="1">MIP_4[[#This Row],[HH Produtivo
Total]]/MIP_4[[#This Row],[HH disponível]]</f>
        <v>0.52726791085589253</v>
      </c>
      <c r="AB882" s="38">
        <f>MIP_4[[#This Row],[HH Trabalhado]]/MIP_4[[#This Row],[HH disponível]]</f>
        <v>0.76415094339622647</v>
      </c>
      <c r="AC882" s="37" t="str">
        <f>LEFT(MIP_4[[#This Row],[Equipe]], SEARCH("/",MIP_4[[#This Row],[Equipe]],1)-1)</f>
        <v xml:space="preserve">JOILSON </v>
      </c>
      <c r="AD882" s="37" t="str">
        <f>RIGHT(MIP_4[[#This Row],[Equipe]], LEN(MIP_4[[#This Row],[Equipe]])-SEARCH("/",MIP_4[[#This Row],[Equipe]],1))</f>
        <v xml:space="preserve"> VALDEI</v>
      </c>
      <c r="AE882" s="29">
        <f>COUNTIFS('[1]Tempo parado'!G:G,"&gt;="&amp;MIP_4[[#This Row],[S.B Sitrack]],'[1]Tempo parado'!H:H,"&lt;="&amp;MIP_4[[#This Row],[C.B Sitrack]],'[1]Tempo parado'!A:A,MIP_4[[#This Row],[Placa]])</f>
        <v>0</v>
      </c>
      <c r="AF882" s="36"/>
      <c r="AG882" s="35"/>
      <c r="AH882" s="34">
        <v>43088.278425925928</v>
      </c>
      <c r="AI882" s="34">
        <v>43088.631435185183</v>
      </c>
      <c r="AJ882" s="32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4.4444444444444453E-2</v>
      </c>
      <c r="AK88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49.599999999999994</v>
      </c>
      <c r="AL88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82" s="31">
        <f>IFERROR(MIP_4[[#This Row],[Tempo parado]]/(MIP_4[[#This Row],[C.B Sitrack]]-MIP_4[[#This Row],[S.B Sitrack]]),"")</f>
        <v>0</v>
      </c>
      <c r="AN882" s="30" t="s">
        <v>31</v>
      </c>
      <c r="AO882" s="29">
        <f>IF(AND(MIP_4[Exc]=0,MIP_4[Previsto / Realizado]="Realizado"),MIP_4[Sem],0)</f>
        <v>51</v>
      </c>
      <c r="AP882" s="29">
        <f>IF(AND(MIP_4[Exc]=0,MIP_4[Previsto / Realizado]="Realizado",ISBLANK(MIP_4[[#This Row],[S.B Sitrack]])=FALSE,ISBLANK(MIP_4[[#This Row],[C.B Sitrack]])=FALSE),MIP_4[Sem],0)</f>
        <v>51</v>
      </c>
    </row>
    <row r="883" spans="1:42" ht="15.75" x14ac:dyDescent="0.25">
      <c r="A883" s="29">
        <f>WEEKNUM(MIP_4[[#This Row],[Data]])</f>
        <v>51</v>
      </c>
      <c r="B883" s="45" t="s">
        <v>30</v>
      </c>
      <c r="C883" s="45"/>
      <c r="D883" s="35" t="s">
        <v>3</v>
      </c>
      <c r="E883" s="35" t="s">
        <v>5</v>
      </c>
      <c r="F883" s="35"/>
      <c r="G883" s="44"/>
      <c r="H883" s="44">
        <v>11</v>
      </c>
      <c r="I883" s="44">
        <v>1</v>
      </c>
      <c r="J883" s="44">
        <v>1</v>
      </c>
      <c r="K883" s="44">
        <v>0</v>
      </c>
      <c r="L883" s="43">
        <v>0.625</v>
      </c>
      <c r="M883" s="43">
        <v>0.63750000000000007</v>
      </c>
      <c r="N883" s="43">
        <v>4.8611111111111112E-3</v>
      </c>
      <c r="O883" s="43">
        <v>3.3333333333333333E-2</v>
      </c>
      <c r="P883" s="39"/>
      <c r="Q883" s="42"/>
      <c r="R883" s="29">
        <f>MIP_4[[#This Row],[PT-1]]+MIP_4[[#This Row],[PT-2]]*2+MIP_4[[#This Row],[PT-3]]*3+MIP_4[[#This Row],[PT &gt; 3 Pontos]]</f>
        <v>16</v>
      </c>
      <c r="S88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4.0972222222222299E-2</v>
      </c>
      <c r="T88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4.0972222222222299E-2</v>
      </c>
      <c r="U883" s="41">
        <f ca="1">MIP_4[[#This Row],[Eficiência]]</f>
        <v>1.1728318809678313</v>
      </c>
      <c r="V883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83" s="39">
        <f>IF(MIP_4[[#This Row],[P.S]]-MIP_4[[#This Row],[P.E]]&lt;0,1+MIP_4[[#This Row],[P.S]]-MIP_4[[#This Row],[P.E]]-1/24,MIP_4[[#This Row],[P.S]]-MIP_4[[#This Row],[P.E]]-1/24)</f>
        <v>0.36666666666666675</v>
      </c>
      <c r="X883" s="39">
        <f ca="1">MIP_4[[#This Row],[PT-1]]*$S$3+MIP_4[[#This Row],[PT-2]]*$T$3+MIP_4[[#This Row],[PT-3]]*$U$3+MIP_4[[#This Row],[PT &gt; 3 Pontos]]*$V$3</f>
        <v>0.38198482789855059</v>
      </c>
      <c r="Y883" s="39">
        <f>MIP_4[[#This Row],[HH disponível]]-MIP_4[[#This Row],[HH AC TOT]]</f>
        <v>0.32569444444444445</v>
      </c>
      <c r="Z883" s="38">
        <f ca="1">MIP_4[[#This Row],[HH Produtivo
Total]]/MIP_4[[#This Row],[HH Trabalhado]]</f>
        <v>1.1728318809678313</v>
      </c>
      <c r="AA883" s="38">
        <f ca="1">MIP_4[[#This Row],[HH Produtivo
Total]]/MIP_4[[#This Row],[HH disponível]]</f>
        <v>1.0417768033596833</v>
      </c>
      <c r="AB883" s="38">
        <f>MIP_4[[#This Row],[HH Trabalhado]]/MIP_4[[#This Row],[HH disponível]]</f>
        <v>0.88825757575757558</v>
      </c>
      <c r="AC883" s="37" t="str">
        <f>LEFT(MIP_4[[#This Row],[Equipe]], SEARCH("/",MIP_4[[#This Row],[Equipe]],1)-1)</f>
        <v xml:space="preserve">EDILTON </v>
      </c>
      <c r="AD883" s="37" t="str">
        <f>RIGHT(MIP_4[[#This Row],[Equipe]], LEN(MIP_4[[#This Row],[Equipe]])-SEARCH("/",MIP_4[[#This Row],[Equipe]],1))</f>
        <v xml:space="preserve"> GECIVALDO</v>
      </c>
      <c r="AE883" s="29">
        <f>COUNTIFS('[1]Tempo parado'!G:G,"&gt;="&amp;MIP_4[[#This Row],[S.B Sitrack]],'[1]Tempo parado'!H:H,"&lt;="&amp;MIP_4[[#This Row],[C.B Sitrack]],'[1]Tempo parado'!A:A,MIP_4[[#This Row],[Placa]])</f>
        <v>0</v>
      </c>
      <c r="AF883" s="36"/>
      <c r="AG883" s="35"/>
      <c r="AH883" s="34"/>
      <c r="AI883" s="34"/>
      <c r="AJ88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8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8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83" s="31" t="str">
        <f>IFERROR(MIP_4[[#This Row],[Tempo parado]]/(MIP_4[[#This Row],[C.B Sitrack]]-MIP_4[[#This Row],[S.B Sitrack]]),"")</f>
        <v/>
      </c>
      <c r="AN883" s="30"/>
      <c r="AO883" s="29">
        <f>IF(AND(MIP_4[Exc]=0,MIP_4[Previsto / Realizado]="Realizado"),MIP_4[Sem],0)</f>
        <v>0</v>
      </c>
      <c r="AP883" s="29">
        <f>IF(AND(MIP_4[Exc]=0,MIP_4[Previsto / Realizado]="Realizado",ISBLANK(MIP_4[[#This Row],[S.B Sitrack]])=FALSE,ISBLANK(MIP_4[[#This Row],[C.B Sitrack]])=FALSE),MIP_4[Sem],0)</f>
        <v>0</v>
      </c>
    </row>
    <row r="884" spans="1:42" ht="15.75" x14ac:dyDescent="0.25">
      <c r="A884" s="29">
        <f>WEEKNUM(MIP_4[[#This Row],[Data]])</f>
        <v>51</v>
      </c>
      <c r="B884" s="45" t="s">
        <v>30</v>
      </c>
      <c r="C884" s="45"/>
      <c r="D884" s="35" t="s">
        <v>3</v>
      </c>
      <c r="E884" s="35" t="s">
        <v>2</v>
      </c>
      <c r="F884" s="35" t="s">
        <v>1</v>
      </c>
      <c r="G884" s="44"/>
      <c r="H884" s="44">
        <v>12</v>
      </c>
      <c r="I884" s="44">
        <v>1</v>
      </c>
      <c r="J884" s="44">
        <v>1</v>
      </c>
      <c r="K884" s="44">
        <v>0</v>
      </c>
      <c r="L884" s="43">
        <v>0.62708333333333333</v>
      </c>
      <c r="M884" s="43">
        <v>0.67708333333333337</v>
      </c>
      <c r="N884" s="43">
        <v>3.1944444444444449E-2</v>
      </c>
      <c r="O884" s="43">
        <v>3.3333333333333333E-2</v>
      </c>
      <c r="P884" s="39"/>
      <c r="Q884" s="42" t="s">
        <v>29</v>
      </c>
      <c r="R884" s="29">
        <f>MIP_4[[#This Row],[PT-1]]+MIP_4[[#This Row],[PT-2]]*2+MIP_4[[#This Row],[PT-3]]*3+MIP_4[[#This Row],[PT &gt; 3 Pontos]]</f>
        <v>17</v>
      </c>
      <c r="S88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5.1388888888888928E-2</v>
      </c>
      <c r="T88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5.1388888888888928E-2</v>
      </c>
      <c r="U884" s="41">
        <f ca="1">MIP_4[[#This Row],[Eficiência]]</f>
        <v>1.2995462980815571</v>
      </c>
      <c r="V884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84" s="39">
        <f>IF(MIP_4[[#This Row],[P.S]]-MIP_4[[#This Row],[P.E]]&lt;0,1+MIP_4[[#This Row],[P.S]]-MIP_4[[#This Row],[P.E]]-1/24,MIP_4[[#This Row],[P.S]]-MIP_4[[#This Row],[P.E]]-1/24)</f>
        <v>0.36458333333333343</v>
      </c>
      <c r="X884" s="39">
        <f ca="1">MIP_4[[#This Row],[PT-1]]*$S$3+MIP_4[[#This Row],[PT-2]]*$T$3+MIP_4[[#This Row],[PT-3]]*$U$3+MIP_4[[#This Row],[PT &gt; 3 Pontos]]*$V$3</f>
        <v>0.40701068085748776</v>
      </c>
      <c r="Y884" s="39">
        <f>MIP_4[[#This Row],[HH disponível]]-MIP_4[[#This Row],[HH AC TOT]]</f>
        <v>0.3131944444444445</v>
      </c>
      <c r="Z884" s="38">
        <f ca="1">MIP_4[[#This Row],[HH Produtivo
Total]]/MIP_4[[#This Row],[HH Trabalhado]]</f>
        <v>1.2995462980815571</v>
      </c>
      <c r="AA884" s="38">
        <f ca="1">MIP_4[[#This Row],[HH Produtivo
Total]]/MIP_4[[#This Row],[HH disponível]]</f>
        <v>1.1163721532091091</v>
      </c>
      <c r="AB884" s="38">
        <f>MIP_4[[#This Row],[HH Trabalhado]]/MIP_4[[#This Row],[HH disponível]]</f>
        <v>0.85904761904761895</v>
      </c>
      <c r="AC884" s="37" t="str">
        <f>LEFT(MIP_4[[#This Row],[Equipe]], SEARCH("/",MIP_4[[#This Row],[Equipe]],1)-1)</f>
        <v xml:space="preserve">EDILTON </v>
      </c>
      <c r="AD884" s="37" t="str">
        <f>RIGHT(MIP_4[[#This Row],[Equipe]], LEN(MIP_4[[#This Row],[Equipe]])-SEARCH("/",MIP_4[[#This Row],[Equipe]],1))</f>
        <v xml:space="preserve"> GECIVALDO</v>
      </c>
      <c r="AE884" s="29">
        <f>COUNTIFS('[1]Tempo parado'!G:G,"&gt;="&amp;MIP_4[[#This Row],[S.B Sitrack]],'[1]Tempo parado'!H:H,"&lt;="&amp;MIP_4[[#This Row],[C.B Sitrack]],'[1]Tempo parado'!A:A,MIP_4[[#This Row],[Placa]])</f>
        <v>0</v>
      </c>
      <c r="AF884" s="36"/>
      <c r="AG884" s="35"/>
      <c r="AH884" s="34"/>
      <c r="AI884" s="34"/>
      <c r="AJ88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8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8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84" s="31" t="str">
        <f>IFERROR(MIP_4[[#This Row],[Tempo parado]]/(MIP_4[[#This Row],[C.B Sitrack]]-MIP_4[[#This Row],[S.B Sitrack]]),"")</f>
        <v/>
      </c>
      <c r="AN884" s="30"/>
      <c r="AO884" s="29">
        <f>IF(AND(MIP_4[Exc]=0,MIP_4[Previsto / Realizado]="Realizado"),MIP_4[Sem],0)</f>
        <v>51</v>
      </c>
      <c r="AP884" s="29">
        <f>IF(AND(MIP_4[Exc]=0,MIP_4[Previsto / Realizado]="Realizado",ISBLANK(MIP_4[[#This Row],[S.B Sitrack]])=FALSE,ISBLANK(MIP_4[[#This Row],[C.B Sitrack]])=FALSE),MIP_4[Sem],0)</f>
        <v>0</v>
      </c>
    </row>
    <row r="885" spans="1:42" ht="15.75" x14ac:dyDescent="0.25">
      <c r="A885" s="29">
        <f>WEEKNUM(MIP_4[[#This Row],[Data]])</f>
        <v>51</v>
      </c>
      <c r="B885" s="45" t="s">
        <v>27</v>
      </c>
      <c r="C885" s="45"/>
      <c r="D885" s="35" t="s">
        <v>7</v>
      </c>
      <c r="E885" s="35" t="s">
        <v>5</v>
      </c>
      <c r="F885" s="35"/>
      <c r="G885" s="44"/>
      <c r="H885" s="44">
        <v>6</v>
      </c>
      <c r="I885" s="44">
        <v>0</v>
      </c>
      <c r="J885" s="44">
        <v>1</v>
      </c>
      <c r="K885" s="44">
        <v>4</v>
      </c>
      <c r="L885" s="43">
        <v>0.625</v>
      </c>
      <c r="M885" s="43">
        <v>0.63750000000000007</v>
      </c>
      <c r="N885" s="43">
        <v>4.8611111111111112E-3</v>
      </c>
      <c r="O885" s="43">
        <v>3.3333333333333333E-2</v>
      </c>
      <c r="P885" s="39"/>
      <c r="Q885" s="42"/>
      <c r="R885" s="29">
        <f>MIP_4[[#This Row],[PT-1]]+MIP_4[[#This Row],[PT-2]]*2+MIP_4[[#This Row],[PT-3]]*3+MIP_4[[#This Row],[PT &gt; 3 Pontos]]</f>
        <v>13</v>
      </c>
      <c r="S88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4.0972222222222299E-2</v>
      </c>
      <c r="T88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4.0972222222222299E-2</v>
      </c>
      <c r="U885" s="41">
        <f ca="1">MIP_4[[#This Row],[Eficiência]]</f>
        <v>0.90249878540355488</v>
      </c>
      <c r="V885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85" s="39">
        <f>IF(MIP_4[[#This Row],[P.S]]-MIP_4[[#This Row],[P.E]]&lt;0,1+MIP_4[[#This Row],[P.S]]-MIP_4[[#This Row],[P.E]]-1/24,MIP_4[[#This Row],[P.S]]-MIP_4[[#This Row],[P.E]]-1/24)</f>
        <v>0.36666666666666675</v>
      </c>
      <c r="X885" s="39">
        <f ca="1">MIP_4[[#This Row],[PT-1]]*$S$3+MIP_4[[#This Row],[PT-2]]*$T$3+MIP_4[[#This Row],[PT-3]]*$U$3+MIP_4[[#This Row],[PT &gt; 3 Pontos]]*$V$3</f>
        <v>0.29393884052379671</v>
      </c>
      <c r="Y885" s="39">
        <f>MIP_4[[#This Row],[HH disponível]]-MIP_4[[#This Row],[HH AC TOT]]</f>
        <v>0.32569444444444445</v>
      </c>
      <c r="Z885" s="38">
        <f ca="1">MIP_4[[#This Row],[HH Produtivo
Total]]/MIP_4[[#This Row],[HH Trabalhado]]</f>
        <v>0.90249878540355488</v>
      </c>
      <c r="AA885" s="38">
        <f ca="1">MIP_4[[#This Row],[HH Produtivo
Total]]/MIP_4[[#This Row],[HH disponível]]</f>
        <v>0.80165138324671814</v>
      </c>
      <c r="AB885" s="38">
        <f>MIP_4[[#This Row],[HH Trabalhado]]/MIP_4[[#This Row],[HH disponível]]</f>
        <v>0.88825757575757558</v>
      </c>
      <c r="AC885" s="37" t="str">
        <f>LEFT(MIP_4[[#This Row],[Equipe]], SEARCH("/",MIP_4[[#This Row],[Equipe]],1)-1)</f>
        <v xml:space="preserve">ANDERSON </v>
      </c>
      <c r="AD885" s="37" t="str">
        <f>RIGHT(MIP_4[[#This Row],[Equipe]], LEN(MIP_4[[#This Row],[Equipe]])-SEARCH("/",MIP_4[[#This Row],[Equipe]],1))</f>
        <v xml:space="preserve"> MARCO</v>
      </c>
      <c r="AE885" s="29">
        <f>COUNTIFS('[1]Tempo parado'!G:G,"&gt;="&amp;MIP_4[[#This Row],[S.B Sitrack]],'[1]Tempo parado'!H:H,"&lt;="&amp;MIP_4[[#This Row],[C.B Sitrack]],'[1]Tempo parado'!A:A,MIP_4[[#This Row],[Placa]])</f>
        <v>0</v>
      </c>
      <c r="AF885" s="36"/>
      <c r="AG885" s="35"/>
      <c r="AH885" s="34"/>
      <c r="AI885" s="34"/>
      <c r="AJ88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8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8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85" s="31" t="str">
        <f>IFERROR(MIP_4[[#This Row],[Tempo parado]]/(MIP_4[[#This Row],[C.B Sitrack]]-MIP_4[[#This Row],[S.B Sitrack]]),"")</f>
        <v/>
      </c>
      <c r="AN885" s="30"/>
      <c r="AO885" s="29">
        <f>IF(AND(MIP_4[Exc]=0,MIP_4[Previsto / Realizado]="Realizado"),MIP_4[Sem],0)</f>
        <v>0</v>
      </c>
      <c r="AP885" s="29">
        <f>IF(AND(MIP_4[Exc]=0,MIP_4[Previsto / Realizado]="Realizado",ISBLANK(MIP_4[[#This Row],[S.B Sitrack]])=FALSE,ISBLANK(MIP_4[[#This Row],[C.B Sitrack]])=FALSE),MIP_4[Sem],0)</f>
        <v>0</v>
      </c>
    </row>
    <row r="886" spans="1:42" ht="15.75" x14ac:dyDescent="0.25">
      <c r="A886" s="29">
        <f>WEEKNUM(MIP_4[[#This Row],[Data]])</f>
        <v>51</v>
      </c>
      <c r="B886" s="45" t="s">
        <v>27</v>
      </c>
      <c r="C886" s="45"/>
      <c r="D886" s="46" t="s">
        <v>7</v>
      </c>
      <c r="E886" s="35" t="s">
        <v>2</v>
      </c>
      <c r="F886" s="35" t="s">
        <v>6</v>
      </c>
      <c r="G886" s="44"/>
      <c r="H886" s="44">
        <v>8</v>
      </c>
      <c r="I886" s="44">
        <v>0</v>
      </c>
      <c r="J886" s="44">
        <v>1</v>
      </c>
      <c r="K886" s="44">
        <v>4</v>
      </c>
      <c r="L886" s="43">
        <v>0.61875000000000002</v>
      </c>
      <c r="M886" s="43">
        <v>0.64583333333333337</v>
      </c>
      <c r="N886" s="43">
        <v>1.9444444444444445E-2</v>
      </c>
      <c r="O886" s="43">
        <v>2.7777777777777776E-2</v>
      </c>
      <c r="P886" s="39"/>
      <c r="Q886" s="42" t="s">
        <v>0</v>
      </c>
      <c r="R886" s="29">
        <f>MIP_4[[#This Row],[PT-1]]+MIP_4[[#This Row],[PT-2]]*2+MIP_4[[#This Row],[PT-3]]*3+MIP_4[[#This Row],[PT &gt; 3 Pontos]]</f>
        <v>15</v>
      </c>
      <c r="S88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3.5416666666666652E-2</v>
      </c>
      <c r="T88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3.5416666666666652E-2</v>
      </c>
      <c r="U886" s="41">
        <f ca="1">MIP_4[[#This Row],[Eficiência]]</f>
        <v>1.0362895122929006</v>
      </c>
      <c r="V886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86" s="39">
        <f>IF(MIP_4[[#This Row],[P.S]]-MIP_4[[#This Row],[P.E]]&lt;0,1+MIP_4[[#This Row],[P.S]]-MIP_4[[#This Row],[P.E]]-1/24,MIP_4[[#This Row],[P.S]]-MIP_4[[#This Row],[P.E]]-1/24)</f>
        <v>0.36736111111111097</v>
      </c>
      <c r="X886" s="39">
        <f ca="1">MIP_4[[#This Row],[PT-1]]*$S$3+MIP_4[[#This Row],[PT-2]]*$T$3+MIP_4[[#This Row],[PT-3]]*$U$3+MIP_4[[#This Row],[PT &gt; 3 Pontos]]*$V$3</f>
        <v>0.34399054644167104</v>
      </c>
      <c r="Y886" s="39">
        <f>MIP_4[[#This Row],[HH disponível]]-MIP_4[[#This Row],[HH AC TOT]]</f>
        <v>0.33194444444444432</v>
      </c>
      <c r="Z886" s="38">
        <f ca="1">MIP_4[[#This Row],[HH Produtivo
Total]]/MIP_4[[#This Row],[HH Trabalhado]]</f>
        <v>1.0362895122929006</v>
      </c>
      <c r="AA886" s="38">
        <f ca="1">MIP_4[[#This Row],[HH Produtivo
Total]]/MIP_4[[#This Row],[HH disponível]]</f>
        <v>0.93638258388659068</v>
      </c>
      <c r="AB886" s="38">
        <f>MIP_4[[#This Row],[HH Trabalhado]]/MIP_4[[#This Row],[HH disponível]]</f>
        <v>0.9035916824196597</v>
      </c>
      <c r="AC886" s="37" t="str">
        <f>LEFT(MIP_4[[#This Row],[Equipe]], SEARCH("/",MIP_4[[#This Row],[Equipe]],1)-1)</f>
        <v xml:space="preserve">ANDERSON </v>
      </c>
      <c r="AD886" s="37" t="str">
        <f>RIGHT(MIP_4[[#This Row],[Equipe]], LEN(MIP_4[[#This Row],[Equipe]])-SEARCH("/",MIP_4[[#This Row],[Equipe]],1))</f>
        <v xml:space="preserve"> MARCO</v>
      </c>
      <c r="AE886" s="29">
        <f>COUNTIFS('[1]Tempo parado'!G:G,"&gt;="&amp;MIP_4[[#This Row],[S.B Sitrack]],'[1]Tempo parado'!H:H,"&lt;="&amp;MIP_4[[#This Row],[C.B Sitrack]],'[1]Tempo parado'!A:A,MIP_4[[#This Row],[Placa]])</f>
        <v>0</v>
      </c>
      <c r="AF886" s="36"/>
      <c r="AG886" s="35"/>
      <c r="AH886" s="34">
        <v>43089.66511574074</v>
      </c>
      <c r="AI886" s="34">
        <v>43090.021261574075</v>
      </c>
      <c r="AJ886" s="32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2.0138888888888821E-2</v>
      </c>
      <c r="AK88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34.099999999999994</v>
      </c>
      <c r="AL88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86" s="31">
        <f>IFERROR(MIP_4[[#This Row],[Tempo parado]]/(MIP_4[[#This Row],[C.B Sitrack]]-MIP_4[[#This Row],[S.B Sitrack]]),"")</f>
        <v>0</v>
      </c>
      <c r="AN886" s="30" t="s">
        <v>28</v>
      </c>
      <c r="AO886" s="29">
        <f>IF(AND(MIP_4[Exc]=0,MIP_4[Previsto / Realizado]="Realizado"),MIP_4[Sem],0)</f>
        <v>51</v>
      </c>
      <c r="AP886" s="29">
        <f>IF(AND(MIP_4[Exc]=0,MIP_4[Previsto / Realizado]="Realizado",ISBLANK(MIP_4[[#This Row],[S.B Sitrack]])=FALSE,ISBLANK(MIP_4[[#This Row],[C.B Sitrack]])=FALSE),MIP_4[Sem],0)</f>
        <v>51</v>
      </c>
    </row>
    <row r="887" spans="1:42" ht="15.75" x14ac:dyDescent="0.25">
      <c r="A887" s="29">
        <f>WEEKNUM(MIP_4[[#This Row],[Data]])</f>
        <v>51</v>
      </c>
      <c r="B887" s="45" t="s">
        <v>27</v>
      </c>
      <c r="C887" s="45"/>
      <c r="D887" s="35" t="s">
        <v>3</v>
      </c>
      <c r="E887" s="35" t="s">
        <v>5</v>
      </c>
      <c r="F887" s="35"/>
      <c r="G887" s="44"/>
      <c r="H887" s="44">
        <v>6</v>
      </c>
      <c r="I887" s="44">
        <v>3</v>
      </c>
      <c r="J887" s="44">
        <v>0</v>
      </c>
      <c r="K887" s="44">
        <v>0</v>
      </c>
      <c r="L887" s="43">
        <v>0.625</v>
      </c>
      <c r="M887" s="43">
        <v>0.63750000000000007</v>
      </c>
      <c r="N887" s="43">
        <v>4.8611111111111112E-3</v>
      </c>
      <c r="O887" s="43">
        <v>3.3333333333333333E-2</v>
      </c>
      <c r="P887" s="39"/>
      <c r="Q887" s="42" t="s">
        <v>4</v>
      </c>
      <c r="R887" s="29">
        <f>MIP_4[[#This Row],[PT-1]]+MIP_4[[#This Row],[PT-2]]*2+MIP_4[[#This Row],[PT-3]]*3+MIP_4[[#This Row],[PT &gt; 3 Pontos]]</f>
        <v>12</v>
      </c>
      <c r="S88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4.0972222222222299E-2</v>
      </c>
      <c r="T88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4.0972222222222299E-2</v>
      </c>
      <c r="U887" s="41">
        <f ca="1">MIP_4[[#This Row],[Eficiência]]</f>
        <v>0.86547812181329342</v>
      </c>
      <c r="V887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87" s="39">
        <f>IF(MIP_4[[#This Row],[P.S]]-MIP_4[[#This Row],[P.E]]&lt;0,1+MIP_4[[#This Row],[P.S]]-MIP_4[[#This Row],[P.E]]-1/24,MIP_4[[#This Row],[P.S]]-MIP_4[[#This Row],[P.E]]-1/24)</f>
        <v>0.36666666666666675</v>
      </c>
      <c r="X887" s="39">
        <f ca="1">MIP_4[[#This Row],[PT-1]]*$S$3+MIP_4[[#This Row],[PT-2]]*$T$3+MIP_4[[#This Row],[PT-3]]*$U$3+MIP_4[[#This Row],[PT &gt; 3 Pontos]]*$V$3</f>
        <v>0.28188141606280182</v>
      </c>
      <c r="Y887" s="39">
        <f>MIP_4[[#This Row],[HH disponível]]-MIP_4[[#This Row],[HH AC TOT]]</f>
        <v>0.32569444444444445</v>
      </c>
      <c r="Z887" s="38">
        <f ca="1">MIP_4[[#This Row],[HH Produtivo
Total]]/MIP_4[[#This Row],[HH Trabalhado]]</f>
        <v>0.86547812181329342</v>
      </c>
      <c r="AA887" s="38">
        <f ca="1">MIP_4[[#This Row],[HH Produtivo
Total]]/MIP_4[[#This Row],[HH disponível]]</f>
        <v>0.76876749835309566</v>
      </c>
      <c r="AB887" s="38">
        <f>MIP_4[[#This Row],[HH Trabalhado]]/MIP_4[[#This Row],[HH disponível]]</f>
        <v>0.88825757575757558</v>
      </c>
      <c r="AC887" s="37" t="str">
        <f>LEFT(MIP_4[[#This Row],[Equipe]], SEARCH("/",MIP_4[[#This Row],[Equipe]],1)-1)</f>
        <v xml:space="preserve">EDILTON </v>
      </c>
      <c r="AD887" s="37" t="str">
        <f>RIGHT(MIP_4[[#This Row],[Equipe]], LEN(MIP_4[[#This Row],[Equipe]])-SEARCH("/",MIP_4[[#This Row],[Equipe]],1))</f>
        <v xml:space="preserve"> GECIVALDO</v>
      </c>
      <c r="AE887" s="29">
        <f>COUNTIFS('[1]Tempo parado'!G:G,"&gt;="&amp;MIP_4[[#This Row],[S.B Sitrack]],'[1]Tempo parado'!H:H,"&lt;="&amp;MIP_4[[#This Row],[C.B Sitrack]],'[1]Tempo parado'!A:A,MIP_4[[#This Row],[Placa]])</f>
        <v>0</v>
      </c>
      <c r="AF887" s="36"/>
      <c r="AG887" s="35"/>
      <c r="AH887" s="34"/>
      <c r="AI887" s="34"/>
      <c r="AJ88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8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8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87" s="31" t="str">
        <f>IFERROR(MIP_4[[#This Row],[Tempo parado]]/(MIP_4[[#This Row],[C.B Sitrack]]-MIP_4[[#This Row],[S.B Sitrack]]),"")</f>
        <v/>
      </c>
      <c r="AN887" s="30"/>
      <c r="AO887" s="29">
        <f>IF(AND(MIP_4[Exc]=0,MIP_4[Previsto / Realizado]="Realizado"),MIP_4[Sem],0)</f>
        <v>0</v>
      </c>
      <c r="AP887" s="29">
        <f>IF(AND(MIP_4[Exc]=0,MIP_4[Previsto / Realizado]="Realizado",ISBLANK(MIP_4[[#This Row],[S.B Sitrack]])=FALSE,ISBLANK(MIP_4[[#This Row],[C.B Sitrack]])=FALSE),MIP_4[Sem],0)</f>
        <v>0</v>
      </c>
    </row>
    <row r="888" spans="1:42" ht="15.75" x14ac:dyDescent="0.25">
      <c r="A888" s="29">
        <f>WEEKNUM(MIP_4[[#This Row],[Data]])</f>
        <v>51</v>
      </c>
      <c r="B888" s="45" t="s">
        <v>27</v>
      </c>
      <c r="C888" s="45"/>
      <c r="D888" s="35" t="s">
        <v>3</v>
      </c>
      <c r="E888" s="35" t="s">
        <v>2</v>
      </c>
      <c r="F888" s="35" t="s">
        <v>1</v>
      </c>
      <c r="G888" s="44"/>
      <c r="H888" s="44">
        <v>8</v>
      </c>
      <c r="I888" s="44">
        <v>3</v>
      </c>
      <c r="J888" s="44">
        <v>0</v>
      </c>
      <c r="K888" s="44">
        <v>0</v>
      </c>
      <c r="L888" s="43">
        <v>0.62986111111111109</v>
      </c>
      <c r="M888" s="43">
        <v>0.66388888888888886</v>
      </c>
      <c r="N888" s="43">
        <v>2.7083333333333334E-2</v>
      </c>
      <c r="O888" s="43">
        <v>3.2638888888888891E-2</v>
      </c>
      <c r="P888" s="39"/>
      <c r="Q888" s="42" t="s">
        <v>0</v>
      </c>
      <c r="R888" s="29">
        <f>MIP_4[[#This Row],[PT-1]]+MIP_4[[#This Row],[PT-2]]*2+MIP_4[[#This Row],[PT-3]]*3+MIP_4[[#This Row],[PT &gt; 3 Pontos]]</f>
        <v>14</v>
      </c>
      <c r="S88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3.9583333333333304E-2</v>
      </c>
      <c r="T88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3.9583333333333304E-2</v>
      </c>
      <c r="U888" s="41">
        <f ca="1">MIP_4[[#This Row],[Eficiência]]</f>
        <v>1.0323621936332046</v>
      </c>
      <c r="V888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88" s="39">
        <f>IF(MIP_4[[#This Row],[P.S]]-MIP_4[[#This Row],[P.E]]&lt;0,1+MIP_4[[#This Row],[P.S]]-MIP_4[[#This Row],[P.E]]-1/24,MIP_4[[#This Row],[P.S]]-MIP_4[[#This Row],[P.E]]-1/24)</f>
        <v>0.3611111111111111</v>
      </c>
      <c r="X888" s="39">
        <f ca="1">MIP_4[[#This Row],[PT-1]]*$S$3+MIP_4[[#This Row],[PT-2]]*$T$3+MIP_4[[#This Row],[PT-3]]*$U$3+MIP_4[[#This Row],[PT &gt; 3 Pontos]]*$V$3</f>
        <v>0.3319331219806762</v>
      </c>
      <c r="Y888" s="39">
        <f>MIP_4[[#This Row],[HH disponível]]-MIP_4[[#This Row],[HH AC TOT]]</f>
        <v>0.3215277777777778</v>
      </c>
      <c r="Z888" s="38">
        <f ca="1">MIP_4[[#This Row],[HH Produtivo
Total]]/MIP_4[[#This Row],[HH Trabalhado]]</f>
        <v>1.0323621936332046</v>
      </c>
      <c r="AA888" s="38">
        <f ca="1">MIP_4[[#This Row],[HH Produtivo
Total]]/MIP_4[[#This Row],[HH disponível]]</f>
        <v>0.91919941471571875</v>
      </c>
      <c r="AB888" s="38">
        <f>MIP_4[[#This Row],[HH Trabalhado]]/MIP_4[[#This Row],[HH disponível]]</f>
        <v>0.89038461538461544</v>
      </c>
      <c r="AC888" s="37" t="str">
        <f>LEFT(MIP_4[[#This Row],[Equipe]], SEARCH("/",MIP_4[[#This Row],[Equipe]],1)-1)</f>
        <v xml:space="preserve">EDILTON </v>
      </c>
      <c r="AD888" s="37" t="str">
        <f>RIGHT(MIP_4[[#This Row],[Equipe]], LEN(MIP_4[[#This Row],[Equipe]])-SEARCH("/",MIP_4[[#This Row],[Equipe]],1))</f>
        <v xml:space="preserve"> GECIVALDO</v>
      </c>
      <c r="AE888" s="29">
        <f>COUNTIFS('[1]Tempo parado'!G:G,"&gt;="&amp;MIP_4[[#This Row],[S.B Sitrack]],'[1]Tempo parado'!H:H,"&lt;="&amp;MIP_4[[#This Row],[C.B Sitrack]],'[1]Tempo parado'!A:A,MIP_4[[#This Row],[Placa]])</f>
        <v>0</v>
      </c>
      <c r="AF888" s="36"/>
      <c r="AG888" s="35"/>
      <c r="AH888" s="34"/>
      <c r="AI888" s="34"/>
      <c r="AJ88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8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8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88" s="31" t="str">
        <f>IFERROR(MIP_4[[#This Row],[Tempo parado]]/(MIP_4[[#This Row],[C.B Sitrack]]-MIP_4[[#This Row],[S.B Sitrack]]),"")</f>
        <v/>
      </c>
      <c r="AN888" s="30"/>
      <c r="AO888" s="29">
        <f>IF(AND(MIP_4[Exc]=0,MIP_4[Previsto / Realizado]="Realizado"),MIP_4[Sem],0)</f>
        <v>51</v>
      </c>
      <c r="AP888" s="29">
        <f>IF(AND(MIP_4[Exc]=0,MIP_4[Previsto / Realizado]="Realizado",ISBLANK(MIP_4[[#This Row],[S.B Sitrack]])=FALSE,ISBLANK(MIP_4[[#This Row],[C.B Sitrack]])=FALSE),MIP_4[Sem],0)</f>
        <v>0</v>
      </c>
    </row>
    <row r="889" spans="1:42" ht="15.75" x14ac:dyDescent="0.25">
      <c r="A889" s="29">
        <f>WEEKNUM(MIP_4[[#This Row],[Data]])</f>
        <v>51</v>
      </c>
      <c r="B889" s="45" t="s">
        <v>26</v>
      </c>
      <c r="C889" s="45"/>
      <c r="D889" s="35" t="s">
        <v>10</v>
      </c>
      <c r="E889" s="35" t="s">
        <v>5</v>
      </c>
      <c r="F889" s="35"/>
      <c r="G889" s="44"/>
      <c r="H889" s="44">
        <v>3</v>
      </c>
      <c r="I889" s="44">
        <v>1</v>
      </c>
      <c r="J889" s="44">
        <v>0</v>
      </c>
      <c r="K889" s="44">
        <v>6</v>
      </c>
      <c r="L889" s="43">
        <v>0.25</v>
      </c>
      <c r="M889" s="43">
        <v>0.2638888888888889</v>
      </c>
      <c r="N889" s="43">
        <v>0.62986111111111109</v>
      </c>
      <c r="O889" s="43">
        <v>0.65833333333333333</v>
      </c>
      <c r="P889" s="39"/>
      <c r="Q889" s="42" t="s">
        <v>4</v>
      </c>
      <c r="R889" s="29">
        <f>MIP_4[[#This Row],[PT-1]]+MIP_4[[#This Row],[PT-2]]*2+MIP_4[[#This Row],[PT-3]]*3+MIP_4[[#This Row],[PT &gt; 3 Pontos]]</f>
        <v>11</v>
      </c>
      <c r="S88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4.2361111111111127E-2</v>
      </c>
      <c r="T88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4.2361111111111127E-2</v>
      </c>
      <c r="U889" s="41">
        <f ca="1">MIP_4[[#This Row],[Eficiência]]</f>
        <v>0.74150561451964969</v>
      </c>
      <c r="V889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89" s="39">
        <f>IF(MIP_4[[#This Row],[P.S]]-MIP_4[[#This Row],[P.E]]&lt;0,1+MIP_4[[#This Row],[P.S]]-MIP_4[[#This Row],[P.E]]-1/24,MIP_4[[#This Row],[P.S]]-MIP_4[[#This Row],[P.E]]-1/24)</f>
        <v>0.36666666666666664</v>
      </c>
      <c r="X889" s="39">
        <f ca="1">MIP_4[[#This Row],[PT-1]]*$S$3+MIP_4[[#This Row],[PT-2]]*$T$3+MIP_4[[#This Row],[PT-3]]*$U$3+MIP_4[[#This Row],[PT &gt; 3 Pontos]]*$V$3</f>
        <v>0.24047439026435857</v>
      </c>
      <c r="Y889" s="39">
        <f>MIP_4[[#This Row],[HH disponível]]-MIP_4[[#This Row],[HH AC TOT]]</f>
        <v>0.32430555555555551</v>
      </c>
      <c r="Z889" s="38">
        <f ca="1">MIP_4[[#This Row],[HH Produtivo
Total]]/MIP_4[[#This Row],[HH Trabalhado]]</f>
        <v>0.74150561451964969</v>
      </c>
      <c r="AA889" s="38">
        <f ca="1">MIP_4[[#This Row],[HH Produtivo
Total]]/MIP_4[[#This Row],[HH disponível]]</f>
        <v>0.65583924617552347</v>
      </c>
      <c r="AB889" s="38">
        <f>MIP_4[[#This Row],[HH Trabalhado]]/MIP_4[[#This Row],[HH disponível]]</f>
        <v>0.88446969696969691</v>
      </c>
      <c r="AC889" s="37" t="str">
        <f>LEFT(MIP_4[[#This Row],[Equipe]], SEARCH("/",MIP_4[[#This Row],[Equipe]],1)-1)</f>
        <v xml:space="preserve">JOILSON </v>
      </c>
      <c r="AD889" s="37" t="str">
        <f>RIGHT(MIP_4[[#This Row],[Equipe]], LEN(MIP_4[[#This Row],[Equipe]])-SEARCH("/",MIP_4[[#This Row],[Equipe]],1))</f>
        <v xml:space="preserve"> VALDEI</v>
      </c>
      <c r="AE889" s="29">
        <f>COUNTIFS('[1]Tempo parado'!G:G,"&gt;="&amp;MIP_4[[#This Row],[S.B Sitrack]],'[1]Tempo parado'!H:H,"&lt;="&amp;MIP_4[[#This Row],[C.B Sitrack]],'[1]Tempo parado'!A:A,MIP_4[[#This Row],[Placa]])</f>
        <v>0</v>
      </c>
      <c r="AF889" s="36"/>
      <c r="AG889" s="35"/>
      <c r="AH889" s="34"/>
      <c r="AI889" s="34"/>
      <c r="AJ88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8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8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89" s="31" t="str">
        <f>IFERROR(MIP_4[[#This Row],[Tempo parado]]/(MIP_4[[#This Row],[C.B Sitrack]]-MIP_4[[#This Row],[S.B Sitrack]]),"")</f>
        <v/>
      </c>
      <c r="AN889" s="30"/>
      <c r="AO889" s="29">
        <f>IF(AND(MIP_4[Exc]=0,MIP_4[Previsto / Realizado]="Realizado"),MIP_4[Sem],0)</f>
        <v>0</v>
      </c>
      <c r="AP889" s="29">
        <f>IF(AND(MIP_4[Exc]=0,MIP_4[Previsto / Realizado]="Realizado",ISBLANK(MIP_4[[#This Row],[S.B Sitrack]])=FALSE,ISBLANK(MIP_4[[#This Row],[C.B Sitrack]])=FALSE),MIP_4[Sem],0)</f>
        <v>0</v>
      </c>
    </row>
    <row r="890" spans="1:42" ht="15.75" x14ac:dyDescent="0.25">
      <c r="A890" s="29">
        <f>WEEKNUM(MIP_4[[#This Row],[Data]])</f>
        <v>51</v>
      </c>
      <c r="B890" s="45" t="s">
        <v>26</v>
      </c>
      <c r="C890" s="45"/>
      <c r="D890" s="35" t="s">
        <v>10</v>
      </c>
      <c r="E890" s="35" t="s">
        <v>2</v>
      </c>
      <c r="F890" s="35" t="s">
        <v>1</v>
      </c>
      <c r="G890" s="44"/>
      <c r="H890" s="44">
        <v>5</v>
      </c>
      <c r="I890" s="44">
        <v>3</v>
      </c>
      <c r="J890" s="44">
        <v>0</v>
      </c>
      <c r="K890" s="44">
        <v>0</v>
      </c>
      <c r="L890" s="43">
        <v>0.25763888888888892</v>
      </c>
      <c r="M890" s="43">
        <v>0.28263888888888888</v>
      </c>
      <c r="N890" s="43">
        <v>0.59652777777777777</v>
      </c>
      <c r="O890" s="43">
        <v>0.65833333333333333</v>
      </c>
      <c r="P890" s="39"/>
      <c r="Q890" s="42" t="s">
        <v>17</v>
      </c>
      <c r="R890" s="29">
        <f>MIP_4[[#This Row],[PT-1]]+MIP_4[[#This Row],[PT-2]]*2+MIP_4[[#This Row],[PT-3]]*3+MIP_4[[#This Row],[PT &gt; 3 Pontos]]</f>
        <v>11</v>
      </c>
      <c r="S89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8.6805555555555525E-2</v>
      </c>
      <c r="T89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8.6805555555555525E-2</v>
      </c>
      <c r="U890" s="41">
        <f ca="1">MIP_4[[#This Row],[Eficiência]]</f>
        <v>0.9435510481366457</v>
      </c>
      <c r="V890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90" s="39">
        <f>IF(MIP_4[[#This Row],[P.S]]-MIP_4[[#This Row],[P.E]]&lt;0,1+MIP_4[[#This Row],[P.S]]-MIP_4[[#This Row],[P.E]]-1/24,MIP_4[[#This Row],[P.S]]-MIP_4[[#This Row],[P.E]]-1/24)</f>
        <v>0.35902777777777772</v>
      </c>
      <c r="X890" s="39">
        <f ca="1">MIP_4[[#This Row],[PT-1]]*$S$3+MIP_4[[#This Row],[PT-2]]*$T$3+MIP_4[[#This Row],[PT-3]]*$U$3+MIP_4[[#This Row],[PT &gt; 3 Pontos]]*$V$3</f>
        <v>0.25685556310386465</v>
      </c>
      <c r="Y890" s="39">
        <f>MIP_4[[#This Row],[HH disponível]]-MIP_4[[#This Row],[HH AC TOT]]</f>
        <v>0.2722222222222222</v>
      </c>
      <c r="Z890" s="38">
        <f ca="1">MIP_4[[#This Row],[HH Produtivo
Total]]/MIP_4[[#This Row],[HH Trabalhado]]</f>
        <v>0.9435510481366457</v>
      </c>
      <c r="AA890" s="38">
        <f ca="1">MIP_4[[#This Row],[HH Produtivo
Total]]/MIP_4[[#This Row],[HH disponível]]</f>
        <v>0.71541975023126725</v>
      </c>
      <c r="AB890" s="38">
        <f>MIP_4[[#This Row],[HH Trabalhado]]/MIP_4[[#This Row],[HH disponível]]</f>
        <v>0.75822050290135401</v>
      </c>
      <c r="AC890" s="37" t="str">
        <f>LEFT(MIP_4[[#This Row],[Equipe]], SEARCH("/",MIP_4[[#This Row],[Equipe]],1)-1)</f>
        <v xml:space="preserve">JOILSON </v>
      </c>
      <c r="AD890" s="37" t="str">
        <f>RIGHT(MIP_4[[#This Row],[Equipe]], LEN(MIP_4[[#This Row],[Equipe]])-SEARCH("/",MIP_4[[#This Row],[Equipe]],1))</f>
        <v xml:space="preserve"> VALDEI</v>
      </c>
      <c r="AE890" s="29">
        <f>COUNTIFS('[1]Tempo parado'!G:G,"&gt;="&amp;MIP_4[[#This Row],[S.B Sitrack]],'[1]Tempo parado'!H:H,"&lt;="&amp;MIP_4[[#This Row],[C.B Sitrack]],'[1]Tempo parado'!A:A,MIP_4[[#This Row],[Placa]])</f>
        <v>0</v>
      </c>
      <c r="AF890" s="36"/>
      <c r="AG890" s="35"/>
      <c r="AH890" s="34"/>
      <c r="AI890" s="34"/>
      <c r="AJ89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9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9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90" s="31" t="str">
        <f>IFERROR(MIP_4[[#This Row],[Tempo parado]]/(MIP_4[[#This Row],[C.B Sitrack]]-MIP_4[[#This Row],[S.B Sitrack]]),"")</f>
        <v/>
      </c>
      <c r="AN890" s="30"/>
      <c r="AO890" s="29">
        <f>IF(AND(MIP_4[Exc]=0,MIP_4[Previsto / Realizado]="Realizado"),MIP_4[Sem],0)</f>
        <v>51</v>
      </c>
      <c r="AP890" s="29">
        <f>IF(AND(MIP_4[Exc]=0,MIP_4[Previsto / Realizado]="Realizado",ISBLANK(MIP_4[[#This Row],[S.B Sitrack]])=FALSE,ISBLANK(MIP_4[[#This Row],[C.B Sitrack]])=FALSE),MIP_4[Sem],0)</f>
        <v>0</v>
      </c>
    </row>
    <row r="891" spans="1:42" ht="15.75" x14ac:dyDescent="0.25">
      <c r="A891" s="29">
        <f>WEEKNUM(MIP_4[[#This Row],[Data]])</f>
        <v>51</v>
      </c>
      <c r="B891" s="45" t="s">
        <v>26</v>
      </c>
      <c r="C891" s="45"/>
      <c r="D891" s="35" t="s">
        <v>3</v>
      </c>
      <c r="E891" s="35" t="s">
        <v>5</v>
      </c>
      <c r="F891" s="35"/>
      <c r="G891" s="44"/>
      <c r="H891" s="44">
        <v>5</v>
      </c>
      <c r="I891" s="44">
        <v>1</v>
      </c>
      <c r="J891" s="44">
        <v>1</v>
      </c>
      <c r="K891" s="44">
        <v>0</v>
      </c>
      <c r="L891" s="43">
        <v>0.625</v>
      </c>
      <c r="M891" s="43">
        <v>0.63750000000000007</v>
      </c>
      <c r="N891" s="43">
        <v>4.8611111111111112E-3</v>
      </c>
      <c r="O891" s="43">
        <v>3.3333333333333333E-2</v>
      </c>
      <c r="P891" s="39"/>
      <c r="Q891" s="42" t="s">
        <v>4</v>
      </c>
      <c r="R891" s="29">
        <f>MIP_4[[#This Row],[PT-1]]+MIP_4[[#This Row],[PT-2]]*2+MIP_4[[#This Row],[PT-3]]*3+MIP_4[[#This Row],[PT &gt; 3 Pontos]]</f>
        <v>10</v>
      </c>
      <c r="S89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4.0972222222222299E-2</v>
      </c>
      <c r="T89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4.0972222222222299E-2</v>
      </c>
      <c r="U891" s="41">
        <f ca="1">MIP_4[[#This Row],[Eficiência]]</f>
        <v>0.71180124223602459</v>
      </c>
      <c r="V891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91" s="39">
        <f>IF(MIP_4[[#This Row],[P.S]]-MIP_4[[#This Row],[P.E]]&lt;0,1+MIP_4[[#This Row],[P.S]]-MIP_4[[#This Row],[P.E]]-1/24,MIP_4[[#This Row],[P.S]]-MIP_4[[#This Row],[P.E]]-1/24)</f>
        <v>0.36666666666666675</v>
      </c>
      <c r="X891" s="39">
        <f ca="1">MIP_4[[#This Row],[PT-1]]*$S$3+MIP_4[[#This Row],[PT-2]]*$T$3+MIP_4[[#This Row],[PT-3]]*$U$3+MIP_4[[#This Row],[PT &gt; 3 Pontos]]*$V$3</f>
        <v>0.23182971014492745</v>
      </c>
      <c r="Y891" s="39">
        <f>MIP_4[[#This Row],[HH disponível]]-MIP_4[[#This Row],[HH AC TOT]]</f>
        <v>0.32569444444444445</v>
      </c>
      <c r="Z891" s="38">
        <f ca="1">MIP_4[[#This Row],[HH Produtivo
Total]]/MIP_4[[#This Row],[HH Trabalhado]]</f>
        <v>0.71180124223602459</v>
      </c>
      <c r="AA891" s="38">
        <f ca="1">MIP_4[[#This Row],[HH Produtivo
Total]]/MIP_4[[#This Row],[HH disponível]]</f>
        <v>0.63226284584980197</v>
      </c>
      <c r="AB891" s="38">
        <f>MIP_4[[#This Row],[HH Trabalhado]]/MIP_4[[#This Row],[HH disponível]]</f>
        <v>0.88825757575757558</v>
      </c>
      <c r="AC891" s="37" t="str">
        <f>LEFT(MIP_4[[#This Row],[Equipe]], SEARCH("/",MIP_4[[#This Row],[Equipe]],1)-1)</f>
        <v xml:space="preserve">EDILTON </v>
      </c>
      <c r="AD891" s="37" t="str">
        <f>RIGHT(MIP_4[[#This Row],[Equipe]], LEN(MIP_4[[#This Row],[Equipe]])-SEARCH("/",MIP_4[[#This Row],[Equipe]],1))</f>
        <v xml:space="preserve"> GECIVALDO</v>
      </c>
      <c r="AE891" s="29">
        <f>COUNTIFS('[1]Tempo parado'!G:G,"&gt;="&amp;MIP_4[[#This Row],[S.B Sitrack]],'[1]Tempo parado'!H:H,"&lt;="&amp;MIP_4[[#This Row],[C.B Sitrack]],'[1]Tempo parado'!A:A,MIP_4[[#This Row],[Placa]])</f>
        <v>0</v>
      </c>
      <c r="AF891" s="36"/>
      <c r="AG891" s="35"/>
      <c r="AH891" s="34"/>
      <c r="AI891" s="34"/>
      <c r="AJ89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9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9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91" s="31" t="str">
        <f>IFERROR(MIP_4[[#This Row],[Tempo parado]]/(MIP_4[[#This Row],[C.B Sitrack]]-MIP_4[[#This Row],[S.B Sitrack]]),"")</f>
        <v/>
      </c>
      <c r="AN891" s="30"/>
      <c r="AO891" s="29">
        <f>IF(AND(MIP_4[Exc]=0,MIP_4[Previsto / Realizado]="Realizado"),MIP_4[Sem],0)</f>
        <v>0</v>
      </c>
      <c r="AP891" s="29">
        <f>IF(AND(MIP_4[Exc]=0,MIP_4[Previsto / Realizado]="Realizado",ISBLANK(MIP_4[[#This Row],[S.B Sitrack]])=FALSE,ISBLANK(MIP_4[[#This Row],[C.B Sitrack]])=FALSE),MIP_4[Sem],0)</f>
        <v>0</v>
      </c>
    </row>
    <row r="892" spans="1:42" ht="15.75" x14ac:dyDescent="0.25">
      <c r="A892" s="29">
        <f>WEEKNUM(MIP_4[[#This Row],[Data]])</f>
        <v>51</v>
      </c>
      <c r="B892" s="45" t="s">
        <v>26</v>
      </c>
      <c r="C892" s="45"/>
      <c r="D892" s="35" t="s">
        <v>3</v>
      </c>
      <c r="E892" s="35" t="s">
        <v>2</v>
      </c>
      <c r="F892" s="35" t="s">
        <v>1</v>
      </c>
      <c r="G892" s="44"/>
      <c r="H892" s="44">
        <v>9</v>
      </c>
      <c r="I892" s="44">
        <v>1</v>
      </c>
      <c r="J892" s="44">
        <v>1</v>
      </c>
      <c r="K892" s="44">
        <v>0</v>
      </c>
      <c r="L892" s="43">
        <v>0.62847222222222221</v>
      </c>
      <c r="M892" s="43">
        <v>0.67638888888888893</v>
      </c>
      <c r="N892" s="43">
        <v>2.8472222222222222E-2</v>
      </c>
      <c r="O892" s="43">
        <v>3.3333333333333333E-2</v>
      </c>
      <c r="P892" s="39"/>
      <c r="Q892" s="42" t="s">
        <v>25</v>
      </c>
      <c r="R892" s="29">
        <f>MIP_4[[#This Row],[PT-1]]+MIP_4[[#This Row],[PT-2]]*2+MIP_4[[#This Row],[PT-3]]*3+MIP_4[[#This Row],[PT &gt; 3 Pontos]]</f>
        <v>14</v>
      </c>
      <c r="S89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5.2777777777777812E-2</v>
      </c>
      <c r="T89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5.2777777777777812E-2</v>
      </c>
      <c r="U892" s="41">
        <f ca="1">MIP_4[[#This Row],[Eficiência]]</f>
        <v>1.0693147553739903</v>
      </c>
      <c r="V892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92" s="39">
        <f>IF(MIP_4[[#This Row],[P.S]]-MIP_4[[#This Row],[P.E]]&lt;0,1+MIP_4[[#This Row],[P.S]]-MIP_4[[#This Row],[P.E]]-1/24,MIP_4[[#This Row],[P.S]]-MIP_4[[#This Row],[P.E]]-1/24)</f>
        <v>0.36319444444444454</v>
      </c>
      <c r="X892" s="39">
        <f ca="1">MIP_4[[#This Row],[PT-1]]*$S$3+MIP_4[[#This Row],[PT-2]]*$T$3+MIP_4[[#This Row],[PT-3]]*$U$3+MIP_4[[#This Row],[PT &gt; 3 Pontos]]*$V$3</f>
        <v>0.3319331219806762</v>
      </c>
      <c r="Y892" s="39">
        <f>MIP_4[[#This Row],[HH disponível]]-MIP_4[[#This Row],[HH AC TOT]]</f>
        <v>0.31041666666666673</v>
      </c>
      <c r="Z892" s="38">
        <f ca="1">MIP_4[[#This Row],[HH Produtivo
Total]]/MIP_4[[#This Row],[HH Trabalhado]]</f>
        <v>1.0693147553739903</v>
      </c>
      <c r="AA892" s="38">
        <f ca="1">MIP_4[[#This Row],[HH Produtivo
Total]]/MIP_4[[#This Row],[HH disponível]]</f>
        <v>0.91392676032920384</v>
      </c>
      <c r="AB892" s="38">
        <f>MIP_4[[#This Row],[HH Trabalhado]]/MIP_4[[#This Row],[HH disponível]]</f>
        <v>0.85468451242829824</v>
      </c>
      <c r="AC892" s="37" t="str">
        <f>LEFT(MIP_4[[#This Row],[Equipe]], SEARCH("/",MIP_4[[#This Row],[Equipe]],1)-1)</f>
        <v xml:space="preserve">EDILTON </v>
      </c>
      <c r="AD892" s="37" t="str">
        <f>RIGHT(MIP_4[[#This Row],[Equipe]], LEN(MIP_4[[#This Row],[Equipe]])-SEARCH("/",MIP_4[[#This Row],[Equipe]],1))</f>
        <v xml:space="preserve"> GECIVALDO</v>
      </c>
      <c r="AE892" s="29">
        <f>COUNTIFS('[1]Tempo parado'!G:G,"&gt;="&amp;MIP_4[[#This Row],[S.B Sitrack]],'[1]Tempo parado'!H:H,"&lt;="&amp;MIP_4[[#This Row],[C.B Sitrack]],'[1]Tempo parado'!A:A,MIP_4[[#This Row],[Placa]])</f>
        <v>0</v>
      </c>
      <c r="AF892" s="36"/>
      <c r="AG892" s="35"/>
      <c r="AH892" s="34"/>
      <c r="AI892" s="34"/>
      <c r="AJ89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9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9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92" s="31" t="str">
        <f>IFERROR(MIP_4[[#This Row],[Tempo parado]]/(MIP_4[[#This Row],[C.B Sitrack]]-MIP_4[[#This Row],[S.B Sitrack]]),"")</f>
        <v/>
      </c>
      <c r="AN892" s="30"/>
      <c r="AO892" s="29">
        <f>IF(AND(MIP_4[Exc]=0,MIP_4[Previsto / Realizado]="Realizado"),MIP_4[Sem],0)</f>
        <v>51</v>
      </c>
      <c r="AP892" s="29">
        <f>IF(AND(MIP_4[Exc]=0,MIP_4[Previsto / Realizado]="Realizado",ISBLANK(MIP_4[[#This Row],[S.B Sitrack]])=FALSE,ISBLANK(MIP_4[[#This Row],[C.B Sitrack]])=FALSE),MIP_4[Sem],0)</f>
        <v>0</v>
      </c>
    </row>
    <row r="893" spans="1:42" ht="15.75" x14ac:dyDescent="0.25">
      <c r="A893" s="29">
        <f>WEEKNUM(MIP_4[[#This Row],[Data]])</f>
        <v>51</v>
      </c>
      <c r="B893" s="45" t="s">
        <v>24</v>
      </c>
      <c r="C893" s="45"/>
      <c r="D893" s="35" t="s">
        <v>10</v>
      </c>
      <c r="E893" s="35" t="s">
        <v>5</v>
      </c>
      <c r="F893" s="35"/>
      <c r="G893" s="44"/>
      <c r="H893" s="44">
        <v>5</v>
      </c>
      <c r="I893" s="44">
        <v>0</v>
      </c>
      <c r="J893" s="44">
        <v>0</v>
      </c>
      <c r="K893" s="44">
        <v>0</v>
      </c>
      <c r="L893" s="43">
        <v>0.25</v>
      </c>
      <c r="M893" s="43">
        <v>0.2638888888888889</v>
      </c>
      <c r="N893" s="43">
        <v>0.62986111111111109</v>
      </c>
      <c r="O893" s="43">
        <v>0.65833333333333333</v>
      </c>
      <c r="P893" s="39"/>
      <c r="Q893" s="42" t="s">
        <v>4</v>
      </c>
      <c r="R893" s="29">
        <f>MIP_4[[#This Row],[PT-1]]+MIP_4[[#This Row],[PT-2]]*2+MIP_4[[#This Row],[PT-3]]*3+MIP_4[[#This Row],[PT &gt; 3 Pontos]]</f>
        <v>5</v>
      </c>
      <c r="S89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4.2361111111111127E-2</v>
      </c>
      <c r="T89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4.2361111111111127E-2</v>
      </c>
      <c r="U893" s="41">
        <f ca="1">MIP_4[[#This Row],[Eficiência]]</f>
        <v>0.38583756167954542</v>
      </c>
      <c r="V893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93" s="39">
        <f>IF(MIP_4[[#This Row],[P.S]]-MIP_4[[#This Row],[P.E]]&lt;0,1+MIP_4[[#This Row],[P.S]]-MIP_4[[#This Row],[P.E]]-1/24,MIP_4[[#This Row],[P.S]]-MIP_4[[#This Row],[P.E]]-1/24)</f>
        <v>0.36666666666666664</v>
      </c>
      <c r="X893" s="39">
        <f ca="1">MIP_4[[#This Row],[PT-1]]*$S$3+MIP_4[[#This Row],[PT-2]]*$T$3+MIP_4[[#This Row],[PT-3]]*$U$3+MIP_4[[#This Row],[PT &gt; 3 Pontos]]*$V$3</f>
        <v>0.12512926479468589</v>
      </c>
      <c r="Y893" s="39">
        <f>MIP_4[[#This Row],[HH disponível]]-MIP_4[[#This Row],[HH AC TOT]]</f>
        <v>0.32430555555555551</v>
      </c>
      <c r="Z893" s="38">
        <f ca="1">MIP_4[[#This Row],[HH Produtivo
Total]]/MIP_4[[#This Row],[HH Trabalhado]]</f>
        <v>0.38583756167954542</v>
      </c>
      <c r="AA893" s="38">
        <f ca="1">MIP_4[[#This Row],[HH Produtivo
Total]]/MIP_4[[#This Row],[HH disponível]]</f>
        <v>0.34126163125823428</v>
      </c>
      <c r="AB893" s="38">
        <f>MIP_4[[#This Row],[HH Trabalhado]]/MIP_4[[#This Row],[HH disponível]]</f>
        <v>0.88446969696969691</v>
      </c>
      <c r="AC893" s="37" t="str">
        <f>LEFT(MIP_4[[#This Row],[Equipe]], SEARCH("/",MIP_4[[#This Row],[Equipe]],1)-1)</f>
        <v xml:space="preserve">JOILSON </v>
      </c>
      <c r="AD893" s="37" t="str">
        <f>RIGHT(MIP_4[[#This Row],[Equipe]], LEN(MIP_4[[#This Row],[Equipe]])-SEARCH("/",MIP_4[[#This Row],[Equipe]],1))</f>
        <v xml:space="preserve"> VALDEI</v>
      </c>
      <c r="AE893" s="29">
        <f>COUNTIFS('[1]Tempo parado'!G:G,"&gt;="&amp;MIP_4[[#This Row],[S.B Sitrack]],'[1]Tempo parado'!H:H,"&lt;="&amp;MIP_4[[#This Row],[C.B Sitrack]],'[1]Tempo parado'!A:A,MIP_4[[#This Row],[Placa]])</f>
        <v>0</v>
      </c>
      <c r="AF893" s="36"/>
      <c r="AG893" s="35"/>
      <c r="AH893" s="34"/>
      <c r="AI893" s="34"/>
      <c r="AJ89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9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9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93" s="31" t="str">
        <f>IFERROR(MIP_4[[#This Row],[Tempo parado]]/(MIP_4[[#This Row],[C.B Sitrack]]-MIP_4[[#This Row],[S.B Sitrack]]),"")</f>
        <v/>
      </c>
      <c r="AN893" s="30"/>
      <c r="AO893" s="29">
        <f>IF(AND(MIP_4[Exc]=0,MIP_4[Previsto / Realizado]="Realizado"),MIP_4[Sem],0)</f>
        <v>0</v>
      </c>
      <c r="AP893" s="29">
        <f>IF(AND(MIP_4[Exc]=0,MIP_4[Previsto / Realizado]="Realizado",ISBLANK(MIP_4[[#This Row],[S.B Sitrack]])=FALSE,ISBLANK(MIP_4[[#This Row],[C.B Sitrack]])=FALSE),MIP_4[Sem],0)</f>
        <v>0</v>
      </c>
    </row>
    <row r="894" spans="1:42" ht="15.75" x14ac:dyDescent="0.25">
      <c r="A894" s="29">
        <f>WEEKNUM(MIP_4[[#This Row],[Data]])</f>
        <v>51</v>
      </c>
      <c r="B894" s="45" t="s">
        <v>24</v>
      </c>
      <c r="C894" s="45"/>
      <c r="D894" s="35" t="s">
        <v>10</v>
      </c>
      <c r="E894" s="35" t="s">
        <v>2</v>
      </c>
      <c r="F894" s="35" t="s">
        <v>1</v>
      </c>
      <c r="G894" s="44"/>
      <c r="H894" s="44">
        <v>8</v>
      </c>
      <c r="I894" s="44">
        <v>0</v>
      </c>
      <c r="J894" s="44">
        <v>1</v>
      </c>
      <c r="K894" s="44">
        <v>0</v>
      </c>
      <c r="L894" s="43">
        <v>0.25208333333333333</v>
      </c>
      <c r="M894" s="43">
        <v>0.26874999999999999</v>
      </c>
      <c r="N894" s="43">
        <v>0.60416666666666663</v>
      </c>
      <c r="O894" s="43">
        <v>0.65833333333333333</v>
      </c>
      <c r="P894" s="39"/>
      <c r="Q894" s="42" t="s">
        <v>17</v>
      </c>
      <c r="R894" s="29">
        <f>MIP_4[[#This Row],[PT-1]]+MIP_4[[#This Row],[PT-2]]*2+MIP_4[[#This Row],[PT-3]]*3+MIP_4[[#This Row],[PT &gt; 3 Pontos]]</f>
        <v>11</v>
      </c>
      <c r="S89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7.0833333333333359E-2</v>
      </c>
      <c r="T89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7.0833333333333359E-2</v>
      </c>
      <c r="U894" s="41">
        <f ca="1">MIP_4[[#This Row],[Eficiência]]</f>
        <v>0.89531405248912166</v>
      </c>
      <c r="V894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94" s="39">
        <f>IF(MIP_4[[#This Row],[P.S]]-MIP_4[[#This Row],[P.E]]&lt;0,1+MIP_4[[#This Row],[P.S]]-MIP_4[[#This Row],[P.E]]-1/24,MIP_4[[#This Row],[P.S]]-MIP_4[[#This Row],[P.E]]-1/24)</f>
        <v>0.36458333333333331</v>
      </c>
      <c r="X894" s="39">
        <f ca="1">MIP_4[[#This Row],[PT-1]]*$S$3+MIP_4[[#This Row],[PT-2]]*$T$3+MIP_4[[#This Row],[PT-3]]*$U$3+MIP_4[[#This Row],[PT &gt; 3 Pontos]]*$V$3</f>
        <v>0.26299850291867943</v>
      </c>
      <c r="Y894" s="39">
        <f>MIP_4[[#This Row],[HH disponível]]-MIP_4[[#This Row],[HH AC TOT]]</f>
        <v>0.29374999999999996</v>
      </c>
      <c r="Z894" s="38">
        <f ca="1">MIP_4[[#This Row],[HH Produtivo
Total]]/MIP_4[[#This Row],[HH Trabalhado]]</f>
        <v>0.89531405248912166</v>
      </c>
      <c r="AA894" s="38">
        <f ca="1">MIP_4[[#This Row],[HH Produtivo
Total]]/MIP_4[[#This Row],[HH disponível]]</f>
        <v>0.72136732229123501</v>
      </c>
      <c r="AB894" s="38">
        <f>MIP_4[[#This Row],[HH Trabalhado]]/MIP_4[[#This Row],[HH disponível]]</f>
        <v>0.80571428571428561</v>
      </c>
      <c r="AC894" s="37" t="str">
        <f>LEFT(MIP_4[[#This Row],[Equipe]], SEARCH("/",MIP_4[[#This Row],[Equipe]],1)-1)</f>
        <v xml:space="preserve">JOILSON </v>
      </c>
      <c r="AD894" s="37" t="str">
        <f>RIGHT(MIP_4[[#This Row],[Equipe]], LEN(MIP_4[[#This Row],[Equipe]])-SEARCH("/",MIP_4[[#This Row],[Equipe]],1))</f>
        <v xml:space="preserve"> VALDEI</v>
      </c>
      <c r="AE894" s="29">
        <f>COUNTIFS('[1]Tempo parado'!G:G,"&gt;="&amp;MIP_4[[#This Row],[S.B Sitrack]],'[1]Tempo parado'!H:H,"&lt;="&amp;MIP_4[[#This Row],[C.B Sitrack]],'[1]Tempo parado'!A:A,MIP_4[[#This Row],[Placa]])</f>
        <v>0</v>
      </c>
      <c r="AF894" s="36"/>
      <c r="AG894" s="35"/>
      <c r="AH894" s="34"/>
      <c r="AI894" s="34"/>
      <c r="AJ89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9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9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94" s="31" t="str">
        <f>IFERROR(MIP_4[[#This Row],[Tempo parado]]/(MIP_4[[#This Row],[C.B Sitrack]]-MIP_4[[#This Row],[S.B Sitrack]]),"")</f>
        <v/>
      </c>
      <c r="AN894" s="30"/>
      <c r="AO894" s="29">
        <f>IF(AND(MIP_4[Exc]=0,MIP_4[Previsto / Realizado]="Realizado"),MIP_4[Sem],0)</f>
        <v>51</v>
      </c>
      <c r="AP894" s="29">
        <f>IF(AND(MIP_4[Exc]=0,MIP_4[Previsto / Realizado]="Realizado",ISBLANK(MIP_4[[#This Row],[S.B Sitrack]])=FALSE,ISBLANK(MIP_4[[#This Row],[C.B Sitrack]])=FALSE),MIP_4[Sem],0)</f>
        <v>0</v>
      </c>
    </row>
    <row r="895" spans="1:42" ht="15.75" x14ac:dyDescent="0.25">
      <c r="A895" s="29">
        <f>WEEKNUM(MIP_4[[#This Row],[Data]])</f>
        <v>51</v>
      </c>
      <c r="B895" s="45">
        <v>43091</v>
      </c>
      <c r="C895" s="45"/>
      <c r="D895" s="35" t="s">
        <v>3</v>
      </c>
      <c r="E895" s="35" t="s">
        <v>5</v>
      </c>
      <c r="F895" s="35"/>
      <c r="G895" s="44"/>
      <c r="H895" s="44">
        <v>10</v>
      </c>
      <c r="I895" s="44">
        <v>0</v>
      </c>
      <c r="J895" s="44">
        <v>0</v>
      </c>
      <c r="K895" s="44">
        <v>0</v>
      </c>
      <c r="L895" s="43">
        <v>0.625</v>
      </c>
      <c r="M895" s="43">
        <v>0.6381944444444444</v>
      </c>
      <c r="N895" s="43">
        <v>5.5555555555555558E-3</v>
      </c>
      <c r="O895" s="43">
        <v>3.3333333333333333E-2</v>
      </c>
      <c r="P895" s="39"/>
      <c r="Q895" s="42" t="s">
        <v>4</v>
      </c>
      <c r="R895" s="29">
        <f>MIP_4[[#This Row],[PT-1]]+MIP_4[[#This Row],[PT-2]]*2+MIP_4[[#This Row],[PT-3]]*3+MIP_4[[#This Row],[PT &gt; 3 Pontos]]</f>
        <v>10</v>
      </c>
      <c r="S89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4.0972222222222188E-2</v>
      </c>
      <c r="T89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4.0972222222222188E-2</v>
      </c>
      <c r="U895" s="41">
        <f ca="1">MIP_4[[#This Row],[Eficiência]]</f>
        <v>0.76838439788634383</v>
      </c>
      <c r="V895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95" s="39">
        <f>IF(MIP_4[[#This Row],[P.S]]-MIP_4[[#This Row],[P.E]]&lt;0,1+MIP_4[[#This Row],[P.S]]-MIP_4[[#This Row],[P.E]]-1/24,MIP_4[[#This Row],[P.S]]-MIP_4[[#This Row],[P.E]]-1/24)</f>
        <v>0.36666666666666675</v>
      </c>
      <c r="X895" s="39">
        <f ca="1">MIP_4[[#This Row],[PT-1]]*$S$3+MIP_4[[#This Row],[PT-2]]*$T$3+MIP_4[[#This Row],[PT-3]]*$U$3+MIP_4[[#This Row],[PT &gt; 3 Pontos]]*$V$3</f>
        <v>0.25025852958937178</v>
      </c>
      <c r="Y895" s="39">
        <f>MIP_4[[#This Row],[HH disponível]]-MIP_4[[#This Row],[HH AC TOT]]</f>
        <v>0.32569444444444456</v>
      </c>
      <c r="Z895" s="38">
        <f ca="1">MIP_4[[#This Row],[HH Produtivo
Total]]/MIP_4[[#This Row],[HH Trabalhado]]</f>
        <v>0.76838439788634383</v>
      </c>
      <c r="AA895" s="38">
        <f ca="1">MIP_4[[#This Row],[HH Produtivo
Total]]/MIP_4[[#This Row],[HH disponível]]</f>
        <v>0.68252326251646833</v>
      </c>
      <c r="AB895" s="38">
        <f>MIP_4[[#This Row],[HH Trabalhado]]/MIP_4[[#This Row],[HH disponível]]</f>
        <v>0.88825757575757591</v>
      </c>
      <c r="AC895" s="37" t="str">
        <f>LEFT(MIP_4[[#This Row],[Equipe]], SEARCH("/",MIP_4[[#This Row],[Equipe]],1)-1)</f>
        <v xml:space="preserve">EDILTON </v>
      </c>
      <c r="AD895" s="37" t="str">
        <f>RIGHT(MIP_4[[#This Row],[Equipe]], LEN(MIP_4[[#This Row],[Equipe]])-SEARCH("/",MIP_4[[#This Row],[Equipe]],1))</f>
        <v xml:space="preserve"> GECIVALDO</v>
      </c>
      <c r="AE895" s="29">
        <f>COUNTIFS('[1]Tempo parado'!G:G,"&gt;="&amp;MIP_4[[#This Row],[S.B Sitrack]],'[1]Tempo parado'!H:H,"&lt;="&amp;MIP_4[[#This Row],[C.B Sitrack]],'[1]Tempo parado'!A:A,MIP_4[[#This Row],[Placa]])</f>
        <v>0</v>
      </c>
      <c r="AF895" s="36"/>
      <c r="AG895" s="35"/>
      <c r="AH895" s="34"/>
      <c r="AI895" s="34"/>
      <c r="AJ89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9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9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95" s="31" t="str">
        <f>IFERROR(MIP_4[[#This Row],[Tempo parado]]/(MIP_4[[#This Row],[C.B Sitrack]]-MIP_4[[#This Row],[S.B Sitrack]]),"")</f>
        <v/>
      </c>
      <c r="AN895" s="30"/>
      <c r="AO895" s="29">
        <f>IF(AND(MIP_4[Exc]=0,MIP_4[Previsto / Realizado]="Realizado"),MIP_4[Sem],0)</f>
        <v>0</v>
      </c>
      <c r="AP895" s="29">
        <f>IF(AND(MIP_4[Exc]=0,MIP_4[Previsto / Realizado]="Realizado",ISBLANK(MIP_4[[#This Row],[S.B Sitrack]])=FALSE,ISBLANK(MIP_4[[#This Row],[C.B Sitrack]])=FALSE),MIP_4[Sem],0)</f>
        <v>0</v>
      </c>
    </row>
    <row r="896" spans="1:42" ht="15.75" x14ac:dyDescent="0.25">
      <c r="A896" s="29">
        <f>WEEKNUM(MIP_4[[#This Row],[Data]])</f>
        <v>51</v>
      </c>
      <c r="B896" s="45" t="s">
        <v>24</v>
      </c>
      <c r="C896" s="45"/>
      <c r="D896" s="35" t="s">
        <v>3</v>
      </c>
      <c r="E896" s="35" t="s">
        <v>2</v>
      </c>
      <c r="F896" s="35" t="s">
        <v>1</v>
      </c>
      <c r="G896" s="44"/>
      <c r="H896" s="44">
        <v>12</v>
      </c>
      <c r="I896" s="44">
        <v>0</v>
      </c>
      <c r="J896" s="44">
        <v>0</v>
      </c>
      <c r="K896" s="44">
        <v>0</v>
      </c>
      <c r="L896" s="43">
        <v>0.62708333333333333</v>
      </c>
      <c r="M896" s="43">
        <v>0.65972222222222221</v>
      </c>
      <c r="N896" s="43">
        <v>2.7083333333333334E-2</v>
      </c>
      <c r="O896" s="43">
        <v>3.888888888888889E-2</v>
      </c>
      <c r="P896" s="39"/>
      <c r="Q896" s="42" t="s">
        <v>0</v>
      </c>
      <c r="R896" s="29">
        <f>MIP_4[[#This Row],[PT-1]]+MIP_4[[#This Row],[PT-2]]*2+MIP_4[[#This Row],[PT-3]]*3+MIP_4[[#This Row],[PT &gt; 3 Pontos]]</f>
        <v>12</v>
      </c>
      <c r="S89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4.4444444444444398E-2</v>
      </c>
      <c r="T89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4.4444444444444398E-2</v>
      </c>
      <c r="U896" s="41">
        <f ca="1">MIP_4[[#This Row],[Eficiência]]</f>
        <v>0.92206127746361266</v>
      </c>
      <c r="V896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96" s="39">
        <f>IF(MIP_4[[#This Row],[P.S]]-MIP_4[[#This Row],[P.E]]&lt;0,1+MIP_4[[#This Row],[P.S]]-MIP_4[[#This Row],[P.E]]-1/24,MIP_4[[#This Row],[P.S]]-MIP_4[[#This Row],[P.E]]-1/24)</f>
        <v>0.37013888888888896</v>
      </c>
      <c r="X896" s="39">
        <f ca="1">MIP_4[[#This Row],[PT-1]]*$S$3+MIP_4[[#This Row],[PT-2]]*$T$3+MIP_4[[#This Row],[PT-3]]*$U$3+MIP_4[[#This Row],[PT &gt; 3 Pontos]]*$V$3</f>
        <v>0.30031023550724617</v>
      </c>
      <c r="Y896" s="39">
        <f>MIP_4[[#This Row],[HH disponível]]-MIP_4[[#This Row],[HH AC TOT]]</f>
        <v>0.32569444444444456</v>
      </c>
      <c r="Z896" s="38">
        <f ca="1">MIP_4[[#This Row],[HH Produtivo
Total]]/MIP_4[[#This Row],[HH Trabalhado]]</f>
        <v>0.92206127746361266</v>
      </c>
      <c r="AA896" s="38">
        <f ca="1">MIP_4[[#This Row],[HH Produtivo
Total]]/MIP_4[[#This Row],[HH disponível]]</f>
        <v>0.81134472632351673</v>
      </c>
      <c r="AB896" s="38">
        <f>MIP_4[[#This Row],[HH Trabalhado]]/MIP_4[[#This Row],[HH disponível]]</f>
        <v>0.87992495309568497</v>
      </c>
      <c r="AC896" s="37" t="str">
        <f>LEFT(MIP_4[[#This Row],[Equipe]], SEARCH("/",MIP_4[[#This Row],[Equipe]],1)-1)</f>
        <v xml:space="preserve">EDILTON </v>
      </c>
      <c r="AD896" s="37" t="str">
        <f>RIGHT(MIP_4[[#This Row],[Equipe]], LEN(MIP_4[[#This Row],[Equipe]])-SEARCH("/",MIP_4[[#This Row],[Equipe]],1))</f>
        <v xml:space="preserve"> GECIVALDO</v>
      </c>
      <c r="AE896" s="29">
        <f>COUNTIFS('[1]Tempo parado'!G:G,"&gt;="&amp;MIP_4[[#This Row],[S.B Sitrack]],'[1]Tempo parado'!H:H,"&lt;="&amp;MIP_4[[#This Row],[C.B Sitrack]],'[1]Tempo parado'!A:A,MIP_4[[#This Row],[Placa]])</f>
        <v>0</v>
      </c>
      <c r="AF896" s="36"/>
      <c r="AG896" s="35"/>
      <c r="AH896" s="34"/>
      <c r="AI896" s="34"/>
      <c r="AJ89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9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9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96" s="31" t="str">
        <f>IFERROR(MIP_4[[#This Row],[Tempo parado]]/(MIP_4[[#This Row],[C.B Sitrack]]-MIP_4[[#This Row],[S.B Sitrack]]),"")</f>
        <v/>
      </c>
      <c r="AN896" s="30"/>
      <c r="AO896" s="29">
        <f>IF(AND(MIP_4[Exc]=0,MIP_4[Previsto / Realizado]="Realizado"),MIP_4[Sem],0)</f>
        <v>51</v>
      </c>
      <c r="AP896" s="29">
        <f>IF(AND(MIP_4[Exc]=0,MIP_4[Previsto / Realizado]="Realizado",ISBLANK(MIP_4[[#This Row],[S.B Sitrack]])=FALSE,ISBLANK(MIP_4[[#This Row],[C.B Sitrack]])=FALSE),MIP_4[Sem],0)</f>
        <v>0</v>
      </c>
    </row>
    <row r="897" spans="1:42" ht="15.75" x14ac:dyDescent="0.25">
      <c r="A897" s="29">
        <f>WEEKNUM(MIP_4[[#This Row],[Data]])</f>
        <v>51</v>
      </c>
      <c r="B897" s="45">
        <v>43092</v>
      </c>
      <c r="C897" s="45"/>
      <c r="D897" s="35" t="s">
        <v>19</v>
      </c>
      <c r="E897" s="35" t="s">
        <v>5</v>
      </c>
      <c r="F897" s="35"/>
      <c r="G897" s="44"/>
      <c r="H897" s="44">
        <v>11</v>
      </c>
      <c r="I897" s="44">
        <v>0</v>
      </c>
      <c r="J897" s="44">
        <v>0</v>
      </c>
      <c r="K897" s="44">
        <v>0</v>
      </c>
      <c r="L897" s="43">
        <v>0.625</v>
      </c>
      <c r="M897" s="43">
        <v>0.6381944444444444</v>
      </c>
      <c r="N897" s="43">
        <v>5.5555555555555558E-3</v>
      </c>
      <c r="O897" s="43">
        <v>3.3333333333333333E-2</v>
      </c>
      <c r="P897" s="39"/>
      <c r="Q897" s="42"/>
      <c r="R897" s="29">
        <f>MIP_4[[#This Row],[PT-1]]+MIP_4[[#This Row],[PT-2]]*2+MIP_4[[#This Row],[PT-3]]*3+MIP_4[[#This Row],[PT &gt; 3 Pontos]]</f>
        <v>11</v>
      </c>
      <c r="S89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4.0972222222222188E-2</v>
      </c>
      <c r="T89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4.0972222222222188E-2</v>
      </c>
      <c r="U897" s="41">
        <f ca="1">MIP_4[[#This Row],[Eficiência]]</f>
        <v>0.8452228376749783</v>
      </c>
      <c r="V897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97" s="39">
        <f>IF(MIP_4[[#This Row],[P.S]]-MIP_4[[#This Row],[P.E]]&lt;0,1+MIP_4[[#This Row],[P.S]]-MIP_4[[#This Row],[P.E]]-1/24,MIP_4[[#This Row],[P.S]]-MIP_4[[#This Row],[P.E]]-1/24)</f>
        <v>0.36666666666666675</v>
      </c>
      <c r="X897" s="39">
        <f ca="1">MIP_4[[#This Row],[PT-1]]*$S$3+MIP_4[[#This Row],[PT-2]]*$T$3+MIP_4[[#This Row],[PT-3]]*$U$3+MIP_4[[#This Row],[PT &gt; 3 Pontos]]*$V$3</f>
        <v>0.275284382548309</v>
      </c>
      <c r="Y897" s="39">
        <f>MIP_4[[#This Row],[HH disponível]]-MIP_4[[#This Row],[HH AC TOT]]</f>
        <v>0.32569444444444456</v>
      </c>
      <c r="Z897" s="38">
        <f ca="1">MIP_4[[#This Row],[HH Produtivo
Total]]/MIP_4[[#This Row],[HH Trabalhado]]</f>
        <v>0.8452228376749783</v>
      </c>
      <c r="AA897" s="38">
        <f ca="1">MIP_4[[#This Row],[HH Produtivo
Total]]/MIP_4[[#This Row],[HH disponível]]</f>
        <v>0.75077558876811534</v>
      </c>
      <c r="AB897" s="38">
        <f>MIP_4[[#This Row],[HH Trabalhado]]/MIP_4[[#This Row],[HH disponível]]</f>
        <v>0.88825757575757591</v>
      </c>
      <c r="AC897" s="37" t="str">
        <f>LEFT(MIP_4[[#This Row],[Equipe]], SEARCH("/",MIP_4[[#This Row],[Equipe]],1)-1)</f>
        <v xml:space="preserve">ADEMÁRIO </v>
      </c>
      <c r="AD897" s="37" t="str">
        <f>RIGHT(MIP_4[[#This Row],[Equipe]], LEN(MIP_4[[#This Row],[Equipe]])-SEARCH("/",MIP_4[[#This Row],[Equipe]],1))</f>
        <v xml:space="preserve"> RONALDO</v>
      </c>
      <c r="AE897" s="29">
        <f>COUNTIFS('[1]Tempo parado'!G:G,"&gt;="&amp;MIP_4[[#This Row],[S.B Sitrack]],'[1]Tempo parado'!H:H,"&lt;="&amp;MIP_4[[#This Row],[C.B Sitrack]],'[1]Tempo parado'!A:A,MIP_4[[#This Row],[Placa]])</f>
        <v>0</v>
      </c>
      <c r="AF897" s="36"/>
      <c r="AG897" s="35"/>
      <c r="AH897" s="34"/>
      <c r="AI897" s="34"/>
      <c r="AJ89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9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9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97" s="31" t="str">
        <f>IFERROR(MIP_4[[#This Row],[Tempo parado]]/(MIP_4[[#This Row],[C.B Sitrack]]-MIP_4[[#This Row],[S.B Sitrack]]),"")</f>
        <v/>
      </c>
      <c r="AN897" s="30"/>
      <c r="AO897" s="29">
        <f>IF(AND(MIP_4[Exc]=0,MIP_4[Previsto / Realizado]="Realizado"),MIP_4[Sem],0)</f>
        <v>0</v>
      </c>
      <c r="AP897" s="29">
        <f>IF(AND(MIP_4[Exc]=0,MIP_4[Previsto / Realizado]="Realizado",ISBLANK(MIP_4[[#This Row],[S.B Sitrack]])=FALSE,ISBLANK(MIP_4[[#This Row],[C.B Sitrack]])=FALSE),MIP_4[Sem],0)</f>
        <v>0</v>
      </c>
    </row>
    <row r="898" spans="1:42" ht="15.75" x14ac:dyDescent="0.25">
      <c r="A898" s="29">
        <f>WEEKNUM(MIP_4[[#This Row],[Data]])</f>
        <v>51</v>
      </c>
      <c r="B898" s="45" t="s">
        <v>23</v>
      </c>
      <c r="C898" s="45"/>
      <c r="D898" s="35" t="s">
        <v>19</v>
      </c>
      <c r="E898" s="35" t="s">
        <v>2</v>
      </c>
      <c r="F898" s="35" t="s">
        <v>1</v>
      </c>
      <c r="G898" s="44"/>
      <c r="H898" s="44">
        <v>11</v>
      </c>
      <c r="I898" s="44">
        <v>0</v>
      </c>
      <c r="J898" s="44">
        <v>0</v>
      </c>
      <c r="K898" s="44">
        <v>0</v>
      </c>
      <c r="L898" s="43">
        <v>0.63541666666666663</v>
      </c>
      <c r="M898" s="43">
        <v>0.65277777777777779</v>
      </c>
      <c r="N898" s="43">
        <v>4.8611111111111112E-3</v>
      </c>
      <c r="O898" s="43">
        <v>3.5416666666666666E-2</v>
      </c>
      <c r="P898" s="39"/>
      <c r="Q898" s="42"/>
      <c r="R898" s="29">
        <f>MIP_4[[#This Row],[PT-1]]+MIP_4[[#This Row],[PT-2]]*2+MIP_4[[#This Row],[PT-3]]*3+MIP_4[[#This Row],[PT &gt; 3 Pontos]]</f>
        <v>11</v>
      </c>
      <c r="S89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4.7916666666666718E-2</v>
      </c>
      <c r="T89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4.7916666666666718E-2</v>
      </c>
      <c r="U898" s="41">
        <f ca="1">MIP_4[[#This Row],[Eficiência]]</f>
        <v>0.88682217196770696</v>
      </c>
      <c r="V898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98" s="39">
        <f>IF(MIP_4[[#This Row],[P.S]]-MIP_4[[#This Row],[P.E]]&lt;0,1+MIP_4[[#This Row],[P.S]]-MIP_4[[#This Row],[P.E]]-1/24,MIP_4[[#This Row],[P.S]]-MIP_4[[#This Row],[P.E]]-1/24)</f>
        <v>0.35833333333333334</v>
      </c>
      <c r="X898" s="39">
        <f ca="1">MIP_4[[#This Row],[PT-1]]*$S$3+MIP_4[[#This Row],[PT-2]]*$T$3+MIP_4[[#This Row],[PT-3]]*$U$3+MIP_4[[#This Row],[PT &gt; 3 Pontos]]*$V$3</f>
        <v>0.275284382548309</v>
      </c>
      <c r="Y898" s="39">
        <f>MIP_4[[#This Row],[HH disponível]]-MIP_4[[#This Row],[HH AC TOT]]</f>
        <v>0.31041666666666662</v>
      </c>
      <c r="Z898" s="38">
        <f ca="1">MIP_4[[#This Row],[HH Produtivo
Total]]/MIP_4[[#This Row],[HH Trabalhado]]</f>
        <v>0.88682217196770696</v>
      </c>
      <c r="AA898" s="38">
        <f ca="1">MIP_4[[#This Row],[HH Produtivo
Total]]/MIP_4[[#This Row],[HH disponível]]</f>
        <v>0.76823548618132742</v>
      </c>
      <c r="AB898" s="38">
        <f>MIP_4[[#This Row],[HH Trabalhado]]/MIP_4[[#This Row],[HH disponível]]</f>
        <v>0.86627906976744173</v>
      </c>
      <c r="AC898" s="37" t="str">
        <f>LEFT(MIP_4[[#This Row],[Equipe]], SEARCH("/",MIP_4[[#This Row],[Equipe]],1)-1)</f>
        <v xml:space="preserve">ADEMÁRIO </v>
      </c>
      <c r="AD898" s="37" t="str">
        <f>RIGHT(MIP_4[[#This Row],[Equipe]], LEN(MIP_4[[#This Row],[Equipe]])-SEARCH("/",MIP_4[[#This Row],[Equipe]],1))</f>
        <v xml:space="preserve"> RONALDO</v>
      </c>
      <c r="AE898" s="29">
        <f>COUNTIFS('[1]Tempo parado'!G:G,"&gt;="&amp;MIP_4[[#This Row],[S.B Sitrack]],'[1]Tempo parado'!H:H,"&lt;="&amp;MIP_4[[#This Row],[C.B Sitrack]],'[1]Tempo parado'!A:A,MIP_4[[#This Row],[Placa]])</f>
        <v>0</v>
      </c>
      <c r="AF898" s="36"/>
      <c r="AG898" s="35"/>
      <c r="AH898" s="34"/>
      <c r="AI898" s="34"/>
      <c r="AJ89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9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9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98" s="31" t="str">
        <f>IFERROR(MIP_4[[#This Row],[Tempo parado]]/(MIP_4[[#This Row],[C.B Sitrack]]-MIP_4[[#This Row],[S.B Sitrack]]),"")</f>
        <v/>
      </c>
      <c r="AN898" s="30"/>
      <c r="AO898" s="29">
        <f>IF(AND(MIP_4[Exc]=0,MIP_4[Previsto / Realizado]="Realizado"),MIP_4[Sem],0)</f>
        <v>51</v>
      </c>
      <c r="AP898" s="29">
        <f>IF(AND(MIP_4[Exc]=0,MIP_4[Previsto / Realizado]="Realizado",ISBLANK(MIP_4[[#This Row],[S.B Sitrack]])=FALSE,ISBLANK(MIP_4[[#This Row],[C.B Sitrack]])=FALSE),MIP_4[Sem],0)</f>
        <v>0</v>
      </c>
    </row>
    <row r="899" spans="1:42" ht="15.75" x14ac:dyDescent="0.25">
      <c r="A899" s="29">
        <f>WEEKNUM(MIP_4[[#This Row],[Data]])</f>
        <v>52</v>
      </c>
      <c r="B899" s="45">
        <v>43093</v>
      </c>
      <c r="C899" s="45"/>
      <c r="D899" s="35" t="s">
        <v>10</v>
      </c>
      <c r="E899" s="35" t="s">
        <v>5</v>
      </c>
      <c r="F899" s="35"/>
      <c r="G899" s="44"/>
      <c r="H899" s="44">
        <v>0</v>
      </c>
      <c r="I899" s="44">
        <v>0</v>
      </c>
      <c r="J899" s="44">
        <v>0</v>
      </c>
      <c r="K899" s="44">
        <v>0</v>
      </c>
      <c r="L899" s="43">
        <v>0.25</v>
      </c>
      <c r="M899" s="43">
        <v>0.2638888888888889</v>
      </c>
      <c r="N899" s="43">
        <v>0.62986111111111109</v>
      </c>
      <c r="O899" s="43">
        <v>0.65833333333333333</v>
      </c>
      <c r="P899" s="39"/>
      <c r="Q899" s="42" t="s">
        <v>4</v>
      </c>
      <c r="R899" s="29">
        <f>MIP_4[[#This Row],[PT-1]]+MIP_4[[#This Row],[PT-2]]*2+MIP_4[[#This Row],[PT-3]]*3+MIP_4[[#This Row],[PT &gt; 3 Pontos]]</f>
        <v>0</v>
      </c>
      <c r="S89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4.2361111111111127E-2</v>
      </c>
      <c r="T89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4.2361111111111127E-2</v>
      </c>
      <c r="U899" s="41">
        <f ca="1">MIP_4[[#This Row],[Eficiência]]</f>
        <v>0</v>
      </c>
      <c r="V899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899" s="39">
        <f>IF(MIP_4[[#This Row],[P.S]]-MIP_4[[#This Row],[P.E]]&lt;0,1+MIP_4[[#This Row],[P.S]]-MIP_4[[#This Row],[P.E]]-1/24,MIP_4[[#This Row],[P.S]]-MIP_4[[#This Row],[P.E]]-1/24)</f>
        <v>0.36666666666666664</v>
      </c>
      <c r="X899" s="39">
        <f ca="1">MIP_4[[#This Row],[PT-1]]*$S$3+MIP_4[[#This Row],[PT-2]]*$T$3+MIP_4[[#This Row],[PT-3]]*$U$3+MIP_4[[#This Row],[PT &gt; 3 Pontos]]*$V$3</f>
        <v>0</v>
      </c>
      <c r="Y899" s="39">
        <f>MIP_4[[#This Row],[HH disponível]]-MIP_4[[#This Row],[HH AC TOT]]</f>
        <v>0.32430555555555551</v>
      </c>
      <c r="Z899" s="38">
        <f ca="1">MIP_4[[#This Row],[HH Produtivo
Total]]/MIP_4[[#This Row],[HH Trabalhado]]</f>
        <v>0</v>
      </c>
      <c r="AA899" s="38">
        <f ca="1">MIP_4[[#This Row],[HH Produtivo
Total]]/MIP_4[[#This Row],[HH disponível]]</f>
        <v>0</v>
      </c>
      <c r="AB899" s="38">
        <f>MIP_4[[#This Row],[HH Trabalhado]]/MIP_4[[#This Row],[HH disponível]]</f>
        <v>0.88446969696969691</v>
      </c>
      <c r="AC899" s="37" t="str">
        <f>LEFT(MIP_4[[#This Row],[Equipe]], SEARCH("/",MIP_4[[#This Row],[Equipe]],1)-1)</f>
        <v xml:space="preserve">JOILSON </v>
      </c>
      <c r="AD899" s="37" t="str">
        <f>RIGHT(MIP_4[[#This Row],[Equipe]], LEN(MIP_4[[#This Row],[Equipe]])-SEARCH("/",MIP_4[[#This Row],[Equipe]],1))</f>
        <v xml:space="preserve"> VALDEI</v>
      </c>
      <c r="AE899" s="29">
        <f>COUNTIFS('[1]Tempo parado'!G:G,"&gt;="&amp;MIP_4[[#This Row],[S.B Sitrack]],'[1]Tempo parado'!H:H,"&lt;="&amp;MIP_4[[#This Row],[C.B Sitrack]],'[1]Tempo parado'!A:A,MIP_4[[#This Row],[Placa]])</f>
        <v>0</v>
      </c>
      <c r="AF899" s="36"/>
      <c r="AG899" s="35"/>
      <c r="AH899" s="34"/>
      <c r="AI899" s="34"/>
      <c r="AJ89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89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89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899" s="31" t="str">
        <f>IFERROR(MIP_4[[#This Row],[Tempo parado]]/(MIP_4[[#This Row],[C.B Sitrack]]-MIP_4[[#This Row],[S.B Sitrack]]),"")</f>
        <v/>
      </c>
      <c r="AN899" s="30"/>
      <c r="AO899" s="29">
        <f>IF(AND(MIP_4[Exc]=0,MIP_4[Previsto / Realizado]="Realizado"),MIP_4[Sem],0)</f>
        <v>0</v>
      </c>
      <c r="AP899" s="29">
        <f>IF(AND(MIP_4[Exc]=0,MIP_4[Previsto / Realizado]="Realizado",ISBLANK(MIP_4[[#This Row],[S.B Sitrack]])=FALSE,ISBLANK(MIP_4[[#This Row],[C.B Sitrack]])=FALSE),MIP_4[Sem],0)</f>
        <v>0</v>
      </c>
    </row>
    <row r="900" spans="1:42" ht="15.75" x14ac:dyDescent="0.25">
      <c r="A900" s="29">
        <f>WEEKNUM(MIP_4[[#This Row],[Data]])</f>
        <v>52</v>
      </c>
      <c r="B900" s="45" t="s">
        <v>22</v>
      </c>
      <c r="C900" s="45"/>
      <c r="D900" s="35" t="s">
        <v>10</v>
      </c>
      <c r="E900" s="35" t="s">
        <v>2</v>
      </c>
      <c r="F900" s="35" t="s">
        <v>1</v>
      </c>
      <c r="G900" s="44"/>
      <c r="H900" s="44">
        <v>3</v>
      </c>
      <c r="I900" s="44">
        <v>1</v>
      </c>
      <c r="J900" s="44">
        <v>2</v>
      </c>
      <c r="K900" s="44">
        <v>0</v>
      </c>
      <c r="L900" s="43">
        <v>0.24652777777777779</v>
      </c>
      <c r="M900" s="43">
        <v>0.27777777777777779</v>
      </c>
      <c r="N900" s="43">
        <v>0.57500000000000007</v>
      </c>
      <c r="O900" s="43">
        <v>0.66875000000000007</v>
      </c>
      <c r="P900" s="39"/>
      <c r="Q900" s="42" t="s">
        <v>21</v>
      </c>
      <c r="R900" s="29">
        <f>MIP_4[[#This Row],[PT-1]]+MIP_4[[#This Row],[PT-2]]*2+MIP_4[[#This Row],[PT-3]]*3+MIP_4[[#This Row],[PT &gt; 3 Pontos]]</f>
        <v>11</v>
      </c>
      <c r="S90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0.125</v>
      </c>
      <c r="T90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0.125</v>
      </c>
      <c r="U900" s="41">
        <f ca="1">MIP_4[[#This Row],[Eficiência]]</f>
        <v>0.9570118048991807</v>
      </c>
      <c r="V900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900" s="39">
        <f>IF(MIP_4[[#This Row],[P.S]]-MIP_4[[#This Row],[P.E]]&lt;0,1+MIP_4[[#This Row],[P.S]]-MIP_4[[#This Row],[P.E]]-1/24,MIP_4[[#This Row],[P.S]]-MIP_4[[#This Row],[P.E]]-1/24)</f>
        <v>0.38055555555555559</v>
      </c>
      <c r="X900" s="39">
        <f ca="1">MIP_4[[#This Row],[PT-1]]*$S$3+MIP_4[[#This Row],[PT-2]]*$T$3+MIP_4[[#This Row],[PT-3]]*$U$3+MIP_4[[#This Row],[PT &gt; 3 Pontos]]*$V$3</f>
        <v>0.24456968347423511</v>
      </c>
      <c r="Y900" s="39">
        <f>MIP_4[[#This Row],[HH disponível]]-MIP_4[[#This Row],[HH AC TOT]]</f>
        <v>0.25555555555555559</v>
      </c>
      <c r="Z900" s="38">
        <f ca="1">MIP_4[[#This Row],[HH Produtivo
Total]]/MIP_4[[#This Row],[HH Trabalhado]]</f>
        <v>0.9570118048991807</v>
      </c>
      <c r="AA900" s="38">
        <f ca="1">MIP_4[[#This Row],[HH Produtivo
Total]]/MIP_4[[#This Row],[HH disponível]]</f>
        <v>0.6426648616841214</v>
      </c>
      <c r="AB900" s="38">
        <f>MIP_4[[#This Row],[HH Trabalhado]]/MIP_4[[#This Row],[HH disponível]]</f>
        <v>0.67153284671532854</v>
      </c>
      <c r="AC900" s="37" t="str">
        <f>LEFT(MIP_4[[#This Row],[Equipe]], SEARCH("/",MIP_4[[#This Row],[Equipe]],1)-1)</f>
        <v xml:space="preserve">JOILSON </v>
      </c>
      <c r="AD900" s="37" t="str">
        <f>RIGHT(MIP_4[[#This Row],[Equipe]], LEN(MIP_4[[#This Row],[Equipe]])-SEARCH("/",MIP_4[[#This Row],[Equipe]],1))</f>
        <v xml:space="preserve"> VALDEI</v>
      </c>
      <c r="AE900" s="29">
        <f>COUNTIFS('[1]Tempo parado'!G:G,"&gt;="&amp;MIP_4[[#This Row],[S.B Sitrack]],'[1]Tempo parado'!H:H,"&lt;="&amp;MIP_4[[#This Row],[C.B Sitrack]],'[1]Tempo parado'!A:A,MIP_4[[#This Row],[Placa]])</f>
        <v>0</v>
      </c>
      <c r="AF900" s="36"/>
      <c r="AG900" s="35"/>
      <c r="AH900" s="34"/>
      <c r="AI900" s="34"/>
      <c r="AJ90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90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90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900" s="31" t="str">
        <f>IFERROR(MIP_4[[#This Row],[Tempo parado]]/(MIP_4[[#This Row],[C.B Sitrack]]-MIP_4[[#This Row],[S.B Sitrack]]),"")</f>
        <v/>
      </c>
      <c r="AN900" s="30"/>
      <c r="AO900" s="29">
        <f>IF(AND(MIP_4[Exc]=0,MIP_4[Previsto / Realizado]="Realizado"),MIP_4[Sem],0)</f>
        <v>52</v>
      </c>
      <c r="AP900" s="29">
        <f>IF(AND(MIP_4[Exc]=0,MIP_4[Previsto / Realizado]="Realizado",ISBLANK(MIP_4[[#This Row],[S.B Sitrack]])=FALSE,ISBLANK(MIP_4[[#This Row],[C.B Sitrack]])=FALSE),MIP_4[Sem],0)</f>
        <v>0</v>
      </c>
    </row>
    <row r="901" spans="1:42" ht="15.75" x14ac:dyDescent="0.25">
      <c r="A901" s="29">
        <f>WEEKNUM(MIP_4[[#This Row],[Data]])</f>
        <v>52</v>
      </c>
      <c r="B901" s="45" t="s">
        <v>20</v>
      </c>
      <c r="C901" s="45"/>
      <c r="D901" s="35" t="s">
        <v>19</v>
      </c>
      <c r="E901" s="35" t="s">
        <v>5</v>
      </c>
      <c r="F901" s="35"/>
      <c r="G901" s="44"/>
      <c r="H901" s="44">
        <v>5</v>
      </c>
      <c r="I901" s="44">
        <v>5</v>
      </c>
      <c r="J901" s="44">
        <v>0</v>
      </c>
      <c r="K901" s="44">
        <v>6</v>
      </c>
      <c r="L901" s="43">
        <v>0.625</v>
      </c>
      <c r="M901" s="43">
        <v>0.63750000000000007</v>
      </c>
      <c r="N901" s="43">
        <v>4.8611111111111112E-3</v>
      </c>
      <c r="O901" s="43">
        <v>3.3333333333333333E-2</v>
      </c>
      <c r="P901" s="39"/>
      <c r="Q901" s="42"/>
      <c r="R901" s="29">
        <f>MIP_4[[#This Row],[PT-1]]+MIP_4[[#This Row],[PT-2]]*2+MIP_4[[#This Row],[PT-3]]*3+MIP_4[[#This Row],[PT &gt; 3 Pontos]]</f>
        <v>21</v>
      </c>
      <c r="S90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4.0972222222222299E-2</v>
      </c>
      <c r="T90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4.0972222222222299E-2</v>
      </c>
      <c r="U901" s="41">
        <f ca="1">MIP_4[[#This Row],[Eficiência]]</f>
        <v>1.4312837340214042</v>
      </c>
      <c r="V901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901" s="39">
        <f>IF(MIP_4[[#This Row],[P.S]]-MIP_4[[#This Row],[P.E]]&lt;0,1+MIP_4[[#This Row],[P.S]]-MIP_4[[#This Row],[P.E]]-1/24,MIP_4[[#This Row],[P.S]]-MIP_4[[#This Row],[P.E]]-1/24)</f>
        <v>0.36666666666666675</v>
      </c>
      <c r="X901" s="39">
        <f ca="1">MIP_4[[#This Row],[PT-1]]*$S$3+MIP_4[[#This Row],[PT-2]]*$T$3+MIP_4[[#This Row],[PT-3]]*$U$3+MIP_4[[#This Row],[PT &gt; 3 Pontos]]*$V$3</f>
        <v>0.46616116059447127</v>
      </c>
      <c r="Y901" s="39">
        <f>MIP_4[[#This Row],[HH disponível]]-MIP_4[[#This Row],[HH AC TOT]]</f>
        <v>0.32569444444444445</v>
      </c>
      <c r="Z901" s="38">
        <f ca="1">MIP_4[[#This Row],[HH Produtivo
Total]]/MIP_4[[#This Row],[HH Trabalhado]]</f>
        <v>1.4312837340214042</v>
      </c>
      <c r="AA901" s="38">
        <f ca="1">MIP_4[[#This Row],[HH Produtivo
Total]]/MIP_4[[#This Row],[HH disponível]]</f>
        <v>1.2713486198031032</v>
      </c>
      <c r="AB901" s="38">
        <f>MIP_4[[#This Row],[HH Trabalhado]]/MIP_4[[#This Row],[HH disponível]]</f>
        <v>0.88825757575757558</v>
      </c>
      <c r="AC901" s="37" t="str">
        <f>LEFT(MIP_4[[#This Row],[Equipe]], SEARCH("/",MIP_4[[#This Row],[Equipe]],1)-1)</f>
        <v xml:space="preserve">ADEMÁRIO </v>
      </c>
      <c r="AD901" s="37" t="str">
        <f>RIGHT(MIP_4[[#This Row],[Equipe]], LEN(MIP_4[[#This Row],[Equipe]])-SEARCH("/",MIP_4[[#This Row],[Equipe]],1))</f>
        <v xml:space="preserve"> RONALDO</v>
      </c>
      <c r="AE901" s="29">
        <f>COUNTIFS('[1]Tempo parado'!G:G,"&gt;="&amp;MIP_4[[#This Row],[S.B Sitrack]],'[1]Tempo parado'!H:H,"&lt;="&amp;MIP_4[[#This Row],[C.B Sitrack]],'[1]Tempo parado'!A:A,MIP_4[[#This Row],[Placa]])</f>
        <v>0</v>
      </c>
      <c r="AF901" s="36"/>
      <c r="AG901" s="35"/>
      <c r="AH901" s="34"/>
      <c r="AI901" s="34"/>
      <c r="AJ90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90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90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901" s="31" t="str">
        <f>IFERROR(MIP_4[[#This Row],[Tempo parado]]/(MIP_4[[#This Row],[C.B Sitrack]]-MIP_4[[#This Row],[S.B Sitrack]]),"")</f>
        <v/>
      </c>
      <c r="AN901" s="30"/>
      <c r="AO901" s="29">
        <f>IF(AND(MIP_4[Exc]=0,MIP_4[Previsto / Realizado]="Realizado"),MIP_4[Sem],0)</f>
        <v>0</v>
      </c>
      <c r="AP901" s="29">
        <f>IF(AND(MIP_4[Exc]=0,MIP_4[Previsto / Realizado]="Realizado",ISBLANK(MIP_4[[#This Row],[S.B Sitrack]])=FALSE,ISBLANK(MIP_4[[#This Row],[C.B Sitrack]])=FALSE),MIP_4[Sem],0)</f>
        <v>0</v>
      </c>
    </row>
    <row r="902" spans="1:42" ht="15.75" x14ac:dyDescent="0.25">
      <c r="A902" s="29">
        <f>WEEKNUM(MIP_4[[#This Row],[Data]])</f>
        <v>52</v>
      </c>
      <c r="B902" s="45" t="s">
        <v>20</v>
      </c>
      <c r="C902" s="45"/>
      <c r="D902" s="35" t="s">
        <v>19</v>
      </c>
      <c r="E902" s="35" t="s">
        <v>2</v>
      </c>
      <c r="F902" s="35" t="s">
        <v>1</v>
      </c>
      <c r="G902" s="44"/>
      <c r="H902" s="44">
        <v>6</v>
      </c>
      <c r="I902" s="44">
        <v>4</v>
      </c>
      <c r="J902" s="44">
        <v>0</v>
      </c>
      <c r="K902" s="44">
        <v>0</v>
      </c>
      <c r="L902" s="43">
        <v>0.62916666666666665</v>
      </c>
      <c r="M902" s="43">
        <v>0.65972222222222221</v>
      </c>
      <c r="N902" s="43">
        <v>1.0416666666666666E-2</v>
      </c>
      <c r="O902" s="43">
        <v>3.5416666666666666E-2</v>
      </c>
      <c r="P902" s="39"/>
      <c r="Q902" s="42"/>
      <c r="R902" s="29">
        <f>MIP_4[[#This Row],[PT-1]]+MIP_4[[#This Row],[PT-2]]*2+MIP_4[[#This Row],[PT-3]]*3+MIP_4[[#This Row],[PT &gt; 3 Pontos]]</f>
        <v>14</v>
      </c>
      <c r="S90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5.555555555555558E-2</v>
      </c>
      <c r="T90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5.555555555555558E-2</v>
      </c>
      <c r="U902" s="41">
        <f ca="1">MIP_4[[#This Row],[Eficiência]]</f>
        <v>1.0542423872333495</v>
      </c>
      <c r="V902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902" s="39">
        <f>IF(MIP_4[[#This Row],[P.S]]-MIP_4[[#This Row],[P.E]]&lt;0,1+MIP_4[[#This Row],[P.S]]-MIP_4[[#This Row],[P.E]]-1/24,MIP_4[[#This Row],[P.S]]-MIP_4[[#This Row],[P.E]]-1/24)</f>
        <v>0.36458333333333331</v>
      </c>
      <c r="X902" s="39">
        <f ca="1">MIP_4[[#This Row],[PT-1]]*$S$3+MIP_4[[#This Row],[PT-2]]*$T$3+MIP_4[[#This Row],[PT-3]]*$U$3+MIP_4[[#This Row],[PT &gt; 3 Pontos]]*$V$3</f>
        <v>0.32579018216586142</v>
      </c>
      <c r="Y902" s="39">
        <f>MIP_4[[#This Row],[HH disponível]]-MIP_4[[#This Row],[HH AC TOT]]</f>
        <v>0.30902777777777773</v>
      </c>
      <c r="Z902" s="38">
        <f ca="1">MIP_4[[#This Row],[HH Produtivo
Total]]/MIP_4[[#This Row],[HH Trabalhado]]</f>
        <v>1.0542423872333495</v>
      </c>
      <c r="AA902" s="38">
        <f ca="1">MIP_4[[#This Row],[HH Produtivo
Total]]/MIP_4[[#This Row],[HH disponível]]</f>
        <v>0.8935959282263628</v>
      </c>
      <c r="AB902" s="38">
        <f>MIP_4[[#This Row],[HH Trabalhado]]/MIP_4[[#This Row],[HH disponível]]</f>
        <v>0.84761904761904749</v>
      </c>
      <c r="AC902" s="37" t="str">
        <f>LEFT(MIP_4[[#This Row],[Equipe]], SEARCH("/",MIP_4[[#This Row],[Equipe]],1)-1)</f>
        <v xml:space="preserve">ADEMÁRIO </v>
      </c>
      <c r="AD902" s="37" t="str">
        <f>RIGHT(MIP_4[[#This Row],[Equipe]], LEN(MIP_4[[#This Row],[Equipe]])-SEARCH("/",MIP_4[[#This Row],[Equipe]],1))</f>
        <v xml:space="preserve"> RONALDO</v>
      </c>
      <c r="AE902" s="29">
        <f>COUNTIFS('[1]Tempo parado'!G:G,"&gt;="&amp;MIP_4[[#This Row],[S.B Sitrack]],'[1]Tempo parado'!H:H,"&lt;="&amp;MIP_4[[#This Row],[C.B Sitrack]],'[1]Tempo parado'!A:A,MIP_4[[#This Row],[Placa]])</f>
        <v>0</v>
      </c>
      <c r="AF902" s="36"/>
      <c r="AG902" s="35"/>
      <c r="AH902" s="34"/>
      <c r="AI902" s="34"/>
      <c r="AJ90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90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90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902" s="31" t="str">
        <f>IFERROR(MIP_4[[#This Row],[Tempo parado]]/(MIP_4[[#This Row],[C.B Sitrack]]-MIP_4[[#This Row],[S.B Sitrack]]),"")</f>
        <v/>
      </c>
      <c r="AN902" s="30"/>
      <c r="AO902" s="29">
        <f>IF(AND(MIP_4[Exc]=0,MIP_4[Previsto / Realizado]="Realizado"),MIP_4[Sem],0)</f>
        <v>52</v>
      </c>
      <c r="AP902" s="29">
        <f>IF(AND(MIP_4[Exc]=0,MIP_4[Previsto / Realizado]="Realizado",ISBLANK(MIP_4[[#This Row],[S.B Sitrack]])=FALSE,ISBLANK(MIP_4[[#This Row],[C.B Sitrack]])=FALSE),MIP_4[Sem],0)</f>
        <v>0</v>
      </c>
    </row>
    <row r="903" spans="1:42" ht="15.75" x14ac:dyDescent="0.25">
      <c r="A903" s="29">
        <f>WEEKNUM(MIP_4[[#This Row],[Data]])</f>
        <v>52</v>
      </c>
      <c r="B903" s="45" t="s">
        <v>18</v>
      </c>
      <c r="C903" s="45"/>
      <c r="D903" s="35" t="s">
        <v>3</v>
      </c>
      <c r="E903" s="35" t="s">
        <v>5</v>
      </c>
      <c r="F903" s="35"/>
      <c r="G903" s="44"/>
      <c r="H903" s="44">
        <v>1</v>
      </c>
      <c r="I903" s="44">
        <v>2</v>
      </c>
      <c r="J903" s="44">
        <v>1</v>
      </c>
      <c r="K903" s="44">
        <v>7</v>
      </c>
      <c r="L903" s="43">
        <v>0.625</v>
      </c>
      <c r="M903" s="43">
        <v>0.63750000000000007</v>
      </c>
      <c r="N903" s="43">
        <v>4.8611111111111112E-3</v>
      </c>
      <c r="O903" s="43">
        <v>3.3333333333333333E-2</v>
      </c>
      <c r="P903" s="39"/>
      <c r="Q903" s="42"/>
      <c r="R903" s="29">
        <f>MIP_4[[#This Row],[PT-1]]+MIP_4[[#This Row],[PT-2]]*2+MIP_4[[#This Row],[PT-3]]*3+MIP_4[[#This Row],[PT &gt; 3 Pontos]]</f>
        <v>15</v>
      </c>
      <c r="S90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4.0972222222222299E-2</v>
      </c>
      <c r="T90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4.0972222222222299E-2</v>
      </c>
      <c r="U903" s="41">
        <f ca="1">MIP_4[[#This Row],[Eficiência]]</f>
        <v>0.97444444015258458</v>
      </c>
      <c r="V903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903" s="39">
        <f>IF(MIP_4[[#This Row],[P.S]]-MIP_4[[#This Row],[P.E]]&lt;0,1+MIP_4[[#This Row],[P.S]]-MIP_4[[#This Row],[P.E]]-1/24,MIP_4[[#This Row],[P.S]]-MIP_4[[#This Row],[P.E]]-1/24)</f>
        <v>0.36666666666666675</v>
      </c>
      <c r="X903" s="39">
        <f ca="1">MIP_4[[#This Row],[PT-1]]*$S$3+MIP_4[[#This Row],[PT-2]]*$T$3+MIP_4[[#This Row],[PT-3]]*$U$3+MIP_4[[#This Row],[PT &gt; 3 Pontos]]*$V$3</f>
        <v>0.31737114057747373</v>
      </c>
      <c r="Y903" s="39">
        <f>MIP_4[[#This Row],[HH disponível]]-MIP_4[[#This Row],[HH AC TOT]]</f>
        <v>0.32569444444444445</v>
      </c>
      <c r="Z903" s="38">
        <f ca="1">MIP_4[[#This Row],[HH Produtivo
Total]]/MIP_4[[#This Row],[HH Trabalhado]]</f>
        <v>0.97444444015258458</v>
      </c>
      <c r="AA903" s="38">
        <f ca="1">MIP_4[[#This Row],[HH Produtivo
Total]]/MIP_4[[#This Row],[HH disponível]]</f>
        <v>0.86555765612038271</v>
      </c>
      <c r="AB903" s="38">
        <f>MIP_4[[#This Row],[HH Trabalhado]]/MIP_4[[#This Row],[HH disponível]]</f>
        <v>0.88825757575757558</v>
      </c>
      <c r="AC903" s="37" t="str">
        <f>LEFT(MIP_4[[#This Row],[Equipe]], SEARCH("/",MIP_4[[#This Row],[Equipe]],1)-1)</f>
        <v xml:space="preserve">EDILTON </v>
      </c>
      <c r="AD903" s="37" t="str">
        <f>RIGHT(MIP_4[[#This Row],[Equipe]], LEN(MIP_4[[#This Row],[Equipe]])-SEARCH("/",MIP_4[[#This Row],[Equipe]],1))</f>
        <v xml:space="preserve"> GECIVALDO</v>
      </c>
      <c r="AE903" s="29">
        <f>COUNTIFS('[1]Tempo parado'!G:G,"&gt;="&amp;MIP_4[[#This Row],[S.B Sitrack]],'[1]Tempo parado'!H:H,"&lt;="&amp;MIP_4[[#This Row],[C.B Sitrack]],'[1]Tempo parado'!A:A,MIP_4[[#This Row],[Placa]])</f>
        <v>0</v>
      </c>
      <c r="AF903" s="36"/>
      <c r="AG903" s="35"/>
      <c r="AH903" s="34"/>
      <c r="AI903" s="34"/>
      <c r="AJ90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90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90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903" s="31" t="str">
        <f>IFERROR(MIP_4[[#This Row],[Tempo parado]]/(MIP_4[[#This Row],[C.B Sitrack]]-MIP_4[[#This Row],[S.B Sitrack]]),"")</f>
        <v/>
      </c>
      <c r="AN903" s="30"/>
      <c r="AO903" s="29">
        <f>IF(AND(MIP_4[Exc]=0,MIP_4[Previsto / Realizado]="Realizado"),MIP_4[Sem],0)</f>
        <v>0</v>
      </c>
      <c r="AP903" s="29">
        <f>IF(AND(MIP_4[Exc]=0,MIP_4[Previsto / Realizado]="Realizado",ISBLANK(MIP_4[[#This Row],[S.B Sitrack]])=FALSE,ISBLANK(MIP_4[[#This Row],[C.B Sitrack]])=FALSE),MIP_4[Sem],0)</f>
        <v>0</v>
      </c>
    </row>
    <row r="904" spans="1:42" ht="15.75" x14ac:dyDescent="0.25">
      <c r="A904" s="29">
        <f>WEEKNUM(MIP_4[[#This Row],[Data]])</f>
        <v>52</v>
      </c>
      <c r="B904" s="45" t="s">
        <v>18</v>
      </c>
      <c r="C904" s="45"/>
      <c r="D904" s="35" t="s">
        <v>3</v>
      </c>
      <c r="E904" s="35" t="s">
        <v>2</v>
      </c>
      <c r="F904" s="35" t="s">
        <v>1</v>
      </c>
      <c r="G904" s="44"/>
      <c r="H904" s="44">
        <v>1</v>
      </c>
      <c r="I904" s="44">
        <v>2</v>
      </c>
      <c r="J904" s="44">
        <v>1</v>
      </c>
      <c r="K904" s="44">
        <v>7</v>
      </c>
      <c r="L904" s="43">
        <v>0.625</v>
      </c>
      <c r="M904" s="43">
        <v>0.66666666666666663</v>
      </c>
      <c r="N904" s="43">
        <v>4.8611111111111112E-2</v>
      </c>
      <c r="O904" s="43">
        <v>6.25E-2</v>
      </c>
      <c r="P904" s="39"/>
      <c r="Q904" s="42"/>
      <c r="R904" s="29">
        <f>MIP_4[[#This Row],[PT-1]]+MIP_4[[#This Row],[PT-2]]*2+MIP_4[[#This Row],[PT-3]]*3+MIP_4[[#This Row],[PT &gt; 3 Pontos]]</f>
        <v>15</v>
      </c>
      <c r="S90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5.5555555555555469E-2</v>
      </c>
      <c r="T90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5.5555555555555469E-2</v>
      </c>
      <c r="U904" s="41">
        <f ca="1">MIP_4[[#This Row],[Eficiência]]</f>
        <v>0.93268253557461644</v>
      </c>
      <c r="V904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904" s="39">
        <f>IF(MIP_4[[#This Row],[P.S]]-MIP_4[[#This Row],[P.E]]&lt;0,1+MIP_4[[#This Row],[P.S]]-MIP_4[[#This Row],[P.E]]-1/24,MIP_4[[#This Row],[P.S]]-MIP_4[[#This Row],[P.E]]-1/24)</f>
        <v>0.39583333333333331</v>
      </c>
      <c r="X904" s="39">
        <f ca="1">MIP_4[[#This Row],[PT-1]]*$S$3+MIP_4[[#This Row],[PT-2]]*$T$3+MIP_4[[#This Row],[PT-3]]*$U$3+MIP_4[[#This Row],[PT &gt; 3 Pontos]]*$V$3</f>
        <v>0.31737114057747373</v>
      </c>
      <c r="Y904" s="39">
        <f>MIP_4[[#This Row],[HH disponível]]-MIP_4[[#This Row],[HH AC TOT]]</f>
        <v>0.34027777777777785</v>
      </c>
      <c r="Z904" s="38">
        <f ca="1">MIP_4[[#This Row],[HH Produtivo
Total]]/MIP_4[[#This Row],[HH Trabalhado]]</f>
        <v>0.93268253557461644</v>
      </c>
      <c r="AA904" s="38">
        <f ca="1">MIP_4[[#This Row],[HH Produtivo
Total]]/MIP_4[[#This Row],[HH disponível]]</f>
        <v>0.80177972356414418</v>
      </c>
      <c r="AB904" s="38">
        <f>MIP_4[[#This Row],[HH Trabalhado]]/MIP_4[[#This Row],[HH disponível]]</f>
        <v>0.85964912280701777</v>
      </c>
      <c r="AC904" s="37" t="str">
        <f>LEFT(MIP_4[[#This Row],[Equipe]], SEARCH("/",MIP_4[[#This Row],[Equipe]],1)-1)</f>
        <v xml:space="preserve">EDILTON </v>
      </c>
      <c r="AD904" s="37" t="str">
        <f>RIGHT(MIP_4[[#This Row],[Equipe]], LEN(MIP_4[[#This Row],[Equipe]])-SEARCH("/",MIP_4[[#This Row],[Equipe]],1))</f>
        <v xml:space="preserve"> GECIVALDO</v>
      </c>
      <c r="AE904" s="29">
        <f>COUNTIFS('[1]Tempo parado'!G:G,"&gt;="&amp;MIP_4[[#This Row],[S.B Sitrack]],'[1]Tempo parado'!H:H,"&lt;="&amp;MIP_4[[#This Row],[C.B Sitrack]],'[1]Tempo parado'!A:A,MIP_4[[#This Row],[Placa]])</f>
        <v>0</v>
      </c>
      <c r="AF904" s="36"/>
      <c r="AG904" s="35"/>
      <c r="AH904" s="34"/>
      <c r="AI904" s="34"/>
      <c r="AJ90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90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90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904" s="31" t="str">
        <f>IFERROR(MIP_4[[#This Row],[Tempo parado]]/(MIP_4[[#This Row],[C.B Sitrack]]-MIP_4[[#This Row],[S.B Sitrack]]),"")</f>
        <v/>
      </c>
      <c r="AN904" s="30"/>
      <c r="AO904" s="29">
        <f>IF(AND(MIP_4[Exc]=0,MIP_4[Previsto / Realizado]="Realizado"),MIP_4[Sem],0)</f>
        <v>52</v>
      </c>
      <c r="AP904" s="29">
        <f>IF(AND(MIP_4[Exc]=0,MIP_4[Previsto / Realizado]="Realizado",ISBLANK(MIP_4[[#This Row],[S.B Sitrack]])=FALSE,ISBLANK(MIP_4[[#This Row],[C.B Sitrack]])=FALSE),MIP_4[Sem],0)</f>
        <v>0</v>
      </c>
    </row>
    <row r="905" spans="1:42" ht="15.75" x14ac:dyDescent="0.25">
      <c r="A905" s="29">
        <f>WEEKNUM(MIP_4[[#This Row],[Data]])</f>
        <v>52</v>
      </c>
      <c r="B905" s="45">
        <v>43096</v>
      </c>
      <c r="C905" s="45"/>
      <c r="D905" s="35" t="s">
        <v>10</v>
      </c>
      <c r="E905" s="35" t="s">
        <v>5</v>
      </c>
      <c r="F905" s="35"/>
      <c r="G905" s="44"/>
      <c r="H905" s="44">
        <v>2</v>
      </c>
      <c r="I905" s="44">
        <v>2</v>
      </c>
      <c r="J905" s="44">
        <v>1</v>
      </c>
      <c r="K905" s="44">
        <v>0</v>
      </c>
      <c r="L905" s="43">
        <v>0.25</v>
      </c>
      <c r="M905" s="43">
        <v>0.2638888888888889</v>
      </c>
      <c r="N905" s="43">
        <v>0.62986111111111109</v>
      </c>
      <c r="O905" s="43">
        <v>0.65833333333333333</v>
      </c>
      <c r="P905" s="39"/>
      <c r="Q905" s="42"/>
      <c r="R905" s="29">
        <f>MIP_4[[#This Row],[PT-1]]+MIP_4[[#This Row],[PT-2]]*2+MIP_4[[#This Row],[PT-3]]*3+MIP_4[[#This Row],[PT &gt; 3 Pontos]]</f>
        <v>9</v>
      </c>
      <c r="S90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4.2361111111111127E-2</v>
      </c>
      <c r="T90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4.2361111111111127E-2</v>
      </c>
      <c r="U905" s="41">
        <f ca="1">MIP_4[[#This Row],[Eficiência]]</f>
        <v>0.61874030195822871</v>
      </c>
      <c r="V905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905" s="39">
        <f>IF(MIP_4[[#This Row],[P.S]]-MIP_4[[#This Row],[P.E]]&lt;0,1+MIP_4[[#This Row],[P.S]]-MIP_4[[#This Row],[P.E]]-1/24,MIP_4[[#This Row],[P.S]]-MIP_4[[#This Row],[P.E]]-1/24)</f>
        <v>0.36666666666666664</v>
      </c>
      <c r="X905" s="39">
        <f ca="1">MIP_4[[#This Row],[PT-1]]*$S$3+MIP_4[[#This Row],[PT-2]]*$T$3+MIP_4[[#This Row],[PT-3]]*$U$3+MIP_4[[#This Row],[PT &gt; 3 Pontos]]*$V$3</f>
        <v>0.20066091737117553</v>
      </c>
      <c r="Y905" s="39">
        <f>MIP_4[[#This Row],[HH disponível]]-MIP_4[[#This Row],[HH AC TOT]]</f>
        <v>0.32430555555555551</v>
      </c>
      <c r="Z905" s="38">
        <f ca="1">MIP_4[[#This Row],[HH Produtivo
Total]]/MIP_4[[#This Row],[HH Trabalhado]]</f>
        <v>0.61874030195822871</v>
      </c>
      <c r="AA905" s="38">
        <f ca="1">MIP_4[[#This Row],[HH Produtivo
Total]]/MIP_4[[#This Row],[HH disponível]]</f>
        <v>0.54725704737593328</v>
      </c>
      <c r="AB905" s="38">
        <f>MIP_4[[#This Row],[HH Trabalhado]]/MIP_4[[#This Row],[HH disponível]]</f>
        <v>0.88446969696969691</v>
      </c>
      <c r="AC905" s="37" t="str">
        <f>LEFT(MIP_4[[#This Row],[Equipe]], SEARCH("/",MIP_4[[#This Row],[Equipe]],1)-1)</f>
        <v xml:space="preserve">JOILSON </v>
      </c>
      <c r="AD905" s="37" t="str">
        <f>RIGHT(MIP_4[[#This Row],[Equipe]], LEN(MIP_4[[#This Row],[Equipe]])-SEARCH("/",MIP_4[[#This Row],[Equipe]],1))</f>
        <v xml:space="preserve"> VALDEI</v>
      </c>
      <c r="AE905" s="29">
        <f>COUNTIFS('[1]Tempo parado'!G:G,"&gt;="&amp;MIP_4[[#This Row],[S.B Sitrack]],'[1]Tempo parado'!H:H,"&lt;="&amp;MIP_4[[#This Row],[C.B Sitrack]],'[1]Tempo parado'!A:A,MIP_4[[#This Row],[Placa]])</f>
        <v>0</v>
      </c>
      <c r="AF905" s="36"/>
      <c r="AG905" s="35"/>
      <c r="AH905" s="34"/>
      <c r="AI905" s="34"/>
      <c r="AJ90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90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90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905" s="31" t="str">
        <f>IFERROR(MIP_4[[#This Row],[Tempo parado]]/(MIP_4[[#This Row],[C.B Sitrack]]-MIP_4[[#This Row],[S.B Sitrack]]),"")</f>
        <v/>
      </c>
      <c r="AN905" s="30"/>
      <c r="AO905" s="29">
        <f>IF(AND(MIP_4[Exc]=0,MIP_4[Previsto / Realizado]="Realizado"),MIP_4[Sem],0)</f>
        <v>0</v>
      </c>
      <c r="AP905" s="29">
        <f>IF(AND(MIP_4[Exc]=0,MIP_4[Previsto / Realizado]="Realizado",ISBLANK(MIP_4[[#This Row],[S.B Sitrack]])=FALSE,ISBLANK(MIP_4[[#This Row],[C.B Sitrack]])=FALSE),MIP_4[Sem],0)</f>
        <v>0</v>
      </c>
    </row>
    <row r="906" spans="1:42" ht="15.75" x14ac:dyDescent="0.25">
      <c r="A906" s="29">
        <f>WEEKNUM(MIP_4[[#This Row],[Data]])</f>
        <v>52</v>
      </c>
      <c r="B906" s="45" t="s">
        <v>15</v>
      </c>
      <c r="C906" s="45"/>
      <c r="D906" s="35" t="s">
        <v>10</v>
      </c>
      <c r="E906" s="35" t="s">
        <v>2</v>
      </c>
      <c r="F906" s="35" t="s">
        <v>1</v>
      </c>
      <c r="G906" s="44"/>
      <c r="H906" s="44">
        <v>4</v>
      </c>
      <c r="I906" s="44">
        <v>2</v>
      </c>
      <c r="J906" s="44">
        <v>0</v>
      </c>
      <c r="K906" s="44">
        <v>4</v>
      </c>
      <c r="L906" s="43">
        <v>0.24652777777777779</v>
      </c>
      <c r="M906" s="43">
        <v>0.2722222222222222</v>
      </c>
      <c r="N906" s="43">
        <v>0.62222222222222223</v>
      </c>
      <c r="O906" s="43">
        <v>0.66388888888888886</v>
      </c>
      <c r="P906" s="39"/>
      <c r="Q906" s="42" t="s">
        <v>17</v>
      </c>
      <c r="R906" s="29">
        <f>MIP_4[[#This Row],[PT-1]]+MIP_4[[#This Row],[PT-2]]*2+MIP_4[[#This Row],[PT-3]]*3+MIP_4[[#This Row],[PT &gt; 3 Pontos]]</f>
        <v>12</v>
      </c>
      <c r="S90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6.7361111111111038E-2</v>
      </c>
      <c r="T90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6.7361111111111038E-2</v>
      </c>
      <c r="U906" s="41">
        <f ca="1">MIP_4[[#This Row],[Eficiência]]</f>
        <v>0.87215022994008473</v>
      </c>
      <c r="V906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906" s="39">
        <f>IF(MIP_4[[#This Row],[P.S]]-MIP_4[[#This Row],[P.E]]&lt;0,1+MIP_4[[#This Row],[P.S]]-MIP_4[[#This Row],[P.E]]-1/24,MIP_4[[#This Row],[P.S]]-MIP_4[[#This Row],[P.E]]-1/24)</f>
        <v>0.37569444444444439</v>
      </c>
      <c r="X906" s="39">
        <f ca="1">MIP_4[[#This Row],[PT-1]]*$S$3+MIP_4[[#This Row],[PT-2]]*$T$3+MIP_4[[#This Row],[PT-3]]*$U$3+MIP_4[[#This Row],[PT &gt; 3 Pontos]]*$V$3</f>
        <v>0.26891298756485948</v>
      </c>
      <c r="Y906" s="39">
        <f>MIP_4[[#This Row],[HH disponível]]-MIP_4[[#This Row],[HH AC TOT]]</f>
        <v>0.30833333333333335</v>
      </c>
      <c r="Z906" s="38">
        <f ca="1">MIP_4[[#This Row],[HH Produtivo
Total]]/MIP_4[[#This Row],[HH Trabalhado]]</f>
        <v>0.87215022994008473</v>
      </c>
      <c r="AA906" s="38">
        <f ca="1">MIP_4[[#This Row],[HH Produtivo
Total]]/MIP_4[[#This Row],[HH disponível]]</f>
        <v>0.7157757894517518</v>
      </c>
      <c r="AB906" s="38">
        <f>MIP_4[[#This Row],[HH Trabalhado]]/MIP_4[[#This Row],[HH disponível]]</f>
        <v>0.82070240295748631</v>
      </c>
      <c r="AC906" s="37" t="str">
        <f>LEFT(MIP_4[[#This Row],[Equipe]], SEARCH("/",MIP_4[[#This Row],[Equipe]],1)-1)</f>
        <v xml:space="preserve">JOILSON </v>
      </c>
      <c r="AD906" s="37" t="str">
        <f>RIGHT(MIP_4[[#This Row],[Equipe]], LEN(MIP_4[[#This Row],[Equipe]])-SEARCH("/",MIP_4[[#This Row],[Equipe]],1))</f>
        <v xml:space="preserve"> VALDEI</v>
      </c>
      <c r="AE906" s="29">
        <f>COUNTIFS('[1]Tempo parado'!G:G,"&gt;="&amp;MIP_4[[#This Row],[S.B Sitrack]],'[1]Tempo parado'!H:H,"&lt;="&amp;MIP_4[[#This Row],[C.B Sitrack]],'[1]Tempo parado'!A:A,MIP_4[[#This Row],[Placa]])</f>
        <v>0</v>
      </c>
      <c r="AF906" s="36"/>
      <c r="AG906" s="35"/>
      <c r="AH906" s="34"/>
      <c r="AI906" s="34"/>
      <c r="AJ90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90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90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906" s="31" t="str">
        <f>IFERROR(MIP_4[[#This Row],[Tempo parado]]/(MIP_4[[#This Row],[C.B Sitrack]]-MIP_4[[#This Row],[S.B Sitrack]]),"")</f>
        <v/>
      </c>
      <c r="AN906" s="30"/>
      <c r="AO906" s="29">
        <f>IF(AND(MIP_4[Exc]=0,MIP_4[Previsto / Realizado]="Realizado"),MIP_4[Sem],0)</f>
        <v>52</v>
      </c>
      <c r="AP906" s="29">
        <f>IF(AND(MIP_4[Exc]=0,MIP_4[Previsto / Realizado]="Realizado",ISBLANK(MIP_4[[#This Row],[S.B Sitrack]])=FALSE,ISBLANK(MIP_4[[#This Row],[C.B Sitrack]])=FALSE),MIP_4[Sem],0)</f>
        <v>0</v>
      </c>
    </row>
    <row r="907" spans="1:42" ht="15.75" x14ac:dyDescent="0.25">
      <c r="A907" s="29">
        <f>WEEKNUM(MIP_4[[#This Row],[Data]])</f>
        <v>52</v>
      </c>
      <c r="B907" s="45" t="s">
        <v>15</v>
      </c>
      <c r="C907" s="45"/>
      <c r="D907" s="35" t="s">
        <v>3</v>
      </c>
      <c r="E907" s="35" t="s">
        <v>5</v>
      </c>
      <c r="F907" s="35"/>
      <c r="G907" s="44"/>
      <c r="H907" s="44">
        <v>2</v>
      </c>
      <c r="I907" s="44">
        <v>2</v>
      </c>
      <c r="J907" s="44">
        <v>1</v>
      </c>
      <c r="K907" s="44">
        <v>0</v>
      </c>
      <c r="L907" s="43">
        <v>0.625</v>
      </c>
      <c r="M907" s="43">
        <v>0.63750000000000007</v>
      </c>
      <c r="N907" s="43">
        <v>4.8611111111111112E-3</v>
      </c>
      <c r="O907" s="43">
        <v>3.3333333333333333E-2</v>
      </c>
      <c r="P907" s="39"/>
      <c r="Q907" s="42" t="s">
        <v>4</v>
      </c>
      <c r="R907" s="29">
        <f>MIP_4[[#This Row],[PT-1]]+MIP_4[[#This Row],[PT-2]]*2+MIP_4[[#This Row],[PT-3]]*3+MIP_4[[#This Row],[PT &gt; 3 Pontos]]</f>
        <v>9</v>
      </c>
      <c r="S90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4.0972222222222299E-2</v>
      </c>
      <c r="T90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4.0972222222222299E-2</v>
      </c>
      <c r="U907" s="41">
        <f ca="1">MIP_4[[#This Row],[Eficiência]]</f>
        <v>0.61610175056395045</v>
      </c>
      <c r="V907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907" s="39">
        <f>IF(MIP_4[[#This Row],[P.S]]-MIP_4[[#This Row],[P.E]]&lt;0,1+MIP_4[[#This Row],[P.S]]-MIP_4[[#This Row],[P.E]]-1/24,MIP_4[[#This Row],[P.S]]-MIP_4[[#This Row],[P.E]]-1/24)</f>
        <v>0.36666666666666675</v>
      </c>
      <c r="X907" s="39">
        <f ca="1">MIP_4[[#This Row],[PT-1]]*$S$3+MIP_4[[#This Row],[PT-2]]*$T$3+MIP_4[[#This Row],[PT-3]]*$U$3+MIP_4[[#This Row],[PT &gt; 3 Pontos]]*$V$3</f>
        <v>0.20066091737117553</v>
      </c>
      <c r="Y907" s="39">
        <f>MIP_4[[#This Row],[HH disponível]]-MIP_4[[#This Row],[HH AC TOT]]</f>
        <v>0.32569444444444445</v>
      </c>
      <c r="Z907" s="38">
        <f ca="1">MIP_4[[#This Row],[HH Produtivo
Total]]/MIP_4[[#This Row],[HH Trabalhado]]</f>
        <v>0.61610175056395045</v>
      </c>
      <c r="AA907" s="38">
        <f ca="1">MIP_4[[#This Row],[HH Produtivo
Total]]/MIP_4[[#This Row],[HH disponível]]</f>
        <v>0.54725704737593317</v>
      </c>
      <c r="AB907" s="38">
        <f>MIP_4[[#This Row],[HH Trabalhado]]/MIP_4[[#This Row],[HH disponível]]</f>
        <v>0.88825757575757558</v>
      </c>
      <c r="AC907" s="37" t="str">
        <f>LEFT(MIP_4[[#This Row],[Equipe]], SEARCH("/",MIP_4[[#This Row],[Equipe]],1)-1)</f>
        <v xml:space="preserve">EDILTON </v>
      </c>
      <c r="AD907" s="37" t="str">
        <f>RIGHT(MIP_4[[#This Row],[Equipe]], LEN(MIP_4[[#This Row],[Equipe]])-SEARCH("/",MIP_4[[#This Row],[Equipe]],1))</f>
        <v xml:space="preserve"> GECIVALDO</v>
      </c>
      <c r="AE907" s="29">
        <f>COUNTIFS('[1]Tempo parado'!G:G,"&gt;="&amp;MIP_4[[#This Row],[S.B Sitrack]],'[1]Tempo parado'!H:H,"&lt;="&amp;MIP_4[[#This Row],[C.B Sitrack]],'[1]Tempo parado'!A:A,MIP_4[[#This Row],[Placa]])</f>
        <v>0</v>
      </c>
      <c r="AF907" s="36"/>
      <c r="AG907" s="35"/>
      <c r="AH907" s="34"/>
      <c r="AI907" s="34"/>
      <c r="AJ90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90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90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907" s="31" t="str">
        <f>IFERROR(MIP_4[[#This Row],[Tempo parado]]/(MIP_4[[#This Row],[C.B Sitrack]]-MIP_4[[#This Row],[S.B Sitrack]]),"")</f>
        <v/>
      </c>
      <c r="AN907" s="30"/>
      <c r="AO907" s="29">
        <f>IF(AND(MIP_4[Exc]=0,MIP_4[Previsto / Realizado]="Realizado"),MIP_4[Sem],0)</f>
        <v>0</v>
      </c>
      <c r="AP907" s="29">
        <f>IF(AND(MIP_4[Exc]=0,MIP_4[Previsto / Realizado]="Realizado",ISBLANK(MIP_4[[#This Row],[S.B Sitrack]])=FALSE,ISBLANK(MIP_4[[#This Row],[C.B Sitrack]])=FALSE),MIP_4[Sem],0)</f>
        <v>0</v>
      </c>
    </row>
    <row r="908" spans="1:42" ht="15.75" x14ac:dyDescent="0.25">
      <c r="A908" s="29">
        <f>WEEKNUM(MIP_4[[#This Row],[Data]])</f>
        <v>52</v>
      </c>
      <c r="B908" s="45" t="s">
        <v>15</v>
      </c>
      <c r="C908" s="45"/>
      <c r="D908" s="35" t="s">
        <v>3</v>
      </c>
      <c r="E908" s="35" t="s">
        <v>2</v>
      </c>
      <c r="F908" s="35" t="s">
        <v>1</v>
      </c>
      <c r="G908" s="44"/>
      <c r="H908" s="44">
        <v>3</v>
      </c>
      <c r="I908" s="44">
        <v>3</v>
      </c>
      <c r="J908" s="44">
        <v>1</v>
      </c>
      <c r="K908" s="44">
        <v>4</v>
      </c>
      <c r="L908" s="43">
        <v>0.62708333333333333</v>
      </c>
      <c r="M908" s="43">
        <v>0.66111111111111109</v>
      </c>
      <c r="N908" s="43">
        <v>3.6111111111111115E-2</v>
      </c>
      <c r="O908" s="43">
        <v>4.1666666666666664E-2</v>
      </c>
      <c r="P908" s="39"/>
      <c r="Q908" s="42" t="s">
        <v>16</v>
      </c>
      <c r="R908" s="29">
        <f>MIP_4[[#This Row],[PT-1]]+MIP_4[[#This Row],[PT-2]]*2+MIP_4[[#This Row],[PT-3]]*3+MIP_4[[#This Row],[PT &gt; 3 Pontos]]</f>
        <v>16</v>
      </c>
      <c r="S90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3.9583333333333304E-2</v>
      </c>
      <c r="T90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3.9583333333333304E-2</v>
      </c>
      <c r="U908" s="41">
        <f ca="1">MIP_4[[#This Row],[Eficiência]]</f>
        <v>1.0517627398684917</v>
      </c>
      <c r="V908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908" s="39">
        <f>IF(MIP_4[[#This Row],[P.S]]-MIP_4[[#This Row],[P.E]]&lt;0,1+MIP_4[[#This Row],[P.S]]-MIP_4[[#This Row],[P.E]]-1/24,MIP_4[[#This Row],[P.S]]-MIP_4[[#This Row],[P.E]]-1/24)</f>
        <v>0.37291666666666673</v>
      </c>
      <c r="X908" s="39">
        <f ca="1">MIP_4[[#This Row],[PT-1]]*$S$3+MIP_4[[#This Row],[PT-2]]*$T$3+MIP_4[[#This Row],[PT-3]]*$U$3+MIP_4[[#This Row],[PT &gt; 3 Pontos]]*$V$3</f>
        <v>0.35058757995616396</v>
      </c>
      <c r="Y908" s="39">
        <f>MIP_4[[#This Row],[HH disponível]]-MIP_4[[#This Row],[HH AC TOT]]</f>
        <v>0.33333333333333343</v>
      </c>
      <c r="Z908" s="38">
        <f ca="1">MIP_4[[#This Row],[HH Produtivo
Total]]/MIP_4[[#This Row],[HH Trabalhado]]</f>
        <v>1.0517627398684917</v>
      </c>
      <c r="AA908" s="38">
        <f ca="1">MIP_4[[#This Row],[HH Produtivo
Total]]/MIP_4[[#This Row],[HH disponível]]</f>
        <v>0.94012311943552329</v>
      </c>
      <c r="AB908" s="38">
        <f>MIP_4[[#This Row],[HH Trabalhado]]/MIP_4[[#This Row],[HH disponível]]</f>
        <v>0.89385474860335201</v>
      </c>
      <c r="AC908" s="37" t="str">
        <f>LEFT(MIP_4[[#This Row],[Equipe]], SEARCH("/",MIP_4[[#This Row],[Equipe]],1)-1)</f>
        <v xml:space="preserve">EDILTON </v>
      </c>
      <c r="AD908" s="37" t="str">
        <f>RIGHT(MIP_4[[#This Row],[Equipe]], LEN(MIP_4[[#This Row],[Equipe]])-SEARCH("/",MIP_4[[#This Row],[Equipe]],1))</f>
        <v xml:space="preserve"> GECIVALDO</v>
      </c>
      <c r="AE908" s="29">
        <f>COUNTIFS('[1]Tempo parado'!G:G,"&gt;="&amp;MIP_4[[#This Row],[S.B Sitrack]],'[1]Tempo parado'!H:H,"&lt;="&amp;MIP_4[[#This Row],[C.B Sitrack]],'[1]Tempo parado'!A:A,MIP_4[[#This Row],[Placa]])</f>
        <v>0</v>
      </c>
      <c r="AF908" s="36"/>
      <c r="AG908" s="35"/>
      <c r="AH908" s="34"/>
      <c r="AI908" s="34"/>
      <c r="AJ90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90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90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908" s="31" t="str">
        <f>IFERROR(MIP_4[[#This Row],[Tempo parado]]/(MIP_4[[#This Row],[C.B Sitrack]]-MIP_4[[#This Row],[S.B Sitrack]]),"")</f>
        <v/>
      </c>
      <c r="AN908" s="30"/>
      <c r="AO908" s="29">
        <f>IF(AND(MIP_4[Exc]=0,MIP_4[Previsto / Realizado]="Realizado"),MIP_4[Sem],0)</f>
        <v>52</v>
      </c>
      <c r="AP908" s="29">
        <f>IF(AND(MIP_4[Exc]=0,MIP_4[Previsto / Realizado]="Realizado",ISBLANK(MIP_4[[#This Row],[S.B Sitrack]])=FALSE,ISBLANK(MIP_4[[#This Row],[C.B Sitrack]])=FALSE),MIP_4[Sem],0)</f>
        <v>0</v>
      </c>
    </row>
    <row r="909" spans="1:42" ht="15.75" x14ac:dyDescent="0.25">
      <c r="A909" s="29">
        <f>WEEKNUM(MIP_4[[#This Row],[Data]])</f>
        <v>52</v>
      </c>
      <c r="B909" s="45" t="s">
        <v>15</v>
      </c>
      <c r="C909" s="45"/>
      <c r="D909" s="35" t="s">
        <v>7</v>
      </c>
      <c r="E909" s="35" t="s">
        <v>5</v>
      </c>
      <c r="F909" s="35"/>
      <c r="G909" s="44"/>
      <c r="H909" s="44">
        <v>0</v>
      </c>
      <c r="I909" s="44">
        <v>0</v>
      </c>
      <c r="J909" s="44">
        <v>0</v>
      </c>
      <c r="K909" s="44">
        <v>5</v>
      </c>
      <c r="L909" s="43">
        <v>0.625</v>
      </c>
      <c r="M909" s="43">
        <v>0.63750000000000007</v>
      </c>
      <c r="N909" s="43">
        <v>4.8611111111111112E-3</v>
      </c>
      <c r="O909" s="43">
        <v>3.3333333333333333E-2</v>
      </c>
      <c r="P909" s="39"/>
      <c r="Q909" s="42" t="s">
        <v>4</v>
      </c>
      <c r="R909" s="29">
        <f>MIP_4[[#This Row],[PT-1]]+MIP_4[[#This Row],[PT-2]]*2+MIP_4[[#This Row],[PT-3]]*3+MIP_4[[#This Row],[PT &gt; 3 Pontos]]</f>
        <v>5</v>
      </c>
      <c r="S90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4.0972222222222299E-2</v>
      </c>
      <c r="T90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4.0972222222222299E-2</v>
      </c>
      <c r="U909" s="41">
        <f ca="1">MIP_4[[#This Row],[Eficiência]]</f>
        <v>0.31084366384090606</v>
      </c>
      <c r="V909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909" s="39">
        <f>IF(MIP_4[[#This Row],[P.S]]-MIP_4[[#This Row],[P.E]]&lt;0,1+MIP_4[[#This Row],[P.S]]-MIP_4[[#This Row],[P.E]]-1/24,MIP_4[[#This Row],[P.S]]-MIP_4[[#This Row],[P.E]]-1/24)</f>
        <v>0.36666666666666675</v>
      </c>
      <c r="X909" s="39">
        <f ca="1">MIP_4[[#This Row],[PT-1]]*$S$3+MIP_4[[#This Row],[PT-2]]*$T$3+MIP_4[[#This Row],[PT-3]]*$U$3+MIP_4[[#This Row],[PT &gt; 3 Pontos]]*$V$3</f>
        <v>0.10124005440373954</v>
      </c>
      <c r="Y909" s="39">
        <f>MIP_4[[#This Row],[HH disponível]]-MIP_4[[#This Row],[HH AC TOT]]</f>
        <v>0.32569444444444445</v>
      </c>
      <c r="Z909" s="38">
        <f ca="1">MIP_4[[#This Row],[HH Produtivo
Total]]/MIP_4[[#This Row],[HH Trabalhado]]</f>
        <v>0.31084366384090606</v>
      </c>
      <c r="AA909" s="38">
        <f ca="1">MIP_4[[#This Row],[HH Produtivo
Total]]/MIP_4[[#This Row],[HH disponível]]</f>
        <v>0.27610923928292597</v>
      </c>
      <c r="AB909" s="38">
        <f>MIP_4[[#This Row],[HH Trabalhado]]/MIP_4[[#This Row],[HH disponível]]</f>
        <v>0.88825757575757558</v>
      </c>
      <c r="AC909" s="37" t="str">
        <f>LEFT(MIP_4[[#This Row],[Equipe]], SEARCH("/",MIP_4[[#This Row],[Equipe]],1)-1)</f>
        <v xml:space="preserve">ANDERSON </v>
      </c>
      <c r="AD909" s="37" t="str">
        <f>RIGHT(MIP_4[[#This Row],[Equipe]], LEN(MIP_4[[#This Row],[Equipe]])-SEARCH("/",MIP_4[[#This Row],[Equipe]],1))</f>
        <v xml:space="preserve"> MARCO</v>
      </c>
      <c r="AE909" s="29">
        <f>COUNTIFS('[1]Tempo parado'!G:G,"&gt;="&amp;MIP_4[[#This Row],[S.B Sitrack]],'[1]Tempo parado'!H:H,"&lt;="&amp;MIP_4[[#This Row],[C.B Sitrack]],'[1]Tempo parado'!A:A,MIP_4[[#This Row],[Placa]])</f>
        <v>0</v>
      </c>
      <c r="AF909" s="36"/>
      <c r="AG909" s="35"/>
      <c r="AH909" s="34"/>
      <c r="AI909" s="34"/>
      <c r="AJ90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90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90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909" s="31" t="str">
        <f>IFERROR(MIP_4[[#This Row],[Tempo parado]]/(MIP_4[[#This Row],[C.B Sitrack]]-MIP_4[[#This Row],[S.B Sitrack]]),"")</f>
        <v/>
      </c>
      <c r="AN909" s="30"/>
      <c r="AO909" s="29">
        <f>IF(AND(MIP_4[Exc]=0,MIP_4[Previsto / Realizado]="Realizado"),MIP_4[Sem],0)</f>
        <v>0</v>
      </c>
      <c r="AP909" s="29">
        <f>IF(AND(MIP_4[Exc]=0,MIP_4[Previsto / Realizado]="Realizado",ISBLANK(MIP_4[[#This Row],[S.B Sitrack]])=FALSE,ISBLANK(MIP_4[[#This Row],[C.B Sitrack]])=FALSE),MIP_4[Sem],0)</f>
        <v>0</v>
      </c>
    </row>
    <row r="910" spans="1:42" ht="15.75" x14ac:dyDescent="0.25">
      <c r="A910" s="29">
        <f>WEEKNUM(MIP_4[[#This Row],[Data]])</f>
        <v>52</v>
      </c>
      <c r="B910" s="45" t="s">
        <v>15</v>
      </c>
      <c r="C910" s="45"/>
      <c r="D910" s="35" t="s">
        <v>7</v>
      </c>
      <c r="E910" s="35" t="s">
        <v>2</v>
      </c>
      <c r="F910" s="35" t="s">
        <v>6</v>
      </c>
      <c r="G910" s="44"/>
      <c r="H910" s="44">
        <v>1</v>
      </c>
      <c r="I910" s="44">
        <v>0</v>
      </c>
      <c r="J910" s="44">
        <v>0</v>
      </c>
      <c r="K910" s="44">
        <v>12</v>
      </c>
      <c r="L910" s="43">
        <v>0.62708333333333333</v>
      </c>
      <c r="M910" s="43">
        <v>0.66388888888888886</v>
      </c>
      <c r="N910" s="43">
        <v>1.7361111111111112E-2</v>
      </c>
      <c r="O910" s="43">
        <v>3.3333333333333333E-2</v>
      </c>
      <c r="P910" s="39"/>
      <c r="Q910" s="42" t="s">
        <v>14</v>
      </c>
      <c r="R910" s="29">
        <f>MIP_4[[#This Row],[PT-1]]+MIP_4[[#This Row],[PT-2]]*2+MIP_4[[#This Row],[PT-3]]*3+MIP_4[[#This Row],[PT &gt; 3 Pontos]]</f>
        <v>13</v>
      </c>
      <c r="S91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5.2777777777777701E-2</v>
      </c>
      <c r="T910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5.2777777777777701E-2</v>
      </c>
      <c r="U910" s="41">
        <f ca="1">MIP_4[[#This Row],[Eficiência]]</f>
        <v>0.85951638369753502</v>
      </c>
      <c r="V910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910" s="39">
        <f>IF(MIP_4[[#This Row],[P.S]]-MIP_4[[#This Row],[P.E]]&lt;0,1+MIP_4[[#This Row],[P.S]]-MIP_4[[#This Row],[P.E]]-1/24,MIP_4[[#This Row],[P.S]]-MIP_4[[#This Row],[P.E]]-1/24)</f>
        <v>0.36458333333333343</v>
      </c>
      <c r="X910" s="39">
        <f ca="1">MIP_4[[#This Row],[PT-1]]*$S$3+MIP_4[[#This Row],[PT-2]]*$T$3+MIP_4[[#This Row],[PT-3]]*$U$3+MIP_4[[#This Row],[PT &gt; 3 Pontos]]*$V$3</f>
        <v>0.2680019835279121</v>
      </c>
      <c r="Y910" s="39">
        <f>MIP_4[[#This Row],[HH disponível]]-MIP_4[[#This Row],[HH AC TOT]]</f>
        <v>0.31180555555555572</v>
      </c>
      <c r="Z910" s="38">
        <f ca="1">MIP_4[[#This Row],[HH Produtivo
Total]]/MIP_4[[#This Row],[HH Trabalhado]]</f>
        <v>0.85951638369753502</v>
      </c>
      <c r="AA910" s="38">
        <f ca="1">MIP_4[[#This Row],[HH Produtivo
Total]]/MIP_4[[#This Row],[HH disponível]]</f>
        <v>0.73509115481941589</v>
      </c>
      <c r="AB910" s="38">
        <f>MIP_4[[#This Row],[HH Trabalhado]]/MIP_4[[#This Row],[HH disponível]]</f>
        <v>0.85523809523809546</v>
      </c>
      <c r="AC910" s="37" t="str">
        <f>LEFT(MIP_4[[#This Row],[Equipe]], SEARCH("/",MIP_4[[#This Row],[Equipe]],1)-1)</f>
        <v xml:space="preserve">ANDERSON </v>
      </c>
      <c r="AD910" s="37" t="str">
        <f>RIGHT(MIP_4[[#This Row],[Equipe]], LEN(MIP_4[[#This Row],[Equipe]])-SEARCH("/",MIP_4[[#This Row],[Equipe]],1))</f>
        <v xml:space="preserve"> MARCO</v>
      </c>
      <c r="AE910" s="29">
        <f>COUNTIFS('[1]Tempo parado'!G:G,"&gt;="&amp;MIP_4[[#This Row],[S.B Sitrack]],'[1]Tempo parado'!H:H,"&lt;="&amp;MIP_4[[#This Row],[C.B Sitrack]],'[1]Tempo parado'!A:A,MIP_4[[#This Row],[Placa]])</f>
        <v>0</v>
      </c>
      <c r="AF910" s="36"/>
      <c r="AG910" s="35"/>
      <c r="AH910" s="34"/>
      <c r="AI910" s="34"/>
      <c r="AJ910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910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910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910" s="31" t="str">
        <f>IFERROR(MIP_4[[#This Row],[Tempo parado]]/(MIP_4[[#This Row],[C.B Sitrack]]-MIP_4[[#This Row],[S.B Sitrack]]),"")</f>
        <v/>
      </c>
      <c r="AN910" s="30"/>
      <c r="AO910" s="29">
        <f>IF(AND(MIP_4[Exc]=0,MIP_4[Previsto / Realizado]="Realizado"),MIP_4[Sem],0)</f>
        <v>52</v>
      </c>
      <c r="AP910" s="29">
        <f>IF(AND(MIP_4[Exc]=0,MIP_4[Previsto / Realizado]="Realizado",ISBLANK(MIP_4[[#This Row],[S.B Sitrack]])=FALSE,ISBLANK(MIP_4[[#This Row],[C.B Sitrack]])=FALSE),MIP_4[Sem],0)</f>
        <v>0</v>
      </c>
    </row>
    <row r="911" spans="1:42" ht="15.75" x14ac:dyDescent="0.25">
      <c r="A911" s="29">
        <f>WEEKNUM(MIP_4[[#This Row],[Data]])</f>
        <v>52</v>
      </c>
      <c r="B911" s="45" t="s">
        <v>12</v>
      </c>
      <c r="C911" s="45"/>
      <c r="D911" s="35" t="s">
        <v>10</v>
      </c>
      <c r="E911" s="35" t="s">
        <v>5</v>
      </c>
      <c r="F911" s="35"/>
      <c r="G911" s="44"/>
      <c r="H911" s="44">
        <v>3</v>
      </c>
      <c r="I911" s="44">
        <v>0</v>
      </c>
      <c r="J911" s="44">
        <v>3</v>
      </c>
      <c r="K911" s="44">
        <v>0</v>
      </c>
      <c r="L911" s="43">
        <v>0.25</v>
      </c>
      <c r="M911" s="43">
        <v>0.2638888888888889</v>
      </c>
      <c r="N911" s="43">
        <v>0.62986111111111109</v>
      </c>
      <c r="O911" s="43">
        <v>0.65833333333333333</v>
      </c>
      <c r="P911" s="39"/>
      <c r="Q911" s="42" t="s">
        <v>13</v>
      </c>
      <c r="R911" s="29">
        <f>MIP_4[[#This Row],[PT-1]]+MIP_4[[#This Row],[PT-2]]*2+MIP_4[[#This Row],[PT-3]]*3+MIP_4[[#This Row],[PT &gt; 3 Pontos]]</f>
        <v>12</v>
      </c>
      <c r="S91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4.2361111111111127E-2</v>
      </c>
      <c r="T911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4.2361111111111127E-2</v>
      </c>
      <c r="U911" s="41">
        <f ca="1">MIP_4[[#This Row],[Eficiência]]</f>
        <v>0.81235918443347943</v>
      </c>
      <c r="V911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911" s="39">
        <f>IF(MIP_4[[#This Row],[P.S]]-MIP_4[[#This Row],[P.E]]&lt;0,1+MIP_4[[#This Row],[P.S]]-MIP_4[[#This Row],[P.E]]-1/24,MIP_4[[#This Row],[P.S]]-MIP_4[[#This Row],[P.E]]-1/24)</f>
        <v>0.36666666666666664</v>
      </c>
      <c r="X911" s="39">
        <f ca="1">MIP_4[[#This Row],[PT-1]]*$S$3+MIP_4[[#This Row],[PT-2]]*$T$3+MIP_4[[#This Row],[PT-3]]*$U$3+MIP_4[[#This Row],[PT &gt; 3 Pontos]]*$V$3</f>
        <v>0.26345259661835752</v>
      </c>
      <c r="Y911" s="39">
        <f>MIP_4[[#This Row],[HH disponível]]-MIP_4[[#This Row],[HH AC TOT]]</f>
        <v>0.32430555555555551</v>
      </c>
      <c r="Z911" s="38">
        <f ca="1">MIP_4[[#This Row],[HH Produtivo
Total]]/MIP_4[[#This Row],[HH Trabalhado]]</f>
        <v>0.81235918443347943</v>
      </c>
      <c r="AA911" s="38">
        <f ca="1">MIP_4[[#This Row],[HH Produtivo
Total]]/MIP_4[[#This Row],[HH disponível]]</f>
        <v>0.71850708168642963</v>
      </c>
      <c r="AB911" s="38">
        <f>MIP_4[[#This Row],[HH Trabalhado]]/MIP_4[[#This Row],[HH disponível]]</f>
        <v>0.88446969696969691</v>
      </c>
      <c r="AC911" s="37" t="str">
        <f>LEFT(MIP_4[[#This Row],[Equipe]], SEARCH("/",MIP_4[[#This Row],[Equipe]],1)-1)</f>
        <v xml:space="preserve">JOILSON </v>
      </c>
      <c r="AD911" s="37" t="str">
        <f>RIGHT(MIP_4[[#This Row],[Equipe]], LEN(MIP_4[[#This Row],[Equipe]])-SEARCH("/",MIP_4[[#This Row],[Equipe]],1))</f>
        <v xml:space="preserve"> VALDEI</v>
      </c>
      <c r="AE911" s="29">
        <f>COUNTIFS('[1]Tempo parado'!G:G,"&gt;="&amp;MIP_4[[#This Row],[S.B Sitrack]],'[1]Tempo parado'!H:H,"&lt;="&amp;MIP_4[[#This Row],[C.B Sitrack]],'[1]Tempo parado'!A:A,MIP_4[[#This Row],[Placa]])</f>
        <v>0</v>
      </c>
      <c r="AF911" s="36"/>
      <c r="AG911" s="35"/>
      <c r="AH911" s="34"/>
      <c r="AI911" s="34"/>
      <c r="AJ911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911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911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911" s="31" t="str">
        <f>IFERROR(MIP_4[[#This Row],[Tempo parado]]/(MIP_4[[#This Row],[C.B Sitrack]]-MIP_4[[#This Row],[S.B Sitrack]]),"")</f>
        <v/>
      </c>
      <c r="AN911" s="30"/>
      <c r="AO911" s="29">
        <f>IF(AND(MIP_4[Exc]=0,MIP_4[Previsto / Realizado]="Realizado"),MIP_4[Sem],0)</f>
        <v>0</v>
      </c>
      <c r="AP911" s="29">
        <f>IF(AND(MIP_4[Exc]=0,MIP_4[Previsto / Realizado]="Realizado",ISBLANK(MIP_4[[#This Row],[S.B Sitrack]])=FALSE,ISBLANK(MIP_4[[#This Row],[C.B Sitrack]])=FALSE),MIP_4[Sem],0)</f>
        <v>0</v>
      </c>
    </row>
    <row r="912" spans="1:42" ht="15.75" x14ac:dyDescent="0.25">
      <c r="A912" s="29">
        <f>WEEKNUM(MIP_4[[#This Row],[Data]])</f>
        <v>52</v>
      </c>
      <c r="B912" s="45" t="s">
        <v>12</v>
      </c>
      <c r="C912" s="45"/>
      <c r="D912" s="35" t="s">
        <v>10</v>
      </c>
      <c r="E912" s="35" t="s">
        <v>2</v>
      </c>
      <c r="F912" s="35" t="s">
        <v>1</v>
      </c>
      <c r="G912" s="44"/>
      <c r="H912" s="44">
        <v>6</v>
      </c>
      <c r="I912" s="44">
        <v>1</v>
      </c>
      <c r="J912" s="44">
        <v>1</v>
      </c>
      <c r="K912" s="44">
        <v>0</v>
      </c>
      <c r="L912" s="43">
        <v>0.24652777777777779</v>
      </c>
      <c r="M912" s="43">
        <v>0.27083333333333331</v>
      </c>
      <c r="N912" s="43">
        <v>0.59652777777777777</v>
      </c>
      <c r="O912" s="43">
        <v>0.67638888888888893</v>
      </c>
      <c r="P912" s="39"/>
      <c r="Q912" s="42" t="s">
        <v>9</v>
      </c>
      <c r="R912" s="29">
        <f>MIP_4[[#This Row],[PT-1]]+MIP_4[[#This Row],[PT-2]]*2+MIP_4[[#This Row],[PT-3]]*3+MIP_4[[#This Row],[PT &gt; 3 Pontos]]</f>
        <v>11</v>
      </c>
      <c r="S91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0.10416666666666669</v>
      </c>
      <c r="T912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0.10416666666666669</v>
      </c>
      <c r="U912" s="41">
        <f ca="1">MIP_4[[#This Row],[Eficiência]]</f>
        <v>0.90433254491336212</v>
      </c>
      <c r="V912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912" s="39">
        <f>IF(MIP_4[[#This Row],[P.S]]-MIP_4[[#This Row],[P.E]]&lt;0,1+MIP_4[[#This Row],[P.S]]-MIP_4[[#This Row],[P.E]]-1/24,MIP_4[[#This Row],[P.S]]-MIP_4[[#This Row],[P.E]]-1/24)</f>
        <v>0.38819444444444445</v>
      </c>
      <c r="X912" s="39">
        <f ca="1">MIP_4[[#This Row],[PT-1]]*$S$3+MIP_4[[#This Row],[PT-2]]*$T$3+MIP_4[[#This Row],[PT-3]]*$U$3+MIP_4[[#This Row],[PT &gt; 3 Pontos]]*$V$3</f>
        <v>0.25685556310386465</v>
      </c>
      <c r="Y912" s="39">
        <f>MIP_4[[#This Row],[HH disponível]]-MIP_4[[#This Row],[HH AC TOT]]</f>
        <v>0.28402777777777777</v>
      </c>
      <c r="Z912" s="38">
        <f ca="1">MIP_4[[#This Row],[HH Produtivo
Total]]/MIP_4[[#This Row],[HH Trabalhado]]</f>
        <v>0.90433254491336212</v>
      </c>
      <c r="AA912" s="38">
        <f ca="1">MIP_4[[#This Row],[HH Produtivo
Total]]/MIP_4[[#This Row],[HH disponível]]</f>
        <v>0.66166728241424877</v>
      </c>
      <c r="AB912" s="38">
        <f>MIP_4[[#This Row],[HH Trabalhado]]/MIP_4[[#This Row],[HH disponível]]</f>
        <v>0.73166368515205715</v>
      </c>
      <c r="AC912" s="37" t="str">
        <f>LEFT(MIP_4[[#This Row],[Equipe]], SEARCH("/",MIP_4[[#This Row],[Equipe]],1)-1)</f>
        <v xml:space="preserve">JOILSON </v>
      </c>
      <c r="AD912" s="37" t="str">
        <f>RIGHT(MIP_4[[#This Row],[Equipe]], LEN(MIP_4[[#This Row],[Equipe]])-SEARCH("/",MIP_4[[#This Row],[Equipe]],1))</f>
        <v xml:space="preserve"> VALDEI</v>
      </c>
      <c r="AE912" s="29">
        <f>COUNTIFS('[1]Tempo parado'!G:G,"&gt;="&amp;MIP_4[[#This Row],[S.B Sitrack]],'[1]Tempo parado'!H:H,"&lt;="&amp;MIP_4[[#This Row],[C.B Sitrack]],'[1]Tempo parado'!A:A,MIP_4[[#This Row],[Placa]])</f>
        <v>0</v>
      </c>
      <c r="AF912" s="36"/>
      <c r="AG912" s="35"/>
      <c r="AH912" s="34"/>
      <c r="AI912" s="34"/>
      <c r="AJ912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912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912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912" s="31" t="str">
        <f>IFERROR(MIP_4[[#This Row],[Tempo parado]]/(MIP_4[[#This Row],[C.B Sitrack]]-MIP_4[[#This Row],[S.B Sitrack]]),"")</f>
        <v/>
      </c>
      <c r="AN912" s="30"/>
      <c r="AO912" s="29">
        <f>IF(AND(MIP_4[Exc]=0,MIP_4[Previsto / Realizado]="Realizado"),MIP_4[Sem],0)</f>
        <v>52</v>
      </c>
      <c r="AP912" s="29">
        <f>IF(AND(MIP_4[Exc]=0,MIP_4[Previsto / Realizado]="Realizado",ISBLANK(MIP_4[[#This Row],[S.B Sitrack]])=FALSE,ISBLANK(MIP_4[[#This Row],[C.B Sitrack]])=FALSE),MIP_4[Sem],0)</f>
        <v>0</v>
      </c>
    </row>
    <row r="913" spans="1:42" ht="15.75" x14ac:dyDescent="0.25">
      <c r="A913" s="29">
        <f>WEEKNUM(MIP_4[[#This Row],[Data]])</f>
        <v>52</v>
      </c>
      <c r="B913" s="45">
        <v>43097</v>
      </c>
      <c r="C913" s="45"/>
      <c r="D913" s="35" t="s">
        <v>3</v>
      </c>
      <c r="E913" s="35" t="s">
        <v>5</v>
      </c>
      <c r="F913" s="35"/>
      <c r="G913" s="44"/>
      <c r="H913" s="44">
        <v>1</v>
      </c>
      <c r="I913" s="44">
        <v>1</v>
      </c>
      <c r="J913" s="44">
        <v>1</v>
      </c>
      <c r="K913" s="44">
        <v>0</v>
      </c>
      <c r="L913" s="43">
        <v>0.625</v>
      </c>
      <c r="M913" s="43">
        <v>0.6381944444444444</v>
      </c>
      <c r="N913" s="43">
        <v>5.5555555555555558E-3</v>
      </c>
      <c r="O913" s="43">
        <v>3.3333333333333333E-2</v>
      </c>
      <c r="P913" s="39"/>
      <c r="Q913" s="42" t="s">
        <v>4</v>
      </c>
      <c r="R913" s="29">
        <f>MIP_4[[#This Row],[PT-1]]+MIP_4[[#This Row],[PT-2]]*2+MIP_4[[#This Row],[PT-3]]*3+MIP_4[[#This Row],[PT &gt; 3 Pontos]]</f>
        <v>6</v>
      </c>
      <c r="S91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4.0972222222222188E-2</v>
      </c>
      <c r="T913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4.0972222222222188E-2</v>
      </c>
      <c r="U913" s="41">
        <f ca="1">MIP_4[[#This Row],[Eficiência]]</f>
        <v>0.40444748308148687</v>
      </c>
      <c r="V913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913" s="39">
        <f>IF(MIP_4[[#This Row],[P.S]]-MIP_4[[#This Row],[P.E]]&lt;0,1+MIP_4[[#This Row],[P.S]]-MIP_4[[#This Row],[P.E]]-1/24,MIP_4[[#This Row],[P.S]]-MIP_4[[#This Row],[P.E]]-1/24)</f>
        <v>0.36666666666666675</v>
      </c>
      <c r="X913" s="39">
        <f ca="1">MIP_4[[#This Row],[PT-1]]*$S$3+MIP_4[[#This Row],[PT-2]]*$T$3+MIP_4[[#This Row],[PT-3]]*$U$3+MIP_4[[#This Row],[PT &gt; 3 Pontos]]*$V$3</f>
        <v>0.13172629830917876</v>
      </c>
      <c r="Y913" s="39">
        <f>MIP_4[[#This Row],[HH disponível]]-MIP_4[[#This Row],[HH AC TOT]]</f>
        <v>0.32569444444444456</v>
      </c>
      <c r="Z913" s="38">
        <f ca="1">MIP_4[[#This Row],[HH Produtivo
Total]]/MIP_4[[#This Row],[HH Trabalhado]]</f>
        <v>0.40444748308148687</v>
      </c>
      <c r="AA913" s="38">
        <f ca="1">MIP_4[[#This Row],[HH Produtivo
Total]]/MIP_4[[#This Row],[HH disponível]]</f>
        <v>0.3592535408432147</v>
      </c>
      <c r="AB913" s="38">
        <f>MIP_4[[#This Row],[HH Trabalhado]]/MIP_4[[#This Row],[HH disponível]]</f>
        <v>0.88825757575757591</v>
      </c>
      <c r="AC913" s="37" t="str">
        <f>LEFT(MIP_4[[#This Row],[Equipe]], SEARCH("/",MIP_4[[#This Row],[Equipe]],1)-1)</f>
        <v xml:space="preserve">EDILTON </v>
      </c>
      <c r="AD913" s="37" t="str">
        <f>RIGHT(MIP_4[[#This Row],[Equipe]], LEN(MIP_4[[#This Row],[Equipe]])-SEARCH("/",MIP_4[[#This Row],[Equipe]],1))</f>
        <v xml:space="preserve"> GECIVALDO</v>
      </c>
      <c r="AE913" s="29">
        <f>COUNTIFS('[1]Tempo parado'!G:G,"&gt;="&amp;MIP_4[[#This Row],[S.B Sitrack]],'[1]Tempo parado'!H:H,"&lt;="&amp;MIP_4[[#This Row],[C.B Sitrack]],'[1]Tempo parado'!A:A,MIP_4[[#This Row],[Placa]])</f>
        <v>0</v>
      </c>
      <c r="AF913" s="36"/>
      <c r="AG913" s="35"/>
      <c r="AH913" s="34"/>
      <c r="AI913" s="34"/>
      <c r="AJ913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913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913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913" s="31" t="str">
        <f>IFERROR(MIP_4[[#This Row],[Tempo parado]]/(MIP_4[[#This Row],[C.B Sitrack]]-MIP_4[[#This Row],[S.B Sitrack]]),"")</f>
        <v/>
      </c>
      <c r="AN913" s="30"/>
      <c r="AO913" s="29">
        <f>IF(AND(MIP_4[Exc]=0,MIP_4[Previsto / Realizado]="Realizado"),MIP_4[Sem],0)</f>
        <v>0</v>
      </c>
      <c r="AP913" s="29">
        <f>IF(AND(MIP_4[Exc]=0,MIP_4[Previsto / Realizado]="Realizado",ISBLANK(MIP_4[[#This Row],[S.B Sitrack]])=FALSE,ISBLANK(MIP_4[[#This Row],[C.B Sitrack]])=FALSE),MIP_4[Sem],0)</f>
        <v>0</v>
      </c>
    </row>
    <row r="914" spans="1:42" ht="15.75" x14ac:dyDescent="0.25">
      <c r="A914" s="29">
        <f>WEEKNUM(MIP_4[[#This Row],[Data]])</f>
        <v>52</v>
      </c>
      <c r="B914" s="45" t="s">
        <v>12</v>
      </c>
      <c r="C914" s="45"/>
      <c r="D914" s="35" t="s">
        <v>3</v>
      </c>
      <c r="E914" s="35" t="s">
        <v>2</v>
      </c>
      <c r="F914" s="35" t="s">
        <v>1</v>
      </c>
      <c r="G914" s="44"/>
      <c r="H914" s="44">
        <v>4</v>
      </c>
      <c r="I914" s="44">
        <v>2</v>
      </c>
      <c r="J914" s="44">
        <v>1</v>
      </c>
      <c r="K914" s="44">
        <v>6</v>
      </c>
      <c r="L914" s="43">
        <v>0.625</v>
      </c>
      <c r="M914" s="43">
        <v>0.6875</v>
      </c>
      <c r="N914" s="43">
        <v>2.8472222222222222E-2</v>
      </c>
      <c r="O914" s="43">
        <v>3.5416666666666666E-2</v>
      </c>
      <c r="P914" s="39"/>
      <c r="Q914" s="42" t="s">
        <v>11</v>
      </c>
      <c r="R914" s="29">
        <f>MIP_4[[#This Row],[PT-1]]+MIP_4[[#This Row],[PT-2]]*2+MIP_4[[#This Row],[PT-3]]*3+MIP_4[[#This Row],[PT &gt; 3 Pontos]]</f>
        <v>17</v>
      </c>
      <c r="S91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6.944444444444442E-2</v>
      </c>
      <c r="T914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6.944444444444442E-2</v>
      </c>
      <c r="U914" s="41">
        <f ca="1">MIP_4[[#This Row],[Eficiência]]</f>
        <v>1.2435475441900088</v>
      </c>
      <c r="V914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914" s="39">
        <f>IF(MIP_4[[#This Row],[P.S]]-MIP_4[[#This Row],[P.E]]&lt;0,1+MIP_4[[#This Row],[P.S]]-MIP_4[[#This Row],[P.E]]-1/24,MIP_4[[#This Row],[P.S]]-MIP_4[[#This Row],[P.E]]-1/24)</f>
        <v>0.36874999999999997</v>
      </c>
      <c r="X914" s="39">
        <f ca="1">MIP_4[[#This Row],[PT-1]]*$S$3+MIP_4[[#This Row],[PT-2]]*$T$3+MIP_4[[#This Row],[PT-3]]*$U$3+MIP_4[[#This Row],[PT &gt; 3 Pontos]]*$V$3</f>
        <v>0.37220068857353733</v>
      </c>
      <c r="Y914" s="39">
        <f>MIP_4[[#This Row],[HH disponível]]-MIP_4[[#This Row],[HH AC TOT]]</f>
        <v>0.29930555555555555</v>
      </c>
      <c r="Z914" s="38">
        <f ca="1">MIP_4[[#This Row],[HH Produtivo
Total]]/MIP_4[[#This Row],[HH Trabalhado]]</f>
        <v>1.2435475441900088</v>
      </c>
      <c r="AA914" s="38">
        <f ca="1">MIP_4[[#This Row],[HH Produtivo
Total]]/MIP_4[[#This Row],[HH disponível]]</f>
        <v>1.0093577995214573</v>
      </c>
      <c r="AB914" s="38">
        <f>MIP_4[[#This Row],[HH Trabalhado]]/MIP_4[[#This Row],[HH disponível]]</f>
        <v>0.81167608286252357</v>
      </c>
      <c r="AC914" s="37" t="str">
        <f>LEFT(MIP_4[[#This Row],[Equipe]], SEARCH("/",MIP_4[[#This Row],[Equipe]],1)-1)</f>
        <v xml:space="preserve">EDILTON </v>
      </c>
      <c r="AD914" s="37" t="str">
        <f>RIGHT(MIP_4[[#This Row],[Equipe]], LEN(MIP_4[[#This Row],[Equipe]])-SEARCH("/",MIP_4[[#This Row],[Equipe]],1))</f>
        <v xml:space="preserve"> GECIVALDO</v>
      </c>
      <c r="AE914" s="29">
        <f>COUNTIFS('[1]Tempo parado'!G:G,"&gt;="&amp;MIP_4[[#This Row],[S.B Sitrack]],'[1]Tempo parado'!H:H,"&lt;="&amp;MIP_4[[#This Row],[C.B Sitrack]],'[1]Tempo parado'!A:A,MIP_4[[#This Row],[Placa]])</f>
        <v>0</v>
      </c>
      <c r="AF914" s="36"/>
      <c r="AG914" s="35"/>
      <c r="AH914" s="34"/>
      <c r="AI914" s="34"/>
      <c r="AJ914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914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914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914" s="31" t="str">
        <f>IFERROR(MIP_4[[#This Row],[Tempo parado]]/(MIP_4[[#This Row],[C.B Sitrack]]-MIP_4[[#This Row],[S.B Sitrack]]),"")</f>
        <v/>
      </c>
      <c r="AN914" s="30"/>
      <c r="AO914" s="29">
        <f>IF(AND(MIP_4[Exc]=0,MIP_4[Previsto / Realizado]="Realizado"),MIP_4[Sem],0)</f>
        <v>52</v>
      </c>
      <c r="AP914" s="29">
        <f>IF(AND(MIP_4[Exc]=0,MIP_4[Previsto / Realizado]="Realizado",ISBLANK(MIP_4[[#This Row],[S.B Sitrack]])=FALSE,ISBLANK(MIP_4[[#This Row],[C.B Sitrack]])=FALSE),MIP_4[Sem],0)</f>
        <v>0</v>
      </c>
    </row>
    <row r="915" spans="1:42" ht="15.75" x14ac:dyDescent="0.25">
      <c r="A915" s="29">
        <f>WEEKNUM(MIP_4[[#This Row],[Data]])</f>
        <v>52</v>
      </c>
      <c r="B915" s="45" t="s">
        <v>8</v>
      </c>
      <c r="C915" s="45"/>
      <c r="D915" s="35" t="s">
        <v>10</v>
      </c>
      <c r="E915" s="35" t="s">
        <v>5</v>
      </c>
      <c r="F915" s="35"/>
      <c r="G915" s="44"/>
      <c r="H915" s="44">
        <v>2</v>
      </c>
      <c r="I915" s="44">
        <v>0</v>
      </c>
      <c r="J915" s="44">
        <v>0</v>
      </c>
      <c r="K915" s="44">
        <v>6</v>
      </c>
      <c r="L915" s="43">
        <v>0.25</v>
      </c>
      <c r="M915" s="43">
        <v>0.2638888888888889</v>
      </c>
      <c r="N915" s="43">
        <v>0.62986111111111109</v>
      </c>
      <c r="O915" s="43">
        <v>0.65833333333333333</v>
      </c>
      <c r="P915" s="39"/>
      <c r="Q915" s="42" t="s">
        <v>4</v>
      </c>
      <c r="R915" s="29">
        <f>MIP_4[[#This Row],[PT-1]]+MIP_4[[#This Row],[PT-2]]*2+MIP_4[[#This Row],[PT-3]]*3+MIP_4[[#This Row],[PT &gt; 3 Pontos]]</f>
        <v>8</v>
      </c>
      <c r="S91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4.2361111111111127E-2</v>
      </c>
      <c r="T915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4.2361111111111127E-2</v>
      </c>
      <c r="U915" s="41">
        <f ca="1">MIP_4[[#This Row],[Eficiência]]</f>
        <v>0.5289449047781607</v>
      </c>
      <c r="V915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915" s="39">
        <f>IF(MIP_4[[#This Row],[P.S]]-MIP_4[[#This Row],[P.E]]&lt;0,1+MIP_4[[#This Row],[P.S]]-MIP_4[[#This Row],[P.E]]-1/24,MIP_4[[#This Row],[P.S]]-MIP_4[[#This Row],[P.E]]-1/24)</f>
        <v>0.36666666666666664</v>
      </c>
      <c r="X915" s="39">
        <f ca="1">MIP_4[[#This Row],[PT-1]]*$S$3+MIP_4[[#This Row],[PT-2]]*$T$3+MIP_4[[#This Row],[PT-3]]*$U$3+MIP_4[[#This Row],[PT &gt; 3 Pontos]]*$V$3</f>
        <v>0.1715397712023618</v>
      </c>
      <c r="Y915" s="39">
        <f>MIP_4[[#This Row],[HH disponível]]-MIP_4[[#This Row],[HH AC TOT]]</f>
        <v>0.32430555555555551</v>
      </c>
      <c r="Z915" s="38">
        <f ca="1">MIP_4[[#This Row],[HH Produtivo
Total]]/MIP_4[[#This Row],[HH Trabalhado]]</f>
        <v>0.5289449047781607</v>
      </c>
      <c r="AA915" s="38">
        <f ca="1">MIP_4[[#This Row],[HH Produtivo
Total]]/MIP_4[[#This Row],[HH disponível]]</f>
        <v>0.46783573964280495</v>
      </c>
      <c r="AB915" s="38">
        <f>MIP_4[[#This Row],[HH Trabalhado]]/MIP_4[[#This Row],[HH disponível]]</f>
        <v>0.88446969696969691</v>
      </c>
      <c r="AC915" s="37" t="str">
        <f>LEFT(MIP_4[[#This Row],[Equipe]], SEARCH("/",MIP_4[[#This Row],[Equipe]],1)-1)</f>
        <v xml:space="preserve">JOILSON </v>
      </c>
      <c r="AD915" s="37" t="str">
        <f>RIGHT(MIP_4[[#This Row],[Equipe]], LEN(MIP_4[[#This Row],[Equipe]])-SEARCH("/",MIP_4[[#This Row],[Equipe]],1))</f>
        <v xml:space="preserve"> VALDEI</v>
      </c>
      <c r="AE915" s="29">
        <f>COUNTIFS('[1]Tempo parado'!G:G,"&gt;="&amp;MIP_4[[#This Row],[S.B Sitrack]],'[1]Tempo parado'!H:H,"&lt;="&amp;MIP_4[[#This Row],[C.B Sitrack]],'[1]Tempo parado'!A:A,MIP_4[[#This Row],[Placa]])</f>
        <v>0</v>
      </c>
      <c r="AF915" s="36"/>
      <c r="AG915" s="35"/>
      <c r="AH915" s="34"/>
      <c r="AI915" s="34"/>
      <c r="AJ915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915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915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915" s="31" t="str">
        <f>IFERROR(MIP_4[[#This Row],[Tempo parado]]/(MIP_4[[#This Row],[C.B Sitrack]]-MIP_4[[#This Row],[S.B Sitrack]]),"")</f>
        <v/>
      </c>
      <c r="AN915" s="30"/>
      <c r="AO915" s="29">
        <f>IF(AND(MIP_4[Exc]=0,MIP_4[Previsto / Realizado]="Realizado"),MIP_4[Sem],0)</f>
        <v>0</v>
      </c>
      <c r="AP915" s="29">
        <f>IF(AND(MIP_4[Exc]=0,MIP_4[Previsto / Realizado]="Realizado",ISBLANK(MIP_4[[#This Row],[S.B Sitrack]])=FALSE,ISBLANK(MIP_4[[#This Row],[C.B Sitrack]])=FALSE),MIP_4[Sem],0)</f>
        <v>0</v>
      </c>
    </row>
    <row r="916" spans="1:42" ht="15.75" x14ac:dyDescent="0.25">
      <c r="A916" s="29">
        <f>WEEKNUM(MIP_4[[#This Row],[Data]])</f>
        <v>52</v>
      </c>
      <c r="B916" s="45" t="s">
        <v>8</v>
      </c>
      <c r="C916" s="45"/>
      <c r="D916" s="35" t="s">
        <v>10</v>
      </c>
      <c r="E916" s="35" t="s">
        <v>2</v>
      </c>
      <c r="F916" s="35" t="s">
        <v>1</v>
      </c>
      <c r="G916" s="44"/>
      <c r="H916" s="44">
        <v>5</v>
      </c>
      <c r="I916" s="44">
        <v>1</v>
      </c>
      <c r="J916" s="44">
        <v>0</v>
      </c>
      <c r="K916" s="44">
        <v>5</v>
      </c>
      <c r="L916" s="43">
        <v>0.24722222222222223</v>
      </c>
      <c r="M916" s="43">
        <v>0.28125</v>
      </c>
      <c r="N916" s="43">
        <v>0.59861111111111109</v>
      </c>
      <c r="O916" s="43">
        <v>0.65</v>
      </c>
      <c r="P916" s="39"/>
      <c r="Q916" s="42" t="s">
        <v>9</v>
      </c>
      <c r="R916" s="29">
        <f>MIP_4[[#This Row],[PT-1]]+MIP_4[[#This Row],[PT-2]]*2+MIP_4[[#This Row],[PT-3]]*3+MIP_4[[#This Row],[PT &gt; 3 Pontos]]</f>
        <v>12</v>
      </c>
      <c r="S91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8.5416666666666696E-2</v>
      </c>
      <c r="T916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8.5416666666666696E-2</v>
      </c>
      <c r="U916" s="41">
        <f ca="1">MIP_4[[#This Row],[Eficiência]]</f>
        <v>0.98035376028750243</v>
      </c>
      <c r="V916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916" s="39">
        <f>IF(MIP_4[[#This Row],[P.S]]-MIP_4[[#This Row],[P.E]]&lt;0,1+MIP_4[[#This Row],[P.S]]-MIP_4[[#This Row],[P.E]]-1/24,MIP_4[[#This Row],[P.S]]-MIP_4[[#This Row],[P.E]]-1/24)</f>
        <v>0.3611111111111111</v>
      </c>
      <c r="X916" s="39">
        <f ca="1">MIP_4[[#This Row],[PT-1]]*$S$3+MIP_4[[#This Row],[PT-2]]*$T$3+MIP_4[[#This Row],[PT-3]]*$U$3+MIP_4[[#This Row],[PT &gt; 3 Pontos]]*$V$3</f>
        <v>0.270278085301485</v>
      </c>
      <c r="Y916" s="39">
        <f>MIP_4[[#This Row],[HH disponível]]-MIP_4[[#This Row],[HH AC TOT]]</f>
        <v>0.27569444444444441</v>
      </c>
      <c r="Z916" s="38">
        <f ca="1">MIP_4[[#This Row],[HH Produtivo
Total]]/MIP_4[[#This Row],[HH Trabalhado]]</f>
        <v>0.98035376028750243</v>
      </c>
      <c r="AA916" s="38">
        <f ca="1">MIP_4[[#This Row],[HH Produtivo
Total]]/MIP_4[[#This Row],[HH disponível]]</f>
        <v>0.74846239006565074</v>
      </c>
      <c r="AB916" s="38">
        <f>MIP_4[[#This Row],[HH Trabalhado]]/MIP_4[[#This Row],[HH disponível]]</f>
        <v>0.76346153846153841</v>
      </c>
      <c r="AC916" s="37" t="str">
        <f>LEFT(MIP_4[[#This Row],[Equipe]], SEARCH("/",MIP_4[[#This Row],[Equipe]],1)-1)</f>
        <v xml:space="preserve">JOILSON </v>
      </c>
      <c r="AD916" s="37" t="str">
        <f>RIGHT(MIP_4[[#This Row],[Equipe]], LEN(MIP_4[[#This Row],[Equipe]])-SEARCH("/",MIP_4[[#This Row],[Equipe]],1))</f>
        <v xml:space="preserve"> VALDEI</v>
      </c>
      <c r="AE916" s="29">
        <f>COUNTIFS('[1]Tempo parado'!G:G,"&gt;="&amp;MIP_4[[#This Row],[S.B Sitrack]],'[1]Tempo parado'!H:H,"&lt;="&amp;MIP_4[[#This Row],[C.B Sitrack]],'[1]Tempo parado'!A:A,MIP_4[[#This Row],[Placa]])</f>
        <v>0</v>
      </c>
      <c r="AF916" s="36"/>
      <c r="AG916" s="35"/>
      <c r="AH916" s="34"/>
      <c r="AI916" s="34"/>
      <c r="AJ916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916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916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916" s="31" t="str">
        <f>IFERROR(MIP_4[[#This Row],[Tempo parado]]/(MIP_4[[#This Row],[C.B Sitrack]]-MIP_4[[#This Row],[S.B Sitrack]]),"")</f>
        <v/>
      </c>
      <c r="AN916" s="30"/>
      <c r="AO916" s="29">
        <f>IF(AND(MIP_4[Exc]=0,MIP_4[Previsto / Realizado]="Realizado"),MIP_4[Sem],0)</f>
        <v>52</v>
      </c>
      <c r="AP916" s="29">
        <f>IF(AND(MIP_4[Exc]=0,MIP_4[Previsto / Realizado]="Realizado",ISBLANK(MIP_4[[#This Row],[S.B Sitrack]])=FALSE,ISBLANK(MIP_4[[#This Row],[C.B Sitrack]])=FALSE),MIP_4[Sem],0)</f>
        <v>0</v>
      </c>
    </row>
    <row r="917" spans="1:42" ht="15.75" x14ac:dyDescent="0.25">
      <c r="A917" s="29">
        <f>WEEKNUM(MIP_4[[#This Row],[Data]])</f>
        <v>52</v>
      </c>
      <c r="B917" s="45">
        <v>43098</v>
      </c>
      <c r="C917" s="45"/>
      <c r="D917" s="35" t="s">
        <v>7</v>
      </c>
      <c r="E917" s="35" t="s">
        <v>5</v>
      </c>
      <c r="F917" s="35"/>
      <c r="G917" s="44"/>
      <c r="H917" s="44">
        <v>5</v>
      </c>
      <c r="I917" s="44">
        <v>3</v>
      </c>
      <c r="J917" s="44">
        <v>0</v>
      </c>
      <c r="K917" s="44">
        <v>0</v>
      </c>
      <c r="L917" s="43">
        <v>0.625</v>
      </c>
      <c r="M917" s="43">
        <v>0.6381944444444444</v>
      </c>
      <c r="N917" s="43">
        <v>5.5555555555555558E-3</v>
      </c>
      <c r="O917" s="43">
        <v>3.3333333333333333E-2</v>
      </c>
      <c r="P917" s="39"/>
      <c r="Q917" s="42" t="s">
        <v>4</v>
      </c>
      <c r="R917" s="29">
        <f>MIP_4[[#This Row],[PT-1]]+MIP_4[[#This Row],[PT-2]]*2+MIP_4[[#This Row],[PT-3]]*3+MIP_4[[#This Row],[PT &gt; 3 Pontos]]</f>
        <v>11</v>
      </c>
      <c r="S91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4.0972222222222188E-2</v>
      </c>
      <c r="T917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4.0972222222222188E-2</v>
      </c>
      <c r="U917" s="41">
        <f ca="1">MIP_4[[#This Row],[Eficiência]]</f>
        <v>0.78863968202465873</v>
      </c>
      <c r="V917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917" s="39">
        <f>IF(MIP_4[[#This Row],[P.S]]-MIP_4[[#This Row],[P.E]]&lt;0,1+MIP_4[[#This Row],[P.S]]-MIP_4[[#This Row],[P.E]]-1/24,MIP_4[[#This Row],[P.S]]-MIP_4[[#This Row],[P.E]]-1/24)</f>
        <v>0.36666666666666675</v>
      </c>
      <c r="X917" s="39">
        <f ca="1">MIP_4[[#This Row],[PT-1]]*$S$3+MIP_4[[#This Row],[PT-2]]*$T$3+MIP_4[[#This Row],[PT-3]]*$U$3+MIP_4[[#This Row],[PT &gt; 3 Pontos]]*$V$3</f>
        <v>0.25685556310386465</v>
      </c>
      <c r="Y917" s="39">
        <f>MIP_4[[#This Row],[HH disponível]]-MIP_4[[#This Row],[HH AC TOT]]</f>
        <v>0.32569444444444456</v>
      </c>
      <c r="Z917" s="38">
        <f ca="1">MIP_4[[#This Row],[HH Produtivo
Total]]/MIP_4[[#This Row],[HH Trabalhado]]</f>
        <v>0.78863968202465873</v>
      </c>
      <c r="AA917" s="38">
        <f ca="1">MIP_4[[#This Row],[HH Produtivo
Total]]/MIP_4[[#This Row],[HH disponível]]</f>
        <v>0.70051517210144887</v>
      </c>
      <c r="AB917" s="38">
        <f>MIP_4[[#This Row],[HH Trabalhado]]/MIP_4[[#This Row],[HH disponível]]</f>
        <v>0.88825757575757591</v>
      </c>
      <c r="AC917" s="37" t="str">
        <f>LEFT(MIP_4[[#This Row],[Equipe]], SEARCH("/",MIP_4[[#This Row],[Equipe]],1)-1)</f>
        <v xml:space="preserve">ANDERSON </v>
      </c>
      <c r="AD917" s="37" t="str">
        <f>RIGHT(MIP_4[[#This Row],[Equipe]], LEN(MIP_4[[#This Row],[Equipe]])-SEARCH("/",MIP_4[[#This Row],[Equipe]],1))</f>
        <v xml:space="preserve"> MARCO</v>
      </c>
      <c r="AE917" s="29">
        <f>COUNTIFS('[1]Tempo parado'!G:G,"&gt;="&amp;MIP_4[[#This Row],[S.B Sitrack]],'[1]Tempo parado'!H:H,"&lt;="&amp;MIP_4[[#This Row],[C.B Sitrack]],'[1]Tempo parado'!A:A,MIP_4[[#This Row],[Placa]])</f>
        <v>0</v>
      </c>
      <c r="AF917" s="36"/>
      <c r="AG917" s="35"/>
      <c r="AH917" s="34"/>
      <c r="AI917" s="34"/>
      <c r="AJ917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917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917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917" s="31" t="str">
        <f>IFERROR(MIP_4[[#This Row],[Tempo parado]]/(MIP_4[[#This Row],[C.B Sitrack]]-MIP_4[[#This Row],[S.B Sitrack]]),"")</f>
        <v/>
      </c>
      <c r="AN917" s="30"/>
      <c r="AO917" s="29">
        <f>IF(AND(MIP_4[Exc]=0,MIP_4[Previsto / Realizado]="Realizado"),MIP_4[Sem],0)</f>
        <v>0</v>
      </c>
      <c r="AP917" s="29">
        <f>IF(AND(MIP_4[Exc]=0,MIP_4[Previsto / Realizado]="Realizado",ISBLANK(MIP_4[[#This Row],[S.B Sitrack]])=FALSE,ISBLANK(MIP_4[[#This Row],[C.B Sitrack]])=FALSE),MIP_4[Sem],0)</f>
        <v>0</v>
      </c>
    </row>
    <row r="918" spans="1:42" ht="15.75" x14ac:dyDescent="0.25">
      <c r="A918" s="29">
        <f>WEEKNUM(MIP_4[[#This Row],[Data]])</f>
        <v>52</v>
      </c>
      <c r="B918" s="45" t="s">
        <v>8</v>
      </c>
      <c r="C918" s="45"/>
      <c r="D918" s="35" t="s">
        <v>7</v>
      </c>
      <c r="E918" s="35" t="s">
        <v>2</v>
      </c>
      <c r="F918" s="35" t="s">
        <v>6</v>
      </c>
      <c r="G918" s="44"/>
      <c r="H918" s="44">
        <v>7</v>
      </c>
      <c r="I918" s="44">
        <v>3</v>
      </c>
      <c r="J918" s="44">
        <v>0</v>
      </c>
      <c r="K918" s="44">
        <v>0</v>
      </c>
      <c r="L918" s="43">
        <v>0.62708333333333333</v>
      </c>
      <c r="M918" s="43">
        <v>0.67708333333333337</v>
      </c>
      <c r="N918" s="43">
        <v>5.5555555555555558E-3</v>
      </c>
      <c r="O918" s="43">
        <v>3.4027777777777775E-2</v>
      </c>
      <c r="P918" s="39"/>
      <c r="Q918" s="42" t="s">
        <v>0</v>
      </c>
      <c r="R918" s="29">
        <f>MIP_4[[#This Row],[PT-1]]+MIP_4[[#This Row],[PT-2]]*2+MIP_4[[#This Row],[PT-3]]*3+MIP_4[[#This Row],[PT &gt; 3 Pontos]]</f>
        <v>13</v>
      </c>
      <c r="S91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7.8472222222222276E-2</v>
      </c>
      <c r="T918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7.8472222222222276E-2</v>
      </c>
      <c r="U918" s="41">
        <f ca="1">MIP_4[[#This Row],[Eficiência]]</f>
        <v>1.0700882987682914</v>
      </c>
      <c r="V918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918" s="39">
        <f>IF(MIP_4[[#This Row],[P.S]]-MIP_4[[#This Row],[P.E]]&lt;0,1+MIP_4[[#This Row],[P.S]]-MIP_4[[#This Row],[P.E]]-1/24,MIP_4[[#This Row],[P.S]]-MIP_4[[#This Row],[P.E]]-1/24)</f>
        <v>0.36527777777777776</v>
      </c>
      <c r="X918" s="39">
        <f ca="1">MIP_4[[#This Row],[PT-1]]*$S$3+MIP_4[[#This Row],[PT-2]]*$T$3+MIP_4[[#This Row],[PT-3]]*$U$3+MIP_4[[#This Row],[PT &gt; 3 Pontos]]*$V$3</f>
        <v>0.30690726902173904</v>
      </c>
      <c r="Y918" s="39">
        <f>MIP_4[[#This Row],[HH disponível]]-MIP_4[[#This Row],[HH AC TOT]]</f>
        <v>0.28680555555555548</v>
      </c>
      <c r="Z918" s="38">
        <f ca="1">MIP_4[[#This Row],[HH Produtivo
Total]]/MIP_4[[#This Row],[HH Trabalhado]]</f>
        <v>1.0700882987682914</v>
      </c>
      <c r="AA918" s="38">
        <f ca="1">MIP_4[[#This Row],[HH Produtivo
Total]]/MIP_4[[#This Row],[HH disponível]]</f>
        <v>0.84020240948917158</v>
      </c>
      <c r="AB918" s="38">
        <f>MIP_4[[#This Row],[HH Trabalhado]]/MIP_4[[#This Row],[HH disponível]]</f>
        <v>0.78517110266159684</v>
      </c>
      <c r="AC918" s="37" t="str">
        <f>LEFT(MIP_4[[#This Row],[Equipe]], SEARCH("/",MIP_4[[#This Row],[Equipe]],1)-1)</f>
        <v xml:space="preserve">ANDERSON </v>
      </c>
      <c r="AD918" s="37" t="str">
        <f>RIGHT(MIP_4[[#This Row],[Equipe]], LEN(MIP_4[[#This Row],[Equipe]])-SEARCH("/",MIP_4[[#This Row],[Equipe]],1))</f>
        <v xml:space="preserve"> MARCO</v>
      </c>
      <c r="AE918" s="29">
        <f>COUNTIFS('[1]Tempo parado'!G:G,"&gt;="&amp;MIP_4[[#This Row],[S.B Sitrack]],'[1]Tempo parado'!H:H,"&lt;="&amp;MIP_4[[#This Row],[C.B Sitrack]],'[1]Tempo parado'!A:A,MIP_4[[#This Row],[Placa]])</f>
        <v>0</v>
      </c>
      <c r="AF918" s="36"/>
      <c r="AG918" s="35"/>
      <c r="AH918" s="34"/>
      <c r="AI918" s="34"/>
      <c r="AJ918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918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918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918" s="31" t="str">
        <f>IFERROR(MIP_4[[#This Row],[Tempo parado]]/(MIP_4[[#This Row],[C.B Sitrack]]-MIP_4[[#This Row],[S.B Sitrack]]),"")</f>
        <v/>
      </c>
      <c r="AN918" s="30"/>
      <c r="AO918" s="29">
        <f>IF(AND(MIP_4[Exc]=0,MIP_4[Previsto / Realizado]="Realizado"),MIP_4[Sem],0)</f>
        <v>52</v>
      </c>
      <c r="AP918" s="29">
        <f>IF(AND(MIP_4[Exc]=0,MIP_4[Previsto / Realizado]="Realizado",ISBLANK(MIP_4[[#This Row],[S.B Sitrack]])=FALSE,ISBLANK(MIP_4[[#This Row],[C.B Sitrack]])=FALSE),MIP_4[Sem],0)</f>
        <v>0</v>
      </c>
    </row>
    <row r="919" spans="1:42" ht="15.75" x14ac:dyDescent="0.25">
      <c r="A919" s="29">
        <f>WEEKNUM(MIP_4[[#This Row],[Data]])</f>
        <v>1</v>
      </c>
      <c r="B919" s="45">
        <v>43101</v>
      </c>
      <c r="C919" s="45"/>
      <c r="D919" s="35" t="s">
        <v>3</v>
      </c>
      <c r="E919" s="35" t="s">
        <v>5</v>
      </c>
      <c r="F919" s="35"/>
      <c r="G919" s="44"/>
      <c r="H919" s="44">
        <v>3</v>
      </c>
      <c r="I919" s="44">
        <v>1</v>
      </c>
      <c r="J919" s="44">
        <v>1</v>
      </c>
      <c r="K919" s="44">
        <v>0</v>
      </c>
      <c r="L919" s="43">
        <v>0.625</v>
      </c>
      <c r="M919" s="43">
        <v>0.6381944444444444</v>
      </c>
      <c r="N919" s="43">
        <v>5.5555555555555558E-3</v>
      </c>
      <c r="O919" s="43">
        <v>3.3333333333333333E-2</v>
      </c>
      <c r="P919" s="39"/>
      <c r="Q919" s="42" t="s">
        <v>4</v>
      </c>
      <c r="R919" s="29">
        <f>MIP_4[[#This Row],[PT-1]]+MIP_4[[#This Row],[PT-2]]*2+MIP_4[[#This Row],[PT-3]]*3+MIP_4[[#This Row],[PT &gt; 3 Pontos]]</f>
        <v>8</v>
      </c>
      <c r="S91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4.0972222222222188E-2</v>
      </c>
      <c r="T919" s="39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4.0972222222222188E-2</v>
      </c>
      <c r="U919" s="41">
        <f ca="1">MIP_4[[#This Row],[Eficiência]]</f>
        <v>0.55812436265875565</v>
      </c>
      <c r="V919" s="40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919" s="39">
        <f>IF(MIP_4[[#This Row],[P.S]]-MIP_4[[#This Row],[P.E]]&lt;0,1+MIP_4[[#This Row],[P.S]]-MIP_4[[#This Row],[P.E]]-1/24,MIP_4[[#This Row],[P.S]]-MIP_4[[#This Row],[P.E]]-1/24)</f>
        <v>0.36666666666666675</v>
      </c>
      <c r="X919" s="39">
        <f ca="1">MIP_4[[#This Row],[PT-1]]*$S$3+MIP_4[[#This Row],[PT-2]]*$T$3+MIP_4[[#This Row],[PT-3]]*$U$3+MIP_4[[#This Row],[PT &gt; 3 Pontos]]*$V$3</f>
        <v>0.18177800422705312</v>
      </c>
      <c r="Y919" s="39">
        <f>MIP_4[[#This Row],[HH disponível]]-MIP_4[[#This Row],[HH AC TOT]]</f>
        <v>0.32569444444444456</v>
      </c>
      <c r="Z919" s="38">
        <f ca="1">MIP_4[[#This Row],[HH Produtivo
Total]]/MIP_4[[#This Row],[HH Trabalhado]]</f>
        <v>0.55812436265875565</v>
      </c>
      <c r="AA919" s="38">
        <f ca="1">MIP_4[[#This Row],[HH Produtivo
Total]]/MIP_4[[#This Row],[HH disponível]]</f>
        <v>0.49575819334650839</v>
      </c>
      <c r="AB919" s="38">
        <f>MIP_4[[#This Row],[HH Trabalhado]]/MIP_4[[#This Row],[HH disponível]]</f>
        <v>0.88825757575757591</v>
      </c>
      <c r="AC919" s="37" t="str">
        <f>LEFT(MIP_4[[#This Row],[Equipe]], SEARCH("/",MIP_4[[#This Row],[Equipe]],1)-1)</f>
        <v xml:space="preserve">EDILTON </v>
      </c>
      <c r="AD919" s="37" t="str">
        <f>RIGHT(MIP_4[[#This Row],[Equipe]], LEN(MIP_4[[#This Row],[Equipe]])-SEARCH("/",MIP_4[[#This Row],[Equipe]],1))</f>
        <v xml:space="preserve"> GECIVALDO</v>
      </c>
      <c r="AE919" s="29">
        <f>COUNTIFS('[1]Tempo parado'!G:G,"&gt;="&amp;MIP_4[[#This Row],[S.B Sitrack]],'[1]Tempo parado'!H:H,"&lt;="&amp;MIP_4[[#This Row],[C.B Sitrack]],'[1]Tempo parado'!A:A,MIP_4[[#This Row],[Placa]])</f>
        <v>0</v>
      </c>
      <c r="AF919" s="36"/>
      <c r="AG919" s="35"/>
      <c r="AH919" s="34"/>
      <c r="AI919" s="34"/>
      <c r="AJ919" s="32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919" s="33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919" s="32">
        <f>SUMIFS('[1]Tempo parado'!I:I,'[1]Tempo parado'!G:G,"&gt;="&amp;MIP_4[[#This Row],[S.B Sitrack]],'[1]Tempo parado'!H:H,"&lt;="&amp;MIP_4[[#This Row],[C.B Sitrack]],'[1]Tempo parado'!A:A,MIP_4[[#This Row],[Placa]])</f>
        <v>0</v>
      </c>
      <c r="AM919" s="31" t="str">
        <f>IFERROR(MIP_4[[#This Row],[Tempo parado]]/(MIP_4[[#This Row],[C.B Sitrack]]-MIP_4[[#This Row],[S.B Sitrack]]),"")</f>
        <v/>
      </c>
      <c r="AN919" s="30"/>
      <c r="AO919" s="29">
        <f>IF(AND(MIP_4[Exc]=0,MIP_4[Previsto / Realizado]="Realizado"),MIP_4[Sem],0)</f>
        <v>0</v>
      </c>
      <c r="AP919" s="29">
        <f>IF(AND(MIP_4[Exc]=0,MIP_4[Previsto / Realizado]="Realizado",ISBLANK(MIP_4[[#This Row],[S.B Sitrack]])=FALSE,ISBLANK(MIP_4[[#This Row],[C.B Sitrack]])=FALSE),MIP_4[Sem],0)</f>
        <v>0</v>
      </c>
    </row>
    <row r="920" spans="1:42" ht="15.75" x14ac:dyDescent="0.25">
      <c r="A920" s="12">
        <f>WEEKNUM(MIP_4[[#This Row],[Data]])</f>
        <v>1</v>
      </c>
      <c r="B920" s="28">
        <v>42736</v>
      </c>
      <c r="C920" s="28"/>
      <c r="D920" s="18" t="s">
        <v>3</v>
      </c>
      <c r="E920" s="18" t="s">
        <v>2</v>
      </c>
      <c r="F920" s="18" t="s">
        <v>1</v>
      </c>
      <c r="G920" s="27"/>
      <c r="H920" s="27">
        <v>5</v>
      </c>
      <c r="I920" s="27">
        <v>1</v>
      </c>
      <c r="J920" s="27">
        <v>1</v>
      </c>
      <c r="K920" s="27">
        <v>0</v>
      </c>
      <c r="L920" s="26">
        <v>0.62986111111111109</v>
      </c>
      <c r="M920" s="26">
        <v>0.67291666666666661</v>
      </c>
      <c r="N920" s="26">
        <v>0.91666666666666663</v>
      </c>
      <c r="O920" s="26">
        <v>0.95000000000000007</v>
      </c>
      <c r="P920" s="22"/>
      <c r="Q920" s="25" t="s">
        <v>0</v>
      </c>
      <c r="R920" s="12">
        <f>MIP_4[[#This Row],[PT-1]]+MIP_4[[#This Row],[PT-2]]*2+MIP_4[[#This Row],[PT-3]]*3+MIP_4[[#This Row],[PT &gt; 3 Pontos]]</f>
        <v>10</v>
      </c>
      <c r="S920" s="22">
        <f>IF(MIP_4[[#This Row],[P.S]]-MIP_4[[#This Row],[U.P]]&gt;=0,MIP_4[[#This Row],[P.S]]-MIP_4[[#This Row],[U.P]]+MIP_4[[#This Row],[S.B]]-MIP_4[[#This Row],[P.E]],1+MIP_4[[#This Row],[P.S]]-MIP_4[[#This Row],[U.P]]+MIP_4[[#This Row],[S.B]]-MIP_4[[#This Row],[P.E]])+MIP_4[[#This Row],[HH AC extra]]</f>
        <v>7.6388888888888951E-2</v>
      </c>
      <c r="T920" s="22">
        <f>IF(MIP_4[[#This Row],[P.S]]-MIP_4[[#This Row],[U.P]]&gt;=0,MIP_4[[#This Row],[P.S]]-MIP_4[[#This Row],[U.P]]+MIP_4[[#This Row],[S.B]]-MIP_4[[#This Row],[P.E]],1+MIP_4[[#This Row],[P.S]]-MIP_4[[#This Row],[U.P]]+MIP_4[[#This Row],[S.B]]-MIP_4[[#This Row],[P.E]])</f>
        <v>7.6388888888888951E-2</v>
      </c>
      <c r="U920" s="24">
        <f ca="1">MIP_4[[#This Row],[Eficiência]]</f>
        <v>1.1471985656656203</v>
      </c>
      <c r="V920" s="23">
        <f>SUMIFS([1]!Excecoes[Coluna1],[1]!Excecoes[Dia],MIP_4[[#This Row],[Data]],[1]!Excecoes[Equipe],MIP_4[[#This Row],[Equipe]],[1]!Excecoes[Previsto /
Realizado],MIP_4[[#This Row],[Previsto / Realizado]])+IF(MIP_4[[#This Row],[HH AC TOT]]&gt;0.5,1,0)+IF(AND(OR(ISBLANK(MIP_4[[#This Row],[P.E]]),ISBLANK(MIP_4[[#This Row],[S.B]]),ISBLANK(MIP_4[[#This Row],[U.P]]),ISBLANK(MIP_4[[#This Row],[P.S]])),ISTEXT(MIP_4[[#This Row],[Equipe]])),1,IF(MIP_4[[#This Row],[P.E]]&gt;MIP_4[[#This Row],[S.B]],1,0)+IF([1]Excessões!$H$6="Ativadas",IF(MIP_4[[#This Row],[HH AC TOT]]&lt;0.0083,1,0)+IF(OR(MIP_4[[#This Row],[Eficiência]]&gt;2,MIP_4[[#This Row],[Eficiência]]&lt;0.3),1,0),0))</f>
        <v>0</v>
      </c>
      <c r="W920" s="22">
        <f>IF(MIP_4[[#This Row],[P.S]]-MIP_4[[#This Row],[P.E]]&lt;0,1+MIP_4[[#This Row],[P.S]]-MIP_4[[#This Row],[P.E]]-1/24,MIP_4[[#This Row],[P.S]]-MIP_4[[#This Row],[P.E]]-1/24)</f>
        <v>0.27847222222222229</v>
      </c>
      <c r="X920" s="22">
        <f ca="1">MIP_4[[#This Row],[PT-1]]*$S$3+MIP_4[[#This Row],[PT-2]]*$T$3+MIP_4[[#This Row],[PT-3]]*$U$3+MIP_4[[#This Row],[PT &gt; 3 Pontos]]*$V$3</f>
        <v>0.23182971014492745</v>
      </c>
      <c r="Y920" s="22">
        <f>MIP_4[[#This Row],[HH disponível]]-MIP_4[[#This Row],[HH AC TOT]]</f>
        <v>0.20208333333333334</v>
      </c>
      <c r="Z920" s="21">
        <f ca="1">MIP_4[[#This Row],[HH Produtivo
Total]]/MIP_4[[#This Row],[HH Trabalhado]]</f>
        <v>1.1471985656656203</v>
      </c>
      <c r="AA920" s="21">
        <f ca="1">MIP_4[[#This Row],[HH Produtivo
Total]]/MIP_4[[#This Row],[HH disponível]]</f>
        <v>0.83250569229101112</v>
      </c>
      <c r="AB920" s="21">
        <f>MIP_4[[#This Row],[HH Trabalhado]]/MIP_4[[#This Row],[HH disponível]]</f>
        <v>0.72568578553615948</v>
      </c>
      <c r="AC920" s="20" t="str">
        <f>LEFT(MIP_4[[#This Row],[Equipe]], SEARCH("/",MIP_4[[#This Row],[Equipe]],1)-1)</f>
        <v xml:space="preserve">EDILTON </v>
      </c>
      <c r="AD920" s="20" t="str">
        <f>RIGHT(MIP_4[[#This Row],[Equipe]], LEN(MIP_4[[#This Row],[Equipe]])-SEARCH("/",MIP_4[[#This Row],[Equipe]],1))</f>
        <v xml:space="preserve"> GECIVALDO</v>
      </c>
      <c r="AE920" s="12">
        <f>COUNTIFS('[1]Tempo parado'!G:G,"&gt;="&amp;MIP_4[[#This Row],[S.B Sitrack]],'[1]Tempo parado'!H:H,"&lt;="&amp;MIP_4[[#This Row],[C.B Sitrack]],'[1]Tempo parado'!A:A,MIP_4[[#This Row],[Placa]])</f>
        <v>0</v>
      </c>
      <c r="AF920" s="19"/>
      <c r="AG920" s="18"/>
      <c r="AH920" s="17"/>
      <c r="AI920" s="17"/>
      <c r="AJ920" s="15" t="str">
        <f>IF(OR(MIP_4[[#This Row],[S.B Sitrack]]="",MIP_4[[#This Row],[C.B Sitrack]]=""),"-",IF(TIME(HOUR(MIP_4[[#This Row],[C.B Sitrack]]),MINUTE(MIP_4[[#This Row],[C.B Sitrack]]),SECOND(HOUR(MIP_4[[#This Row],[C.B Sitrack]])))-(MIP_4[[#This Row],[U.P]]-TRUNC(MIP_4[[#This Row],[U.P]],0))&lt;0,(TIME(HOUR(MIP_4[[#This Row],[C.B Sitrack]]),MINUTE(MIP_4[[#This Row],[C.B Sitrack]]),SECOND(HOUR(MIP_4[[#This Row],[C.B Sitrack]])))-(MIP_4[[#This Row],[U.P]]-TRUNC(MIP_4[[#This Row],[U.P]],0)))*(-1),TIME(HOUR(MIP_4[[#This Row],[C.B Sitrack]]),MINUTE(MIP_4[[#This Row],[C.B Sitrack]]),SECOND(HOUR(MIP_4[[#This Row],[C.B Sitrack]])))-(MIP_4[[#This Row],[U.P]]-TRUNC(MIP_4[[#This Row],[U.P]],0)))+IF(TIME(HOUR(MIP_4[[#This Row],[S.B Sitrack]]),MINUTE(MIP_4[[#This Row],[S.B Sitrack]]),SECOND(HOUR(MIP_4[[#This Row],[S.B Sitrack]])))-(MIP_4[[#This Row],[S.B]]-TRUNC(MIP_4[[#This Row],[S.B]],0))&lt;0,(TIME(HOUR(MIP_4[[#This Row],[S.B Sitrack]]),MINUTE(MIP_4[[#This Row],[S.B Sitrack]]),SECOND(HOUR(MIP_4[[#This Row],[S.B Sitrack]])))-(MIP_4[[#This Row],[S.B]]-TRUNC(MIP_4[[#This Row],[S.B]],0)))*(-1),TIME(HOUR(MIP_4[[#This Row],[S.B Sitrack]]),MINUTE(MIP_4[[#This Row],[S.B Sitrack]]),SECOND(HOUR(MIP_4[[#This Row],[S.B Sitrack]])))-(MIP_4[[#This Row],[S.B]]-TRUNC(MIP_4[[#This Row],[S.B]],0))))</f>
        <v>-</v>
      </c>
      <c r="AK920" s="16">
        <f>SUMIFS([1]!Tempoviagem[DISTANCIA (KM)],[1]!Tempoviagem[DATA INICIO],"&gt;="&amp;MIP_4[[#This Row],[S.B Sitrack]],[1]!Tempoviagem[DATA FIM],"&lt;="&amp;MIP_4[[#This Row],[C.B Sitrack]],[1]!Tempoviagem[PLACA],MIP_4[[#This Row],[Placa]],[1]!Tempoviagem[DISTANCIA (KM)],"&gt;0",[1]!Tempoviagem[VELOCIDADE MÉDIA (KM/H)],"&lt;150")</f>
        <v>0</v>
      </c>
      <c r="AL920" s="15">
        <f>SUMIFS('[1]Tempo parado'!I:I,'[1]Tempo parado'!G:G,"&gt;="&amp;MIP_4[[#This Row],[S.B Sitrack]],'[1]Tempo parado'!H:H,"&lt;="&amp;MIP_4[[#This Row],[C.B Sitrack]],'[1]Tempo parado'!A:A,MIP_4[[#This Row],[Placa]])</f>
        <v>0</v>
      </c>
      <c r="AM920" s="14" t="str">
        <f>IFERROR(MIP_4[[#This Row],[Tempo parado]]/(MIP_4[[#This Row],[C.B Sitrack]]-MIP_4[[#This Row],[S.B Sitrack]]),"")</f>
        <v/>
      </c>
      <c r="AN920" s="13"/>
      <c r="AO920" s="12">
        <f>IF(AND(MIP_4[Exc]=0,MIP_4[Previsto / Realizado]="Realizado"),MIP_4[Sem],0)</f>
        <v>1</v>
      </c>
      <c r="AP920" s="12">
        <f>IF(AND(MIP_4[Exc]=0,MIP_4[Previsto / Realizado]="Realizado",ISBLANK(MIP_4[[#This Row],[S.B Sitrack]])=FALSE,ISBLANK(MIP_4[[#This Row],[C.B Sitrack]])=FALSE),MIP_4[Sem],0)</f>
        <v>0</v>
      </c>
    </row>
  </sheetData>
  <conditionalFormatting sqref="A2:AP920">
    <cfRule type="expression" dxfId="48" priority="1">
      <formula>$F2="Previsto"</formula>
    </cfRule>
  </conditionalFormatting>
  <conditionalFormatting sqref="D2:D920">
    <cfRule type="expression" dxfId="47" priority="2">
      <formula>$W2&gt;0</formula>
    </cfRule>
  </conditionalFormatting>
  <dataValidations count="1">
    <dataValidation type="list" allowBlank="1" showInputMessage="1" showErrorMessage="1" sqref="E2:E920" xr:uid="{CF893BAF-D8C2-4293-8A26-1F64CAFE6AF5}">
      <formula1>#REF!</formula1>
    </dataValidation>
  </dataValidations>
  <hyperlinks>
    <hyperlink ref="D800" r:id="rId1" display="http://www.google.com/maps/dir/?api=1&amp;origin=-12.896186,-38.329723&amp;waypoints=-12.876697,-38.352566%7C-12.865928,-38.355956%7C-12.868591,-38.33836%7C-12.878584,-38.334269%7C-12.900824,-38.346558%7C-12.886427,-38.353018%7C-12.891859,-38.327201%7C-12.898757,-38.327667%7C-12.900237,-38.308862%7C-12.890356,-38.303998%7C-12.885273,-38.293436%7C-12.87869,-38.301358%7C-12.897382,-38.325316&amp;destination=-12.891855,-38.327094" xr:uid="{C5C170FD-3D22-4EE6-8A2A-84C23DD76094}"/>
    <hyperlink ref="D786" r:id="rId2" display="http://www.google.com/maps/dir/?api=1&amp;origin=-12.889597,-38.326594&amp;waypoints=-12.838752,-38.349935%7C-12.908897,-38.304001%7C-12.891527,-38.328795%7C-12.870247,-38.339278%7C-12.842388,-38.35586%7C-12.866364,-38.305421&amp;destination=-12.891859,-38.327269" xr:uid="{19E84C39-8438-41E6-98B5-0E2083086FD8}"/>
    <hyperlink ref="D788" r:id="rId3" display="http://www.google.com/maps/dir/?api=1&amp;origin=-12.894821,-38.328504&amp;waypoints=-12.898018,-38.325114%7C-12.88862,-38.307955%7C-12.896074,-38.294895%7C-12.882693,-38.287501%7C-12.879063,-38.284788%7C-12.878176,-38.321633%7C-12.879382,-38.332672%7C-12.899259,-38.327044%7C-12.875338,-38.339603&amp;destination=-12.891878,-38.32709" xr:uid="{A7250403-CCBC-4DE8-A494-61B5D70B595C}"/>
    <hyperlink ref="D790" r:id="rId4" display="http://www.google.com/maps/dir/?api=1&amp;origin=-12.889521,-38.330843&amp;waypoints=-12.888889,-38.337388%7C-12.891369,-38.294176%7C-12.879734,-38.298311%7C-12.843324,-38.356404%7C-12.886344,-38.345388%7C-12.897953,-38.350212%7C-12.893712,-38.303354%7C-12.878112,-38.332062%7C-12.897224,-38.324794&amp;destination=-12.891837,-38.327097" xr:uid="{1CE1FFBF-FCF7-4795-87B3-02914D9B08FA}"/>
    <hyperlink ref="D792" r:id="rId5" display="http://www.google.com/maps/dir/?api=1&amp;origin=-12.894356,-38.328065&amp;waypoints=-12.897085,-38.325224%7C-12.865474,-38.307881%7C-12.898974,-38.327234%7C-12.896569,-38.324835%7C-12.875713,-38.340783%7C-12.836915,-38.336042%7C-12.880569,-38.330779&amp;destination=-12.891829,-38.327093" xr:uid="{D593204B-33E7-43A8-AD25-48A8EF71A05B}"/>
    <hyperlink ref="D794" r:id="rId6" display="http://www.google.com/maps/dir/?api=1&amp;origin=-12.896538,-38.332824&amp;waypoints=-12.89561,-38.347623%7C-12.887021,-38.290708%7C-12.876608,-38.291125%7C-12.883396,-38.287441%7C-12.8998,-38.296716%7C-12.899515,-38.323684%7C-12.89548,-38.323409%7C-12.8623,-38.291001&amp;destination=-12.891804,-38.327086" xr:uid="{ACF61625-2702-424D-AAEC-86B83218BE14}"/>
    <hyperlink ref="D796" r:id="rId7" display="http://www.google.com/maps/dir/?api=1&amp;origin=-12.895483,-38.329079&amp;waypoints=-12.894043,-38.356227%7C-12.865278,-38.307719%7C-12.882631,-38.289522%7C-12.882456,-38.289068%7C-12.876192,-38.318258%7C-12.881113,-38.331902%7C-12.881952,-38.340722%7C-12.897404,-38.324914&amp;destination=-12.891832,-38.327134" xr:uid="{68F27E14-307C-4960-815C-ED572265AD1C}"/>
    <hyperlink ref="D798" r:id="rId8" display="http://www.google.com/maps/dir/?api=1&amp;origin=-12.894481,-38.328202&amp;waypoints=-12.898342,-38.325232%7C-12.890809,-38.320164%7C-12.892415,-38.31995%7C-12.89828,-38.311777%7C-12.891877,-38.327222%7C-12.90079,-38.341018%7C-12.89689,-38.342712%7C-12.871445,-38.353992%7C-12.886046,-38.345059%7C-12.899261,-38.3272%7C-12.901692,-38.316907%7C-12.860061,-38.298224&amp;destination=-12.891801,-38.327236" xr:uid="{236C90CD-FCF9-4B52-BB4C-BF379624EE0F}"/>
    <hyperlink ref="D802" r:id="rId9" display="http://www.google.com/maps/dir/?api=1&amp;origin=-12.896608,-38.330037&amp;waypoints=-12.897184,-38.33003%7C-12.894762,-38.293441%7C-12.891228,-38.301845%7C-12.893271,-38.305756%7C-12.880943,-38.306764%7C-12.882278,-38.282126%7C-12.877826,-38.285051%7C-12.883055,-38.320984%7C-12.839523,-38.35429%7C-12.841997,-38.334758&amp;destination=-12.891842,-38.327103" xr:uid="{13E6D7DB-A28E-411A-A6B7-FC2133493138}"/>
    <hyperlink ref="D804" r:id="rId10" display="http://www.google.com/maps/dir/?api=1&amp;origin=-12.896524,-38.332856&amp;waypoints=-12.897109,-38.3424%7C-12.896585,-38.32478%7C-12.870339,-38.320168%7C-12.837883,-38.337345%7C-12.880629,-38.331668%7C-12.878174,-38.332328%7C-12.889882,-38.351229%7C-12.890283,-38.313436%7C-12.89558,-38.323467&amp;destination=-12.891808,-38.327199" xr:uid="{D2056B6B-292B-4FF7-BA86-D323BF7C8EF4}"/>
    <hyperlink ref="D784" r:id="rId11" display="http://www.google.com/maps/dir/?api=1&amp;origin=-12.890122,-38.330209&amp;waypoints=-12.878861,-38.285087%7C-12.880843,-38.290371%7C-12.88874,-38.288272%7C-12.886785,-38.303013%7C-12.896906,-38.318738%7C-12.87521,-38.337683%7C-12.893877,-38.340905%7C-12.877679,-38.33289%7C-12.89592,-38.347846&amp;destination=-12.891861,-38.327194" xr:uid="{D762EFA5-902E-4613-9E08-F98586B781C5}"/>
    <hyperlink ref="D812" r:id="rId12" display="http://www.google.com/maps/dir/?api=1&amp;origin=-12.8942,-38.327931&amp;waypoints=-12.882997,-38.283165%7C-12.838155,-38.356178%7C-12.877479,-38.324318%7C-12.888142,-38.334516%7C-12.896102,-38.34381%7C-12.895665,-38.347754%7C-12.894069,-38.356198&amp;destination=-12.891823,-38.327084" xr:uid="{6207D42B-0148-462F-9082-A039023C675D}"/>
    <hyperlink ref="AN794" display="http://www.google.com/maps/dir/?api=1&amp;origin=-12.896538,-38.332824&amp;waypoints=-12.89561,-38.347623%7C-12.887021,-38.290708%7C-12.876608,-38.291125%7C-12.883396,-38.287441%7C-12.8998,-38.296716%7C-12.899515,-38.323684%7C-12.89548,-38.323409%7C-12.8623,-38.2" xr:uid="{F9C91C2D-F5BD-4824-B1C4-928C46165B54}"/>
    <hyperlink ref="D778" r:id="rId13" display="http://www.google.com/maps/dir/?api=1&amp;origin=-12.889978,-38.327006&amp;waypoints=-12.856733,-38.354395%7C-12.863787,-38.294222%7C-12.858545,-38.294199%7C-12.869864,-38.338376%7C-12.88249,-38.333441%7C-12.897319,-38.325312&amp;destination=-12.89175,-38.327184" xr:uid="{B90A8D1E-7D72-4F12-BE76-D7865FC75A13}"/>
    <hyperlink ref="AN778" r:id="rId14" xr:uid="{07B2475A-5D88-4DF7-843E-F8AA67FFF67A}"/>
    <hyperlink ref="D728" r:id="rId15" display="http://www.google.com/maps/dir/?api=1&amp;origin=-12.889776,-38.325542&amp;waypoints=-12.842239,-38.334227%7C-12.877553,-38.326026%7C-12.884051,-38.33888%7C-12.879913,-38.352153%7C-12.886335,-38.352381%7C-12.860259,-38.297318%7C-12.862296,-38.290964%7C-12.885983,-38.310996%7C-12.905355,-38.302465%7C-12.897298,-38.325266&amp;destination=-12.89182,-38.327239" xr:uid="{453BE41A-2FF2-4C23-BD67-63601FBC7B94}"/>
    <hyperlink ref="D742" r:id="rId16" display="http://www.google.com/maps/dir/?api=1&amp;origin=-12.895696,-38.332212&amp;waypoints=-12.873331,-38.343708%7C-12.86778,-38.299486%7C-12.879836,-38.332108%7C-12.877217,-38.329879%7C-12.894822,-38.317418%7C-12.897447,-38.324942%7C-12.877567,-38.281654&amp;destination=-12.89185,-38.327107" xr:uid="{C6B8164F-BD86-4625-A5CB-1CF3BF5D0B9C}"/>
    <hyperlink ref="D808" r:id="rId17" display="http://www.google.com/maps/dir/?api=1&amp;origin=-12.889743,-38.325572&amp;waypoints=-12.869924,-38.339055%7C-12.856535,-38.340858%7C-12.849749,-38.338106%7C-12.854642,-38.359217%7C-12.88656,-38.312448%7C-12.899262,-38.327351%7C-12.883358,-38.339343%7C-12.89556,-38.323448%7C-12.886257,-38.337358%7C-12.883875,-38.342693&amp;destination=-12.891837,-38.327092" xr:uid="{6B11E140-1259-4BBB-9410-08FCB0BAC310}"/>
    <hyperlink ref="D822" r:id="rId18" display="http://www.google.com/maps/dir/?api=1&amp;origin=-12.896384,-38.329847&amp;waypoints=-12.893414,-38.320266%7C-12.859975,-38.327684%7C-12.849733,-38.338081%7C-12.881286,-38.33429%7C-12.889708,-38.325642%7C-12.885134,-38.355481%7C-12.878472,-38.352773%7C-12.895566,-38.323616&amp;destination=-12.891864,-38.327135" xr:uid="{E3DE3B4B-49BC-4C86-8E3A-ABFD3D468DFD}"/>
    <hyperlink ref="D824" r:id="rId19" display="http://www.google.com/maps/dir/?api=1&amp;origin=-12.893209,-38.327099&amp;waypoin&amp;destination=-12.891895,-38.327066" xr:uid="{938A1DE7-5C93-4522-8953-4478DCCF975B}"/>
    <hyperlink ref="D870" r:id="rId20" display="http://www.google.com/maps/dir/?api=1&amp;origin=-12.889936,-38.330384&amp;waypoints=-12.877079,-38.348716%7C-12.898287,-38.338377%7C-12.897502,-38.329514%7C-12.881215,-38.331876%7C-12.839069,-38.329782%7C-12.834444,-38.331492%7C-12.89704,-38.32467&amp;destination=-12.891851,-38.327112" xr:uid="{DD973EBA-C7F9-4427-B87B-9DB09468423A}"/>
    <hyperlink ref="D876" r:id="rId21" display="http://www.google.com/maps/dir/?api=1&amp;origin=-12.889459,-38.32646&amp;waypoints=-12.881122,-38.296332%7C-12.88115,-38.304056%7C-12.871603,-38.357745%7C-12.841062,-38.334224%7C-12.899032,-38.351278%7C-12.887372,-38.354253%7C-12.881909,-38.328099%7C-12.895429,-38.347297%7C-12.867724,-38.29744%7C-12.89716,-38.324762&amp;destination=-12.891808,-38.327121" xr:uid="{64E7A9E8-9B2D-4846-842E-B3376511687D}"/>
    <hyperlink ref="D878" r:id="rId22" display="http://www.google.com/maps/dir/?api=1&amp;origin=-12.886654,-38.3237&amp;waypoints=-12.869533,-38.301296%7C-12.86739,-38.30042%7C-12.896698,-38.324919%7C-12.896008,-38.321181%7C-12.891815,-38.31036%7C-12.885674,-38.306436%7C-12.895612,-38.294984%7C-12.864611,-38.29634%7C-12.889887,-38.321718&amp;destination=-12.891818,-38.327128" xr:uid="{B0A5046E-7889-4CEE-88A7-4786C34CD679}"/>
    <hyperlink ref="D882" r:id="rId23" display="http://www.google.com/maps/dir/?api=1&amp;origin=-12.893955,-38.327725&amp;waypoints=-12.898078,-38.325128%7C-12.898197,-38.3394%7C-12.901327,-38.341427%7C-12.897162,-38.345571%7C-12.900242,-38.343938%7C-12.887032,-38.353276%7C-12.887558,-38.344177%7C-12.899137,-38.327813%7C-12.880897,-38.324028%7C-12.856075,-38.361473&amp;destination=-12.891807,-38.327084" xr:uid="{D9FDF17B-0D49-4055-9E46-43A23EB79DA5}"/>
    <hyperlink ref="D886" r:id="rId24" display="http://www.google.com/maps/dir/?api=1&amp;origin=-12.889727,-38.325163&amp;waypoints=-12.885045,-38.33483%7C-12.890894,-38.335272%7C-12.837828,-38.348808%7C-12.887569,-38.352018%7C-12.899113,-38.35127%7C-12.901721,-38.310045%7C-12.895492,-38.323553&amp;destination=-12.89189,-38.327125" xr:uid="{D48E9071-ABAB-43CA-B0CC-CADAD67BEAF9}"/>
  </hyperlinks>
  <pageMargins left="0.7" right="0.7" top="0.75" bottom="0.75" header="0.3" footer="0.3"/>
  <legacyDrawing r:id="rId25"/>
  <tableParts count="1">
    <tablePart r:id="rId2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" id="{6C72CBC4-3E83-47F4-B8AC-61BE37116CA5}">
            <x14:iconSet iconSet="4TrafficLights" showValue="0" custom="1">
              <x14:cfvo type="percent">
                <xm:f>0</xm:f>
              </x14:cfvo>
              <x14:cfvo type="num">
                <xm:f>0.6</xm:f>
              </x14:cfvo>
              <x14:cfvo type="num">
                <xm:f>0.8</xm:f>
              </x14:cfvo>
              <x14:cfvo type="num">
                <xm:f>1.2</xm:f>
              </x14:cfvo>
              <x14:cfIcon iconSet="3TrafficLights1" iconId="0"/>
              <x14:cfIcon iconSet="3TrafficLights1" iconId="1"/>
              <x14:cfIcon iconSet="3TrafficLights1" iconId="2"/>
              <x14:cfIcon iconSet="3Symbols2" iconId="1"/>
            </x14:iconSet>
          </x14:cfRule>
          <xm:sqref>U2:U920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MIP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Isadora Almeida</dc:creator>
  <cp:lastModifiedBy>Isadora Almeida</cp:lastModifiedBy>
  <dcterms:created xsi:type="dcterms:W3CDTF">2018-05-07T13:52:07Z</dcterms:created>
  <dcterms:modified xsi:type="dcterms:W3CDTF">2018-05-07T14:25:09Z</dcterms:modified>
</cp:coreProperties>
</file>